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S:\Performance_Management_Unit\2_Raw_Data\3_Public_Disclosure_Data\13_FY2023\Q1\"/>
    </mc:Choice>
  </mc:AlternateContent>
  <xr:revisionPtr revIDLastSave="0" documentId="13_ncr:1_{46DAFA87-BA28-47C8-9175-EAA7BD5C8A8C}" xr6:coauthVersionLast="47" xr6:coauthVersionMax="47" xr10:uidLastSave="{00000000-0000-0000-0000-000000000000}"/>
  <bookViews>
    <workbookView xWindow="-120" yWindow="-120" windowWidth="29040" windowHeight="15840" xr2:uid="{00000000-000D-0000-FFFF-FFFF00000000}"/>
  </bookViews>
  <sheets>
    <sheet name="H-2B_Disclosure_Data_FY2023_Q1" sheetId="1" r:id="rId1"/>
  </sheets>
  <definedNames>
    <definedName name="_xlnm._FilterDatabase" localSheetId="0" hidden="1">'H-2B_Disclosure_Data_FY2023_Q1'!$A$1:$DI$1525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514" i="1" l="1"/>
  <c r="V1514" i="1"/>
  <c r="AJ1514" i="1"/>
  <c r="AX1514" i="1"/>
  <c r="BQ1514" i="1"/>
  <c r="BR1514" i="1"/>
  <c r="CC1514" i="1"/>
  <c r="CW1514" i="1"/>
  <c r="G958" i="1"/>
  <c r="V958" i="1"/>
  <c r="AJ958" i="1"/>
  <c r="AX958" i="1"/>
  <c r="BQ958" i="1"/>
  <c r="BR958" i="1"/>
  <c r="CC958" i="1"/>
  <c r="CW958" i="1"/>
  <c r="G1265" i="1"/>
  <c r="V1265" i="1"/>
  <c r="AJ1265" i="1"/>
  <c r="AX1265" i="1"/>
  <c r="BQ1265" i="1"/>
  <c r="BR1265" i="1"/>
  <c r="CC1265" i="1"/>
  <c r="CW1265" i="1"/>
  <c r="G1203" i="1"/>
  <c r="V1203" i="1"/>
  <c r="AJ1203" i="1"/>
  <c r="AX1203" i="1"/>
  <c r="BQ1203" i="1"/>
  <c r="BR1203" i="1"/>
  <c r="CC1203" i="1"/>
  <c r="CW1203" i="1"/>
  <c r="G614" i="1"/>
  <c r="V614" i="1"/>
  <c r="AJ614" i="1"/>
  <c r="AX614" i="1"/>
  <c r="BQ614" i="1"/>
  <c r="BR614" i="1"/>
  <c r="CC614" i="1"/>
  <c r="CW614" i="1"/>
  <c r="G1189" i="1"/>
  <c r="V1189" i="1"/>
  <c r="AJ1189" i="1"/>
  <c r="AX1189" i="1"/>
  <c r="BQ1189" i="1"/>
  <c r="BR1189" i="1"/>
  <c r="CC1189" i="1"/>
  <c r="CW1189" i="1"/>
  <c r="G674" i="1"/>
  <c r="V674" i="1"/>
  <c r="AJ674" i="1"/>
  <c r="AX674" i="1"/>
  <c r="BQ674" i="1"/>
  <c r="BR674" i="1"/>
  <c r="CC674" i="1"/>
  <c r="CW674" i="1"/>
  <c r="G598" i="1"/>
  <c r="V598" i="1"/>
  <c r="AJ598" i="1"/>
  <c r="AX598" i="1"/>
  <c r="BQ598" i="1"/>
  <c r="BR598" i="1"/>
  <c r="CC598" i="1"/>
  <c r="CW598" i="1"/>
  <c r="G606" i="1"/>
  <c r="V606" i="1"/>
  <c r="AJ606" i="1"/>
  <c r="AX606" i="1"/>
  <c r="BQ606" i="1"/>
  <c r="BR606" i="1"/>
  <c r="CC606" i="1"/>
  <c r="CW606" i="1"/>
  <c r="G603" i="1"/>
  <c r="V603" i="1"/>
  <c r="AJ603" i="1"/>
  <c r="AX603" i="1"/>
  <c r="BQ603" i="1"/>
  <c r="BR603" i="1"/>
  <c r="CC603" i="1"/>
  <c r="CW603" i="1"/>
  <c r="G923" i="1"/>
  <c r="V923" i="1"/>
  <c r="AJ923" i="1"/>
  <c r="AX923" i="1"/>
  <c r="BQ923" i="1"/>
  <c r="BR923" i="1"/>
  <c r="CC923" i="1"/>
  <c r="CW923" i="1"/>
  <c r="G1081" i="1"/>
  <c r="V1081" i="1"/>
  <c r="AJ1081" i="1"/>
  <c r="AX1081" i="1"/>
  <c r="BQ1081" i="1"/>
  <c r="BR1081" i="1"/>
  <c r="CC1081" i="1"/>
  <c r="CW1081" i="1"/>
  <c r="G737" i="1"/>
  <c r="V737" i="1"/>
  <c r="AJ737" i="1"/>
  <c r="AX737" i="1"/>
  <c r="BQ737" i="1"/>
  <c r="BR737" i="1"/>
  <c r="CC737" i="1"/>
  <c r="CW737" i="1"/>
  <c r="G908" i="1"/>
  <c r="V908" i="1"/>
  <c r="AJ908" i="1"/>
  <c r="AX908" i="1"/>
  <c r="BQ908" i="1"/>
  <c r="BR908" i="1"/>
  <c r="CC908" i="1"/>
  <c r="CW908" i="1"/>
  <c r="G1331" i="1"/>
  <c r="V1331" i="1"/>
  <c r="AJ1331" i="1"/>
  <c r="AX1331" i="1"/>
  <c r="BQ1331" i="1"/>
  <c r="BR1331" i="1"/>
  <c r="CC1331" i="1"/>
  <c r="CW1331" i="1"/>
  <c r="G881" i="1"/>
  <c r="V881" i="1"/>
  <c r="AJ881" i="1"/>
  <c r="AX881" i="1"/>
  <c r="BQ881" i="1"/>
  <c r="BR881" i="1"/>
  <c r="CC881" i="1"/>
  <c r="CW881" i="1"/>
  <c r="G719" i="1"/>
  <c r="V719" i="1"/>
  <c r="AJ719" i="1"/>
  <c r="AX719" i="1"/>
  <c r="BQ719" i="1"/>
  <c r="BR719" i="1"/>
  <c r="CC719" i="1"/>
  <c r="CW719" i="1"/>
  <c r="G1022" i="1"/>
  <c r="V1022" i="1"/>
  <c r="AJ1022" i="1"/>
  <c r="AX1022" i="1"/>
  <c r="BQ1022" i="1"/>
  <c r="BR1022" i="1"/>
  <c r="CC1022" i="1"/>
  <c r="CW1022" i="1"/>
  <c r="G1218" i="1"/>
  <c r="V1218" i="1"/>
  <c r="AJ1218" i="1"/>
  <c r="AX1218" i="1"/>
  <c r="BQ1218" i="1"/>
  <c r="BR1218" i="1"/>
  <c r="CC1218" i="1"/>
  <c r="CW1218" i="1"/>
  <c r="G721" i="1"/>
  <c r="V721" i="1"/>
  <c r="AJ721" i="1"/>
  <c r="AX721" i="1"/>
  <c r="BQ721" i="1"/>
  <c r="BR721" i="1"/>
  <c r="CC721" i="1"/>
  <c r="CW721" i="1"/>
  <c r="G1051" i="1"/>
  <c r="V1051" i="1"/>
  <c r="AJ1051" i="1"/>
  <c r="AX1051" i="1"/>
  <c r="BQ1051" i="1"/>
  <c r="BR1051" i="1"/>
  <c r="CC1051" i="1"/>
  <c r="CW1051" i="1"/>
  <c r="G1005" i="1"/>
  <c r="V1005" i="1"/>
  <c r="AJ1005" i="1"/>
  <c r="AX1005" i="1"/>
  <c r="BQ1005" i="1"/>
  <c r="BR1005" i="1"/>
  <c r="CC1005" i="1"/>
  <c r="CW1005" i="1"/>
  <c r="G1270" i="1"/>
  <c r="V1270" i="1"/>
  <c r="AJ1270" i="1"/>
  <c r="AX1270" i="1"/>
  <c r="BQ1270" i="1"/>
  <c r="BR1270" i="1"/>
  <c r="CC1270" i="1"/>
  <c r="CW1270" i="1"/>
  <c r="G1079" i="1"/>
  <c r="V1079" i="1"/>
  <c r="AJ1079" i="1"/>
  <c r="AX1079" i="1"/>
  <c r="BQ1079" i="1"/>
  <c r="BR1079" i="1"/>
  <c r="CC1079" i="1"/>
  <c r="CW1079" i="1"/>
  <c r="G742" i="1"/>
  <c r="V742" i="1"/>
  <c r="AJ742" i="1"/>
  <c r="AX742" i="1"/>
  <c r="BQ742" i="1"/>
  <c r="BR742" i="1"/>
  <c r="CC742" i="1"/>
  <c r="CW742" i="1"/>
  <c r="G1219" i="1"/>
  <c r="V1219" i="1"/>
  <c r="AJ1219" i="1"/>
  <c r="AX1219" i="1"/>
  <c r="BQ1219" i="1"/>
  <c r="BR1219" i="1"/>
  <c r="CC1219" i="1"/>
  <c r="CW1219" i="1"/>
  <c r="G1046" i="1"/>
  <c r="V1046" i="1"/>
  <c r="AJ1046" i="1"/>
  <c r="AX1046" i="1"/>
  <c r="BQ1046" i="1"/>
  <c r="BR1046" i="1"/>
  <c r="CC1046" i="1"/>
  <c r="CW1046" i="1"/>
  <c r="G1509" i="1"/>
  <c r="V1509" i="1"/>
  <c r="AJ1509" i="1"/>
  <c r="AX1509" i="1"/>
  <c r="BQ1509" i="1"/>
  <c r="BR1509" i="1"/>
  <c r="CC1509" i="1"/>
  <c r="CW1509" i="1"/>
  <c r="G946" i="1"/>
  <c r="V946" i="1"/>
  <c r="AJ946" i="1"/>
  <c r="AX946" i="1"/>
  <c r="BQ946" i="1"/>
  <c r="BR946" i="1"/>
  <c r="CC946" i="1"/>
  <c r="CW946" i="1"/>
  <c r="G691" i="1"/>
  <c r="V691" i="1"/>
  <c r="AJ691" i="1"/>
  <c r="AX691" i="1"/>
  <c r="BQ691" i="1"/>
  <c r="BR691" i="1"/>
  <c r="CC691" i="1"/>
  <c r="CW691" i="1"/>
  <c r="G660" i="1"/>
  <c r="V660" i="1"/>
  <c r="AJ660" i="1"/>
  <c r="AX660" i="1"/>
  <c r="BQ660" i="1"/>
  <c r="BR660" i="1"/>
  <c r="CC660" i="1"/>
  <c r="CW660" i="1"/>
  <c r="G813" i="1"/>
  <c r="V813" i="1"/>
  <c r="AJ813" i="1"/>
  <c r="AX813" i="1"/>
  <c r="BQ813" i="1"/>
  <c r="BR813" i="1"/>
  <c r="CC813" i="1"/>
  <c r="CW813" i="1"/>
  <c r="G1319" i="1"/>
  <c r="V1319" i="1"/>
  <c r="AJ1319" i="1"/>
  <c r="AX1319" i="1"/>
  <c r="BQ1319" i="1"/>
  <c r="BR1319" i="1"/>
  <c r="CC1319" i="1"/>
  <c r="CW1319" i="1"/>
  <c r="G830" i="1"/>
  <c r="V830" i="1"/>
  <c r="AJ830" i="1"/>
  <c r="AX830" i="1"/>
  <c r="BQ830" i="1"/>
  <c r="BR830" i="1"/>
  <c r="CC830" i="1"/>
  <c r="CW830" i="1"/>
  <c r="G1212" i="1"/>
  <c r="V1212" i="1"/>
  <c r="AJ1212" i="1"/>
  <c r="AX1212" i="1"/>
  <c r="BQ1212" i="1"/>
  <c r="BR1212" i="1"/>
  <c r="CC1212" i="1"/>
  <c r="CW1212" i="1"/>
  <c r="G699" i="1"/>
  <c r="V699" i="1"/>
  <c r="AJ699" i="1"/>
  <c r="AX699" i="1"/>
  <c r="BQ699" i="1"/>
  <c r="BR699" i="1"/>
  <c r="CC699" i="1"/>
  <c r="CW699" i="1"/>
  <c r="G1229" i="1"/>
  <c r="V1229" i="1"/>
  <c r="AJ1229" i="1"/>
  <c r="AX1229" i="1"/>
  <c r="BQ1229" i="1"/>
  <c r="BR1229" i="1"/>
  <c r="CC1229" i="1"/>
  <c r="CW1229" i="1"/>
  <c r="G853" i="1"/>
  <c r="V853" i="1"/>
  <c r="AJ853" i="1"/>
  <c r="AX853" i="1"/>
  <c r="BQ853" i="1"/>
  <c r="BR853" i="1"/>
  <c r="CC853" i="1"/>
  <c r="CW853" i="1"/>
  <c r="G1355" i="1"/>
  <c r="V1355" i="1"/>
  <c r="AJ1355" i="1"/>
  <c r="AX1355" i="1"/>
  <c r="BQ1355" i="1"/>
  <c r="BR1355" i="1"/>
  <c r="CC1355" i="1"/>
  <c r="CW1355" i="1"/>
  <c r="G1232" i="1"/>
  <c r="V1232" i="1"/>
  <c r="AJ1232" i="1"/>
  <c r="AX1232" i="1"/>
  <c r="BQ1232" i="1"/>
  <c r="BR1232" i="1"/>
  <c r="CC1232" i="1"/>
  <c r="CW1232" i="1"/>
  <c r="G858" i="1"/>
  <c r="V858" i="1"/>
  <c r="AJ858" i="1"/>
  <c r="AX858" i="1"/>
  <c r="BQ858" i="1"/>
  <c r="BR858" i="1"/>
  <c r="CC858" i="1"/>
  <c r="CW858" i="1"/>
  <c r="G997" i="1"/>
  <c r="V997" i="1"/>
  <c r="AJ997" i="1"/>
  <c r="AX997" i="1"/>
  <c r="BQ997" i="1"/>
  <c r="BR997" i="1"/>
  <c r="CC997" i="1"/>
  <c r="CW997" i="1"/>
  <c r="G1066" i="1"/>
  <c r="V1066" i="1"/>
  <c r="AJ1066" i="1"/>
  <c r="AX1066" i="1"/>
  <c r="BQ1066" i="1"/>
  <c r="BR1066" i="1"/>
  <c r="CC1066" i="1"/>
  <c r="CW1066" i="1"/>
  <c r="G901" i="1"/>
  <c r="V901" i="1"/>
  <c r="AJ901" i="1"/>
  <c r="AX901" i="1"/>
  <c r="BQ901" i="1"/>
  <c r="BR901" i="1"/>
  <c r="CC901" i="1"/>
  <c r="CW901" i="1"/>
  <c r="G770" i="1"/>
  <c r="V770" i="1"/>
  <c r="AJ770" i="1"/>
  <c r="AX770" i="1"/>
  <c r="BQ770" i="1"/>
  <c r="BR770" i="1"/>
  <c r="CC770" i="1"/>
  <c r="CW770" i="1"/>
  <c r="G1283" i="1"/>
  <c r="V1283" i="1"/>
  <c r="AJ1283" i="1"/>
  <c r="AX1283" i="1"/>
  <c r="BQ1283" i="1"/>
  <c r="BR1283" i="1"/>
  <c r="CC1283" i="1"/>
  <c r="CW1283" i="1"/>
  <c r="G1033" i="1"/>
  <c r="V1033" i="1"/>
  <c r="AJ1033" i="1"/>
  <c r="AX1033" i="1"/>
  <c r="BQ1033" i="1"/>
  <c r="BR1033" i="1"/>
  <c r="CC1033" i="1"/>
  <c r="CW1033" i="1"/>
  <c r="G1363" i="1"/>
  <c r="V1363" i="1"/>
  <c r="AJ1363" i="1"/>
  <c r="AX1363" i="1"/>
  <c r="BQ1363" i="1"/>
  <c r="BR1363" i="1"/>
  <c r="CC1363" i="1"/>
  <c r="CW1363" i="1"/>
  <c r="G325" i="1"/>
  <c r="V325" i="1"/>
  <c r="AJ325" i="1"/>
  <c r="AX325" i="1"/>
  <c r="BQ325" i="1"/>
  <c r="BR325" i="1"/>
  <c r="CC325" i="1"/>
  <c r="CW325" i="1"/>
  <c r="G304" i="1"/>
  <c r="V304" i="1"/>
  <c r="AJ304" i="1"/>
  <c r="AX304" i="1"/>
  <c r="BQ304" i="1"/>
  <c r="BR304" i="1"/>
  <c r="CC304" i="1"/>
  <c r="CW304" i="1"/>
  <c r="G1139" i="1"/>
  <c r="V1139" i="1"/>
  <c r="AJ1139" i="1"/>
  <c r="AX1139" i="1"/>
  <c r="BQ1139" i="1"/>
  <c r="BR1139" i="1"/>
  <c r="CC1139" i="1"/>
  <c r="CW1139" i="1"/>
  <c r="G290" i="1"/>
  <c r="V290" i="1"/>
  <c r="AJ290" i="1"/>
  <c r="AX290" i="1"/>
  <c r="BQ290" i="1"/>
  <c r="BR290" i="1"/>
  <c r="CC290" i="1"/>
  <c r="CW290" i="1"/>
  <c r="G20" i="1"/>
  <c r="V20" i="1"/>
  <c r="AJ20" i="1"/>
  <c r="AX20" i="1"/>
  <c r="BQ20" i="1"/>
  <c r="BR20" i="1"/>
  <c r="CC20" i="1"/>
  <c r="CW20" i="1"/>
  <c r="G239" i="1"/>
  <c r="V239" i="1"/>
  <c r="AJ239" i="1"/>
  <c r="AX239" i="1"/>
  <c r="BQ239" i="1"/>
  <c r="BR239" i="1"/>
  <c r="CC239" i="1"/>
  <c r="CW239" i="1"/>
  <c r="G286" i="1"/>
  <c r="V286" i="1"/>
  <c r="AJ286" i="1"/>
  <c r="AX286" i="1"/>
  <c r="BQ286" i="1"/>
  <c r="BR286" i="1"/>
  <c r="CC286" i="1"/>
  <c r="CW286" i="1"/>
  <c r="G1119" i="1"/>
  <c r="V1119" i="1"/>
  <c r="AJ1119" i="1"/>
  <c r="AX1119" i="1"/>
  <c r="BQ1119" i="1"/>
  <c r="BR1119" i="1"/>
  <c r="CC1119" i="1"/>
  <c r="CW1119" i="1"/>
  <c r="G101" i="1"/>
  <c r="V101" i="1"/>
  <c r="AJ101" i="1"/>
  <c r="AX101" i="1"/>
  <c r="BQ101" i="1"/>
  <c r="BR101" i="1"/>
  <c r="CC101" i="1"/>
  <c r="CW101" i="1"/>
  <c r="G24" i="1"/>
  <c r="V24" i="1"/>
  <c r="AJ24" i="1"/>
  <c r="AX24" i="1"/>
  <c r="BQ24" i="1"/>
  <c r="BR24" i="1"/>
  <c r="CC24" i="1"/>
  <c r="CW24" i="1"/>
  <c r="G177" i="1"/>
  <c r="V177" i="1"/>
  <c r="AJ177" i="1"/>
  <c r="AX177" i="1"/>
  <c r="BQ177" i="1"/>
  <c r="BR177" i="1"/>
  <c r="CC177" i="1"/>
  <c r="CW177" i="1"/>
  <c r="G99" i="1"/>
  <c r="V99" i="1"/>
  <c r="AJ99" i="1"/>
  <c r="AX99" i="1"/>
  <c r="BQ99" i="1"/>
  <c r="BR99" i="1"/>
  <c r="CC99" i="1"/>
  <c r="CW99" i="1"/>
  <c r="G262" i="1"/>
  <c r="V262" i="1"/>
  <c r="AJ262" i="1"/>
  <c r="AX262" i="1"/>
  <c r="BQ262" i="1"/>
  <c r="BR262" i="1"/>
  <c r="CC262" i="1"/>
  <c r="CW262" i="1"/>
  <c r="G27" i="1"/>
  <c r="V27" i="1"/>
  <c r="AJ27" i="1"/>
  <c r="AX27" i="1"/>
  <c r="BQ27" i="1"/>
  <c r="BR27" i="1"/>
  <c r="CC27" i="1"/>
  <c r="CW27" i="1"/>
  <c r="G13" i="1"/>
  <c r="V13" i="1"/>
  <c r="AJ13" i="1"/>
  <c r="AX13" i="1"/>
  <c r="BQ13" i="1"/>
  <c r="BR13" i="1"/>
  <c r="CC13" i="1"/>
  <c r="CW13" i="1"/>
  <c r="G127" i="1"/>
  <c r="V127" i="1"/>
  <c r="AJ127" i="1"/>
  <c r="AX127" i="1"/>
  <c r="BQ127" i="1"/>
  <c r="BR127" i="1"/>
  <c r="CC127" i="1"/>
  <c r="CW127" i="1"/>
  <c r="G105" i="1"/>
  <c r="V105" i="1"/>
  <c r="AJ105" i="1"/>
  <c r="AX105" i="1"/>
  <c r="BQ105" i="1"/>
  <c r="BR105" i="1"/>
  <c r="CC105" i="1"/>
  <c r="CW105" i="1"/>
  <c r="G224" i="1"/>
  <c r="V224" i="1"/>
  <c r="AJ224" i="1"/>
  <c r="AX224" i="1"/>
  <c r="BQ224" i="1"/>
  <c r="BR224" i="1"/>
  <c r="CC224" i="1"/>
  <c r="CW224" i="1"/>
  <c r="G232" i="1"/>
  <c r="V232" i="1"/>
  <c r="AJ232" i="1"/>
  <c r="AX232" i="1"/>
  <c r="BQ232" i="1"/>
  <c r="BR232" i="1"/>
  <c r="CC232" i="1"/>
  <c r="CW232" i="1"/>
  <c r="G175" i="1"/>
  <c r="V175" i="1"/>
  <c r="AJ175" i="1"/>
  <c r="AX175" i="1"/>
  <c r="BQ175" i="1"/>
  <c r="BR175" i="1"/>
  <c r="CC175" i="1"/>
  <c r="CW175" i="1"/>
  <c r="G140" i="1"/>
  <c r="V140" i="1"/>
  <c r="AJ140" i="1"/>
  <c r="AX140" i="1"/>
  <c r="BQ140" i="1"/>
  <c r="BR140" i="1"/>
  <c r="CC140" i="1"/>
  <c r="CW140" i="1"/>
  <c r="G122" i="1"/>
  <c r="V122" i="1"/>
  <c r="AJ122" i="1"/>
  <c r="AX122" i="1"/>
  <c r="BQ122" i="1"/>
  <c r="BR122" i="1"/>
  <c r="CC122" i="1"/>
  <c r="CW122" i="1"/>
  <c r="G119" i="1"/>
  <c r="V119" i="1"/>
  <c r="AJ119" i="1"/>
  <c r="AX119" i="1"/>
  <c r="BQ119" i="1"/>
  <c r="BR119" i="1"/>
  <c r="CC119" i="1"/>
  <c r="CW119" i="1"/>
  <c r="G136" i="1"/>
  <c r="V136" i="1"/>
  <c r="AJ136" i="1"/>
  <c r="AX136" i="1"/>
  <c r="BQ136" i="1"/>
  <c r="BR136" i="1"/>
  <c r="CC136" i="1"/>
  <c r="CW136" i="1"/>
  <c r="G125" i="1"/>
  <c r="V125" i="1"/>
  <c r="AJ125" i="1"/>
  <c r="AX125" i="1"/>
  <c r="BQ125" i="1"/>
  <c r="BR125" i="1"/>
  <c r="CC125" i="1"/>
  <c r="CW125" i="1"/>
  <c r="G131" i="1"/>
  <c r="V131" i="1"/>
  <c r="AJ131" i="1"/>
  <c r="AX131" i="1"/>
  <c r="BQ131" i="1"/>
  <c r="BR131" i="1"/>
  <c r="CC131" i="1"/>
  <c r="CW131" i="1"/>
  <c r="G189" i="1"/>
  <c r="V189" i="1"/>
  <c r="AJ189" i="1"/>
  <c r="AX189" i="1"/>
  <c r="BQ189" i="1"/>
  <c r="BR189" i="1"/>
  <c r="CC189" i="1"/>
  <c r="CW189" i="1"/>
  <c r="G1386" i="1"/>
  <c r="V1386" i="1"/>
  <c r="AJ1386" i="1"/>
  <c r="AX1386" i="1"/>
  <c r="BQ1386" i="1"/>
  <c r="BR1386" i="1"/>
  <c r="CC1386" i="1"/>
  <c r="CW1386" i="1"/>
  <c r="G427" i="1"/>
  <c r="V427" i="1"/>
  <c r="AJ427" i="1"/>
  <c r="AX427" i="1"/>
  <c r="BQ427" i="1"/>
  <c r="BR427" i="1"/>
  <c r="CC427" i="1"/>
  <c r="CW427" i="1"/>
  <c r="G404" i="1"/>
  <c r="V404" i="1"/>
  <c r="AJ404" i="1"/>
  <c r="AX404" i="1"/>
  <c r="BQ404" i="1"/>
  <c r="BR404" i="1"/>
  <c r="CC404" i="1"/>
  <c r="CW404" i="1"/>
  <c r="G370" i="1"/>
  <c r="V370" i="1"/>
  <c r="AJ370" i="1"/>
  <c r="AX370" i="1"/>
  <c r="BQ370" i="1"/>
  <c r="BR370" i="1"/>
  <c r="CC370" i="1"/>
  <c r="CW370" i="1"/>
  <c r="G396" i="1"/>
  <c r="V396" i="1"/>
  <c r="AJ396" i="1"/>
  <c r="AX396" i="1"/>
  <c r="BQ396" i="1"/>
  <c r="BR396" i="1"/>
  <c r="CC396" i="1"/>
  <c r="CW396" i="1"/>
  <c r="G1158" i="1"/>
  <c r="V1158" i="1"/>
  <c r="AJ1158" i="1"/>
  <c r="AX1158" i="1"/>
  <c r="BQ1158" i="1"/>
  <c r="BR1158" i="1"/>
  <c r="CC1158" i="1"/>
  <c r="CW1158" i="1"/>
  <c r="G416" i="1"/>
  <c r="V416" i="1"/>
  <c r="AJ416" i="1"/>
  <c r="AX416" i="1"/>
  <c r="BQ416" i="1"/>
  <c r="BR416" i="1"/>
  <c r="CC416" i="1"/>
  <c r="CW416" i="1"/>
  <c r="G1390" i="1"/>
  <c r="V1390" i="1"/>
  <c r="AJ1390" i="1"/>
  <c r="AX1390" i="1"/>
  <c r="BQ1390" i="1"/>
  <c r="BR1390" i="1"/>
  <c r="CC1390" i="1"/>
  <c r="CW1390" i="1"/>
  <c r="G491" i="1"/>
  <c r="V491" i="1"/>
  <c r="AJ491" i="1"/>
  <c r="AX491" i="1"/>
  <c r="BQ491" i="1"/>
  <c r="BR491" i="1"/>
  <c r="CC491" i="1"/>
  <c r="CW491" i="1"/>
  <c r="G472" i="1"/>
  <c r="V472" i="1"/>
  <c r="AJ472" i="1"/>
  <c r="AX472" i="1"/>
  <c r="BQ472" i="1"/>
  <c r="BR472" i="1"/>
  <c r="CC472" i="1"/>
  <c r="CW472" i="1"/>
  <c r="G1422" i="1"/>
  <c r="V1422" i="1"/>
  <c r="AJ1422" i="1"/>
  <c r="AX1422" i="1"/>
  <c r="BQ1422" i="1"/>
  <c r="BR1422" i="1"/>
  <c r="CC1422" i="1"/>
  <c r="CW1422" i="1"/>
  <c r="G1426" i="1"/>
  <c r="V1426" i="1"/>
  <c r="AJ1426" i="1"/>
  <c r="AX1426" i="1"/>
  <c r="BQ1426" i="1"/>
  <c r="BR1426" i="1"/>
  <c r="CC1426" i="1"/>
  <c r="CW1426" i="1"/>
  <c r="G440" i="1"/>
  <c r="V440" i="1"/>
  <c r="AJ440" i="1"/>
  <c r="AX440" i="1"/>
  <c r="BQ440" i="1"/>
  <c r="BR440" i="1"/>
  <c r="CC440" i="1"/>
  <c r="CW440" i="1"/>
  <c r="G447" i="1"/>
  <c r="V447" i="1"/>
  <c r="AJ447" i="1"/>
  <c r="AX447" i="1"/>
  <c r="BQ447" i="1"/>
  <c r="BR447" i="1"/>
  <c r="CC447" i="1"/>
  <c r="CW447" i="1"/>
  <c r="G446" i="1"/>
  <c r="V446" i="1"/>
  <c r="AJ446" i="1"/>
  <c r="AX446" i="1"/>
  <c r="BQ446" i="1"/>
  <c r="BR446" i="1"/>
  <c r="CC446" i="1"/>
  <c r="CW446" i="1"/>
  <c r="G1417" i="1"/>
  <c r="V1417" i="1"/>
  <c r="AJ1417" i="1"/>
  <c r="AX1417" i="1"/>
  <c r="BQ1417" i="1"/>
  <c r="BR1417" i="1"/>
  <c r="CC1417" i="1"/>
  <c r="CW1417" i="1"/>
  <c r="G537" i="1"/>
  <c r="V537" i="1"/>
  <c r="AJ537" i="1"/>
  <c r="AX537" i="1"/>
  <c r="BQ537" i="1"/>
  <c r="BR537" i="1"/>
  <c r="CC537" i="1"/>
  <c r="CW537" i="1"/>
  <c r="G1471" i="1"/>
  <c r="V1471" i="1"/>
  <c r="AJ1471" i="1"/>
  <c r="AX1471" i="1"/>
  <c r="BQ1471" i="1"/>
  <c r="BR1471" i="1"/>
  <c r="CC1471" i="1"/>
  <c r="CW1471" i="1"/>
  <c r="G1187" i="1"/>
  <c r="V1187" i="1"/>
  <c r="AJ1187" i="1"/>
  <c r="AX1187" i="1"/>
  <c r="BQ1187" i="1"/>
  <c r="BR1187" i="1"/>
  <c r="CC1187" i="1"/>
  <c r="CW1187" i="1"/>
  <c r="G532" i="1"/>
  <c r="V532" i="1"/>
  <c r="AJ532" i="1"/>
  <c r="AX532" i="1"/>
  <c r="BQ532" i="1"/>
  <c r="BR532" i="1"/>
  <c r="CC532" i="1"/>
  <c r="CW532" i="1"/>
  <c r="G542" i="1"/>
  <c r="V542" i="1"/>
  <c r="AJ542" i="1"/>
  <c r="AX542" i="1"/>
  <c r="BQ542" i="1"/>
  <c r="BR542" i="1"/>
  <c r="CC542" i="1"/>
  <c r="CW542" i="1"/>
  <c r="G1466" i="1"/>
  <c r="V1466" i="1"/>
  <c r="AJ1466" i="1"/>
  <c r="AX1466" i="1"/>
  <c r="BQ1466" i="1"/>
  <c r="BR1466" i="1"/>
  <c r="CC1466" i="1"/>
  <c r="CW1466" i="1"/>
  <c r="G1374" i="1"/>
  <c r="V1374" i="1"/>
  <c r="AJ1374" i="1"/>
  <c r="AX1374" i="1"/>
  <c r="BQ1374" i="1"/>
  <c r="BR1374" i="1"/>
  <c r="CC1374" i="1"/>
  <c r="CW1374" i="1"/>
  <c r="G1523" i="1"/>
  <c r="V1523" i="1"/>
  <c r="AJ1523" i="1"/>
  <c r="AX1523" i="1"/>
  <c r="BQ1523" i="1"/>
  <c r="BR1523" i="1"/>
  <c r="CC1523" i="1"/>
  <c r="CW1523" i="1"/>
  <c r="G1055" i="1"/>
  <c r="V1055" i="1"/>
  <c r="AJ1055" i="1"/>
  <c r="AX1055" i="1"/>
  <c r="BQ1055" i="1"/>
  <c r="BR1055" i="1"/>
  <c r="CC1055" i="1"/>
  <c r="CW1055" i="1"/>
  <c r="G1002" i="1"/>
  <c r="V1002" i="1"/>
  <c r="AJ1002" i="1"/>
  <c r="AX1002" i="1"/>
  <c r="BQ1002" i="1"/>
  <c r="BR1002" i="1"/>
  <c r="CC1002" i="1"/>
  <c r="CW1002" i="1"/>
  <c r="G1225" i="1"/>
  <c r="V1225" i="1"/>
  <c r="AJ1225" i="1"/>
  <c r="AX1225" i="1"/>
  <c r="BQ1225" i="1"/>
  <c r="BR1225" i="1"/>
  <c r="CC1225" i="1"/>
  <c r="CW1225" i="1"/>
  <c r="G843" i="1"/>
  <c r="V843" i="1"/>
  <c r="AJ843" i="1"/>
  <c r="AX843" i="1"/>
  <c r="BQ843" i="1"/>
  <c r="BR843" i="1"/>
  <c r="CC843" i="1"/>
  <c r="CW843" i="1"/>
  <c r="G1102" i="1"/>
  <c r="V1102" i="1"/>
  <c r="AJ1102" i="1"/>
  <c r="AX1102" i="1"/>
  <c r="BQ1102" i="1"/>
  <c r="BR1102" i="1"/>
  <c r="CC1102" i="1"/>
  <c r="CW1102" i="1"/>
  <c r="G731" i="1"/>
  <c r="V731" i="1"/>
  <c r="AJ731" i="1"/>
  <c r="AX731" i="1"/>
  <c r="BQ731" i="1"/>
  <c r="BR731" i="1"/>
  <c r="CC731" i="1"/>
  <c r="CW731" i="1"/>
  <c r="G885" i="1"/>
  <c r="V885" i="1"/>
  <c r="AJ885" i="1"/>
  <c r="AX885" i="1"/>
  <c r="BQ885" i="1"/>
  <c r="BR885" i="1"/>
  <c r="CC885" i="1"/>
  <c r="CW885" i="1"/>
  <c r="G1213" i="1"/>
  <c r="V1213" i="1"/>
  <c r="AJ1213" i="1"/>
  <c r="AX1213" i="1"/>
  <c r="BQ1213" i="1"/>
  <c r="BR1213" i="1"/>
  <c r="CC1213" i="1"/>
  <c r="CW1213" i="1"/>
  <c r="G672" i="1"/>
  <c r="V672" i="1"/>
  <c r="AJ672" i="1"/>
  <c r="AX672" i="1"/>
  <c r="BQ672" i="1"/>
  <c r="BR672" i="1"/>
  <c r="CC672" i="1"/>
  <c r="CW672" i="1"/>
  <c r="G1490" i="1"/>
  <c r="V1490" i="1"/>
  <c r="AJ1490" i="1"/>
  <c r="AX1490" i="1"/>
  <c r="BQ1490" i="1"/>
  <c r="BR1490" i="1"/>
  <c r="CC1490" i="1"/>
  <c r="CW1490" i="1"/>
  <c r="G608" i="1"/>
  <c r="V608" i="1"/>
  <c r="AJ608" i="1"/>
  <c r="AX608" i="1"/>
  <c r="BQ608" i="1"/>
  <c r="BR608" i="1"/>
  <c r="CC608" i="1"/>
  <c r="CW608" i="1"/>
  <c r="G800" i="1"/>
  <c r="V800" i="1"/>
  <c r="AJ800" i="1"/>
  <c r="AX800" i="1"/>
  <c r="BQ800" i="1"/>
  <c r="BR800" i="1"/>
  <c r="CC800" i="1"/>
  <c r="CW800" i="1"/>
  <c r="G1497" i="1"/>
  <c r="V1497" i="1"/>
  <c r="AJ1497" i="1"/>
  <c r="AX1497" i="1"/>
  <c r="BQ1497" i="1"/>
  <c r="BR1497" i="1"/>
  <c r="CC1497" i="1"/>
  <c r="CW1497" i="1"/>
  <c r="G1266" i="1"/>
  <c r="V1266" i="1"/>
  <c r="AJ1266" i="1"/>
  <c r="AX1266" i="1"/>
  <c r="BQ1266" i="1"/>
  <c r="BR1266" i="1"/>
  <c r="CC1266" i="1"/>
  <c r="CW1266" i="1"/>
  <c r="G1077" i="1"/>
  <c r="V1077" i="1"/>
  <c r="AJ1077" i="1"/>
  <c r="AX1077" i="1"/>
  <c r="BQ1077" i="1"/>
  <c r="BR1077" i="1"/>
  <c r="CC1077" i="1"/>
  <c r="CW1077" i="1"/>
  <c r="G711" i="1"/>
  <c r="V711" i="1"/>
  <c r="AJ711" i="1"/>
  <c r="AX711" i="1"/>
  <c r="BQ711" i="1"/>
  <c r="BR711" i="1"/>
  <c r="CC711" i="1"/>
  <c r="CW711" i="1"/>
  <c r="G809" i="1"/>
  <c r="V809" i="1"/>
  <c r="AJ809" i="1"/>
  <c r="AX809" i="1"/>
  <c r="BQ809" i="1"/>
  <c r="BR809" i="1"/>
  <c r="CC809" i="1"/>
  <c r="CW809" i="1"/>
  <c r="G1078" i="1"/>
  <c r="V1078" i="1"/>
  <c r="AJ1078" i="1"/>
  <c r="AX1078" i="1"/>
  <c r="BQ1078" i="1"/>
  <c r="BR1078" i="1"/>
  <c r="CC1078" i="1"/>
  <c r="CW1078" i="1"/>
  <c r="G895" i="1"/>
  <c r="V895" i="1"/>
  <c r="AJ895" i="1"/>
  <c r="AX895" i="1"/>
  <c r="BQ895" i="1"/>
  <c r="BR895" i="1"/>
  <c r="CC895" i="1"/>
  <c r="CW895" i="1"/>
  <c r="G810" i="1"/>
  <c r="V810" i="1"/>
  <c r="AJ810" i="1"/>
  <c r="AX810" i="1"/>
  <c r="BQ810" i="1"/>
  <c r="BR810" i="1"/>
  <c r="CC810" i="1"/>
  <c r="CW810" i="1"/>
  <c r="G1262" i="1"/>
  <c r="V1262" i="1"/>
  <c r="AJ1262" i="1"/>
  <c r="AX1262" i="1"/>
  <c r="BQ1262" i="1"/>
  <c r="BR1262" i="1"/>
  <c r="CC1262" i="1"/>
  <c r="CW1262" i="1"/>
  <c r="G1302" i="1"/>
  <c r="V1302" i="1"/>
  <c r="AJ1302" i="1"/>
  <c r="AX1302" i="1"/>
  <c r="BQ1302" i="1"/>
  <c r="BR1302" i="1"/>
  <c r="CC1302" i="1"/>
  <c r="CW1302" i="1"/>
  <c r="G1026" i="1"/>
  <c r="V1026" i="1"/>
  <c r="AJ1026" i="1"/>
  <c r="AX1026" i="1"/>
  <c r="BQ1026" i="1"/>
  <c r="BR1026" i="1"/>
  <c r="CC1026" i="1"/>
  <c r="CW1026" i="1"/>
  <c r="G1243" i="1"/>
  <c r="V1243" i="1"/>
  <c r="AJ1243" i="1"/>
  <c r="AX1243" i="1"/>
  <c r="BQ1243" i="1"/>
  <c r="BR1243" i="1"/>
  <c r="CC1243" i="1"/>
  <c r="CW1243" i="1"/>
  <c r="G960" i="1"/>
  <c r="V960" i="1"/>
  <c r="AJ960" i="1"/>
  <c r="AX960" i="1"/>
  <c r="BQ960" i="1"/>
  <c r="BR960" i="1"/>
  <c r="CC960" i="1"/>
  <c r="CW960" i="1"/>
  <c r="G860" i="1"/>
  <c r="V860" i="1"/>
  <c r="AJ860" i="1"/>
  <c r="AX860" i="1"/>
  <c r="BQ860" i="1"/>
  <c r="BR860" i="1"/>
  <c r="CC860" i="1"/>
  <c r="CW860" i="1"/>
  <c r="G1256" i="1"/>
  <c r="V1256" i="1"/>
  <c r="AJ1256" i="1"/>
  <c r="AX1256" i="1"/>
  <c r="BQ1256" i="1"/>
  <c r="BR1256" i="1"/>
  <c r="CC1256" i="1"/>
  <c r="CW1256" i="1"/>
  <c r="G1312" i="1"/>
  <c r="V1312" i="1"/>
  <c r="AJ1312" i="1"/>
  <c r="AX1312" i="1"/>
  <c r="BQ1312" i="1"/>
  <c r="BR1312" i="1"/>
  <c r="CC1312" i="1"/>
  <c r="CW1312" i="1"/>
  <c r="G820" i="1"/>
  <c r="V820" i="1"/>
  <c r="AJ820" i="1"/>
  <c r="AX820" i="1"/>
  <c r="BQ820" i="1"/>
  <c r="BR820" i="1"/>
  <c r="CC820" i="1"/>
  <c r="CW820" i="1"/>
  <c r="G913" i="1"/>
  <c r="V913" i="1"/>
  <c r="AJ913" i="1"/>
  <c r="AX913" i="1"/>
  <c r="BQ913" i="1"/>
  <c r="BR913" i="1"/>
  <c r="CC913" i="1"/>
  <c r="CW913" i="1"/>
  <c r="G1290" i="1"/>
  <c r="V1290" i="1"/>
  <c r="AJ1290" i="1"/>
  <c r="AX1290" i="1"/>
  <c r="BQ1290" i="1"/>
  <c r="BR1290" i="1"/>
  <c r="CC1290" i="1"/>
  <c r="CW1290" i="1"/>
  <c r="G1248" i="1"/>
  <c r="V1248" i="1"/>
  <c r="AJ1248" i="1"/>
  <c r="AX1248" i="1"/>
  <c r="BQ1248" i="1"/>
  <c r="BR1248" i="1"/>
  <c r="CC1248" i="1"/>
  <c r="CW1248" i="1"/>
  <c r="G750" i="1"/>
  <c r="V750" i="1"/>
  <c r="AJ750" i="1"/>
  <c r="AX750" i="1"/>
  <c r="BQ750" i="1"/>
  <c r="BR750" i="1"/>
  <c r="CC750" i="1"/>
  <c r="CW750" i="1"/>
  <c r="G1339" i="1"/>
  <c r="V1339" i="1"/>
  <c r="AJ1339" i="1"/>
  <c r="AX1339" i="1"/>
  <c r="BQ1339" i="1"/>
  <c r="BR1339" i="1"/>
  <c r="CC1339" i="1"/>
  <c r="CW1339" i="1"/>
  <c r="G1233" i="1"/>
  <c r="V1233" i="1"/>
  <c r="AJ1233" i="1"/>
  <c r="AX1233" i="1"/>
  <c r="BQ1233" i="1"/>
  <c r="BR1233" i="1"/>
  <c r="CC1233" i="1"/>
  <c r="CW1233" i="1"/>
  <c r="G823" i="1"/>
  <c r="V823" i="1"/>
  <c r="AJ823" i="1"/>
  <c r="AX823" i="1"/>
  <c r="BQ823" i="1"/>
  <c r="BR823" i="1"/>
  <c r="CC823" i="1"/>
  <c r="CW823" i="1"/>
  <c r="G715" i="1"/>
  <c r="V715" i="1"/>
  <c r="AJ715" i="1"/>
  <c r="AX715" i="1"/>
  <c r="BQ715" i="1"/>
  <c r="BR715" i="1"/>
  <c r="CC715" i="1"/>
  <c r="CW715" i="1"/>
  <c r="G1278" i="1"/>
  <c r="V1278" i="1"/>
  <c r="AJ1278" i="1"/>
  <c r="AX1278" i="1"/>
  <c r="BQ1278" i="1"/>
  <c r="BR1278" i="1"/>
  <c r="CC1278" i="1"/>
  <c r="CW1278" i="1"/>
  <c r="G1311" i="1"/>
  <c r="V1311" i="1"/>
  <c r="AJ1311" i="1"/>
  <c r="AX1311" i="1"/>
  <c r="BQ1311" i="1"/>
  <c r="BR1311" i="1"/>
  <c r="CC1311" i="1"/>
  <c r="CW1311" i="1"/>
  <c r="G990" i="1"/>
  <c r="V990" i="1"/>
  <c r="AJ990" i="1"/>
  <c r="AX990" i="1"/>
  <c r="BQ990" i="1"/>
  <c r="BR990" i="1"/>
  <c r="CC990" i="1"/>
  <c r="CW990" i="1"/>
  <c r="G1109" i="1"/>
  <c r="V1109" i="1"/>
  <c r="AJ1109" i="1"/>
  <c r="AX1109" i="1"/>
  <c r="BQ1109" i="1"/>
  <c r="BR1109" i="1"/>
  <c r="CC1109" i="1"/>
  <c r="CW1109" i="1"/>
  <c r="G1493" i="1"/>
  <c r="V1493" i="1"/>
  <c r="AJ1493" i="1"/>
  <c r="AX1493" i="1"/>
  <c r="BQ1493" i="1"/>
  <c r="BR1493" i="1"/>
  <c r="CC1493" i="1"/>
  <c r="CW1493" i="1"/>
  <c r="G724" i="1"/>
  <c r="V724" i="1"/>
  <c r="AJ724" i="1"/>
  <c r="AX724" i="1"/>
  <c r="BQ724" i="1"/>
  <c r="BR724" i="1"/>
  <c r="CC724" i="1"/>
  <c r="CW724" i="1"/>
  <c r="G1366" i="1"/>
  <c r="V1366" i="1"/>
  <c r="AJ1366" i="1"/>
  <c r="AX1366" i="1"/>
  <c r="BQ1366" i="1"/>
  <c r="BR1366" i="1"/>
  <c r="CC1366" i="1"/>
  <c r="CW1366" i="1"/>
  <c r="G1140" i="1"/>
  <c r="V1140" i="1"/>
  <c r="AJ1140" i="1"/>
  <c r="AX1140" i="1"/>
  <c r="BQ1140" i="1"/>
  <c r="BR1140" i="1"/>
  <c r="CC1140" i="1"/>
  <c r="CW1140" i="1"/>
  <c r="G354" i="1"/>
  <c r="V354" i="1"/>
  <c r="AJ354" i="1"/>
  <c r="AX354" i="1"/>
  <c r="BQ354" i="1"/>
  <c r="BR354" i="1"/>
  <c r="CC354" i="1"/>
  <c r="CW354" i="1"/>
  <c r="G321" i="1"/>
  <c r="V321" i="1"/>
  <c r="AJ321" i="1"/>
  <c r="AX321" i="1"/>
  <c r="BQ321" i="1"/>
  <c r="BR321" i="1"/>
  <c r="CC321" i="1"/>
  <c r="CW321" i="1"/>
  <c r="G1136" i="1"/>
  <c r="V1136" i="1"/>
  <c r="AJ1136" i="1"/>
  <c r="AX1136" i="1"/>
  <c r="BQ1136" i="1"/>
  <c r="BR1136" i="1"/>
  <c r="CC1136" i="1"/>
  <c r="CW1136" i="1"/>
  <c r="G301" i="1"/>
  <c r="V301" i="1"/>
  <c r="AJ301" i="1"/>
  <c r="AX301" i="1"/>
  <c r="BQ301" i="1"/>
  <c r="BR301" i="1"/>
  <c r="CC301" i="1"/>
  <c r="CW301" i="1"/>
  <c r="G54" i="1"/>
  <c r="V54" i="1"/>
  <c r="AJ54" i="1"/>
  <c r="AX54" i="1"/>
  <c r="BQ54" i="1"/>
  <c r="BR54" i="1"/>
  <c r="CC54" i="1"/>
  <c r="CW54" i="1"/>
  <c r="G275" i="1"/>
  <c r="V275" i="1"/>
  <c r="AJ275" i="1"/>
  <c r="AX275" i="1"/>
  <c r="BQ275" i="1"/>
  <c r="BR275" i="1"/>
  <c r="CC275" i="1"/>
  <c r="CW275" i="1"/>
  <c r="G209" i="1"/>
  <c r="V209" i="1"/>
  <c r="AJ209" i="1"/>
  <c r="AX209" i="1"/>
  <c r="BQ209" i="1"/>
  <c r="BR209" i="1"/>
  <c r="CC209" i="1"/>
  <c r="CW209" i="1"/>
  <c r="G185" i="1"/>
  <c r="V185" i="1"/>
  <c r="AJ185" i="1"/>
  <c r="AX185" i="1"/>
  <c r="BQ185" i="1"/>
  <c r="BR185" i="1"/>
  <c r="CC185" i="1"/>
  <c r="CW185" i="1"/>
  <c r="G10" i="1"/>
  <c r="V10" i="1"/>
  <c r="AJ10" i="1"/>
  <c r="AX10" i="1"/>
  <c r="BQ10" i="1"/>
  <c r="BR10" i="1"/>
  <c r="CC10" i="1"/>
  <c r="CW10" i="1"/>
  <c r="G91" i="1"/>
  <c r="V91" i="1"/>
  <c r="AJ91" i="1"/>
  <c r="AX91" i="1"/>
  <c r="BQ91" i="1"/>
  <c r="BR91" i="1"/>
  <c r="CC91" i="1"/>
  <c r="CW91" i="1"/>
  <c r="G147" i="1"/>
  <c r="V147" i="1"/>
  <c r="AJ147" i="1"/>
  <c r="AX147" i="1"/>
  <c r="BQ147" i="1"/>
  <c r="BR147" i="1"/>
  <c r="CC147" i="1"/>
  <c r="CW147" i="1"/>
  <c r="G42" i="1"/>
  <c r="V42" i="1"/>
  <c r="AJ42" i="1"/>
  <c r="AX42" i="1"/>
  <c r="BQ42" i="1"/>
  <c r="BR42" i="1"/>
  <c r="CC42" i="1"/>
  <c r="CW42" i="1"/>
  <c r="G14" i="1"/>
  <c r="V14" i="1"/>
  <c r="AJ14" i="1"/>
  <c r="AX14" i="1"/>
  <c r="BQ14" i="1"/>
  <c r="BR14" i="1"/>
  <c r="CC14" i="1"/>
  <c r="CW14" i="1"/>
  <c r="G281" i="1"/>
  <c r="V281" i="1"/>
  <c r="AJ281" i="1"/>
  <c r="AX281" i="1"/>
  <c r="BQ281" i="1"/>
  <c r="BR281" i="1"/>
  <c r="CC281" i="1"/>
  <c r="CW281" i="1"/>
  <c r="G245" i="1"/>
  <c r="V245" i="1"/>
  <c r="AJ245" i="1"/>
  <c r="AX245" i="1"/>
  <c r="BQ245" i="1"/>
  <c r="BR245" i="1"/>
  <c r="CC245" i="1"/>
  <c r="CW245" i="1"/>
  <c r="G421" i="1"/>
  <c r="V421" i="1"/>
  <c r="AJ421" i="1"/>
  <c r="AX421" i="1"/>
  <c r="BQ421" i="1"/>
  <c r="BR421" i="1"/>
  <c r="CC421" i="1"/>
  <c r="CW421" i="1"/>
  <c r="G1155" i="1"/>
  <c r="V1155" i="1"/>
  <c r="AJ1155" i="1"/>
  <c r="AX1155" i="1"/>
  <c r="BQ1155" i="1"/>
  <c r="BR1155" i="1"/>
  <c r="CC1155" i="1"/>
  <c r="CW1155" i="1"/>
  <c r="G417" i="1"/>
  <c r="V417" i="1"/>
  <c r="AJ417" i="1"/>
  <c r="AX417" i="1"/>
  <c r="BQ417" i="1"/>
  <c r="BR417" i="1"/>
  <c r="CC417" i="1"/>
  <c r="CW417" i="1"/>
  <c r="G403" i="1"/>
  <c r="V403" i="1"/>
  <c r="AJ403" i="1"/>
  <c r="AX403" i="1"/>
  <c r="BQ403" i="1"/>
  <c r="BR403" i="1"/>
  <c r="CC403" i="1"/>
  <c r="CW403" i="1"/>
  <c r="G1381" i="1"/>
  <c r="V1381" i="1"/>
  <c r="AJ1381" i="1"/>
  <c r="AX1381" i="1"/>
  <c r="BQ1381" i="1"/>
  <c r="BR1381" i="1"/>
  <c r="CC1381" i="1"/>
  <c r="CW1381" i="1"/>
  <c r="G436" i="1"/>
  <c r="V436" i="1"/>
  <c r="AJ436" i="1"/>
  <c r="AX436" i="1"/>
  <c r="BQ436" i="1"/>
  <c r="BR436" i="1"/>
  <c r="CC436" i="1"/>
  <c r="CW436" i="1"/>
  <c r="G407" i="1"/>
  <c r="V407" i="1"/>
  <c r="AJ407" i="1"/>
  <c r="AX407" i="1"/>
  <c r="BQ407" i="1"/>
  <c r="BR407" i="1"/>
  <c r="CC407" i="1"/>
  <c r="CW407" i="1"/>
  <c r="G413" i="1"/>
  <c r="V413" i="1"/>
  <c r="AJ413" i="1"/>
  <c r="AX413" i="1"/>
  <c r="BQ413" i="1"/>
  <c r="BR413" i="1"/>
  <c r="CC413" i="1"/>
  <c r="CW413" i="1"/>
  <c r="G1147" i="1"/>
  <c r="V1147" i="1"/>
  <c r="AJ1147" i="1"/>
  <c r="AX1147" i="1"/>
  <c r="BQ1147" i="1"/>
  <c r="BR1147" i="1"/>
  <c r="CC1147" i="1"/>
  <c r="CW1147" i="1"/>
  <c r="G1398" i="1"/>
  <c r="V1398" i="1"/>
  <c r="AJ1398" i="1"/>
  <c r="AX1398" i="1"/>
  <c r="BQ1398" i="1"/>
  <c r="BR1398" i="1"/>
  <c r="CC1398" i="1"/>
  <c r="CW1398" i="1"/>
  <c r="G483" i="1"/>
  <c r="V483" i="1"/>
  <c r="AJ483" i="1"/>
  <c r="AX483" i="1"/>
  <c r="BQ483" i="1"/>
  <c r="BR483" i="1"/>
  <c r="CC483" i="1"/>
  <c r="CW483" i="1"/>
  <c r="G1425" i="1"/>
  <c r="V1425" i="1"/>
  <c r="AJ1425" i="1"/>
  <c r="AX1425" i="1"/>
  <c r="BQ1425" i="1"/>
  <c r="BR1425" i="1"/>
  <c r="CC1425" i="1"/>
  <c r="CW1425" i="1"/>
  <c r="G1159" i="1"/>
  <c r="V1159" i="1"/>
  <c r="AJ1159" i="1"/>
  <c r="AX1159" i="1"/>
  <c r="BQ1159" i="1"/>
  <c r="BR1159" i="1"/>
  <c r="CC1159" i="1"/>
  <c r="CW1159" i="1"/>
  <c r="G480" i="1"/>
  <c r="V480" i="1"/>
  <c r="AJ480" i="1"/>
  <c r="AX480" i="1"/>
  <c r="BQ480" i="1"/>
  <c r="BR480" i="1"/>
  <c r="CC480" i="1"/>
  <c r="CW480" i="1"/>
  <c r="G466" i="1"/>
  <c r="V466" i="1"/>
  <c r="AJ466" i="1"/>
  <c r="AX466" i="1"/>
  <c r="BQ466" i="1"/>
  <c r="BR466" i="1"/>
  <c r="CC466" i="1"/>
  <c r="CW466" i="1"/>
  <c r="G1433" i="1"/>
  <c r="V1433" i="1"/>
  <c r="AJ1433" i="1"/>
  <c r="AX1433" i="1"/>
  <c r="BQ1433" i="1"/>
  <c r="BR1433" i="1"/>
  <c r="CC1433" i="1"/>
  <c r="CW1433" i="1"/>
  <c r="G1412" i="1"/>
  <c r="V1412" i="1"/>
  <c r="AJ1412" i="1"/>
  <c r="AX1412" i="1"/>
  <c r="BQ1412" i="1"/>
  <c r="BR1412" i="1"/>
  <c r="CC1412" i="1"/>
  <c r="CW1412" i="1"/>
  <c r="G435" i="1"/>
  <c r="V435" i="1"/>
  <c r="AJ435" i="1"/>
  <c r="AX435" i="1"/>
  <c r="BQ435" i="1"/>
  <c r="BR435" i="1"/>
  <c r="CC435" i="1"/>
  <c r="CW435" i="1"/>
  <c r="G497" i="1"/>
  <c r="V497" i="1"/>
  <c r="AJ497" i="1"/>
  <c r="AX497" i="1"/>
  <c r="BQ497" i="1"/>
  <c r="BR497" i="1"/>
  <c r="CC497" i="1"/>
  <c r="CW497" i="1"/>
  <c r="G482" i="1"/>
  <c r="V482" i="1"/>
  <c r="AJ482" i="1"/>
  <c r="AX482" i="1"/>
  <c r="BQ482" i="1"/>
  <c r="BR482" i="1"/>
  <c r="CC482" i="1"/>
  <c r="CW482" i="1"/>
  <c r="G437" i="1"/>
  <c r="V437" i="1"/>
  <c r="AJ437" i="1"/>
  <c r="AX437" i="1"/>
  <c r="BQ437" i="1"/>
  <c r="BR437" i="1"/>
  <c r="CC437" i="1"/>
  <c r="CW437" i="1"/>
  <c r="G1423" i="1"/>
  <c r="V1423" i="1"/>
  <c r="AJ1423" i="1"/>
  <c r="AX1423" i="1"/>
  <c r="BQ1423" i="1"/>
  <c r="BR1423" i="1"/>
  <c r="CC1423" i="1"/>
  <c r="CW1423" i="1"/>
  <c r="G1475" i="1"/>
  <c r="V1475" i="1"/>
  <c r="AJ1475" i="1"/>
  <c r="AX1475" i="1"/>
  <c r="BQ1475" i="1"/>
  <c r="BR1475" i="1"/>
  <c r="CC1475" i="1"/>
  <c r="CW1475" i="1"/>
  <c r="G1472" i="1"/>
  <c r="V1472" i="1"/>
  <c r="AJ1472" i="1"/>
  <c r="AX1472" i="1"/>
  <c r="BQ1472" i="1"/>
  <c r="BR1472" i="1"/>
  <c r="CC1472" i="1"/>
  <c r="CW1472" i="1"/>
  <c r="G1469" i="1"/>
  <c r="V1469" i="1"/>
  <c r="AJ1469" i="1"/>
  <c r="AX1469" i="1"/>
  <c r="BQ1469" i="1"/>
  <c r="BR1469" i="1"/>
  <c r="CC1469" i="1"/>
  <c r="CW1469" i="1"/>
  <c r="G575" i="1"/>
  <c r="V575" i="1"/>
  <c r="AJ575" i="1"/>
  <c r="AX575" i="1"/>
  <c r="BQ575" i="1"/>
  <c r="BR575" i="1"/>
  <c r="CC575" i="1"/>
  <c r="CW575" i="1"/>
  <c r="G1465" i="1"/>
  <c r="V1465" i="1"/>
  <c r="AJ1465" i="1"/>
  <c r="AX1465" i="1"/>
  <c r="BQ1465" i="1"/>
  <c r="BR1465" i="1"/>
  <c r="CC1465" i="1"/>
  <c r="CW1465" i="1"/>
  <c r="G557" i="1"/>
  <c r="V557" i="1"/>
  <c r="AJ557" i="1"/>
  <c r="AX557" i="1"/>
  <c r="BQ557" i="1"/>
  <c r="BR557" i="1"/>
  <c r="CC557" i="1"/>
  <c r="CW557" i="1"/>
  <c r="G524" i="1"/>
  <c r="V524" i="1"/>
  <c r="AJ524" i="1"/>
  <c r="AX524" i="1"/>
  <c r="BQ524" i="1"/>
  <c r="BR524" i="1"/>
  <c r="CC524" i="1"/>
  <c r="CW524" i="1"/>
  <c r="G594" i="1"/>
  <c r="V594" i="1"/>
  <c r="AJ594" i="1"/>
  <c r="AX594" i="1"/>
  <c r="BQ594" i="1"/>
  <c r="BR594" i="1"/>
  <c r="CC594" i="1"/>
  <c r="CW594" i="1"/>
  <c r="G1384" i="1"/>
  <c r="V1384" i="1"/>
  <c r="AJ1384" i="1"/>
  <c r="AX1384" i="1"/>
  <c r="BQ1384" i="1"/>
  <c r="BR1384" i="1"/>
  <c r="CC1384" i="1"/>
  <c r="CW1384" i="1"/>
  <c r="G1515" i="1"/>
  <c r="V1515" i="1"/>
  <c r="AJ1515" i="1"/>
  <c r="AX1515" i="1"/>
  <c r="BQ1515" i="1"/>
  <c r="BR1515" i="1"/>
  <c r="CC1515" i="1"/>
  <c r="CW1515" i="1"/>
  <c r="G965" i="1"/>
  <c r="V965" i="1"/>
  <c r="AJ965" i="1"/>
  <c r="AX965" i="1"/>
  <c r="BQ965" i="1"/>
  <c r="BR965" i="1"/>
  <c r="CC965" i="1"/>
  <c r="CK965" i="1"/>
  <c r="CW965" i="1"/>
  <c r="G1030" i="1"/>
  <c r="V1030" i="1"/>
  <c r="AJ1030" i="1"/>
  <c r="AX1030" i="1"/>
  <c r="BQ1030" i="1"/>
  <c r="BR1030" i="1"/>
  <c r="CC1030" i="1"/>
  <c r="CW1030" i="1"/>
  <c r="G1274" i="1"/>
  <c r="V1274" i="1"/>
  <c r="AJ1274" i="1"/>
  <c r="AX1274" i="1"/>
  <c r="BQ1274" i="1"/>
  <c r="BR1274" i="1"/>
  <c r="CC1274" i="1"/>
  <c r="CW1274" i="1"/>
  <c r="G1301" i="1"/>
  <c r="V1301" i="1"/>
  <c r="AJ1301" i="1"/>
  <c r="AX1301" i="1"/>
  <c r="BQ1301" i="1"/>
  <c r="BR1301" i="1"/>
  <c r="CC1301" i="1"/>
  <c r="CW1301" i="1"/>
  <c r="G695" i="1"/>
  <c r="V695" i="1"/>
  <c r="AJ695" i="1"/>
  <c r="AX695" i="1"/>
  <c r="BQ695" i="1"/>
  <c r="BR695" i="1"/>
  <c r="CC695" i="1"/>
  <c r="CW695" i="1"/>
  <c r="G726" i="1"/>
  <c r="V726" i="1"/>
  <c r="AJ726" i="1"/>
  <c r="AX726" i="1"/>
  <c r="BQ726" i="1"/>
  <c r="BR726" i="1"/>
  <c r="CC726" i="1"/>
  <c r="CW726" i="1"/>
  <c r="G937" i="1"/>
  <c r="V937" i="1"/>
  <c r="AJ937" i="1"/>
  <c r="AX937" i="1"/>
  <c r="BQ937" i="1"/>
  <c r="BR937" i="1"/>
  <c r="CC937" i="1"/>
  <c r="CW937" i="1"/>
  <c r="G1214" i="1"/>
  <c r="V1214" i="1"/>
  <c r="AJ1214" i="1"/>
  <c r="AX1214" i="1"/>
  <c r="BQ1214" i="1"/>
  <c r="BR1214" i="1"/>
  <c r="CC1214" i="1"/>
  <c r="CW1214" i="1"/>
  <c r="G1352" i="1"/>
  <c r="V1352" i="1"/>
  <c r="AJ1352" i="1"/>
  <c r="AX1352" i="1"/>
  <c r="BQ1352" i="1"/>
  <c r="BR1352" i="1"/>
  <c r="CC1352" i="1"/>
  <c r="CW1352" i="1"/>
  <c r="G601" i="1"/>
  <c r="V601" i="1"/>
  <c r="AJ601" i="1"/>
  <c r="AX601" i="1"/>
  <c r="BQ601" i="1"/>
  <c r="BR601" i="1"/>
  <c r="CC601" i="1"/>
  <c r="CW601" i="1"/>
  <c r="G642" i="1"/>
  <c r="V642" i="1"/>
  <c r="AJ642" i="1"/>
  <c r="AX642" i="1"/>
  <c r="BQ642" i="1"/>
  <c r="BR642" i="1"/>
  <c r="CC642" i="1"/>
  <c r="CW642" i="1"/>
  <c r="G628" i="1"/>
  <c r="V628" i="1"/>
  <c r="AJ628" i="1"/>
  <c r="AX628" i="1"/>
  <c r="BQ628" i="1"/>
  <c r="BR628" i="1"/>
  <c r="CC628" i="1"/>
  <c r="CW628" i="1"/>
  <c r="G620" i="1"/>
  <c r="V620" i="1"/>
  <c r="AJ620" i="1"/>
  <c r="AX620" i="1"/>
  <c r="BQ620" i="1"/>
  <c r="BR620" i="1"/>
  <c r="CC620" i="1"/>
  <c r="CW620" i="1"/>
  <c r="G777" i="1"/>
  <c r="V777" i="1"/>
  <c r="AJ777" i="1"/>
  <c r="AX777" i="1"/>
  <c r="BQ777" i="1"/>
  <c r="BR777" i="1"/>
  <c r="CC777" i="1"/>
  <c r="CW777" i="1"/>
  <c r="G996" i="1"/>
  <c r="V996" i="1"/>
  <c r="AJ996" i="1"/>
  <c r="AX996" i="1"/>
  <c r="BQ996" i="1"/>
  <c r="BR996" i="1"/>
  <c r="CC996" i="1"/>
  <c r="CW996" i="1"/>
  <c r="G999" i="1"/>
  <c r="V999" i="1"/>
  <c r="AJ999" i="1"/>
  <c r="AX999" i="1"/>
  <c r="BQ999" i="1"/>
  <c r="BR999" i="1"/>
  <c r="CC999" i="1"/>
  <c r="CW999" i="1"/>
  <c r="G855" i="1"/>
  <c r="V855" i="1"/>
  <c r="AJ855" i="1"/>
  <c r="AX855" i="1"/>
  <c r="BQ855" i="1"/>
  <c r="BR855" i="1"/>
  <c r="CC855" i="1"/>
  <c r="CW855" i="1"/>
  <c r="G738" i="1"/>
  <c r="V738" i="1"/>
  <c r="AJ738" i="1"/>
  <c r="AX738" i="1"/>
  <c r="BQ738" i="1"/>
  <c r="BR738" i="1"/>
  <c r="CC738" i="1"/>
  <c r="CW738" i="1"/>
  <c r="G942" i="1"/>
  <c r="V942" i="1"/>
  <c r="AJ942" i="1"/>
  <c r="AX942" i="1"/>
  <c r="BQ942" i="1"/>
  <c r="BR942" i="1"/>
  <c r="CC942" i="1"/>
  <c r="CW942" i="1"/>
  <c r="G1321" i="1"/>
  <c r="V1321" i="1"/>
  <c r="AJ1321" i="1"/>
  <c r="AX1321" i="1"/>
  <c r="BQ1321" i="1"/>
  <c r="BR1321" i="1"/>
  <c r="CC1321" i="1"/>
  <c r="CW1321" i="1"/>
  <c r="G713" i="1"/>
  <c r="V713" i="1"/>
  <c r="AJ713" i="1"/>
  <c r="AX713" i="1"/>
  <c r="BQ713" i="1"/>
  <c r="BR713" i="1"/>
  <c r="CC713" i="1"/>
  <c r="CW713" i="1"/>
  <c r="G1107" i="1"/>
  <c r="V1107" i="1"/>
  <c r="AJ1107" i="1"/>
  <c r="AX1107" i="1"/>
  <c r="BQ1107" i="1"/>
  <c r="BR1107" i="1"/>
  <c r="CC1107" i="1"/>
  <c r="CW1107" i="1"/>
  <c r="G662" i="1"/>
  <c r="V662" i="1"/>
  <c r="AJ662" i="1"/>
  <c r="AX662" i="1"/>
  <c r="BQ662" i="1"/>
  <c r="BR662" i="1"/>
  <c r="CC662" i="1"/>
  <c r="CW662" i="1"/>
  <c r="G950" i="1"/>
  <c r="V950" i="1"/>
  <c r="AJ950" i="1"/>
  <c r="AX950" i="1"/>
  <c r="BQ950" i="1"/>
  <c r="BR950" i="1"/>
  <c r="CC950" i="1"/>
  <c r="CW950" i="1"/>
  <c r="G1099" i="1"/>
  <c r="V1099" i="1"/>
  <c r="AJ1099" i="1"/>
  <c r="AX1099" i="1"/>
  <c r="BQ1099" i="1"/>
  <c r="BR1099" i="1"/>
  <c r="CC1099" i="1"/>
  <c r="CW1099" i="1"/>
  <c r="G930" i="1"/>
  <c r="V930" i="1"/>
  <c r="AJ930" i="1"/>
  <c r="AX930" i="1"/>
  <c r="BQ930" i="1"/>
  <c r="BR930" i="1"/>
  <c r="CC930" i="1"/>
  <c r="CW930" i="1"/>
  <c r="G1502" i="1"/>
  <c r="V1502" i="1"/>
  <c r="AJ1502" i="1"/>
  <c r="AX1502" i="1"/>
  <c r="BQ1502" i="1"/>
  <c r="BR1502" i="1"/>
  <c r="CC1502" i="1"/>
  <c r="CW1502" i="1"/>
  <c r="G779" i="1"/>
  <c r="V779" i="1"/>
  <c r="AJ779" i="1"/>
  <c r="AX779" i="1"/>
  <c r="BQ779" i="1"/>
  <c r="BR779" i="1"/>
  <c r="CC779" i="1"/>
  <c r="CW779" i="1"/>
  <c r="G1507" i="1"/>
  <c r="V1507" i="1"/>
  <c r="AJ1507" i="1"/>
  <c r="AX1507" i="1"/>
  <c r="BQ1507" i="1"/>
  <c r="BR1507" i="1"/>
  <c r="CC1507" i="1"/>
  <c r="CW1507" i="1"/>
  <c r="G785" i="1"/>
  <c r="V785" i="1"/>
  <c r="AJ785" i="1"/>
  <c r="AX785" i="1"/>
  <c r="BQ785" i="1"/>
  <c r="BR785" i="1"/>
  <c r="CC785" i="1"/>
  <c r="CW785" i="1"/>
  <c r="G983" i="1"/>
  <c r="V983" i="1"/>
  <c r="AJ983" i="1"/>
  <c r="AX983" i="1"/>
  <c r="BQ983" i="1"/>
  <c r="BR983" i="1"/>
  <c r="CC983" i="1"/>
  <c r="CW983" i="1"/>
  <c r="G1091" i="1"/>
  <c r="V1091" i="1"/>
  <c r="AJ1091" i="1"/>
  <c r="AX1091" i="1"/>
  <c r="BQ1091" i="1"/>
  <c r="BR1091" i="1"/>
  <c r="CC1091" i="1"/>
  <c r="CW1091" i="1"/>
  <c r="G1052" i="1"/>
  <c r="V1052" i="1"/>
  <c r="AJ1052" i="1"/>
  <c r="AX1052" i="1"/>
  <c r="BQ1052" i="1"/>
  <c r="BR1052" i="1"/>
  <c r="CC1052" i="1"/>
  <c r="CW1052" i="1"/>
  <c r="G806" i="1"/>
  <c r="V806" i="1"/>
  <c r="AJ806" i="1"/>
  <c r="AX806" i="1"/>
  <c r="BQ806" i="1"/>
  <c r="BR806" i="1"/>
  <c r="CC806" i="1"/>
  <c r="CW806" i="1"/>
  <c r="G1238" i="1"/>
  <c r="V1238" i="1"/>
  <c r="AJ1238" i="1"/>
  <c r="AX1238" i="1"/>
  <c r="BQ1238" i="1"/>
  <c r="BR1238" i="1"/>
  <c r="CC1238" i="1"/>
  <c r="CW1238" i="1"/>
  <c r="G684" i="1"/>
  <c r="V684" i="1"/>
  <c r="AJ684" i="1"/>
  <c r="AX684" i="1"/>
  <c r="BQ684" i="1"/>
  <c r="BR684" i="1"/>
  <c r="CC684" i="1"/>
  <c r="CW684" i="1"/>
  <c r="G871" i="1"/>
  <c r="V871" i="1"/>
  <c r="AJ871" i="1"/>
  <c r="AX871" i="1"/>
  <c r="BQ871" i="1"/>
  <c r="BR871" i="1"/>
  <c r="CC871" i="1"/>
  <c r="CW871" i="1"/>
  <c r="G984" i="1"/>
  <c r="V984" i="1"/>
  <c r="AJ984" i="1"/>
  <c r="AX984" i="1"/>
  <c r="BQ984" i="1"/>
  <c r="BR984" i="1"/>
  <c r="CC984" i="1"/>
  <c r="CW984" i="1"/>
  <c r="G753" i="1"/>
  <c r="V753" i="1"/>
  <c r="AJ753" i="1"/>
  <c r="AX753" i="1"/>
  <c r="BQ753" i="1"/>
  <c r="BR753" i="1"/>
  <c r="CC753" i="1"/>
  <c r="CW753" i="1"/>
  <c r="G1235" i="1"/>
  <c r="V1235" i="1"/>
  <c r="AJ1235" i="1"/>
  <c r="AX1235" i="1"/>
  <c r="BQ1235" i="1"/>
  <c r="BR1235" i="1"/>
  <c r="CC1235" i="1"/>
  <c r="CW1235" i="1"/>
  <c r="G778" i="1"/>
  <c r="V778" i="1"/>
  <c r="AJ778" i="1"/>
  <c r="AX778" i="1"/>
  <c r="BQ778" i="1"/>
  <c r="BR778" i="1"/>
  <c r="CC778" i="1"/>
  <c r="CW778" i="1"/>
  <c r="G956" i="1"/>
  <c r="V956" i="1"/>
  <c r="AJ956" i="1"/>
  <c r="AX956" i="1"/>
  <c r="BQ956" i="1"/>
  <c r="BR956" i="1"/>
  <c r="CC956" i="1"/>
  <c r="CW956" i="1"/>
  <c r="G846" i="1"/>
  <c r="V846" i="1"/>
  <c r="AJ846" i="1"/>
  <c r="AX846" i="1"/>
  <c r="BQ846" i="1"/>
  <c r="BR846" i="1"/>
  <c r="CC846" i="1"/>
  <c r="CW846" i="1"/>
  <c r="G723" i="1"/>
  <c r="V723" i="1"/>
  <c r="AJ723" i="1"/>
  <c r="AX723" i="1"/>
  <c r="BQ723" i="1"/>
  <c r="BR723" i="1"/>
  <c r="CC723" i="1"/>
  <c r="CW723" i="1"/>
  <c r="G347" i="1"/>
  <c r="V347" i="1"/>
  <c r="AJ347" i="1"/>
  <c r="AX347" i="1"/>
  <c r="BQ347" i="1"/>
  <c r="BR347" i="1"/>
  <c r="CC347" i="1"/>
  <c r="CW347" i="1"/>
  <c r="G346" i="1"/>
  <c r="V346" i="1"/>
  <c r="AJ346" i="1"/>
  <c r="AX346" i="1"/>
  <c r="BQ346" i="1"/>
  <c r="BR346" i="1"/>
  <c r="CC346" i="1"/>
  <c r="CW346" i="1"/>
  <c r="G323" i="1"/>
  <c r="V323" i="1"/>
  <c r="AJ323" i="1"/>
  <c r="AX323" i="1"/>
  <c r="BQ323" i="1"/>
  <c r="BR323" i="1"/>
  <c r="CC323" i="1"/>
  <c r="CW323" i="1"/>
  <c r="G333" i="1"/>
  <c r="V333" i="1"/>
  <c r="AJ333" i="1"/>
  <c r="AX333" i="1"/>
  <c r="BQ333" i="1"/>
  <c r="BR333" i="1"/>
  <c r="CC333" i="1"/>
  <c r="CW333" i="1"/>
  <c r="G336" i="1"/>
  <c r="V336" i="1"/>
  <c r="AJ336" i="1"/>
  <c r="AX336" i="1"/>
  <c r="BQ336" i="1"/>
  <c r="BR336" i="1"/>
  <c r="CC336" i="1"/>
  <c r="CW336" i="1"/>
  <c r="G1141" i="1"/>
  <c r="V1141" i="1"/>
  <c r="AJ1141" i="1"/>
  <c r="AX1141" i="1"/>
  <c r="BQ1141" i="1"/>
  <c r="BR1141" i="1"/>
  <c r="CC1141" i="1"/>
  <c r="CW1141" i="1"/>
  <c r="G292" i="1"/>
  <c r="V292" i="1"/>
  <c r="AJ292" i="1"/>
  <c r="AX292" i="1"/>
  <c r="BQ292" i="1"/>
  <c r="BR292" i="1"/>
  <c r="CC292" i="1"/>
  <c r="CW292" i="1"/>
  <c r="G357" i="1"/>
  <c r="V357" i="1"/>
  <c r="AJ357" i="1"/>
  <c r="AX357" i="1"/>
  <c r="BQ357" i="1"/>
  <c r="BR357" i="1"/>
  <c r="CC357" i="1"/>
  <c r="CW357" i="1"/>
  <c r="G49" i="1"/>
  <c r="V49" i="1"/>
  <c r="AJ49" i="1"/>
  <c r="AX49" i="1"/>
  <c r="BQ49" i="1"/>
  <c r="BR49" i="1"/>
  <c r="CC49" i="1"/>
  <c r="CW49" i="1"/>
  <c r="G117" i="1"/>
  <c r="V117" i="1"/>
  <c r="AJ117" i="1"/>
  <c r="AX117" i="1"/>
  <c r="BQ117" i="1"/>
  <c r="BR117" i="1"/>
  <c r="CC117" i="1"/>
  <c r="CW117" i="1"/>
  <c r="G1313" i="1"/>
  <c r="V1313" i="1"/>
  <c r="AJ1313" i="1"/>
  <c r="AX1313" i="1"/>
  <c r="BQ1313" i="1"/>
  <c r="BR1313" i="1"/>
  <c r="CC1313" i="1"/>
  <c r="CW1313" i="1"/>
  <c r="G1126" i="1"/>
  <c r="V1126" i="1"/>
  <c r="AJ1126" i="1"/>
  <c r="AX1126" i="1"/>
  <c r="BQ1126" i="1"/>
  <c r="BR1126" i="1"/>
  <c r="CC1126" i="1"/>
  <c r="CW1126" i="1"/>
  <c r="G274" i="1"/>
  <c r="V274" i="1"/>
  <c r="AJ274" i="1"/>
  <c r="AX274" i="1"/>
  <c r="BQ274" i="1"/>
  <c r="BR274" i="1"/>
  <c r="CC274" i="1"/>
  <c r="CW274" i="1"/>
  <c r="G134" i="1"/>
  <c r="V134" i="1"/>
  <c r="AJ134" i="1"/>
  <c r="AX134" i="1"/>
  <c r="BQ134" i="1"/>
  <c r="BR134" i="1"/>
  <c r="CC134" i="1"/>
  <c r="CW134" i="1"/>
  <c r="G214" i="1"/>
  <c r="V214" i="1"/>
  <c r="AJ214" i="1"/>
  <c r="AX214" i="1"/>
  <c r="BQ214" i="1"/>
  <c r="BR214" i="1"/>
  <c r="CC214" i="1"/>
  <c r="CW214" i="1"/>
  <c r="G230" i="1"/>
  <c r="V230" i="1"/>
  <c r="AJ230" i="1"/>
  <c r="AX230" i="1"/>
  <c r="BQ230" i="1"/>
  <c r="BR230" i="1"/>
  <c r="CC230" i="1"/>
  <c r="CW230" i="1"/>
  <c r="G70" i="1"/>
  <c r="V70" i="1"/>
  <c r="AJ70" i="1"/>
  <c r="AX70" i="1"/>
  <c r="BQ70" i="1"/>
  <c r="BR70" i="1"/>
  <c r="CC70" i="1"/>
  <c r="CW70" i="1"/>
  <c r="G170" i="1"/>
  <c r="V170" i="1"/>
  <c r="AJ170" i="1"/>
  <c r="AX170" i="1"/>
  <c r="BQ170" i="1"/>
  <c r="BR170" i="1"/>
  <c r="CC170" i="1"/>
  <c r="CW170" i="1"/>
  <c r="G64" i="1"/>
  <c r="V64" i="1"/>
  <c r="AJ64" i="1"/>
  <c r="AX64" i="1"/>
  <c r="BQ64" i="1"/>
  <c r="BR64" i="1"/>
  <c r="CC64" i="1"/>
  <c r="CW64" i="1"/>
  <c r="G207" i="1"/>
  <c r="V207" i="1"/>
  <c r="AJ207" i="1"/>
  <c r="AX207" i="1"/>
  <c r="BQ207" i="1"/>
  <c r="BR207" i="1"/>
  <c r="CC207" i="1"/>
  <c r="CW207" i="1"/>
  <c r="G120" i="1"/>
  <c r="V120" i="1"/>
  <c r="AJ120" i="1"/>
  <c r="AX120" i="1"/>
  <c r="BQ120" i="1"/>
  <c r="BR120" i="1"/>
  <c r="CC120" i="1"/>
  <c r="CW120" i="1"/>
  <c r="G2" i="1"/>
  <c r="V2" i="1"/>
  <c r="AJ2" i="1"/>
  <c r="AX2" i="1"/>
  <c r="BQ2" i="1"/>
  <c r="BR2" i="1"/>
  <c r="CC2" i="1"/>
  <c r="CW2" i="1"/>
  <c r="G225" i="1"/>
  <c r="V225" i="1"/>
  <c r="AJ225" i="1"/>
  <c r="AX225" i="1"/>
  <c r="BQ225" i="1"/>
  <c r="BR225" i="1"/>
  <c r="CC225" i="1"/>
  <c r="CW225" i="1"/>
  <c r="G130" i="1"/>
  <c r="V130" i="1"/>
  <c r="AJ130" i="1"/>
  <c r="AX130" i="1"/>
  <c r="BQ130" i="1"/>
  <c r="BR130" i="1"/>
  <c r="CC130" i="1"/>
  <c r="CW130" i="1"/>
  <c r="G265" i="1"/>
  <c r="V265" i="1"/>
  <c r="AJ265" i="1"/>
  <c r="AX265" i="1"/>
  <c r="BQ265" i="1"/>
  <c r="BR265" i="1"/>
  <c r="CC265" i="1"/>
  <c r="CW265" i="1"/>
  <c r="G40" i="1"/>
  <c r="V40" i="1"/>
  <c r="AJ40" i="1"/>
  <c r="AX40" i="1"/>
  <c r="BQ40" i="1"/>
  <c r="BR40" i="1"/>
  <c r="CC40" i="1"/>
  <c r="CW40" i="1"/>
  <c r="G201" i="1"/>
  <c r="V201" i="1"/>
  <c r="AJ201" i="1"/>
  <c r="AX201" i="1"/>
  <c r="BQ201" i="1"/>
  <c r="BR201" i="1"/>
  <c r="CC201" i="1"/>
  <c r="CW201" i="1"/>
  <c r="G83" i="1"/>
  <c r="V83" i="1"/>
  <c r="AJ83" i="1"/>
  <c r="AX83" i="1"/>
  <c r="BQ83" i="1"/>
  <c r="BR83" i="1"/>
  <c r="CC83" i="1"/>
  <c r="CW83" i="1"/>
  <c r="G137" i="1"/>
  <c r="V137" i="1"/>
  <c r="AJ137" i="1"/>
  <c r="AX137" i="1"/>
  <c r="BQ137" i="1"/>
  <c r="BR137" i="1"/>
  <c r="CC137" i="1"/>
  <c r="CW137" i="1"/>
  <c r="G76" i="1"/>
  <c r="V76" i="1"/>
  <c r="AJ76" i="1"/>
  <c r="AX76" i="1"/>
  <c r="BQ76" i="1"/>
  <c r="BR76" i="1"/>
  <c r="CC76" i="1"/>
  <c r="CW76" i="1"/>
  <c r="G74" i="1"/>
  <c r="V74" i="1"/>
  <c r="AJ74" i="1"/>
  <c r="AX74" i="1"/>
  <c r="BQ74" i="1"/>
  <c r="BR74" i="1"/>
  <c r="CC74" i="1"/>
  <c r="CW74" i="1"/>
  <c r="G48" i="1"/>
  <c r="V48" i="1"/>
  <c r="AJ48" i="1"/>
  <c r="AX48" i="1"/>
  <c r="BQ48" i="1"/>
  <c r="BR48" i="1"/>
  <c r="CC48" i="1"/>
  <c r="CW48" i="1"/>
  <c r="G248" i="1"/>
  <c r="V248" i="1"/>
  <c r="AJ248" i="1"/>
  <c r="AX248" i="1"/>
  <c r="BQ248" i="1"/>
  <c r="BR248" i="1"/>
  <c r="CC248" i="1"/>
  <c r="CW248" i="1"/>
  <c r="G197" i="1"/>
  <c r="V197" i="1"/>
  <c r="AJ197" i="1"/>
  <c r="AX197" i="1"/>
  <c r="BQ197" i="1"/>
  <c r="BR197" i="1"/>
  <c r="CC197" i="1"/>
  <c r="CW197" i="1"/>
  <c r="G67" i="1"/>
  <c r="V67" i="1"/>
  <c r="AJ67" i="1"/>
  <c r="AX67" i="1"/>
  <c r="BQ67" i="1"/>
  <c r="BR67" i="1"/>
  <c r="CC67" i="1"/>
  <c r="CW67" i="1"/>
  <c r="G109" i="1"/>
  <c r="V109" i="1"/>
  <c r="AJ109" i="1"/>
  <c r="AX109" i="1"/>
  <c r="BQ109" i="1"/>
  <c r="BR109" i="1"/>
  <c r="CC109" i="1"/>
  <c r="CW109" i="1"/>
  <c r="G398" i="1"/>
  <c r="V398" i="1"/>
  <c r="AJ398" i="1"/>
  <c r="AX398" i="1"/>
  <c r="BQ398" i="1"/>
  <c r="BR398" i="1"/>
  <c r="CC398" i="1"/>
  <c r="CW398" i="1"/>
  <c r="G406" i="1"/>
  <c r="V406" i="1"/>
  <c r="AJ406" i="1"/>
  <c r="AX406" i="1"/>
  <c r="BQ406" i="1"/>
  <c r="BR406" i="1"/>
  <c r="CC406" i="1"/>
  <c r="CW406" i="1"/>
  <c r="G1344" i="1"/>
  <c r="V1344" i="1"/>
  <c r="AJ1344" i="1"/>
  <c r="AX1344" i="1"/>
  <c r="BQ1344" i="1"/>
  <c r="BR1344" i="1"/>
  <c r="CC1344" i="1"/>
  <c r="CW1344" i="1"/>
  <c r="G419" i="1"/>
  <c r="V419" i="1"/>
  <c r="AJ419" i="1"/>
  <c r="AX419" i="1"/>
  <c r="BQ419" i="1"/>
  <c r="BR419" i="1"/>
  <c r="CC419" i="1"/>
  <c r="CW419" i="1"/>
  <c r="G392" i="1"/>
  <c r="V392" i="1"/>
  <c r="AJ392" i="1"/>
  <c r="AX392" i="1"/>
  <c r="BQ392" i="1"/>
  <c r="BR392" i="1"/>
  <c r="CC392" i="1"/>
  <c r="CW392" i="1"/>
  <c r="G374" i="1"/>
  <c r="V374" i="1"/>
  <c r="AJ374" i="1"/>
  <c r="AX374" i="1"/>
  <c r="BQ374" i="1"/>
  <c r="BR374" i="1"/>
  <c r="CC374" i="1"/>
  <c r="CW374" i="1"/>
  <c r="G448" i="1"/>
  <c r="V448" i="1"/>
  <c r="AJ448" i="1"/>
  <c r="AX448" i="1"/>
  <c r="BQ448" i="1"/>
  <c r="BR448" i="1"/>
  <c r="CC448" i="1"/>
  <c r="CW448" i="1"/>
  <c r="G454" i="1"/>
  <c r="V454" i="1"/>
  <c r="AJ454" i="1"/>
  <c r="AX454" i="1"/>
  <c r="BQ454" i="1"/>
  <c r="BR454" i="1"/>
  <c r="CC454" i="1"/>
  <c r="CW454" i="1"/>
  <c r="G456" i="1"/>
  <c r="V456" i="1"/>
  <c r="AJ456" i="1"/>
  <c r="AX456" i="1"/>
  <c r="BQ456" i="1"/>
  <c r="BR456" i="1"/>
  <c r="CC456" i="1"/>
  <c r="CW456" i="1"/>
  <c r="G1408" i="1"/>
  <c r="V1408" i="1"/>
  <c r="AJ1408" i="1"/>
  <c r="AX1408" i="1"/>
  <c r="BQ1408" i="1"/>
  <c r="BR1408" i="1"/>
  <c r="CC1408" i="1"/>
  <c r="CW1408" i="1"/>
  <c r="G496" i="1"/>
  <c r="V496" i="1"/>
  <c r="AJ496" i="1"/>
  <c r="AX496" i="1"/>
  <c r="BQ496" i="1"/>
  <c r="BR496" i="1"/>
  <c r="CC496" i="1"/>
  <c r="CW496" i="1"/>
  <c r="G1383" i="1"/>
  <c r="V1383" i="1"/>
  <c r="AJ1383" i="1"/>
  <c r="AX1383" i="1"/>
  <c r="BQ1383" i="1"/>
  <c r="BR1383" i="1"/>
  <c r="CC1383" i="1"/>
  <c r="CW1383" i="1"/>
  <c r="G1450" i="1"/>
  <c r="V1450" i="1"/>
  <c r="AJ1450" i="1"/>
  <c r="AX1450" i="1"/>
  <c r="BQ1450" i="1"/>
  <c r="BR1450" i="1"/>
  <c r="CC1450" i="1"/>
  <c r="CW1450" i="1"/>
  <c r="G481" i="1"/>
  <c r="V481" i="1"/>
  <c r="AJ481" i="1"/>
  <c r="AX481" i="1"/>
  <c r="BQ481" i="1"/>
  <c r="BR481" i="1"/>
  <c r="CC481" i="1"/>
  <c r="CW481" i="1"/>
  <c r="G444" i="1"/>
  <c r="V444" i="1"/>
  <c r="AJ444" i="1"/>
  <c r="AX444" i="1"/>
  <c r="BQ444" i="1"/>
  <c r="BR444" i="1"/>
  <c r="CC444" i="1"/>
  <c r="CW444" i="1"/>
  <c r="G493" i="1"/>
  <c r="V493" i="1"/>
  <c r="AJ493" i="1"/>
  <c r="AX493" i="1"/>
  <c r="BQ493" i="1"/>
  <c r="BR493" i="1"/>
  <c r="CC493" i="1"/>
  <c r="CW493" i="1"/>
  <c r="G570" i="1"/>
  <c r="V570" i="1"/>
  <c r="AJ570" i="1"/>
  <c r="AX570" i="1"/>
  <c r="BQ570" i="1"/>
  <c r="BR570" i="1"/>
  <c r="CC570" i="1"/>
  <c r="CW570" i="1"/>
  <c r="G509" i="1"/>
  <c r="V509" i="1"/>
  <c r="AJ509" i="1"/>
  <c r="AX509" i="1"/>
  <c r="BQ509" i="1"/>
  <c r="BR509" i="1"/>
  <c r="CC509" i="1"/>
  <c r="CW509" i="1"/>
  <c r="G512" i="1"/>
  <c r="V512" i="1"/>
  <c r="AJ512" i="1"/>
  <c r="AX512" i="1"/>
  <c r="BQ512" i="1"/>
  <c r="BR512" i="1"/>
  <c r="CC512" i="1"/>
  <c r="CW512" i="1"/>
  <c r="G1467" i="1"/>
  <c r="V1467" i="1"/>
  <c r="AJ1467" i="1"/>
  <c r="AX1467" i="1"/>
  <c r="BQ1467" i="1"/>
  <c r="BR1467" i="1"/>
  <c r="CC1467" i="1"/>
  <c r="CW1467" i="1"/>
  <c r="G514" i="1"/>
  <c r="V514" i="1"/>
  <c r="AJ514" i="1"/>
  <c r="AX514" i="1"/>
  <c r="BQ514" i="1"/>
  <c r="BR514" i="1"/>
  <c r="CC514" i="1"/>
  <c r="CW514" i="1"/>
  <c r="G1481" i="1"/>
  <c r="V1481" i="1"/>
  <c r="AJ1481" i="1"/>
  <c r="AX1481" i="1"/>
  <c r="BQ1481" i="1"/>
  <c r="BR1481" i="1"/>
  <c r="CC1481" i="1"/>
  <c r="CW1481" i="1"/>
  <c r="G505" i="1"/>
  <c r="V505" i="1"/>
  <c r="AJ505" i="1"/>
  <c r="AX505" i="1"/>
  <c r="BQ505" i="1"/>
  <c r="BR505" i="1"/>
  <c r="CC505" i="1"/>
  <c r="CW505" i="1"/>
  <c r="G521" i="1"/>
  <c r="V521" i="1"/>
  <c r="AJ521" i="1"/>
  <c r="AX521" i="1"/>
  <c r="BQ521" i="1"/>
  <c r="BR521" i="1"/>
  <c r="CC521" i="1"/>
  <c r="CW521" i="1"/>
  <c r="G692" i="1"/>
  <c r="V692" i="1"/>
  <c r="AJ692" i="1"/>
  <c r="AX692" i="1"/>
  <c r="BQ692" i="1"/>
  <c r="BR692" i="1"/>
  <c r="CC692" i="1"/>
  <c r="CW692" i="1"/>
  <c r="G714" i="1"/>
  <c r="V714" i="1"/>
  <c r="AJ714" i="1"/>
  <c r="AX714" i="1"/>
  <c r="BQ714" i="1"/>
  <c r="BR714" i="1"/>
  <c r="CC714" i="1"/>
  <c r="CW714" i="1"/>
  <c r="G706" i="1"/>
  <c r="V706" i="1"/>
  <c r="AJ706" i="1"/>
  <c r="AX706" i="1"/>
  <c r="BQ706" i="1"/>
  <c r="BR706" i="1"/>
  <c r="CC706" i="1"/>
  <c r="CW706" i="1"/>
  <c r="G1049" i="1"/>
  <c r="V1049" i="1"/>
  <c r="AJ1049" i="1"/>
  <c r="AX1049" i="1"/>
  <c r="BQ1049" i="1"/>
  <c r="BR1049" i="1"/>
  <c r="CC1049" i="1"/>
  <c r="CW1049" i="1"/>
  <c r="G1494" i="1"/>
  <c r="V1494" i="1"/>
  <c r="AJ1494" i="1"/>
  <c r="AX1494" i="1"/>
  <c r="BQ1494" i="1"/>
  <c r="BR1494" i="1"/>
  <c r="CC1494" i="1"/>
  <c r="CW1494" i="1"/>
  <c r="G995" i="1"/>
  <c r="V995" i="1"/>
  <c r="AJ995" i="1"/>
  <c r="AX995" i="1"/>
  <c r="BQ995" i="1"/>
  <c r="BR995" i="1"/>
  <c r="CC995" i="1"/>
  <c r="CW995" i="1"/>
  <c r="G783" i="1"/>
  <c r="V783" i="1"/>
  <c r="AJ783" i="1"/>
  <c r="AX783" i="1"/>
  <c r="BQ783" i="1"/>
  <c r="BR783" i="1"/>
  <c r="CC783" i="1"/>
  <c r="CW783" i="1"/>
  <c r="G643" i="1"/>
  <c r="V643" i="1"/>
  <c r="AJ643" i="1"/>
  <c r="AX643" i="1"/>
  <c r="BQ643" i="1"/>
  <c r="BR643" i="1"/>
  <c r="CC643" i="1"/>
  <c r="CW643" i="1"/>
  <c r="G1195" i="1"/>
  <c r="V1195" i="1"/>
  <c r="AJ1195" i="1"/>
  <c r="AX1195" i="1"/>
  <c r="BQ1195" i="1"/>
  <c r="BR1195" i="1"/>
  <c r="CC1195" i="1"/>
  <c r="CW1195" i="1"/>
  <c r="G671" i="1"/>
  <c r="V671" i="1"/>
  <c r="AJ671" i="1"/>
  <c r="AX671" i="1"/>
  <c r="BQ671" i="1"/>
  <c r="BR671" i="1"/>
  <c r="CC671" i="1"/>
  <c r="CW671" i="1"/>
  <c r="G1194" i="1"/>
  <c r="V1194" i="1"/>
  <c r="AJ1194" i="1"/>
  <c r="AX1194" i="1"/>
  <c r="BQ1194" i="1"/>
  <c r="BR1194" i="1"/>
  <c r="CC1194" i="1"/>
  <c r="CW1194" i="1"/>
  <c r="G1488" i="1"/>
  <c r="V1488" i="1"/>
  <c r="AJ1488" i="1"/>
  <c r="AX1488" i="1"/>
  <c r="BQ1488" i="1"/>
  <c r="BR1488" i="1"/>
  <c r="CC1488" i="1"/>
  <c r="CW1488" i="1"/>
  <c r="G638" i="1"/>
  <c r="V638" i="1"/>
  <c r="AJ638" i="1"/>
  <c r="AX638" i="1"/>
  <c r="BQ638" i="1"/>
  <c r="BR638" i="1"/>
  <c r="CC638" i="1"/>
  <c r="CW638" i="1"/>
  <c r="G587" i="1"/>
  <c r="V587" i="1"/>
  <c r="AJ587" i="1"/>
  <c r="AX587" i="1"/>
  <c r="BQ587" i="1"/>
  <c r="BR587" i="1"/>
  <c r="CC587" i="1"/>
  <c r="CW587" i="1"/>
  <c r="G602" i="1"/>
  <c r="V602" i="1"/>
  <c r="AJ602" i="1"/>
  <c r="AX602" i="1"/>
  <c r="BQ602" i="1"/>
  <c r="BR602" i="1"/>
  <c r="CC602" i="1"/>
  <c r="CW602" i="1"/>
  <c r="G1076" i="1"/>
  <c r="V1076" i="1"/>
  <c r="AJ1076" i="1"/>
  <c r="AX1076" i="1"/>
  <c r="BQ1076" i="1"/>
  <c r="BR1076" i="1"/>
  <c r="CC1076" i="1"/>
  <c r="CW1076" i="1"/>
  <c r="G728" i="1"/>
  <c r="V728" i="1"/>
  <c r="AJ728" i="1"/>
  <c r="AX728" i="1"/>
  <c r="BQ728" i="1"/>
  <c r="BR728" i="1"/>
  <c r="CC728" i="1"/>
  <c r="CW728" i="1"/>
  <c r="G703" i="1"/>
  <c r="V703" i="1"/>
  <c r="AJ703" i="1"/>
  <c r="AX703" i="1"/>
  <c r="BQ703" i="1"/>
  <c r="BR703" i="1"/>
  <c r="CC703" i="1"/>
  <c r="CW703" i="1"/>
  <c r="G1042" i="1"/>
  <c r="V1042" i="1"/>
  <c r="AJ1042" i="1"/>
  <c r="AX1042" i="1"/>
  <c r="BQ1042" i="1"/>
  <c r="BR1042" i="1"/>
  <c r="CC1042" i="1"/>
  <c r="CW1042" i="1"/>
  <c r="G816" i="1"/>
  <c r="V816" i="1"/>
  <c r="AJ816" i="1"/>
  <c r="AX816" i="1"/>
  <c r="BQ816" i="1"/>
  <c r="BR816" i="1"/>
  <c r="CC816" i="1"/>
  <c r="CW816" i="1"/>
  <c r="G766" i="1"/>
  <c r="V766" i="1"/>
  <c r="AJ766" i="1"/>
  <c r="AX766" i="1"/>
  <c r="BQ766" i="1"/>
  <c r="BR766" i="1"/>
  <c r="CC766" i="1"/>
  <c r="CW766" i="1"/>
  <c r="G1297" i="1"/>
  <c r="V1297" i="1"/>
  <c r="AJ1297" i="1"/>
  <c r="AX1297" i="1"/>
  <c r="BQ1297" i="1"/>
  <c r="BR1297" i="1"/>
  <c r="CC1297" i="1"/>
  <c r="CW1297" i="1"/>
  <c r="G736" i="1"/>
  <c r="V736" i="1"/>
  <c r="AJ736" i="1"/>
  <c r="AX736" i="1"/>
  <c r="BQ736" i="1"/>
  <c r="BR736" i="1"/>
  <c r="CC736" i="1"/>
  <c r="CW736" i="1"/>
  <c r="G1267" i="1"/>
  <c r="V1267" i="1"/>
  <c r="AJ1267" i="1"/>
  <c r="AX1267" i="1"/>
  <c r="BQ1267" i="1"/>
  <c r="BR1267" i="1"/>
  <c r="CC1267" i="1"/>
  <c r="CW1267" i="1"/>
  <c r="G1276" i="1"/>
  <c r="V1276" i="1"/>
  <c r="AJ1276" i="1"/>
  <c r="AX1276" i="1"/>
  <c r="BQ1276" i="1"/>
  <c r="BR1276" i="1"/>
  <c r="CC1276" i="1"/>
  <c r="CW1276" i="1"/>
  <c r="G1296" i="1"/>
  <c r="V1296" i="1"/>
  <c r="AJ1296" i="1"/>
  <c r="AX1296" i="1"/>
  <c r="BQ1296" i="1"/>
  <c r="BR1296" i="1"/>
  <c r="CC1296" i="1"/>
  <c r="CW1296" i="1"/>
  <c r="G767" i="1"/>
  <c r="V767" i="1"/>
  <c r="AJ767" i="1"/>
  <c r="AX767" i="1"/>
  <c r="BQ767" i="1"/>
  <c r="BR767" i="1"/>
  <c r="CC767" i="1"/>
  <c r="CW767" i="1"/>
  <c r="G992" i="1"/>
  <c r="V992" i="1"/>
  <c r="AJ992" i="1"/>
  <c r="AX992" i="1"/>
  <c r="BQ992" i="1"/>
  <c r="BR992" i="1"/>
  <c r="CC992" i="1"/>
  <c r="CW992" i="1"/>
  <c r="G854" i="1"/>
  <c r="V854" i="1"/>
  <c r="AJ854" i="1"/>
  <c r="AX854" i="1"/>
  <c r="BQ854" i="1"/>
  <c r="BR854" i="1"/>
  <c r="CC854" i="1"/>
  <c r="CW854" i="1"/>
  <c r="G940" i="1"/>
  <c r="V940" i="1"/>
  <c r="AJ940" i="1"/>
  <c r="AX940" i="1"/>
  <c r="BQ940" i="1"/>
  <c r="BR940" i="1"/>
  <c r="CC940" i="1"/>
  <c r="CW940" i="1"/>
  <c r="G906" i="1"/>
  <c r="V906" i="1"/>
  <c r="AJ906" i="1"/>
  <c r="AX906" i="1"/>
  <c r="BQ906" i="1"/>
  <c r="BR906" i="1"/>
  <c r="CC906" i="1"/>
  <c r="CW906" i="1"/>
  <c r="G659" i="1"/>
  <c r="V659" i="1"/>
  <c r="AJ659" i="1"/>
  <c r="AX659" i="1"/>
  <c r="BQ659" i="1"/>
  <c r="BR659" i="1"/>
  <c r="CC659" i="1"/>
  <c r="CW659" i="1"/>
  <c r="G1082" i="1"/>
  <c r="V1082" i="1"/>
  <c r="AJ1082" i="1"/>
  <c r="AX1082" i="1"/>
  <c r="BQ1082" i="1"/>
  <c r="BR1082" i="1"/>
  <c r="CC1082" i="1"/>
  <c r="CW1082" i="1"/>
  <c r="G664" i="1"/>
  <c r="V664" i="1"/>
  <c r="AJ664" i="1"/>
  <c r="AX664" i="1"/>
  <c r="BQ664" i="1"/>
  <c r="BR664" i="1"/>
  <c r="CC664" i="1"/>
  <c r="CW664" i="1"/>
  <c r="G654" i="1"/>
  <c r="V654" i="1"/>
  <c r="AJ654" i="1"/>
  <c r="AX654" i="1"/>
  <c r="BQ654" i="1"/>
  <c r="BR654" i="1"/>
  <c r="CC654" i="1"/>
  <c r="CW654" i="1"/>
  <c r="G836" i="1"/>
  <c r="V836" i="1"/>
  <c r="AJ836" i="1"/>
  <c r="AX836" i="1"/>
  <c r="BQ836" i="1"/>
  <c r="BR836" i="1"/>
  <c r="CC836" i="1"/>
  <c r="CW836" i="1"/>
  <c r="G811" i="1"/>
  <c r="V811" i="1"/>
  <c r="AJ811" i="1"/>
  <c r="AX811" i="1"/>
  <c r="BQ811" i="1"/>
  <c r="BR811" i="1"/>
  <c r="CC811" i="1"/>
  <c r="CW811" i="1"/>
  <c r="G1309" i="1"/>
  <c r="V1309" i="1"/>
  <c r="AJ1309" i="1"/>
  <c r="AX1309" i="1"/>
  <c r="BQ1309" i="1"/>
  <c r="BR1309" i="1"/>
  <c r="CC1309" i="1"/>
  <c r="CW1309" i="1"/>
  <c r="G1023" i="1"/>
  <c r="V1023" i="1"/>
  <c r="AJ1023" i="1"/>
  <c r="AX1023" i="1"/>
  <c r="BQ1023" i="1"/>
  <c r="BR1023" i="1"/>
  <c r="CC1023" i="1"/>
  <c r="CW1023" i="1"/>
  <c r="G837" i="1"/>
  <c r="V837" i="1"/>
  <c r="AJ837" i="1"/>
  <c r="AX837" i="1"/>
  <c r="BQ837" i="1"/>
  <c r="BR837" i="1"/>
  <c r="CC837" i="1"/>
  <c r="CW837" i="1"/>
  <c r="G1044" i="1"/>
  <c r="V1044" i="1"/>
  <c r="AJ1044" i="1"/>
  <c r="AX1044" i="1"/>
  <c r="BQ1044" i="1"/>
  <c r="BR1044" i="1"/>
  <c r="CC1044" i="1"/>
  <c r="CW1044" i="1"/>
  <c r="G963" i="1"/>
  <c r="V963" i="1"/>
  <c r="AJ963" i="1"/>
  <c r="AX963" i="1"/>
  <c r="BQ963" i="1"/>
  <c r="BR963" i="1"/>
  <c r="CC963" i="1"/>
  <c r="CW963" i="1"/>
  <c r="G1246" i="1"/>
  <c r="V1246" i="1"/>
  <c r="AJ1246" i="1"/>
  <c r="AX1246" i="1"/>
  <c r="BQ1246" i="1"/>
  <c r="BR1246" i="1"/>
  <c r="CC1246" i="1"/>
  <c r="CW1246" i="1"/>
  <c r="G1068" i="1"/>
  <c r="V1068" i="1"/>
  <c r="AJ1068" i="1"/>
  <c r="AX1068" i="1"/>
  <c r="BQ1068" i="1"/>
  <c r="BR1068" i="1"/>
  <c r="CC1068" i="1"/>
  <c r="CW1068" i="1"/>
  <c r="G732" i="1"/>
  <c r="V732" i="1"/>
  <c r="AJ732" i="1"/>
  <c r="AX732" i="1"/>
  <c r="BQ732" i="1"/>
  <c r="BR732" i="1"/>
  <c r="CC732" i="1"/>
  <c r="CW732" i="1"/>
  <c r="G1092" i="1"/>
  <c r="V1092" i="1"/>
  <c r="AJ1092" i="1"/>
  <c r="AX1092" i="1"/>
  <c r="BQ1092" i="1"/>
  <c r="BR1092" i="1"/>
  <c r="CC1092" i="1"/>
  <c r="CW1092" i="1"/>
  <c r="G1058" i="1"/>
  <c r="V1058" i="1"/>
  <c r="AJ1058" i="1"/>
  <c r="AX1058" i="1"/>
  <c r="BQ1058" i="1"/>
  <c r="BR1058" i="1"/>
  <c r="CC1058" i="1"/>
  <c r="CW1058" i="1"/>
  <c r="G925" i="1"/>
  <c r="V925" i="1"/>
  <c r="AJ925" i="1"/>
  <c r="AX925" i="1"/>
  <c r="BQ925" i="1"/>
  <c r="BR925" i="1"/>
  <c r="CC925" i="1"/>
  <c r="CW925" i="1"/>
  <c r="G1039" i="1"/>
  <c r="V1039" i="1"/>
  <c r="AJ1039" i="1"/>
  <c r="AX1039" i="1"/>
  <c r="BQ1039" i="1"/>
  <c r="BR1039" i="1"/>
  <c r="CC1039" i="1"/>
  <c r="CW1039" i="1"/>
  <c r="G300" i="1"/>
  <c r="V300" i="1"/>
  <c r="AJ300" i="1"/>
  <c r="AX300" i="1"/>
  <c r="BQ300" i="1"/>
  <c r="BR300" i="1"/>
  <c r="CC300" i="1"/>
  <c r="CW300" i="1"/>
  <c r="G287" i="1"/>
  <c r="V287" i="1"/>
  <c r="AJ287" i="1"/>
  <c r="AX287" i="1"/>
  <c r="BQ287" i="1"/>
  <c r="BR287" i="1"/>
  <c r="CC287" i="1"/>
  <c r="CW287" i="1"/>
  <c r="G307" i="1"/>
  <c r="V307" i="1"/>
  <c r="AJ307" i="1"/>
  <c r="AX307" i="1"/>
  <c r="BQ307" i="1"/>
  <c r="BR307" i="1"/>
  <c r="CC307" i="1"/>
  <c r="CW307" i="1"/>
  <c r="G332" i="1"/>
  <c r="V332" i="1"/>
  <c r="AJ332" i="1"/>
  <c r="AX332" i="1"/>
  <c r="BQ332" i="1"/>
  <c r="BR332" i="1"/>
  <c r="CC332" i="1"/>
  <c r="CW332" i="1"/>
  <c r="G337" i="1"/>
  <c r="V337" i="1"/>
  <c r="AJ337" i="1"/>
  <c r="AX337" i="1"/>
  <c r="BQ337" i="1"/>
  <c r="BR337" i="1"/>
  <c r="CC337" i="1"/>
  <c r="CW337" i="1"/>
  <c r="G63" i="1"/>
  <c r="V63" i="1"/>
  <c r="AJ63" i="1"/>
  <c r="AX63" i="1"/>
  <c r="BQ63" i="1"/>
  <c r="BR63" i="1"/>
  <c r="CC63" i="1"/>
  <c r="CW63" i="1"/>
  <c r="G26" i="1"/>
  <c r="V26" i="1"/>
  <c r="AJ26" i="1"/>
  <c r="AX26" i="1"/>
  <c r="BQ26" i="1"/>
  <c r="BR26" i="1"/>
  <c r="CC26" i="1"/>
  <c r="CW26" i="1"/>
  <c r="G113" i="1"/>
  <c r="V113" i="1"/>
  <c r="AJ113" i="1"/>
  <c r="AX113" i="1"/>
  <c r="BQ113" i="1"/>
  <c r="BR113" i="1"/>
  <c r="CC113" i="1"/>
  <c r="CW113" i="1"/>
  <c r="G11" i="1"/>
  <c r="V11" i="1"/>
  <c r="AJ11" i="1"/>
  <c r="AX11" i="1"/>
  <c r="BQ11" i="1"/>
  <c r="BR11" i="1"/>
  <c r="CC11" i="1"/>
  <c r="CW11" i="1"/>
  <c r="G252" i="1"/>
  <c r="V252" i="1"/>
  <c r="AJ252" i="1"/>
  <c r="AX252" i="1"/>
  <c r="BQ252" i="1"/>
  <c r="BR252" i="1"/>
  <c r="CC252" i="1"/>
  <c r="CW252" i="1"/>
  <c r="G43" i="1"/>
  <c r="V43" i="1"/>
  <c r="AJ43" i="1"/>
  <c r="AX43" i="1"/>
  <c r="BQ43" i="1"/>
  <c r="BR43" i="1"/>
  <c r="CC43" i="1"/>
  <c r="CW43" i="1"/>
  <c r="G116" i="1"/>
  <c r="V116" i="1"/>
  <c r="AJ116" i="1"/>
  <c r="AX116" i="1"/>
  <c r="BQ116" i="1"/>
  <c r="BR116" i="1"/>
  <c r="CC116" i="1"/>
  <c r="CW116" i="1"/>
  <c r="G280" i="1"/>
  <c r="V280" i="1"/>
  <c r="AJ280" i="1"/>
  <c r="AX280" i="1"/>
  <c r="BQ280" i="1"/>
  <c r="BR280" i="1"/>
  <c r="CC280" i="1"/>
  <c r="CW280" i="1"/>
  <c r="G258" i="1"/>
  <c r="V258" i="1"/>
  <c r="AJ258" i="1"/>
  <c r="AX258" i="1"/>
  <c r="BQ258" i="1"/>
  <c r="BR258" i="1"/>
  <c r="CC258" i="1"/>
  <c r="CW258" i="1"/>
  <c r="G377" i="1"/>
  <c r="V377" i="1"/>
  <c r="AJ377" i="1"/>
  <c r="AX377" i="1"/>
  <c r="BQ377" i="1"/>
  <c r="BR377" i="1"/>
  <c r="CC377" i="1"/>
  <c r="CW377" i="1"/>
  <c r="G394" i="1"/>
  <c r="V394" i="1"/>
  <c r="AJ394" i="1"/>
  <c r="AX394" i="1"/>
  <c r="BQ394" i="1"/>
  <c r="BR394" i="1"/>
  <c r="CC394" i="1"/>
  <c r="CW394" i="1"/>
  <c r="G405" i="1"/>
  <c r="V405" i="1"/>
  <c r="AJ405" i="1"/>
  <c r="AX405" i="1"/>
  <c r="BQ405" i="1"/>
  <c r="BR405" i="1"/>
  <c r="CC405" i="1"/>
  <c r="CW405" i="1"/>
  <c r="G411" i="1"/>
  <c r="V411" i="1"/>
  <c r="AJ411" i="1"/>
  <c r="AX411" i="1"/>
  <c r="BQ411" i="1"/>
  <c r="BR411" i="1"/>
  <c r="CC411" i="1"/>
  <c r="CW411" i="1"/>
  <c r="G1148" i="1"/>
  <c r="V1148" i="1"/>
  <c r="AJ1148" i="1"/>
  <c r="AX1148" i="1"/>
  <c r="BQ1148" i="1"/>
  <c r="BR1148" i="1"/>
  <c r="CC1148" i="1"/>
  <c r="CW1148" i="1"/>
  <c r="G389" i="1"/>
  <c r="V389" i="1"/>
  <c r="AJ389" i="1"/>
  <c r="AX389" i="1"/>
  <c r="BQ389" i="1"/>
  <c r="BR389" i="1"/>
  <c r="CC389" i="1"/>
  <c r="CW389" i="1"/>
  <c r="G430" i="1"/>
  <c r="V430" i="1"/>
  <c r="AJ430" i="1"/>
  <c r="AX430" i="1"/>
  <c r="BQ430" i="1"/>
  <c r="BR430" i="1"/>
  <c r="CC430" i="1"/>
  <c r="CW430" i="1"/>
  <c r="G433" i="1"/>
  <c r="V433" i="1"/>
  <c r="AJ433" i="1"/>
  <c r="AX433" i="1"/>
  <c r="BQ433" i="1"/>
  <c r="BR433" i="1"/>
  <c r="CC433" i="1"/>
  <c r="CW433" i="1"/>
  <c r="G439" i="1"/>
  <c r="V439" i="1"/>
  <c r="AJ439" i="1"/>
  <c r="AX439" i="1"/>
  <c r="BQ439" i="1"/>
  <c r="BR439" i="1"/>
  <c r="CC439" i="1"/>
  <c r="CW439" i="1"/>
  <c r="G1453" i="1"/>
  <c r="V1453" i="1"/>
  <c r="AJ1453" i="1"/>
  <c r="AX1453" i="1"/>
  <c r="BQ1453" i="1"/>
  <c r="BR1453" i="1"/>
  <c r="CC1453" i="1"/>
  <c r="CW1453" i="1"/>
  <c r="G1394" i="1"/>
  <c r="V1394" i="1"/>
  <c r="AJ1394" i="1"/>
  <c r="AX1394" i="1"/>
  <c r="BQ1394" i="1"/>
  <c r="BR1394" i="1"/>
  <c r="CC1394" i="1"/>
  <c r="CW1394" i="1"/>
  <c r="G1403" i="1"/>
  <c r="V1403" i="1"/>
  <c r="AJ1403" i="1"/>
  <c r="AX1403" i="1"/>
  <c r="BQ1403" i="1"/>
  <c r="BR1403" i="1"/>
  <c r="CC1403" i="1"/>
  <c r="CW1403" i="1"/>
  <c r="G1443" i="1"/>
  <c r="V1443" i="1"/>
  <c r="AJ1443" i="1"/>
  <c r="AX1443" i="1"/>
  <c r="BQ1443" i="1"/>
  <c r="BR1443" i="1"/>
  <c r="CC1443" i="1"/>
  <c r="CW1443" i="1"/>
  <c r="G1413" i="1"/>
  <c r="V1413" i="1"/>
  <c r="AJ1413" i="1"/>
  <c r="AX1413" i="1"/>
  <c r="BQ1413" i="1"/>
  <c r="BR1413" i="1"/>
  <c r="CC1413" i="1"/>
  <c r="CW1413" i="1"/>
  <c r="G1410" i="1"/>
  <c r="V1410" i="1"/>
  <c r="AJ1410" i="1"/>
  <c r="AX1410" i="1"/>
  <c r="BQ1410" i="1"/>
  <c r="BR1410" i="1"/>
  <c r="CC1410" i="1"/>
  <c r="CW1410" i="1"/>
  <c r="G544" i="1"/>
  <c r="V544" i="1"/>
  <c r="AJ544" i="1"/>
  <c r="AX544" i="1"/>
  <c r="BQ544" i="1"/>
  <c r="BR544" i="1"/>
  <c r="CC544" i="1"/>
  <c r="CW544" i="1"/>
  <c r="G1476" i="1"/>
  <c r="V1476" i="1"/>
  <c r="AJ1476" i="1"/>
  <c r="AX1476" i="1"/>
  <c r="BQ1476" i="1"/>
  <c r="BR1476" i="1"/>
  <c r="CC1476" i="1"/>
  <c r="CW1476" i="1"/>
  <c r="G513" i="1"/>
  <c r="V513" i="1"/>
  <c r="AJ513" i="1"/>
  <c r="AX513" i="1"/>
  <c r="BQ513" i="1"/>
  <c r="BR513" i="1"/>
  <c r="CC513" i="1"/>
  <c r="CW513" i="1"/>
  <c r="G501" i="1"/>
  <c r="V501" i="1"/>
  <c r="AJ501" i="1"/>
  <c r="AX501" i="1"/>
  <c r="BQ501" i="1"/>
  <c r="BR501" i="1"/>
  <c r="CC501" i="1"/>
  <c r="CW501" i="1"/>
  <c r="G550" i="1"/>
  <c r="V550" i="1"/>
  <c r="AJ550" i="1"/>
  <c r="AX550" i="1"/>
  <c r="BQ550" i="1"/>
  <c r="BR550" i="1"/>
  <c r="CC550" i="1"/>
  <c r="CW550" i="1"/>
  <c r="G1462" i="1"/>
  <c r="V1462" i="1"/>
  <c r="AJ1462" i="1"/>
  <c r="AX1462" i="1"/>
  <c r="BQ1462" i="1"/>
  <c r="BR1462" i="1"/>
  <c r="CC1462" i="1"/>
  <c r="CW1462" i="1"/>
  <c r="G539" i="1"/>
  <c r="V539" i="1"/>
  <c r="AJ539" i="1"/>
  <c r="AX539" i="1"/>
  <c r="BQ539" i="1"/>
  <c r="BR539" i="1"/>
  <c r="CC539" i="1"/>
  <c r="CW539" i="1"/>
  <c r="G1519" i="1"/>
  <c r="V1519" i="1"/>
  <c r="AJ1519" i="1"/>
  <c r="AX1519" i="1"/>
  <c r="BQ1519" i="1"/>
  <c r="BR1519" i="1"/>
  <c r="CC1519" i="1"/>
  <c r="CW1519" i="1"/>
  <c r="G1522" i="1"/>
  <c r="V1522" i="1"/>
  <c r="AJ1522" i="1"/>
  <c r="AX1522" i="1"/>
  <c r="BQ1522" i="1"/>
  <c r="BR1522" i="1"/>
  <c r="CC1522" i="1"/>
  <c r="CW1522" i="1"/>
  <c r="G1341" i="1"/>
  <c r="V1341" i="1"/>
  <c r="AJ1341" i="1"/>
  <c r="AX1341" i="1"/>
  <c r="BQ1341" i="1"/>
  <c r="BR1341" i="1"/>
  <c r="CC1341" i="1"/>
  <c r="CW1341" i="1"/>
  <c r="G947" i="1"/>
  <c r="V947" i="1"/>
  <c r="AJ947" i="1"/>
  <c r="AX947" i="1"/>
  <c r="BQ947" i="1"/>
  <c r="BR947" i="1"/>
  <c r="CC947" i="1"/>
  <c r="CW947" i="1"/>
  <c r="G875" i="1"/>
  <c r="V875" i="1"/>
  <c r="AJ875" i="1"/>
  <c r="AX875" i="1"/>
  <c r="BQ875" i="1"/>
  <c r="BR875" i="1"/>
  <c r="CC875" i="1"/>
  <c r="CW875" i="1"/>
  <c r="G1048" i="1"/>
  <c r="V1048" i="1"/>
  <c r="AJ1048" i="1"/>
  <c r="AX1048" i="1"/>
  <c r="BQ1048" i="1"/>
  <c r="BR1048" i="1"/>
  <c r="CC1048" i="1"/>
  <c r="CW1048" i="1"/>
  <c r="G877" i="1"/>
  <c r="V877" i="1"/>
  <c r="AJ877" i="1"/>
  <c r="AX877" i="1"/>
  <c r="BQ877" i="1"/>
  <c r="BR877" i="1"/>
  <c r="CC877" i="1"/>
  <c r="CW877" i="1"/>
  <c r="G859" i="1"/>
  <c r="V859" i="1"/>
  <c r="AJ859" i="1"/>
  <c r="AX859" i="1"/>
  <c r="BQ859" i="1"/>
  <c r="BR859" i="1"/>
  <c r="CC859" i="1"/>
  <c r="CW859" i="1"/>
  <c r="G729" i="1"/>
  <c r="V729" i="1"/>
  <c r="AJ729" i="1"/>
  <c r="AX729" i="1"/>
  <c r="BQ729" i="1"/>
  <c r="BR729" i="1"/>
  <c r="CC729" i="1"/>
  <c r="CW729" i="1"/>
  <c r="G834" i="1"/>
  <c r="V834" i="1"/>
  <c r="AJ834" i="1"/>
  <c r="AX834" i="1"/>
  <c r="BQ834" i="1"/>
  <c r="BR834" i="1"/>
  <c r="CC834" i="1"/>
  <c r="CW834" i="1"/>
  <c r="G634" i="1"/>
  <c r="V634" i="1"/>
  <c r="AJ634" i="1"/>
  <c r="AX634" i="1"/>
  <c r="BQ634" i="1"/>
  <c r="BR634" i="1"/>
  <c r="CC634" i="1"/>
  <c r="CW634" i="1"/>
  <c r="G609" i="1"/>
  <c r="V609" i="1"/>
  <c r="AJ609" i="1"/>
  <c r="AX609" i="1"/>
  <c r="BQ609" i="1"/>
  <c r="BR609" i="1"/>
  <c r="CC609" i="1"/>
  <c r="CW609" i="1"/>
  <c r="G611" i="1"/>
  <c r="V611" i="1"/>
  <c r="AJ611" i="1"/>
  <c r="AX611" i="1"/>
  <c r="BQ611" i="1"/>
  <c r="BR611" i="1"/>
  <c r="CC611" i="1"/>
  <c r="CW611" i="1"/>
  <c r="G818" i="1"/>
  <c r="V818" i="1"/>
  <c r="AJ818" i="1"/>
  <c r="AX818" i="1"/>
  <c r="BQ818" i="1"/>
  <c r="BR818" i="1"/>
  <c r="CC818" i="1"/>
  <c r="CW818" i="1"/>
  <c r="G790" i="1"/>
  <c r="V790" i="1"/>
  <c r="AJ790" i="1"/>
  <c r="AX790" i="1"/>
  <c r="BQ790" i="1"/>
  <c r="BR790" i="1"/>
  <c r="CC790" i="1"/>
  <c r="CW790" i="1"/>
  <c r="G849" i="1"/>
  <c r="V849" i="1"/>
  <c r="AJ849" i="1"/>
  <c r="AX849" i="1"/>
  <c r="BQ849" i="1"/>
  <c r="BR849" i="1"/>
  <c r="CC849" i="1"/>
  <c r="CW849" i="1"/>
  <c r="G1287" i="1"/>
  <c r="V1287" i="1"/>
  <c r="AJ1287" i="1"/>
  <c r="AX1287" i="1"/>
  <c r="BQ1287" i="1"/>
  <c r="BR1287" i="1"/>
  <c r="CC1287" i="1"/>
  <c r="CW1287" i="1"/>
  <c r="G1380" i="1"/>
  <c r="V1380" i="1"/>
  <c r="AJ1380" i="1"/>
  <c r="AX1380" i="1"/>
  <c r="BQ1380" i="1"/>
  <c r="BR1380" i="1"/>
  <c r="CC1380" i="1"/>
  <c r="CW1380" i="1"/>
  <c r="G890" i="1"/>
  <c r="V890" i="1"/>
  <c r="AJ890" i="1"/>
  <c r="AX890" i="1"/>
  <c r="BQ890" i="1"/>
  <c r="BR890" i="1"/>
  <c r="CC890" i="1"/>
  <c r="CW890" i="1"/>
  <c r="G1220" i="1"/>
  <c r="V1220" i="1"/>
  <c r="AJ1220" i="1"/>
  <c r="AX1220" i="1"/>
  <c r="BQ1220" i="1"/>
  <c r="BR1220" i="1"/>
  <c r="CC1220" i="1"/>
  <c r="CW1220" i="1"/>
  <c r="G968" i="1"/>
  <c r="V968" i="1"/>
  <c r="AJ968" i="1"/>
  <c r="AX968" i="1"/>
  <c r="BQ968" i="1"/>
  <c r="BR968" i="1"/>
  <c r="CC968" i="1"/>
  <c r="CW968" i="1"/>
  <c r="G1001" i="1"/>
  <c r="V1001" i="1"/>
  <c r="AJ1001" i="1"/>
  <c r="AX1001" i="1"/>
  <c r="BQ1001" i="1"/>
  <c r="BR1001" i="1"/>
  <c r="CC1001" i="1"/>
  <c r="CW1001" i="1"/>
  <c r="G705" i="1"/>
  <c r="V705" i="1"/>
  <c r="AJ705" i="1"/>
  <c r="AX705" i="1"/>
  <c r="BQ705" i="1"/>
  <c r="BR705" i="1"/>
  <c r="CC705" i="1"/>
  <c r="CW705" i="1"/>
  <c r="G821" i="1"/>
  <c r="V821" i="1"/>
  <c r="AJ821" i="1"/>
  <c r="AX821" i="1"/>
  <c r="BQ821" i="1"/>
  <c r="BR821" i="1"/>
  <c r="CC821" i="1"/>
  <c r="CW821" i="1"/>
  <c r="G1350" i="1"/>
  <c r="V1350" i="1"/>
  <c r="AJ1350" i="1"/>
  <c r="AX1350" i="1"/>
  <c r="BQ1350" i="1"/>
  <c r="BR1350" i="1"/>
  <c r="CC1350" i="1"/>
  <c r="CW1350" i="1"/>
  <c r="G663" i="1"/>
  <c r="V663" i="1"/>
  <c r="AJ663" i="1"/>
  <c r="AX663" i="1"/>
  <c r="BQ663" i="1"/>
  <c r="BR663" i="1"/>
  <c r="CC663" i="1"/>
  <c r="CW663" i="1"/>
  <c r="G915" i="1"/>
  <c r="V915" i="1"/>
  <c r="AJ915" i="1"/>
  <c r="AX915" i="1"/>
  <c r="BQ915" i="1"/>
  <c r="BR915" i="1"/>
  <c r="CC915" i="1"/>
  <c r="CW915" i="1"/>
  <c r="G761" i="1"/>
  <c r="V761" i="1"/>
  <c r="AJ761" i="1"/>
  <c r="AX761" i="1"/>
  <c r="BQ761" i="1"/>
  <c r="BR761" i="1"/>
  <c r="CC761" i="1"/>
  <c r="CW761" i="1"/>
  <c r="G653" i="1"/>
  <c r="V653" i="1"/>
  <c r="AJ653" i="1"/>
  <c r="AX653" i="1"/>
  <c r="BQ653" i="1"/>
  <c r="BR653" i="1"/>
  <c r="CC653" i="1"/>
  <c r="CW653" i="1"/>
  <c r="G1269" i="1"/>
  <c r="V1269" i="1"/>
  <c r="AJ1269" i="1"/>
  <c r="AX1269" i="1"/>
  <c r="BQ1269" i="1"/>
  <c r="BR1269" i="1"/>
  <c r="CC1269" i="1"/>
  <c r="CW1269" i="1"/>
  <c r="G967" i="1"/>
  <c r="V967" i="1"/>
  <c r="AJ967" i="1"/>
  <c r="AX967" i="1"/>
  <c r="BQ967" i="1"/>
  <c r="BR967" i="1"/>
  <c r="CC967" i="1"/>
  <c r="CW967" i="1"/>
  <c r="G955" i="1"/>
  <c r="V955" i="1"/>
  <c r="AJ955" i="1"/>
  <c r="AX955" i="1"/>
  <c r="BQ955" i="1"/>
  <c r="BR955" i="1"/>
  <c r="CC955" i="1"/>
  <c r="CW955" i="1"/>
  <c r="G1280" i="1"/>
  <c r="V1280" i="1"/>
  <c r="AJ1280" i="1"/>
  <c r="AX1280" i="1"/>
  <c r="BQ1280" i="1"/>
  <c r="BR1280" i="1"/>
  <c r="CC1280" i="1"/>
  <c r="CW1280" i="1"/>
  <c r="G980" i="1"/>
  <c r="V980" i="1"/>
  <c r="AJ980" i="1"/>
  <c r="AX980" i="1"/>
  <c r="BQ980" i="1"/>
  <c r="BR980" i="1"/>
  <c r="CC980" i="1"/>
  <c r="CW980" i="1"/>
  <c r="G775" i="1"/>
  <c r="V775" i="1"/>
  <c r="AJ775" i="1"/>
  <c r="AX775" i="1"/>
  <c r="BQ775" i="1"/>
  <c r="BR775" i="1"/>
  <c r="CC775" i="1"/>
  <c r="CW775" i="1"/>
  <c r="G863" i="1"/>
  <c r="V863" i="1"/>
  <c r="AJ863" i="1"/>
  <c r="AX863" i="1"/>
  <c r="BQ863" i="1"/>
  <c r="BR863" i="1"/>
  <c r="CC863" i="1"/>
  <c r="CW863" i="1"/>
  <c r="G970" i="1"/>
  <c r="V970" i="1"/>
  <c r="AJ970" i="1"/>
  <c r="AX970" i="1"/>
  <c r="BQ970" i="1"/>
  <c r="BR970" i="1"/>
  <c r="CC970" i="1"/>
  <c r="CW970" i="1"/>
  <c r="G1504" i="1"/>
  <c r="V1504" i="1"/>
  <c r="AJ1504" i="1"/>
  <c r="AX1504" i="1"/>
  <c r="BQ1504" i="1"/>
  <c r="BR1504" i="1"/>
  <c r="CC1504" i="1"/>
  <c r="CW1504" i="1"/>
  <c r="G1016" i="1"/>
  <c r="V1016" i="1"/>
  <c r="AJ1016" i="1"/>
  <c r="AX1016" i="1"/>
  <c r="BQ1016" i="1"/>
  <c r="BR1016" i="1"/>
  <c r="CC1016" i="1"/>
  <c r="CW1016" i="1"/>
  <c r="G976" i="1"/>
  <c r="V976" i="1"/>
  <c r="AJ976" i="1"/>
  <c r="AX976" i="1"/>
  <c r="BQ976" i="1"/>
  <c r="BR976" i="1"/>
  <c r="CC976" i="1"/>
  <c r="CW976" i="1"/>
  <c r="G935" i="1"/>
  <c r="V935" i="1"/>
  <c r="AJ935" i="1"/>
  <c r="AX935" i="1"/>
  <c r="BQ935" i="1"/>
  <c r="BR935" i="1"/>
  <c r="CC935" i="1"/>
  <c r="CW935" i="1"/>
  <c r="G293" i="1"/>
  <c r="V293" i="1"/>
  <c r="AJ293" i="1"/>
  <c r="AX293" i="1"/>
  <c r="BQ293" i="1"/>
  <c r="BR293" i="1"/>
  <c r="CC293" i="1"/>
  <c r="CW293" i="1"/>
  <c r="G338" i="1"/>
  <c r="V338" i="1"/>
  <c r="AJ338" i="1"/>
  <c r="AX338" i="1"/>
  <c r="BQ338" i="1"/>
  <c r="BR338" i="1"/>
  <c r="CC338" i="1"/>
  <c r="CW338" i="1"/>
  <c r="G312" i="1"/>
  <c r="V312" i="1"/>
  <c r="AJ312" i="1"/>
  <c r="AX312" i="1"/>
  <c r="BQ312" i="1"/>
  <c r="BR312" i="1"/>
  <c r="CC312" i="1"/>
  <c r="CW312" i="1"/>
  <c r="G1130" i="1"/>
  <c r="V1130" i="1"/>
  <c r="AJ1130" i="1"/>
  <c r="AX1130" i="1"/>
  <c r="BQ1130" i="1"/>
  <c r="BR1130" i="1"/>
  <c r="CC1130" i="1"/>
  <c r="CW1130" i="1"/>
  <c r="G350" i="1"/>
  <c r="V350" i="1"/>
  <c r="AJ350" i="1"/>
  <c r="AX350" i="1"/>
  <c r="BQ350" i="1"/>
  <c r="BR350" i="1"/>
  <c r="CC350" i="1"/>
  <c r="CW350" i="1"/>
  <c r="G345" i="1"/>
  <c r="V345" i="1"/>
  <c r="AJ345" i="1"/>
  <c r="AX345" i="1"/>
  <c r="BQ345" i="1"/>
  <c r="BR345" i="1"/>
  <c r="CC345" i="1"/>
  <c r="CW345" i="1"/>
  <c r="G86" i="1"/>
  <c r="V86" i="1"/>
  <c r="AJ86" i="1"/>
  <c r="AX86" i="1"/>
  <c r="BQ86" i="1"/>
  <c r="BR86" i="1"/>
  <c r="CC86" i="1"/>
  <c r="CW86" i="1"/>
  <c r="G234" i="1"/>
  <c r="V234" i="1"/>
  <c r="AJ234" i="1"/>
  <c r="AX234" i="1"/>
  <c r="BQ234" i="1"/>
  <c r="BR234" i="1"/>
  <c r="CC234" i="1"/>
  <c r="CW234" i="1"/>
  <c r="G154" i="1"/>
  <c r="V154" i="1"/>
  <c r="AJ154" i="1"/>
  <c r="AX154" i="1"/>
  <c r="BQ154" i="1"/>
  <c r="BR154" i="1"/>
  <c r="CC154" i="1"/>
  <c r="CW154" i="1"/>
  <c r="G1116" i="1"/>
  <c r="V1116" i="1"/>
  <c r="AJ1116" i="1"/>
  <c r="AX1116" i="1"/>
  <c r="BQ1116" i="1"/>
  <c r="BR1116" i="1"/>
  <c r="CC1116" i="1"/>
  <c r="CW1116" i="1"/>
  <c r="G1114" i="1"/>
  <c r="V1114" i="1"/>
  <c r="AJ1114" i="1"/>
  <c r="AX1114" i="1"/>
  <c r="BQ1114" i="1"/>
  <c r="BR1114" i="1"/>
  <c r="CC1114" i="1"/>
  <c r="CW1114" i="1"/>
  <c r="G211" i="1"/>
  <c r="V211" i="1"/>
  <c r="AJ211" i="1"/>
  <c r="AX211" i="1"/>
  <c r="BQ211" i="1"/>
  <c r="BR211" i="1"/>
  <c r="CC211" i="1"/>
  <c r="CW211" i="1"/>
  <c r="G284" i="1"/>
  <c r="V284" i="1"/>
  <c r="AJ284" i="1"/>
  <c r="AX284" i="1"/>
  <c r="BQ284" i="1"/>
  <c r="BR284" i="1"/>
  <c r="CC284" i="1"/>
  <c r="CW284" i="1"/>
  <c r="G226" i="1"/>
  <c r="V226" i="1"/>
  <c r="AJ226" i="1"/>
  <c r="AX226" i="1"/>
  <c r="BQ226" i="1"/>
  <c r="BR226" i="1"/>
  <c r="CC226" i="1"/>
  <c r="CW226" i="1"/>
  <c r="G78" i="1"/>
  <c r="V78" i="1"/>
  <c r="AJ78" i="1"/>
  <c r="AX78" i="1"/>
  <c r="BQ78" i="1"/>
  <c r="BR78" i="1"/>
  <c r="CC78" i="1"/>
  <c r="CW78" i="1"/>
  <c r="G282" i="1"/>
  <c r="V282" i="1"/>
  <c r="AJ282" i="1"/>
  <c r="AX282" i="1"/>
  <c r="BQ282" i="1"/>
  <c r="BR282" i="1"/>
  <c r="CC282" i="1"/>
  <c r="CW282" i="1"/>
  <c r="G34" i="1"/>
  <c r="V34" i="1"/>
  <c r="AJ34" i="1"/>
  <c r="AX34" i="1"/>
  <c r="BQ34" i="1"/>
  <c r="BR34" i="1"/>
  <c r="CC34" i="1"/>
  <c r="CW34" i="1"/>
  <c r="G41" i="1"/>
  <c r="V41" i="1"/>
  <c r="AJ41" i="1"/>
  <c r="AX41" i="1"/>
  <c r="BQ41" i="1"/>
  <c r="BR41" i="1"/>
  <c r="CC41" i="1"/>
  <c r="CW41" i="1"/>
  <c r="G215" i="1"/>
  <c r="V215" i="1"/>
  <c r="AJ215" i="1"/>
  <c r="AX215" i="1"/>
  <c r="BQ215" i="1"/>
  <c r="BR215" i="1"/>
  <c r="CC215" i="1"/>
  <c r="CW215" i="1"/>
  <c r="G264" i="1"/>
  <c r="V264" i="1"/>
  <c r="AJ264" i="1"/>
  <c r="AX264" i="1"/>
  <c r="BQ264" i="1"/>
  <c r="BR264" i="1"/>
  <c r="CC264" i="1"/>
  <c r="CW264" i="1"/>
  <c r="G1156" i="1"/>
  <c r="V1156" i="1"/>
  <c r="AJ1156" i="1"/>
  <c r="AX1156" i="1"/>
  <c r="BQ1156" i="1"/>
  <c r="BR1156" i="1"/>
  <c r="CC1156" i="1"/>
  <c r="CW1156" i="1"/>
  <c r="G410" i="1"/>
  <c r="V410" i="1"/>
  <c r="AJ410" i="1"/>
  <c r="AX410" i="1"/>
  <c r="BQ410" i="1"/>
  <c r="BR410" i="1"/>
  <c r="CC410" i="1"/>
  <c r="CW410" i="1"/>
  <c r="G381" i="1"/>
  <c r="V381" i="1"/>
  <c r="AJ381" i="1"/>
  <c r="AX381" i="1"/>
  <c r="BQ381" i="1"/>
  <c r="BR381" i="1"/>
  <c r="CC381" i="1"/>
  <c r="CW381" i="1"/>
  <c r="G393" i="1"/>
  <c r="V393" i="1"/>
  <c r="AJ393" i="1"/>
  <c r="AX393" i="1"/>
  <c r="BQ393" i="1"/>
  <c r="BR393" i="1"/>
  <c r="CC393" i="1"/>
  <c r="CW393" i="1"/>
  <c r="G1367" i="1"/>
  <c r="V1367" i="1"/>
  <c r="AJ1367" i="1"/>
  <c r="AX1367" i="1"/>
  <c r="BQ1367" i="1"/>
  <c r="BR1367" i="1"/>
  <c r="CC1367" i="1"/>
  <c r="CW1367" i="1"/>
  <c r="G1157" i="1"/>
  <c r="V1157" i="1"/>
  <c r="AJ1157" i="1"/>
  <c r="AX1157" i="1"/>
  <c r="BQ1157" i="1"/>
  <c r="BR1157" i="1"/>
  <c r="CC1157" i="1"/>
  <c r="CW1157" i="1"/>
  <c r="G423" i="1"/>
  <c r="V423" i="1"/>
  <c r="AJ423" i="1"/>
  <c r="AX423" i="1"/>
  <c r="BQ423" i="1"/>
  <c r="BR423" i="1"/>
  <c r="CC423" i="1"/>
  <c r="CW423" i="1"/>
  <c r="G1169" i="1"/>
  <c r="V1169" i="1"/>
  <c r="AJ1169" i="1"/>
  <c r="AX1169" i="1"/>
  <c r="BQ1169" i="1"/>
  <c r="BR1169" i="1"/>
  <c r="CC1169" i="1"/>
  <c r="CW1169" i="1"/>
  <c r="G1454" i="1"/>
  <c r="V1454" i="1"/>
  <c r="AJ1454" i="1"/>
  <c r="AX1454" i="1"/>
  <c r="BQ1454" i="1"/>
  <c r="BR1454" i="1"/>
  <c r="CC1454" i="1"/>
  <c r="CW1454" i="1"/>
  <c r="G1395" i="1"/>
  <c r="V1395" i="1"/>
  <c r="AJ1395" i="1"/>
  <c r="AX1395" i="1"/>
  <c r="BQ1395" i="1"/>
  <c r="BR1395" i="1"/>
  <c r="CC1395" i="1"/>
  <c r="CW1395" i="1"/>
  <c r="G1421" i="1"/>
  <c r="V1421" i="1"/>
  <c r="AJ1421" i="1"/>
  <c r="AX1421" i="1"/>
  <c r="BQ1421" i="1"/>
  <c r="BR1421" i="1"/>
  <c r="CC1421" i="1"/>
  <c r="CW1421" i="1"/>
  <c r="G438" i="1"/>
  <c r="V438" i="1"/>
  <c r="AJ438" i="1"/>
  <c r="AX438" i="1"/>
  <c r="BQ438" i="1"/>
  <c r="BR438" i="1"/>
  <c r="CC438" i="1"/>
  <c r="CW438" i="1"/>
  <c r="G1346" i="1"/>
  <c r="V1346" i="1"/>
  <c r="AJ1346" i="1"/>
  <c r="AX1346" i="1"/>
  <c r="BQ1346" i="1"/>
  <c r="BR1346" i="1"/>
  <c r="CC1346" i="1"/>
  <c r="CW1346" i="1"/>
  <c r="G1427" i="1"/>
  <c r="V1427" i="1"/>
  <c r="AJ1427" i="1"/>
  <c r="AX1427" i="1"/>
  <c r="BQ1427" i="1"/>
  <c r="BR1427" i="1"/>
  <c r="CC1427" i="1"/>
  <c r="CW1427" i="1"/>
  <c r="G1438" i="1"/>
  <c r="V1438" i="1"/>
  <c r="AJ1438" i="1"/>
  <c r="AX1438" i="1"/>
  <c r="BQ1438" i="1"/>
  <c r="BR1438" i="1"/>
  <c r="CC1438" i="1"/>
  <c r="CW1438" i="1"/>
  <c r="G1316" i="1"/>
  <c r="V1316" i="1"/>
  <c r="AJ1316" i="1"/>
  <c r="AX1316" i="1"/>
  <c r="BQ1316" i="1"/>
  <c r="BR1316" i="1"/>
  <c r="CC1316" i="1"/>
  <c r="CW1316" i="1"/>
  <c r="G1445" i="1"/>
  <c r="V1445" i="1"/>
  <c r="AJ1445" i="1"/>
  <c r="AX1445" i="1"/>
  <c r="BQ1445" i="1"/>
  <c r="BR1445" i="1"/>
  <c r="CC1445" i="1"/>
  <c r="CW1445" i="1"/>
  <c r="G1434" i="1"/>
  <c r="V1434" i="1"/>
  <c r="AJ1434" i="1"/>
  <c r="AX1434" i="1"/>
  <c r="BQ1434" i="1"/>
  <c r="BR1434" i="1"/>
  <c r="CC1434" i="1"/>
  <c r="CW1434" i="1"/>
  <c r="G1414" i="1"/>
  <c r="V1414" i="1"/>
  <c r="AJ1414" i="1"/>
  <c r="AX1414" i="1"/>
  <c r="BQ1414" i="1"/>
  <c r="BR1414" i="1"/>
  <c r="CC1414" i="1"/>
  <c r="CW1414" i="1"/>
  <c r="G1177" i="1"/>
  <c r="V1177" i="1"/>
  <c r="AJ1177" i="1"/>
  <c r="AX1177" i="1"/>
  <c r="BQ1177" i="1"/>
  <c r="BR1177" i="1"/>
  <c r="CC1177" i="1"/>
  <c r="CW1177" i="1"/>
  <c r="G591" i="1"/>
  <c r="V591" i="1"/>
  <c r="AJ591" i="1"/>
  <c r="AX591" i="1"/>
  <c r="BQ591" i="1"/>
  <c r="BR591" i="1"/>
  <c r="CC591" i="1"/>
  <c r="CW591" i="1"/>
  <c r="G1178" i="1"/>
  <c r="V1178" i="1"/>
  <c r="AJ1178" i="1"/>
  <c r="AX1178" i="1"/>
  <c r="BQ1178" i="1"/>
  <c r="BR1178" i="1"/>
  <c r="CC1178" i="1"/>
  <c r="CW1178" i="1"/>
  <c r="G571" i="1"/>
  <c r="V571" i="1"/>
  <c r="AJ571" i="1"/>
  <c r="AX571" i="1"/>
  <c r="BQ571" i="1"/>
  <c r="BR571" i="1"/>
  <c r="CC571" i="1"/>
  <c r="CW571" i="1"/>
  <c r="G1479" i="1"/>
  <c r="V1479" i="1"/>
  <c r="AJ1479" i="1"/>
  <c r="AX1479" i="1"/>
  <c r="BQ1479" i="1"/>
  <c r="BR1479" i="1"/>
  <c r="CC1479" i="1"/>
  <c r="CW1479" i="1"/>
  <c r="G1176" i="1"/>
  <c r="V1176" i="1"/>
  <c r="AJ1176" i="1"/>
  <c r="AX1176" i="1"/>
  <c r="BQ1176" i="1"/>
  <c r="BR1176" i="1"/>
  <c r="CC1176" i="1"/>
  <c r="CW1176" i="1"/>
  <c r="G1478" i="1"/>
  <c r="V1478" i="1"/>
  <c r="AJ1478" i="1"/>
  <c r="AX1478" i="1"/>
  <c r="BQ1478" i="1"/>
  <c r="BR1478" i="1"/>
  <c r="CC1478" i="1"/>
  <c r="CW1478" i="1"/>
  <c r="G525" i="1"/>
  <c r="V525" i="1"/>
  <c r="AJ525" i="1"/>
  <c r="AX525" i="1"/>
  <c r="BQ525" i="1"/>
  <c r="BR525" i="1"/>
  <c r="CC525" i="1"/>
  <c r="CW525" i="1"/>
  <c r="G502" i="1"/>
  <c r="V502" i="1"/>
  <c r="AJ502" i="1"/>
  <c r="AX502" i="1"/>
  <c r="BQ502" i="1"/>
  <c r="BR502" i="1"/>
  <c r="CC502" i="1"/>
  <c r="CW502" i="1"/>
  <c r="G518" i="1"/>
  <c r="V518" i="1"/>
  <c r="AJ518" i="1"/>
  <c r="AX518" i="1"/>
  <c r="BQ518" i="1"/>
  <c r="BR518" i="1"/>
  <c r="CC518" i="1"/>
  <c r="CW518" i="1"/>
  <c r="G1180" i="1"/>
  <c r="V1180" i="1"/>
  <c r="AJ1180" i="1"/>
  <c r="AX1180" i="1"/>
  <c r="BQ1180" i="1"/>
  <c r="BR1180" i="1"/>
  <c r="CC1180" i="1"/>
  <c r="CW1180" i="1"/>
  <c r="G1173" i="1"/>
  <c r="V1173" i="1"/>
  <c r="AJ1173" i="1"/>
  <c r="AX1173" i="1"/>
  <c r="BQ1173" i="1"/>
  <c r="BR1173" i="1"/>
  <c r="CC1173" i="1"/>
  <c r="CW1173" i="1"/>
  <c r="G517" i="1"/>
  <c r="V517" i="1"/>
  <c r="AJ517" i="1"/>
  <c r="AX517" i="1"/>
  <c r="BQ517" i="1"/>
  <c r="BR517" i="1"/>
  <c r="CC517" i="1"/>
  <c r="CW517" i="1"/>
  <c r="G494" i="1"/>
  <c r="V494" i="1"/>
  <c r="AJ494" i="1"/>
  <c r="AX494" i="1"/>
  <c r="BQ494" i="1"/>
  <c r="BR494" i="1"/>
  <c r="CC494" i="1"/>
  <c r="CW494" i="1"/>
  <c r="G1516" i="1"/>
  <c r="V1516" i="1"/>
  <c r="AJ1516" i="1"/>
  <c r="AX1516" i="1"/>
  <c r="BQ1516" i="1"/>
  <c r="BR1516" i="1"/>
  <c r="CC1516" i="1"/>
  <c r="CW1516" i="1"/>
  <c r="G1020" i="1"/>
  <c r="V1020" i="1"/>
  <c r="AJ1020" i="1"/>
  <c r="AX1020" i="1"/>
  <c r="BQ1020" i="1"/>
  <c r="BR1020" i="1"/>
  <c r="CC1020" i="1"/>
  <c r="CW1020" i="1"/>
  <c r="G1098" i="1"/>
  <c r="V1098" i="1"/>
  <c r="AJ1098" i="1"/>
  <c r="AX1098" i="1"/>
  <c r="BQ1098" i="1"/>
  <c r="BR1098" i="1"/>
  <c r="CC1098" i="1"/>
  <c r="CW1098" i="1"/>
  <c r="G985" i="1"/>
  <c r="V985" i="1"/>
  <c r="AJ985" i="1"/>
  <c r="AX985" i="1"/>
  <c r="BQ985" i="1"/>
  <c r="BR985" i="1"/>
  <c r="CC985" i="1"/>
  <c r="CW985" i="1"/>
  <c r="G1034" i="1"/>
  <c r="V1034" i="1"/>
  <c r="AJ1034" i="1"/>
  <c r="AX1034" i="1"/>
  <c r="BQ1034" i="1"/>
  <c r="BR1034" i="1"/>
  <c r="CC1034" i="1"/>
  <c r="CW1034" i="1"/>
  <c r="G1253" i="1"/>
  <c r="V1253" i="1"/>
  <c r="AJ1253" i="1"/>
  <c r="AX1253" i="1"/>
  <c r="BQ1253" i="1"/>
  <c r="BR1253" i="1"/>
  <c r="CC1253" i="1"/>
  <c r="CW1253" i="1"/>
  <c r="G953" i="1"/>
  <c r="V953" i="1"/>
  <c r="AJ953" i="1"/>
  <c r="AX953" i="1"/>
  <c r="BQ953" i="1"/>
  <c r="BR953" i="1"/>
  <c r="CC953" i="1"/>
  <c r="CW953" i="1"/>
  <c r="G748" i="1"/>
  <c r="V748" i="1"/>
  <c r="AJ748" i="1"/>
  <c r="AX748" i="1"/>
  <c r="BQ748" i="1"/>
  <c r="BR748" i="1"/>
  <c r="CC748" i="1"/>
  <c r="CW748" i="1"/>
  <c r="G969" i="1"/>
  <c r="V969" i="1"/>
  <c r="AJ969" i="1"/>
  <c r="AX969" i="1"/>
  <c r="BQ969" i="1"/>
  <c r="BR969" i="1"/>
  <c r="CC969" i="1"/>
  <c r="CW969" i="1"/>
  <c r="G613" i="1"/>
  <c r="V613" i="1"/>
  <c r="AJ613" i="1"/>
  <c r="AX613" i="1"/>
  <c r="BQ613" i="1"/>
  <c r="BR613" i="1"/>
  <c r="CC613" i="1"/>
  <c r="CW613" i="1"/>
  <c r="G630" i="1"/>
  <c r="V630" i="1"/>
  <c r="AJ630" i="1"/>
  <c r="AX630" i="1"/>
  <c r="BQ630" i="1"/>
  <c r="BR630" i="1"/>
  <c r="CC630" i="1"/>
  <c r="CW630" i="1"/>
  <c r="G682" i="1"/>
  <c r="V682" i="1"/>
  <c r="AJ682" i="1"/>
  <c r="AX682" i="1"/>
  <c r="BQ682" i="1"/>
  <c r="BR682" i="1"/>
  <c r="CC682" i="1"/>
  <c r="CW682" i="1"/>
  <c r="G1072" i="1"/>
  <c r="V1072" i="1"/>
  <c r="AJ1072" i="1"/>
  <c r="AX1072" i="1"/>
  <c r="BQ1072" i="1"/>
  <c r="BR1072" i="1"/>
  <c r="CC1072" i="1"/>
  <c r="CW1072" i="1"/>
  <c r="G982" i="1"/>
  <c r="V982" i="1"/>
  <c r="AJ982" i="1"/>
  <c r="AX982" i="1"/>
  <c r="BQ982" i="1"/>
  <c r="BR982" i="1"/>
  <c r="CC982" i="1"/>
  <c r="CW982" i="1"/>
  <c r="G815" i="1"/>
  <c r="V815" i="1"/>
  <c r="AJ815" i="1"/>
  <c r="AX815" i="1"/>
  <c r="BQ815" i="1"/>
  <c r="BR815" i="1"/>
  <c r="CC815" i="1"/>
  <c r="CW815" i="1"/>
  <c r="G921" i="1"/>
  <c r="V921" i="1"/>
  <c r="AJ921" i="1"/>
  <c r="AX921" i="1"/>
  <c r="BQ921" i="1"/>
  <c r="BR921" i="1"/>
  <c r="CC921" i="1"/>
  <c r="CW921" i="1"/>
  <c r="G857" i="1"/>
  <c r="V857" i="1"/>
  <c r="AJ857" i="1"/>
  <c r="AX857" i="1"/>
  <c r="BQ857" i="1"/>
  <c r="BR857" i="1"/>
  <c r="CC857" i="1"/>
  <c r="CW857" i="1"/>
  <c r="G709" i="1"/>
  <c r="V709" i="1"/>
  <c r="AJ709" i="1"/>
  <c r="AX709" i="1"/>
  <c r="BQ709" i="1"/>
  <c r="BR709" i="1"/>
  <c r="CC709" i="1"/>
  <c r="CW709" i="1"/>
  <c r="G1080" i="1"/>
  <c r="V1080" i="1"/>
  <c r="AJ1080" i="1"/>
  <c r="AX1080" i="1"/>
  <c r="BQ1080" i="1"/>
  <c r="BR1080" i="1"/>
  <c r="CC1080" i="1"/>
  <c r="CW1080" i="1"/>
  <c r="G840" i="1"/>
  <c r="V840" i="1"/>
  <c r="AJ840" i="1"/>
  <c r="AX840" i="1"/>
  <c r="BQ840" i="1"/>
  <c r="BR840" i="1"/>
  <c r="CC840" i="1"/>
  <c r="CW840" i="1"/>
  <c r="G989" i="1"/>
  <c r="V989" i="1"/>
  <c r="AJ989" i="1"/>
  <c r="AX989" i="1"/>
  <c r="BQ989" i="1"/>
  <c r="BR989" i="1"/>
  <c r="CC989" i="1"/>
  <c r="CW989" i="1"/>
  <c r="G934" i="1"/>
  <c r="V934" i="1"/>
  <c r="AJ934" i="1"/>
  <c r="AX934" i="1"/>
  <c r="BQ934" i="1"/>
  <c r="BR934" i="1"/>
  <c r="CC934" i="1"/>
  <c r="CW934" i="1"/>
  <c r="G828" i="1"/>
  <c r="V828" i="1"/>
  <c r="AJ828" i="1"/>
  <c r="AX828" i="1"/>
  <c r="BQ828" i="1"/>
  <c r="BR828" i="1"/>
  <c r="CC828" i="1"/>
  <c r="CW828" i="1"/>
  <c r="G648" i="1"/>
  <c r="V648" i="1"/>
  <c r="AJ648" i="1"/>
  <c r="AX648" i="1"/>
  <c r="BQ648" i="1"/>
  <c r="BR648" i="1"/>
  <c r="CC648" i="1"/>
  <c r="CW648" i="1"/>
  <c r="G670" i="1"/>
  <c r="V670" i="1"/>
  <c r="AJ670" i="1"/>
  <c r="AX670" i="1"/>
  <c r="BQ670" i="1"/>
  <c r="BR670" i="1"/>
  <c r="CC670" i="1"/>
  <c r="CW670" i="1"/>
  <c r="G1273" i="1"/>
  <c r="V1273" i="1"/>
  <c r="AJ1273" i="1"/>
  <c r="AX1273" i="1"/>
  <c r="BQ1273" i="1"/>
  <c r="BR1273" i="1"/>
  <c r="CC1273" i="1"/>
  <c r="CW1273" i="1"/>
  <c r="G1198" i="1"/>
  <c r="V1198" i="1"/>
  <c r="AJ1198" i="1"/>
  <c r="AX1198" i="1"/>
  <c r="BQ1198" i="1"/>
  <c r="BR1198" i="1"/>
  <c r="CC1198" i="1"/>
  <c r="CW1198" i="1"/>
  <c r="G1496" i="1"/>
  <c r="V1496" i="1"/>
  <c r="AJ1496" i="1"/>
  <c r="AX1496" i="1"/>
  <c r="BQ1496" i="1"/>
  <c r="BR1496" i="1"/>
  <c r="CC1496" i="1"/>
  <c r="CW1496" i="1"/>
  <c r="G1279" i="1"/>
  <c r="V1279" i="1"/>
  <c r="AJ1279" i="1"/>
  <c r="AX1279" i="1"/>
  <c r="BQ1279" i="1"/>
  <c r="BR1279" i="1"/>
  <c r="CC1279" i="1"/>
  <c r="CW1279" i="1"/>
  <c r="G745" i="1"/>
  <c r="V745" i="1"/>
  <c r="AJ745" i="1"/>
  <c r="AX745" i="1"/>
  <c r="BQ745" i="1"/>
  <c r="BR745" i="1"/>
  <c r="CC745" i="1"/>
  <c r="CW745" i="1"/>
  <c r="G1240" i="1"/>
  <c r="V1240" i="1"/>
  <c r="AJ1240" i="1"/>
  <c r="AX1240" i="1"/>
  <c r="BQ1240" i="1"/>
  <c r="BR1240" i="1"/>
  <c r="CC1240" i="1"/>
  <c r="CW1240" i="1"/>
  <c r="G1336" i="1"/>
  <c r="V1336" i="1"/>
  <c r="AJ1336" i="1"/>
  <c r="AX1336" i="1"/>
  <c r="BQ1336" i="1"/>
  <c r="BR1336" i="1"/>
  <c r="CC1336" i="1"/>
  <c r="CW1336" i="1"/>
  <c r="G1298" i="1"/>
  <c r="V1298" i="1"/>
  <c r="AJ1298" i="1"/>
  <c r="AX1298" i="1"/>
  <c r="BQ1298" i="1"/>
  <c r="BR1298" i="1"/>
  <c r="CC1298" i="1"/>
  <c r="CW1298" i="1"/>
  <c r="G922" i="1"/>
  <c r="V922" i="1"/>
  <c r="AJ922" i="1"/>
  <c r="AX922" i="1"/>
  <c r="BQ922" i="1"/>
  <c r="BR922" i="1"/>
  <c r="CC922" i="1"/>
  <c r="CW922" i="1"/>
  <c r="G1086" i="1"/>
  <c r="V1086" i="1"/>
  <c r="AJ1086" i="1"/>
  <c r="AX1086" i="1"/>
  <c r="BQ1086" i="1"/>
  <c r="BR1086" i="1"/>
  <c r="CC1086" i="1"/>
  <c r="CW1086" i="1"/>
  <c r="G722" i="1"/>
  <c r="V722" i="1"/>
  <c r="AJ722" i="1"/>
  <c r="AX722" i="1"/>
  <c r="BQ722" i="1"/>
  <c r="BR722" i="1"/>
  <c r="CC722" i="1"/>
  <c r="CW722" i="1"/>
  <c r="G1251" i="1"/>
  <c r="V1251" i="1"/>
  <c r="AJ1251" i="1"/>
  <c r="AX1251" i="1"/>
  <c r="BQ1251" i="1"/>
  <c r="BR1251" i="1"/>
  <c r="CC1251" i="1"/>
  <c r="CW1251" i="1"/>
  <c r="G876" i="1"/>
  <c r="V876" i="1"/>
  <c r="AJ876" i="1"/>
  <c r="AX876" i="1"/>
  <c r="BQ876" i="1"/>
  <c r="BR876" i="1"/>
  <c r="CC876" i="1"/>
  <c r="CW876" i="1"/>
  <c r="G879" i="1"/>
  <c r="V879" i="1"/>
  <c r="AJ879" i="1"/>
  <c r="AX879" i="1"/>
  <c r="BQ879" i="1"/>
  <c r="BR879" i="1"/>
  <c r="CC879" i="1"/>
  <c r="CW879" i="1"/>
  <c r="G340" i="1"/>
  <c r="V340" i="1"/>
  <c r="AJ340" i="1"/>
  <c r="AX340" i="1"/>
  <c r="BQ340" i="1"/>
  <c r="BR340" i="1"/>
  <c r="CC340" i="1"/>
  <c r="CW340" i="1"/>
  <c r="G1143" i="1"/>
  <c r="V1143" i="1"/>
  <c r="AJ1143" i="1"/>
  <c r="AX1143" i="1"/>
  <c r="BQ1143" i="1"/>
  <c r="BR1143" i="1"/>
  <c r="CC1143" i="1"/>
  <c r="CW1143" i="1"/>
  <c r="G297" i="1"/>
  <c r="V297" i="1"/>
  <c r="AJ297" i="1"/>
  <c r="AX297" i="1"/>
  <c r="BQ297" i="1"/>
  <c r="BR297" i="1"/>
  <c r="CC297" i="1"/>
  <c r="CW297" i="1"/>
  <c r="G288" i="1"/>
  <c r="V288" i="1"/>
  <c r="AJ288" i="1"/>
  <c r="AX288" i="1"/>
  <c r="BQ288" i="1"/>
  <c r="BR288" i="1"/>
  <c r="CC288" i="1"/>
  <c r="CW288" i="1"/>
  <c r="G1128" i="1"/>
  <c r="V1128" i="1"/>
  <c r="AJ1128" i="1"/>
  <c r="AX1128" i="1"/>
  <c r="BQ1128" i="1"/>
  <c r="BR1128" i="1"/>
  <c r="CC1128" i="1"/>
  <c r="CW1128" i="1"/>
  <c r="G309" i="1"/>
  <c r="V309" i="1"/>
  <c r="AJ309" i="1"/>
  <c r="AX309" i="1"/>
  <c r="BQ309" i="1"/>
  <c r="BR309" i="1"/>
  <c r="CC309" i="1"/>
  <c r="CW309" i="1"/>
  <c r="G1137" i="1"/>
  <c r="V1137" i="1"/>
  <c r="AJ1137" i="1"/>
  <c r="AX1137" i="1"/>
  <c r="BQ1137" i="1"/>
  <c r="BR1137" i="1"/>
  <c r="CC1137" i="1"/>
  <c r="CW1137" i="1"/>
  <c r="G266" i="1"/>
  <c r="V266" i="1"/>
  <c r="AJ266" i="1"/>
  <c r="AX266" i="1"/>
  <c r="BQ266" i="1"/>
  <c r="BR266" i="1"/>
  <c r="CC266" i="1"/>
  <c r="CW266" i="1"/>
  <c r="G244" i="1"/>
  <c r="V244" i="1"/>
  <c r="AJ244" i="1"/>
  <c r="AX244" i="1"/>
  <c r="BQ244" i="1"/>
  <c r="BR244" i="1"/>
  <c r="CC244" i="1"/>
  <c r="CW244" i="1"/>
  <c r="G115" i="1"/>
  <c r="V115" i="1"/>
  <c r="AJ115" i="1"/>
  <c r="AX115" i="1"/>
  <c r="BQ115" i="1"/>
  <c r="BR115" i="1"/>
  <c r="CC115" i="1"/>
  <c r="CW115" i="1"/>
  <c r="G25" i="1"/>
  <c r="V25" i="1"/>
  <c r="AJ25" i="1"/>
  <c r="AX25" i="1"/>
  <c r="BQ25" i="1"/>
  <c r="BR25" i="1"/>
  <c r="CC25" i="1"/>
  <c r="CW25" i="1"/>
  <c r="G253" i="1"/>
  <c r="V253" i="1"/>
  <c r="AJ253" i="1"/>
  <c r="AX253" i="1"/>
  <c r="BQ253" i="1"/>
  <c r="BR253" i="1"/>
  <c r="CC253" i="1"/>
  <c r="CW253" i="1"/>
  <c r="G69" i="1"/>
  <c r="V69" i="1"/>
  <c r="AJ69" i="1"/>
  <c r="AX69" i="1"/>
  <c r="BQ69" i="1"/>
  <c r="BR69" i="1"/>
  <c r="CC69" i="1"/>
  <c r="CW69" i="1"/>
  <c r="G77" i="1"/>
  <c r="V77" i="1"/>
  <c r="AJ77" i="1"/>
  <c r="AX77" i="1"/>
  <c r="BQ77" i="1"/>
  <c r="BR77" i="1"/>
  <c r="CC77" i="1"/>
  <c r="CW77" i="1"/>
  <c r="G212" i="1"/>
  <c r="V212" i="1"/>
  <c r="AJ212" i="1"/>
  <c r="AX212" i="1"/>
  <c r="BQ212" i="1"/>
  <c r="BR212" i="1"/>
  <c r="CC212" i="1"/>
  <c r="CW212" i="1"/>
  <c r="G107" i="1"/>
  <c r="V107" i="1"/>
  <c r="AJ107" i="1"/>
  <c r="AX107" i="1"/>
  <c r="BQ107" i="1"/>
  <c r="BR107" i="1"/>
  <c r="CC107" i="1"/>
  <c r="CW107" i="1"/>
  <c r="G192" i="1"/>
  <c r="V192" i="1"/>
  <c r="AJ192" i="1"/>
  <c r="AX192" i="1"/>
  <c r="BQ192" i="1"/>
  <c r="BR192" i="1"/>
  <c r="CC192" i="1"/>
  <c r="CW192" i="1"/>
  <c r="G146" i="1"/>
  <c r="V146" i="1"/>
  <c r="AJ146" i="1"/>
  <c r="AX146" i="1"/>
  <c r="BQ146" i="1"/>
  <c r="BR146" i="1"/>
  <c r="CC146" i="1"/>
  <c r="CW146" i="1"/>
  <c r="G145" i="1"/>
  <c r="V145" i="1"/>
  <c r="AJ145" i="1"/>
  <c r="AX145" i="1"/>
  <c r="BQ145" i="1"/>
  <c r="BR145" i="1"/>
  <c r="CC145" i="1"/>
  <c r="CW145" i="1"/>
  <c r="G229" i="1"/>
  <c r="V229" i="1"/>
  <c r="AJ229" i="1"/>
  <c r="AX229" i="1"/>
  <c r="BQ229" i="1"/>
  <c r="BR229" i="1"/>
  <c r="CC229" i="1"/>
  <c r="CW229" i="1"/>
  <c r="G261" i="1"/>
  <c r="V261" i="1"/>
  <c r="AJ261" i="1"/>
  <c r="AX261" i="1"/>
  <c r="BQ261" i="1"/>
  <c r="BR261" i="1"/>
  <c r="CC261" i="1"/>
  <c r="CW261" i="1"/>
  <c r="G98" i="1"/>
  <c r="V98" i="1"/>
  <c r="AJ98" i="1"/>
  <c r="AX98" i="1"/>
  <c r="BQ98" i="1"/>
  <c r="BR98" i="1"/>
  <c r="CC98" i="1"/>
  <c r="CW98" i="1"/>
  <c r="G161" i="1"/>
  <c r="V161" i="1"/>
  <c r="AJ161" i="1"/>
  <c r="AX161" i="1"/>
  <c r="BQ161" i="1"/>
  <c r="BR161" i="1"/>
  <c r="CC161" i="1"/>
  <c r="CW161" i="1"/>
  <c r="G231" i="1"/>
  <c r="V231" i="1"/>
  <c r="AJ231" i="1"/>
  <c r="AX231" i="1"/>
  <c r="BQ231" i="1"/>
  <c r="BR231" i="1"/>
  <c r="CC231" i="1"/>
  <c r="CW231" i="1"/>
  <c r="G35" i="1"/>
  <c r="V35" i="1"/>
  <c r="AJ35" i="1"/>
  <c r="AX35" i="1"/>
  <c r="BQ35" i="1"/>
  <c r="BR35" i="1"/>
  <c r="CC35" i="1"/>
  <c r="CW35" i="1"/>
  <c r="G395" i="1"/>
  <c r="V395" i="1"/>
  <c r="AJ395" i="1"/>
  <c r="AX395" i="1"/>
  <c r="BQ395" i="1"/>
  <c r="BR395" i="1"/>
  <c r="CC395" i="1"/>
  <c r="CW395" i="1"/>
  <c r="G371" i="1"/>
  <c r="V371" i="1"/>
  <c r="AJ371" i="1"/>
  <c r="AX371" i="1"/>
  <c r="BQ371" i="1"/>
  <c r="BR371" i="1"/>
  <c r="CC371" i="1"/>
  <c r="CW371" i="1"/>
  <c r="G386" i="1"/>
  <c r="V386" i="1"/>
  <c r="AJ386" i="1"/>
  <c r="AX386" i="1"/>
  <c r="BQ386" i="1"/>
  <c r="BR386" i="1"/>
  <c r="CC386" i="1"/>
  <c r="CW386" i="1"/>
  <c r="G473" i="1"/>
  <c r="V473" i="1"/>
  <c r="AJ473" i="1"/>
  <c r="AX473" i="1"/>
  <c r="BQ473" i="1"/>
  <c r="BR473" i="1"/>
  <c r="CC473" i="1"/>
  <c r="CW473" i="1"/>
  <c r="G1420" i="1"/>
  <c r="V1420" i="1"/>
  <c r="AJ1420" i="1"/>
  <c r="AX1420" i="1"/>
  <c r="BQ1420" i="1"/>
  <c r="BR1420" i="1"/>
  <c r="CC1420" i="1"/>
  <c r="CW1420" i="1"/>
  <c r="G1430" i="1"/>
  <c r="V1430" i="1"/>
  <c r="AJ1430" i="1"/>
  <c r="AX1430" i="1"/>
  <c r="BQ1430" i="1"/>
  <c r="BR1430" i="1"/>
  <c r="CC1430" i="1"/>
  <c r="CW1430" i="1"/>
  <c r="G1396" i="1"/>
  <c r="V1396" i="1"/>
  <c r="AJ1396" i="1"/>
  <c r="AX1396" i="1"/>
  <c r="BQ1396" i="1"/>
  <c r="BR1396" i="1"/>
  <c r="CC1396" i="1"/>
  <c r="CW1396" i="1"/>
  <c r="G450" i="1"/>
  <c r="V450" i="1"/>
  <c r="AJ450" i="1"/>
  <c r="AX450" i="1"/>
  <c r="BQ450" i="1"/>
  <c r="BR450" i="1"/>
  <c r="CC450" i="1"/>
  <c r="CW450" i="1"/>
  <c r="G1372" i="1"/>
  <c r="V1372" i="1"/>
  <c r="AJ1372" i="1"/>
  <c r="AX1372" i="1"/>
  <c r="BQ1372" i="1"/>
  <c r="BR1372" i="1"/>
  <c r="CC1372" i="1"/>
  <c r="CW1372" i="1"/>
  <c r="G1428" i="1"/>
  <c r="V1428" i="1"/>
  <c r="AJ1428" i="1"/>
  <c r="AX1428" i="1"/>
  <c r="BQ1428" i="1"/>
  <c r="BR1428" i="1"/>
  <c r="CC1428" i="1"/>
  <c r="CW1428" i="1"/>
  <c r="G1168" i="1"/>
  <c r="V1168" i="1"/>
  <c r="AJ1168" i="1"/>
  <c r="AX1168" i="1"/>
  <c r="BQ1168" i="1"/>
  <c r="BR1168" i="1"/>
  <c r="CC1168" i="1"/>
  <c r="CW1168" i="1"/>
  <c r="G1401" i="1"/>
  <c r="V1401" i="1"/>
  <c r="AJ1401" i="1"/>
  <c r="AX1401" i="1"/>
  <c r="BQ1401" i="1"/>
  <c r="BR1401" i="1"/>
  <c r="CC1401" i="1"/>
  <c r="CW1401" i="1"/>
  <c r="G559" i="1"/>
  <c r="V559" i="1"/>
  <c r="AJ559" i="1"/>
  <c r="AX559" i="1"/>
  <c r="BQ559" i="1"/>
  <c r="BR559" i="1"/>
  <c r="CC559" i="1"/>
  <c r="CW559" i="1"/>
  <c r="G1477" i="1"/>
  <c r="V1477" i="1"/>
  <c r="AJ1477" i="1"/>
  <c r="AX1477" i="1"/>
  <c r="BQ1477" i="1"/>
  <c r="BR1477" i="1"/>
  <c r="CC1477" i="1"/>
  <c r="CW1477" i="1"/>
  <c r="G1468" i="1"/>
  <c r="V1468" i="1"/>
  <c r="AJ1468" i="1"/>
  <c r="AX1468" i="1"/>
  <c r="BQ1468" i="1"/>
  <c r="BR1468" i="1"/>
  <c r="CC1468" i="1"/>
  <c r="CW1468" i="1"/>
  <c r="G1318" i="1"/>
  <c r="V1318" i="1"/>
  <c r="AJ1318" i="1"/>
  <c r="AX1318" i="1"/>
  <c r="BQ1318" i="1"/>
  <c r="BR1318" i="1"/>
  <c r="CC1318" i="1"/>
  <c r="CW1318" i="1"/>
  <c r="G533" i="1"/>
  <c r="V533" i="1"/>
  <c r="AJ533" i="1"/>
  <c r="AX533" i="1"/>
  <c r="BQ533" i="1"/>
  <c r="BR533" i="1"/>
  <c r="CC533" i="1"/>
  <c r="CW533" i="1"/>
  <c r="G506" i="1"/>
  <c r="V506" i="1"/>
  <c r="AJ506" i="1"/>
  <c r="AX506" i="1"/>
  <c r="BQ506" i="1"/>
  <c r="BR506" i="1"/>
  <c r="CC506" i="1"/>
  <c r="CW506" i="1"/>
  <c r="G795" i="1"/>
  <c r="V795" i="1"/>
  <c r="AJ795" i="1"/>
  <c r="AX795" i="1"/>
  <c r="BQ795" i="1"/>
  <c r="BR795" i="1"/>
  <c r="CC795" i="1"/>
  <c r="CW795" i="1"/>
  <c r="G865" i="1"/>
  <c r="V865" i="1"/>
  <c r="AJ865" i="1"/>
  <c r="AX865" i="1"/>
  <c r="BQ865" i="1"/>
  <c r="BR865" i="1"/>
  <c r="CC865" i="1"/>
  <c r="CW865" i="1"/>
  <c r="G1069" i="1"/>
  <c r="V1069" i="1"/>
  <c r="AJ1069" i="1"/>
  <c r="AX1069" i="1"/>
  <c r="BQ1069" i="1"/>
  <c r="BR1069" i="1"/>
  <c r="CC1069" i="1"/>
  <c r="CW1069" i="1"/>
  <c r="G933" i="1"/>
  <c r="V933" i="1"/>
  <c r="AJ933" i="1"/>
  <c r="AX933" i="1"/>
  <c r="BQ933" i="1"/>
  <c r="BR933" i="1"/>
  <c r="CC933" i="1"/>
  <c r="CW933" i="1"/>
  <c r="G1040" i="1"/>
  <c r="V1040" i="1"/>
  <c r="AJ1040" i="1"/>
  <c r="AX1040" i="1"/>
  <c r="BQ1040" i="1"/>
  <c r="BR1040" i="1"/>
  <c r="CC1040" i="1"/>
  <c r="CW1040" i="1"/>
  <c r="G1062" i="1"/>
  <c r="V1062" i="1"/>
  <c r="AJ1062" i="1"/>
  <c r="AX1062" i="1"/>
  <c r="BQ1062" i="1"/>
  <c r="BR1062" i="1"/>
  <c r="CC1062" i="1"/>
  <c r="CW1062" i="1"/>
  <c r="G1206" i="1"/>
  <c r="V1206" i="1"/>
  <c r="AJ1206" i="1"/>
  <c r="AX1206" i="1"/>
  <c r="BQ1206" i="1"/>
  <c r="BR1206" i="1"/>
  <c r="CC1206" i="1"/>
  <c r="CW1206" i="1"/>
  <c r="G1351" i="1"/>
  <c r="V1351" i="1"/>
  <c r="AJ1351" i="1"/>
  <c r="AX1351" i="1"/>
  <c r="BQ1351" i="1"/>
  <c r="BR1351" i="1"/>
  <c r="CC1351" i="1"/>
  <c r="CW1351" i="1"/>
  <c r="G605" i="1"/>
  <c r="V605" i="1"/>
  <c r="AJ605" i="1"/>
  <c r="AX605" i="1"/>
  <c r="BQ605" i="1"/>
  <c r="BR605" i="1"/>
  <c r="CC605" i="1"/>
  <c r="CW605" i="1"/>
  <c r="G640" i="1"/>
  <c r="V640" i="1"/>
  <c r="AJ640" i="1"/>
  <c r="AX640" i="1"/>
  <c r="BQ640" i="1"/>
  <c r="BR640" i="1"/>
  <c r="CC640" i="1"/>
  <c r="CW640" i="1"/>
  <c r="G1294" i="1"/>
  <c r="V1294" i="1"/>
  <c r="AJ1294" i="1"/>
  <c r="AX1294" i="1"/>
  <c r="BQ1294" i="1"/>
  <c r="BR1294" i="1"/>
  <c r="CC1294" i="1"/>
  <c r="CW1294" i="1"/>
  <c r="G1000" i="1"/>
  <c r="V1000" i="1"/>
  <c r="AJ1000" i="1"/>
  <c r="AX1000" i="1"/>
  <c r="BQ1000" i="1"/>
  <c r="BR1000" i="1"/>
  <c r="CC1000" i="1"/>
  <c r="CW1000" i="1"/>
  <c r="G1037" i="1"/>
  <c r="V1037" i="1"/>
  <c r="AJ1037" i="1"/>
  <c r="AX1037" i="1"/>
  <c r="BQ1037" i="1"/>
  <c r="BR1037" i="1"/>
  <c r="CC1037" i="1"/>
  <c r="CW1037" i="1"/>
  <c r="G827" i="1"/>
  <c r="V827" i="1"/>
  <c r="AJ827" i="1"/>
  <c r="AX827" i="1"/>
  <c r="BQ827" i="1"/>
  <c r="BR827" i="1"/>
  <c r="CC827" i="1"/>
  <c r="CW827" i="1"/>
  <c r="G1295" i="1"/>
  <c r="V1295" i="1"/>
  <c r="AJ1295" i="1"/>
  <c r="AX1295" i="1"/>
  <c r="BQ1295" i="1"/>
  <c r="BR1295" i="1"/>
  <c r="CC1295" i="1"/>
  <c r="CW1295" i="1"/>
  <c r="G1365" i="1"/>
  <c r="V1365" i="1"/>
  <c r="AJ1365" i="1"/>
  <c r="AX1365" i="1"/>
  <c r="BQ1365" i="1"/>
  <c r="BR1365" i="1"/>
  <c r="CC1365" i="1"/>
  <c r="CW1365" i="1"/>
  <c r="G1032" i="1"/>
  <c r="V1032" i="1"/>
  <c r="AJ1032" i="1"/>
  <c r="AX1032" i="1"/>
  <c r="BQ1032" i="1"/>
  <c r="BR1032" i="1"/>
  <c r="CC1032" i="1"/>
  <c r="CW1032" i="1"/>
  <c r="G957" i="1"/>
  <c r="V957" i="1"/>
  <c r="AJ957" i="1"/>
  <c r="AX957" i="1"/>
  <c r="BQ957" i="1"/>
  <c r="BR957" i="1"/>
  <c r="CC957" i="1"/>
  <c r="CW957" i="1"/>
  <c r="G868" i="1"/>
  <c r="V868" i="1"/>
  <c r="AJ868" i="1"/>
  <c r="AX868" i="1"/>
  <c r="BQ868" i="1"/>
  <c r="BR868" i="1"/>
  <c r="CC868" i="1"/>
  <c r="CW868" i="1"/>
  <c r="G945" i="1"/>
  <c r="V945" i="1"/>
  <c r="AJ945" i="1"/>
  <c r="AX945" i="1"/>
  <c r="BQ945" i="1"/>
  <c r="BR945" i="1"/>
  <c r="CC945" i="1"/>
  <c r="CW945" i="1"/>
  <c r="G848" i="1"/>
  <c r="V848" i="1"/>
  <c r="AJ848" i="1"/>
  <c r="AX848" i="1"/>
  <c r="BQ848" i="1"/>
  <c r="BR848" i="1"/>
  <c r="CC848" i="1"/>
  <c r="CW848" i="1"/>
  <c r="G1247" i="1"/>
  <c r="V1247" i="1"/>
  <c r="AJ1247" i="1"/>
  <c r="AX1247" i="1"/>
  <c r="BQ1247" i="1"/>
  <c r="BR1247" i="1"/>
  <c r="CC1247" i="1"/>
  <c r="CW1247" i="1"/>
  <c r="G1196" i="1"/>
  <c r="V1196" i="1"/>
  <c r="AJ1196" i="1"/>
  <c r="AX1196" i="1"/>
  <c r="BQ1196" i="1"/>
  <c r="BR1196" i="1"/>
  <c r="CC1196" i="1"/>
  <c r="CW1196" i="1"/>
  <c r="G647" i="1"/>
  <c r="V647" i="1"/>
  <c r="AJ647" i="1"/>
  <c r="AX647" i="1"/>
  <c r="BQ647" i="1"/>
  <c r="BR647" i="1"/>
  <c r="CC647" i="1"/>
  <c r="CW647" i="1"/>
  <c r="G669" i="1"/>
  <c r="V669" i="1"/>
  <c r="AJ669" i="1"/>
  <c r="AX669" i="1"/>
  <c r="BQ669" i="1"/>
  <c r="BR669" i="1"/>
  <c r="CC669" i="1"/>
  <c r="CW669" i="1"/>
  <c r="G716" i="1"/>
  <c r="V716" i="1"/>
  <c r="AJ716" i="1"/>
  <c r="AX716" i="1"/>
  <c r="BQ716" i="1"/>
  <c r="BR716" i="1"/>
  <c r="CC716" i="1"/>
  <c r="CW716" i="1"/>
  <c r="G1202" i="1"/>
  <c r="V1202" i="1"/>
  <c r="AJ1202" i="1"/>
  <c r="AX1202" i="1"/>
  <c r="BQ1202" i="1"/>
  <c r="BR1202" i="1"/>
  <c r="CC1202" i="1"/>
  <c r="CW1202" i="1"/>
  <c r="G650" i="1"/>
  <c r="V650" i="1"/>
  <c r="AJ650" i="1"/>
  <c r="AX650" i="1"/>
  <c r="BQ650" i="1"/>
  <c r="BR650" i="1"/>
  <c r="CC650" i="1"/>
  <c r="CW650" i="1"/>
  <c r="G886" i="1"/>
  <c r="V886" i="1"/>
  <c r="AJ886" i="1"/>
  <c r="AX886" i="1"/>
  <c r="BQ886" i="1"/>
  <c r="BR886" i="1"/>
  <c r="CC886" i="1"/>
  <c r="CW886" i="1"/>
  <c r="G1201" i="1"/>
  <c r="V1201" i="1"/>
  <c r="AJ1201" i="1"/>
  <c r="AX1201" i="1"/>
  <c r="BQ1201" i="1"/>
  <c r="BR1201" i="1"/>
  <c r="CC1201" i="1"/>
  <c r="CW1201" i="1"/>
  <c r="G1252" i="1"/>
  <c r="V1252" i="1"/>
  <c r="AJ1252" i="1"/>
  <c r="AX1252" i="1"/>
  <c r="BQ1252" i="1"/>
  <c r="BR1252" i="1"/>
  <c r="CC1252" i="1"/>
  <c r="CW1252" i="1"/>
  <c r="G710" i="1"/>
  <c r="V710" i="1"/>
  <c r="AJ710" i="1"/>
  <c r="AX710" i="1"/>
  <c r="BQ710" i="1"/>
  <c r="BR710" i="1"/>
  <c r="CC710" i="1"/>
  <c r="CW710" i="1"/>
  <c r="G910" i="1"/>
  <c r="V910" i="1"/>
  <c r="AJ910" i="1"/>
  <c r="AX910" i="1"/>
  <c r="BQ910" i="1"/>
  <c r="BR910" i="1"/>
  <c r="CC910" i="1"/>
  <c r="CW910" i="1"/>
  <c r="G1096" i="1"/>
  <c r="V1096" i="1"/>
  <c r="AJ1096" i="1"/>
  <c r="AX1096" i="1"/>
  <c r="BQ1096" i="1"/>
  <c r="BR1096" i="1"/>
  <c r="CC1096" i="1"/>
  <c r="CW1096" i="1"/>
  <c r="G1028" i="1"/>
  <c r="V1028" i="1"/>
  <c r="AJ1028" i="1"/>
  <c r="AX1028" i="1"/>
  <c r="BQ1028" i="1"/>
  <c r="BR1028" i="1"/>
  <c r="CC1028" i="1"/>
  <c r="CK1028" i="1"/>
  <c r="CW1028" i="1"/>
  <c r="G883" i="1"/>
  <c r="V883" i="1"/>
  <c r="AJ883" i="1"/>
  <c r="AX883" i="1"/>
  <c r="BQ883" i="1"/>
  <c r="BR883" i="1"/>
  <c r="CC883" i="1"/>
  <c r="CW883" i="1"/>
  <c r="G929" i="1"/>
  <c r="V929" i="1"/>
  <c r="AJ929" i="1"/>
  <c r="AX929" i="1"/>
  <c r="BQ929" i="1"/>
  <c r="BR929" i="1"/>
  <c r="CC929" i="1"/>
  <c r="CW929" i="1"/>
  <c r="G1483" i="1"/>
  <c r="V1483" i="1"/>
  <c r="AJ1483" i="1"/>
  <c r="AX1483" i="1"/>
  <c r="BQ1483" i="1"/>
  <c r="BR1483" i="1"/>
  <c r="CC1483" i="1"/>
  <c r="CW1483" i="1"/>
  <c r="G974" i="1"/>
  <c r="V974" i="1"/>
  <c r="AJ974" i="1"/>
  <c r="AX974" i="1"/>
  <c r="BQ974" i="1"/>
  <c r="BR974" i="1"/>
  <c r="CC974" i="1"/>
  <c r="CW974" i="1"/>
  <c r="G988" i="1"/>
  <c r="V988" i="1"/>
  <c r="AJ988" i="1"/>
  <c r="AX988" i="1"/>
  <c r="BQ988" i="1"/>
  <c r="BR988" i="1"/>
  <c r="CC988" i="1"/>
  <c r="CW988" i="1"/>
  <c r="G891" i="1"/>
  <c r="V891" i="1"/>
  <c r="AJ891" i="1"/>
  <c r="AX891" i="1"/>
  <c r="BQ891" i="1"/>
  <c r="BR891" i="1"/>
  <c r="CC891" i="1"/>
  <c r="CW891" i="1"/>
  <c r="G1217" i="1"/>
  <c r="V1217" i="1"/>
  <c r="AJ1217" i="1"/>
  <c r="AX1217" i="1"/>
  <c r="BQ1217" i="1"/>
  <c r="BR1217" i="1"/>
  <c r="CC1217" i="1"/>
  <c r="CW1217" i="1"/>
  <c r="G904" i="1"/>
  <c r="V904" i="1"/>
  <c r="AJ904" i="1"/>
  <c r="AX904" i="1"/>
  <c r="BQ904" i="1"/>
  <c r="BR904" i="1"/>
  <c r="CC904" i="1"/>
  <c r="CW904" i="1"/>
  <c r="G780" i="1"/>
  <c r="V780" i="1"/>
  <c r="AJ780" i="1"/>
  <c r="AX780" i="1"/>
  <c r="BQ780" i="1"/>
  <c r="BR780" i="1"/>
  <c r="CC780" i="1"/>
  <c r="CW780" i="1"/>
  <c r="G1263" i="1"/>
  <c r="V1263" i="1"/>
  <c r="AJ1263" i="1"/>
  <c r="AX1263" i="1"/>
  <c r="BQ1263" i="1"/>
  <c r="BR1263" i="1"/>
  <c r="CC1263" i="1"/>
  <c r="CW1263" i="1"/>
  <c r="G977" i="1"/>
  <c r="V977" i="1"/>
  <c r="AJ977" i="1"/>
  <c r="AX977" i="1"/>
  <c r="BQ977" i="1"/>
  <c r="BR977" i="1"/>
  <c r="CC977" i="1"/>
  <c r="CW977" i="1"/>
  <c r="G1142" i="1"/>
  <c r="V1142" i="1"/>
  <c r="AJ1142" i="1"/>
  <c r="AX1142" i="1"/>
  <c r="BQ1142" i="1"/>
  <c r="BR1142" i="1"/>
  <c r="CC1142" i="1"/>
  <c r="CW1142" i="1"/>
  <c r="G317" i="1"/>
  <c r="V317" i="1"/>
  <c r="AJ317" i="1"/>
  <c r="AX317" i="1"/>
  <c r="BQ317" i="1"/>
  <c r="BR317" i="1"/>
  <c r="CC317" i="1"/>
  <c r="CW317" i="1"/>
  <c r="G303" i="1"/>
  <c r="V303" i="1"/>
  <c r="AJ303" i="1"/>
  <c r="AX303" i="1"/>
  <c r="BQ303" i="1"/>
  <c r="BR303" i="1"/>
  <c r="CC303" i="1"/>
  <c r="CW303" i="1"/>
  <c r="G277" i="1"/>
  <c r="V277" i="1"/>
  <c r="AJ277" i="1"/>
  <c r="AX277" i="1"/>
  <c r="BQ277" i="1"/>
  <c r="BR277" i="1"/>
  <c r="CC277" i="1"/>
  <c r="CW277" i="1"/>
  <c r="G46" i="1"/>
  <c r="V46" i="1"/>
  <c r="AJ46" i="1"/>
  <c r="AX46" i="1"/>
  <c r="BQ46" i="1"/>
  <c r="BR46" i="1"/>
  <c r="CC46" i="1"/>
  <c r="CW46" i="1"/>
  <c r="G257" i="1"/>
  <c r="V257" i="1"/>
  <c r="AJ257" i="1"/>
  <c r="AX257" i="1"/>
  <c r="BQ257" i="1"/>
  <c r="BR257" i="1"/>
  <c r="CC257" i="1"/>
  <c r="CW257" i="1"/>
  <c r="G164" i="1"/>
  <c r="V164" i="1"/>
  <c r="AJ164" i="1"/>
  <c r="AX164" i="1"/>
  <c r="BQ164" i="1"/>
  <c r="BR164" i="1"/>
  <c r="CC164" i="1"/>
  <c r="CW164" i="1"/>
  <c r="G251" i="1"/>
  <c r="V251" i="1"/>
  <c r="AJ251" i="1"/>
  <c r="AX251" i="1"/>
  <c r="BQ251" i="1"/>
  <c r="BR251" i="1"/>
  <c r="CC251" i="1"/>
  <c r="CW251" i="1"/>
  <c r="G200" i="1"/>
  <c r="V200" i="1"/>
  <c r="AJ200" i="1"/>
  <c r="AX200" i="1"/>
  <c r="BQ200" i="1"/>
  <c r="BR200" i="1"/>
  <c r="CC200" i="1"/>
  <c r="CW200" i="1"/>
  <c r="G114" i="1"/>
  <c r="V114" i="1"/>
  <c r="AJ114" i="1"/>
  <c r="AX114" i="1"/>
  <c r="BQ114" i="1"/>
  <c r="BR114" i="1"/>
  <c r="CC114" i="1"/>
  <c r="CW114" i="1"/>
  <c r="G180" i="1"/>
  <c r="V180" i="1"/>
  <c r="AJ180" i="1"/>
  <c r="AX180" i="1"/>
  <c r="BQ180" i="1"/>
  <c r="BR180" i="1"/>
  <c r="CC180" i="1"/>
  <c r="CW180" i="1"/>
  <c r="G157" i="1"/>
  <c r="V157" i="1"/>
  <c r="AJ157" i="1"/>
  <c r="AX157" i="1"/>
  <c r="BQ157" i="1"/>
  <c r="BR157" i="1"/>
  <c r="CC157" i="1"/>
  <c r="CW157" i="1"/>
  <c r="G269" i="1"/>
  <c r="V269" i="1"/>
  <c r="AJ269" i="1"/>
  <c r="AX269" i="1"/>
  <c r="BQ269" i="1"/>
  <c r="BR269" i="1"/>
  <c r="CC269" i="1"/>
  <c r="CW269" i="1"/>
  <c r="G178" i="1"/>
  <c r="V178" i="1"/>
  <c r="AJ178" i="1"/>
  <c r="AX178" i="1"/>
  <c r="BQ178" i="1"/>
  <c r="BR178" i="1"/>
  <c r="CC178" i="1"/>
  <c r="CW178" i="1"/>
  <c r="G1118" i="1"/>
  <c r="V1118" i="1"/>
  <c r="AJ1118" i="1"/>
  <c r="AX1118" i="1"/>
  <c r="BQ1118" i="1"/>
  <c r="BR1118" i="1"/>
  <c r="CC1118" i="1"/>
  <c r="CW1118" i="1"/>
  <c r="G96" i="1"/>
  <c r="V96" i="1"/>
  <c r="AJ96" i="1"/>
  <c r="AX96" i="1"/>
  <c r="BQ96" i="1"/>
  <c r="BR96" i="1"/>
  <c r="CC96" i="1"/>
  <c r="CW96" i="1"/>
  <c r="G22" i="1"/>
  <c r="V22" i="1"/>
  <c r="AJ22" i="1"/>
  <c r="AX22" i="1"/>
  <c r="BQ22" i="1"/>
  <c r="BR22" i="1"/>
  <c r="CC22" i="1"/>
  <c r="CW22" i="1"/>
  <c r="G144" i="1"/>
  <c r="V144" i="1"/>
  <c r="AJ144" i="1"/>
  <c r="AX144" i="1"/>
  <c r="BQ144" i="1"/>
  <c r="BR144" i="1"/>
  <c r="CC144" i="1"/>
  <c r="CW144" i="1"/>
  <c r="G55" i="1"/>
  <c r="V55" i="1"/>
  <c r="AJ55" i="1"/>
  <c r="AX55" i="1"/>
  <c r="BQ55" i="1"/>
  <c r="BR55" i="1"/>
  <c r="CC55" i="1"/>
  <c r="CW55" i="1"/>
  <c r="G206" i="1"/>
  <c r="V206" i="1"/>
  <c r="AJ206" i="1"/>
  <c r="AX206" i="1"/>
  <c r="BQ206" i="1"/>
  <c r="BR206" i="1"/>
  <c r="CC206" i="1"/>
  <c r="CW206" i="1"/>
  <c r="G128" i="1"/>
  <c r="V128" i="1"/>
  <c r="AJ128" i="1"/>
  <c r="AX128" i="1"/>
  <c r="BQ128" i="1"/>
  <c r="BR128" i="1"/>
  <c r="CC128" i="1"/>
  <c r="CW128" i="1"/>
  <c r="G30" i="1"/>
  <c r="V30" i="1"/>
  <c r="AJ30" i="1"/>
  <c r="AX30" i="1"/>
  <c r="BQ30" i="1"/>
  <c r="BR30" i="1"/>
  <c r="CC30" i="1"/>
  <c r="CW30" i="1"/>
  <c r="G135" i="1"/>
  <c r="V135" i="1"/>
  <c r="AJ135" i="1"/>
  <c r="AX135" i="1"/>
  <c r="BQ135" i="1"/>
  <c r="BR135" i="1"/>
  <c r="CC135" i="1"/>
  <c r="CW135" i="1"/>
  <c r="G133" i="1"/>
  <c r="V133" i="1"/>
  <c r="AJ133" i="1"/>
  <c r="AX133" i="1"/>
  <c r="BQ133" i="1"/>
  <c r="BR133" i="1"/>
  <c r="CC133" i="1"/>
  <c r="CW133" i="1"/>
  <c r="G375" i="1"/>
  <c r="V375" i="1"/>
  <c r="AJ375" i="1"/>
  <c r="AX375" i="1"/>
  <c r="BQ375" i="1"/>
  <c r="BR375" i="1"/>
  <c r="CC375" i="1"/>
  <c r="CW375" i="1"/>
  <c r="G397" i="1"/>
  <c r="V397" i="1"/>
  <c r="AJ397" i="1"/>
  <c r="AX397" i="1"/>
  <c r="BQ397" i="1"/>
  <c r="BR397" i="1"/>
  <c r="CC397" i="1"/>
  <c r="CW397" i="1"/>
  <c r="G1429" i="1"/>
  <c r="V1429" i="1"/>
  <c r="AJ1429" i="1"/>
  <c r="AX1429" i="1"/>
  <c r="BQ1429" i="1"/>
  <c r="BR1429" i="1"/>
  <c r="CC1429" i="1"/>
  <c r="CW1429" i="1"/>
  <c r="G474" i="1"/>
  <c r="V474" i="1"/>
  <c r="AJ474" i="1"/>
  <c r="AX474" i="1"/>
  <c r="BQ474" i="1"/>
  <c r="BR474" i="1"/>
  <c r="CC474" i="1"/>
  <c r="CW474" i="1"/>
  <c r="G1406" i="1"/>
  <c r="V1406" i="1"/>
  <c r="AJ1406" i="1"/>
  <c r="AX1406" i="1"/>
  <c r="BQ1406" i="1"/>
  <c r="BR1406" i="1"/>
  <c r="CC1406" i="1"/>
  <c r="CW1406" i="1"/>
  <c r="G1458" i="1"/>
  <c r="V1458" i="1"/>
  <c r="AJ1458" i="1"/>
  <c r="AX1458" i="1"/>
  <c r="BQ1458" i="1"/>
  <c r="BR1458" i="1"/>
  <c r="CC1458" i="1"/>
  <c r="CW1458" i="1"/>
  <c r="G1447" i="1"/>
  <c r="V1447" i="1"/>
  <c r="AJ1447" i="1"/>
  <c r="AX1447" i="1"/>
  <c r="BQ1447" i="1"/>
  <c r="BR1447" i="1"/>
  <c r="CC1447" i="1"/>
  <c r="CW1447" i="1"/>
  <c r="G1439" i="1"/>
  <c r="V1439" i="1"/>
  <c r="AJ1439" i="1"/>
  <c r="AX1439" i="1"/>
  <c r="BQ1439" i="1"/>
  <c r="BR1439" i="1"/>
  <c r="CC1439" i="1"/>
  <c r="CW1439" i="1"/>
  <c r="G1456" i="1"/>
  <c r="V1456" i="1"/>
  <c r="AJ1456" i="1"/>
  <c r="AX1456" i="1"/>
  <c r="BQ1456" i="1"/>
  <c r="BR1456" i="1"/>
  <c r="CC1456" i="1"/>
  <c r="CW1456" i="1"/>
  <c r="G1369" i="1"/>
  <c r="V1369" i="1"/>
  <c r="AJ1369" i="1"/>
  <c r="AX1369" i="1"/>
  <c r="BQ1369" i="1"/>
  <c r="BR1369" i="1"/>
  <c r="CC1369" i="1"/>
  <c r="CW1369" i="1"/>
  <c r="G1378" i="1"/>
  <c r="V1378" i="1"/>
  <c r="AJ1378" i="1"/>
  <c r="AX1378" i="1"/>
  <c r="BQ1378" i="1"/>
  <c r="BR1378" i="1"/>
  <c r="CC1378" i="1"/>
  <c r="CW1378" i="1"/>
  <c r="G536" i="1"/>
  <c r="V536" i="1"/>
  <c r="AJ536" i="1"/>
  <c r="AX536" i="1"/>
  <c r="BQ536" i="1"/>
  <c r="BR536" i="1"/>
  <c r="CC536" i="1"/>
  <c r="CW536" i="1"/>
  <c r="G556" i="1"/>
  <c r="V556" i="1"/>
  <c r="AJ556" i="1"/>
  <c r="AX556" i="1"/>
  <c r="BQ556" i="1"/>
  <c r="BR556" i="1"/>
  <c r="CC556" i="1"/>
  <c r="CW556" i="1"/>
  <c r="G546" i="1"/>
  <c r="V546" i="1"/>
  <c r="AJ546" i="1"/>
  <c r="AX546" i="1"/>
  <c r="BQ546" i="1"/>
  <c r="BR546" i="1"/>
  <c r="CC546" i="1"/>
  <c r="CW546" i="1"/>
  <c r="G564" i="1"/>
  <c r="V564" i="1"/>
  <c r="AJ564" i="1"/>
  <c r="AX564" i="1"/>
  <c r="BQ564" i="1"/>
  <c r="BR564" i="1"/>
  <c r="CC564" i="1"/>
  <c r="CW564" i="1"/>
  <c r="G560" i="1"/>
  <c r="V560" i="1"/>
  <c r="AJ560" i="1"/>
  <c r="AX560" i="1"/>
  <c r="BQ560" i="1"/>
  <c r="BR560" i="1"/>
  <c r="CC560" i="1"/>
  <c r="CW560" i="1"/>
  <c r="G530" i="1"/>
  <c r="V530" i="1"/>
  <c r="AJ530" i="1"/>
  <c r="AX530" i="1"/>
  <c r="BQ530" i="1"/>
  <c r="BR530" i="1"/>
  <c r="CC530" i="1"/>
  <c r="CW530" i="1"/>
  <c r="G1464" i="1"/>
  <c r="V1464" i="1"/>
  <c r="AJ1464" i="1"/>
  <c r="AX1464" i="1"/>
  <c r="BQ1464" i="1"/>
  <c r="BR1464" i="1"/>
  <c r="CC1464" i="1"/>
  <c r="CW1464" i="1"/>
  <c r="G1463" i="1"/>
  <c r="V1463" i="1"/>
  <c r="AJ1463" i="1"/>
  <c r="AX1463" i="1"/>
  <c r="BQ1463" i="1"/>
  <c r="BR1463" i="1"/>
  <c r="CC1463" i="1"/>
  <c r="CW1463" i="1"/>
  <c r="G720" i="1"/>
  <c r="V720" i="1"/>
  <c r="AJ720" i="1"/>
  <c r="AX720" i="1"/>
  <c r="BQ720" i="1"/>
  <c r="BR720" i="1"/>
  <c r="CC720" i="1"/>
  <c r="CW720" i="1"/>
  <c r="G808" i="1"/>
  <c r="V808" i="1"/>
  <c r="AJ808" i="1"/>
  <c r="AX808" i="1"/>
  <c r="BQ808" i="1"/>
  <c r="BR808" i="1"/>
  <c r="CC808" i="1"/>
  <c r="CW808" i="1"/>
  <c r="G1204" i="1"/>
  <c r="V1204" i="1"/>
  <c r="AJ1204" i="1"/>
  <c r="AX1204" i="1"/>
  <c r="BQ1204" i="1"/>
  <c r="BR1204" i="1"/>
  <c r="CC1204" i="1"/>
  <c r="CW1204" i="1"/>
  <c r="G1485" i="1"/>
  <c r="V1485" i="1"/>
  <c r="AJ1485" i="1"/>
  <c r="AX1485" i="1"/>
  <c r="BQ1485" i="1"/>
  <c r="BR1485" i="1"/>
  <c r="CC1485" i="1"/>
  <c r="CW1485" i="1"/>
  <c r="G1205" i="1"/>
  <c r="V1205" i="1"/>
  <c r="AJ1205" i="1"/>
  <c r="AX1205" i="1"/>
  <c r="BQ1205" i="1"/>
  <c r="BR1205" i="1"/>
  <c r="CC1205" i="1"/>
  <c r="CW1205" i="1"/>
  <c r="G677" i="1"/>
  <c r="V677" i="1"/>
  <c r="AJ677" i="1"/>
  <c r="AX677" i="1"/>
  <c r="BQ677" i="1"/>
  <c r="BR677" i="1"/>
  <c r="CC677" i="1"/>
  <c r="CW677" i="1"/>
  <c r="G645" i="1"/>
  <c r="V645" i="1"/>
  <c r="AJ645" i="1"/>
  <c r="AX645" i="1"/>
  <c r="BQ645" i="1"/>
  <c r="BR645" i="1"/>
  <c r="CC645" i="1"/>
  <c r="CW645" i="1"/>
  <c r="G644" i="1"/>
  <c r="V644" i="1"/>
  <c r="AJ644" i="1"/>
  <c r="AX644" i="1"/>
  <c r="BQ644" i="1"/>
  <c r="BR644" i="1"/>
  <c r="CC644" i="1"/>
  <c r="CW644" i="1"/>
  <c r="G675" i="1"/>
  <c r="V675" i="1"/>
  <c r="AJ675" i="1"/>
  <c r="AX675" i="1"/>
  <c r="BQ675" i="1"/>
  <c r="BR675" i="1"/>
  <c r="CC675" i="1"/>
  <c r="CW675" i="1"/>
  <c r="G625" i="1"/>
  <c r="V625" i="1"/>
  <c r="AJ625" i="1"/>
  <c r="AX625" i="1"/>
  <c r="BQ625" i="1"/>
  <c r="BR625" i="1"/>
  <c r="CC625" i="1"/>
  <c r="CW625" i="1"/>
  <c r="G586" i="1"/>
  <c r="V586" i="1"/>
  <c r="AJ586" i="1"/>
  <c r="AX586" i="1"/>
  <c r="BQ586" i="1"/>
  <c r="BR586" i="1"/>
  <c r="CC586" i="1"/>
  <c r="CW586" i="1"/>
  <c r="G622" i="1"/>
  <c r="V622" i="1"/>
  <c r="AJ622" i="1"/>
  <c r="AX622" i="1"/>
  <c r="BQ622" i="1"/>
  <c r="BR622" i="1"/>
  <c r="CC622" i="1"/>
  <c r="CW622" i="1"/>
  <c r="G1354" i="1"/>
  <c r="V1354" i="1"/>
  <c r="AJ1354" i="1"/>
  <c r="AX1354" i="1"/>
  <c r="BQ1354" i="1"/>
  <c r="BR1354" i="1"/>
  <c r="CC1354" i="1"/>
  <c r="CW1354" i="1"/>
  <c r="G1242" i="1"/>
  <c r="V1242" i="1"/>
  <c r="AJ1242" i="1"/>
  <c r="AX1242" i="1"/>
  <c r="BQ1242" i="1"/>
  <c r="BR1242" i="1"/>
  <c r="CC1242" i="1"/>
  <c r="CW1242" i="1"/>
  <c r="G991" i="1"/>
  <c r="V991" i="1"/>
  <c r="AJ991" i="1"/>
  <c r="AX991" i="1"/>
  <c r="BQ991" i="1"/>
  <c r="BR991" i="1"/>
  <c r="CC991" i="1"/>
  <c r="CW991" i="1"/>
  <c r="G835" i="1"/>
  <c r="V835" i="1"/>
  <c r="AJ835" i="1"/>
  <c r="AX835" i="1"/>
  <c r="BQ835" i="1"/>
  <c r="BR835" i="1"/>
  <c r="CC835" i="1"/>
  <c r="CW835" i="1"/>
  <c r="G1277" i="1"/>
  <c r="V1277" i="1"/>
  <c r="AJ1277" i="1"/>
  <c r="AX1277" i="1"/>
  <c r="BQ1277" i="1"/>
  <c r="BR1277" i="1"/>
  <c r="CC1277" i="1"/>
  <c r="CW1277" i="1"/>
  <c r="G1499" i="1"/>
  <c r="V1499" i="1"/>
  <c r="AJ1499" i="1"/>
  <c r="AX1499" i="1"/>
  <c r="BQ1499" i="1"/>
  <c r="BR1499" i="1"/>
  <c r="CC1499" i="1"/>
  <c r="CW1499" i="1"/>
  <c r="G1245" i="1"/>
  <c r="V1245" i="1"/>
  <c r="AJ1245" i="1"/>
  <c r="AX1245" i="1"/>
  <c r="BQ1245" i="1"/>
  <c r="BR1245" i="1"/>
  <c r="CC1245" i="1"/>
  <c r="CW1245" i="1"/>
  <c r="G1356" i="1"/>
  <c r="V1356" i="1"/>
  <c r="AJ1356" i="1"/>
  <c r="AX1356" i="1"/>
  <c r="BQ1356" i="1"/>
  <c r="BR1356" i="1"/>
  <c r="CC1356" i="1"/>
  <c r="CW1356" i="1"/>
  <c r="G646" i="1"/>
  <c r="V646" i="1"/>
  <c r="AJ646" i="1"/>
  <c r="AX646" i="1"/>
  <c r="BQ646" i="1"/>
  <c r="BR646" i="1"/>
  <c r="CC646" i="1"/>
  <c r="CW646" i="1"/>
  <c r="G771" i="1"/>
  <c r="V771" i="1"/>
  <c r="AJ771" i="1"/>
  <c r="AX771" i="1"/>
  <c r="BQ771" i="1"/>
  <c r="BR771" i="1"/>
  <c r="CC771" i="1"/>
  <c r="CW771" i="1"/>
  <c r="G667" i="1"/>
  <c r="V667" i="1"/>
  <c r="AJ667" i="1"/>
  <c r="AX667" i="1"/>
  <c r="BQ667" i="1"/>
  <c r="BR667" i="1"/>
  <c r="CC667" i="1"/>
  <c r="CW667" i="1"/>
  <c r="G1200" i="1"/>
  <c r="V1200" i="1"/>
  <c r="AJ1200" i="1"/>
  <c r="AX1200" i="1"/>
  <c r="BQ1200" i="1"/>
  <c r="BR1200" i="1"/>
  <c r="CC1200" i="1"/>
  <c r="CW1200" i="1"/>
  <c r="G892" i="1"/>
  <c r="V892" i="1"/>
  <c r="AJ892" i="1"/>
  <c r="AX892" i="1"/>
  <c r="BQ892" i="1"/>
  <c r="BR892" i="1"/>
  <c r="CC892" i="1"/>
  <c r="CW892" i="1"/>
  <c r="G657" i="1"/>
  <c r="V657" i="1"/>
  <c r="AJ657" i="1"/>
  <c r="AX657" i="1"/>
  <c r="BQ657" i="1"/>
  <c r="BR657" i="1"/>
  <c r="CC657" i="1"/>
  <c r="CW657" i="1"/>
  <c r="G852" i="1"/>
  <c r="V852" i="1"/>
  <c r="AJ852" i="1"/>
  <c r="AX852" i="1"/>
  <c r="BQ852" i="1"/>
  <c r="BR852" i="1"/>
  <c r="CC852" i="1"/>
  <c r="CW852" i="1"/>
  <c r="G948" i="1"/>
  <c r="V948" i="1"/>
  <c r="AJ948" i="1"/>
  <c r="AX948" i="1"/>
  <c r="BQ948" i="1"/>
  <c r="BR948" i="1"/>
  <c r="CC948" i="1"/>
  <c r="CW948" i="1"/>
  <c r="G651" i="1"/>
  <c r="V651" i="1"/>
  <c r="AJ651" i="1"/>
  <c r="AX651" i="1"/>
  <c r="BQ651" i="1"/>
  <c r="BR651" i="1"/>
  <c r="CC651" i="1"/>
  <c r="CW651" i="1"/>
  <c r="G1197" i="1"/>
  <c r="V1197" i="1"/>
  <c r="AJ1197" i="1"/>
  <c r="AX1197" i="1"/>
  <c r="BQ1197" i="1"/>
  <c r="BR1197" i="1"/>
  <c r="CC1197" i="1"/>
  <c r="CW1197" i="1"/>
  <c r="G656" i="1"/>
  <c r="V656" i="1"/>
  <c r="AJ656" i="1"/>
  <c r="AX656" i="1"/>
  <c r="BQ656" i="1"/>
  <c r="BR656" i="1"/>
  <c r="CC656" i="1"/>
  <c r="CW656" i="1"/>
  <c r="G972" i="1"/>
  <c r="V972" i="1"/>
  <c r="AJ972" i="1"/>
  <c r="AX972" i="1"/>
  <c r="BQ972" i="1"/>
  <c r="BR972" i="1"/>
  <c r="CC972" i="1"/>
  <c r="CW972" i="1"/>
  <c r="G1335" i="1"/>
  <c r="V1335" i="1"/>
  <c r="AJ1335" i="1"/>
  <c r="AX1335" i="1"/>
  <c r="BQ1335" i="1"/>
  <c r="BR1335" i="1"/>
  <c r="CC1335" i="1"/>
  <c r="CW1335" i="1"/>
  <c r="G701" i="1"/>
  <c r="V701" i="1"/>
  <c r="AJ701" i="1"/>
  <c r="AX701" i="1"/>
  <c r="BQ701" i="1"/>
  <c r="BR701" i="1"/>
  <c r="CC701" i="1"/>
  <c r="CW701" i="1"/>
  <c r="G1101" i="1"/>
  <c r="V1101" i="1"/>
  <c r="AJ1101" i="1"/>
  <c r="AX1101" i="1"/>
  <c r="BQ1101" i="1"/>
  <c r="BR1101" i="1"/>
  <c r="CC1101" i="1"/>
  <c r="CW1101" i="1"/>
  <c r="G1330" i="1"/>
  <c r="V1330" i="1"/>
  <c r="AJ1330" i="1"/>
  <c r="AX1330" i="1"/>
  <c r="BQ1330" i="1"/>
  <c r="BR1330" i="1"/>
  <c r="CC1330" i="1"/>
  <c r="CW1330" i="1"/>
  <c r="G917" i="1"/>
  <c r="V917" i="1"/>
  <c r="AJ917" i="1"/>
  <c r="AX917" i="1"/>
  <c r="BQ917" i="1"/>
  <c r="BR917" i="1"/>
  <c r="CC917" i="1"/>
  <c r="CW917" i="1"/>
  <c r="G1300" i="1"/>
  <c r="V1300" i="1"/>
  <c r="AJ1300" i="1"/>
  <c r="AX1300" i="1"/>
  <c r="BQ1300" i="1"/>
  <c r="BR1300" i="1"/>
  <c r="CC1300" i="1"/>
  <c r="CW1300" i="1"/>
  <c r="G1226" i="1"/>
  <c r="V1226" i="1"/>
  <c r="AJ1226" i="1"/>
  <c r="AX1226" i="1"/>
  <c r="BQ1226" i="1"/>
  <c r="BR1226" i="1"/>
  <c r="CC1226" i="1"/>
  <c r="CW1226" i="1"/>
  <c r="G1029" i="1"/>
  <c r="V1029" i="1"/>
  <c r="AJ1029" i="1"/>
  <c r="AX1029" i="1"/>
  <c r="BQ1029" i="1"/>
  <c r="BR1029" i="1"/>
  <c r="CC1029" i="1"/>
  <c r="CW1029" i="1"/>
  <c r="G1289" i="1"/>
  <c r="V1289" i="1"/>
  <c r="AJ1289" i="1"/>
  <c r="AX1289" i="1"/>
  <c r="BQ1289" i="1"/>
  <c r="BR1289" i="1"/>
  <c r="CC1289" i="1"/>
  <c r="CW1289" i="1"/>
  <c r="G979" i="1"/>
  <c r="V979" i="1"/>
  <c r="AJ979" i="1"/>
  <c r="AX979" i="1"/>
  <c r="BQ979" i="1"/>
  <c r="BR979" i="1"/>
  <c r="CC979" i="1"/>
  <c r="CW979" i="1"/>
  <c r="G690" i="1"/>
  <c r="V690" i="1"/>
  <c r="AJ690" i="1"/>
  <c r="AX690" i="1"/>
  <c r="BQ690" i="1"/>
  <c r="BR690" i="1"/>
  <c r="CC690" i="1"/>
  <c r="CW690" i="1"/>
  <c r="G1260" i="1"/>
  <c r="V1260" i="1"/>
  <c r="AJ1260" i="1"/>
  <c r="AX1260" i="1"/>
  <c r="BQ1260" i="1"/>
  <c r="BR1260" i="1"/>
  <c r="CC1260" i="1"/>
  <c r="CW1260" i="1"/>
  <c r="G1054" i="1"/>
  <c r="V1054" i="1"/>
  <c r="AJ1054" i="1"/>
  <c r="AX1054" i="1"/>
  <c r="BQ1054" i="1"/>
  <c r="BR1054" i="1"/>
  <c r="CC1054" i="1"/>
  <c r="CW1054" i="1"/>
  <c r="G764" i="1"/>
  <c r="V764" i="1"/>
  <c r="AJ764" i="1"/>
  <c r="AX764" i="1"/>
  <c r="BQ764" i="1"/>
  <c r="BR764" i="1"/>
  <c r="CC764" i="1"/>
  <c r="CW764" i="1"/>
  <c r="G1322" i="1"/>
  <c r="V1322" i="1"/>
  <c r="AJ1322" i="1"/>
  <c r="AX1322" i="1"/>
  <c r="BQ1322" i="1"/>
  <c r="BR1322" i="1"/>
  <c r="CC1322" i="1"/>
  <c r="CW1322" i="1"/>
  <c r="G1209" i="1"/>
  <c r="V1209" i="1"/>
  <c r="AJ1209" i="1"/>
  <c r="AX1209" i="1"/>
  <c r="BQ1209" i="1"/>
  <c r="BR1209" i="1"/>
  <c r="CC1209" i="1"/>
  <c r="CW1209" i="1"/>
  <c r="G341" i="1"/>
  <c r="V341" i="1"/>
  <c r="AJ341" i="1"/>
  <c r="AX341" i="1"/>
  <c r="BQ341" i="1"/>
  <c r="BR341" i="1"/>
  <c r="CC341" i="1"/>
  <c r="CW341" i="1"/>
  <c r="G353" i="1"/>
  <c r="V353" i="1"/>
  <c r="AJ353" i="1"/>
  <c r="AX353" i="1"/>
  <c r="BQ353" i="1"/>
  <c r="BR353" i="1"/>
  <c r="CC353" i="1"/>
  <c r="CW353" i="1"/>
  <c r="G343" i="1"/>
  <c r="V343" i="1"/>
  <c r="AJ343" i="1"/>
  <c r="AX343" i="1"/>
  <c r="BQ343" i="1"/>
  <c r="BR343" i="1"/>
  <c r="CC343" i="1"/>
  <c r="CW343" i="1"/>
  <c r="G326" i="1"/>
  <c r="V326" i="1"/>
  <c r="AJ326" i="1"/>
  <c r="AX326" i="1"/>
  <c r="BQ326" i="1"/>
  <c r="BR326" i="1"/>
  <c r="CC326" i="1"/>
  <c r="CW326" i="1"/>
  <c r="G355" i="1"/>
  <c r="V355" i="1"/>
  <c r="AJ355" i="1"/>
  <c r="AX355" i="1"/>
  <c r="BQ355" i="1"/>
  <c r="BR355" i="1"/>
  <c r="CC355" i="1"/>
  <c r="CW355" i="1"/>
  <c r="G324" i="1"/>
  <c r="V324" i="1"/>
  <c r="AJ324" i="1"/>
  <c r="AX324" i="1"/>
  <c r="BQ324" i="1"/>
  <c r="BR324" i="1"/>
  <c r="CC324" i="1"/>
  <c r="CW324" i="1"/>
  <c r="G23" i="1"/>
  <c r="V23" i="1"/>
  <c r="AJ23" i="1"/>
  <c r="AX23" i="1"/>
  <c r="BQ23" i="1"/>
  <c r="BR23" i="1"/>
  <c r="CC23" i="1"/>
  <c r="CW23" i="1"/>
  <c r="G87" i="1"/>
  <c r="V87" i="1"/>
  <c r="AJ87" i="1"/>
  <c r="AX87" i="1"/>
  <c r="BQ87" i="1"/>
  <c r="BR87" i="1"/>
  <c r="CC87" i="1"/>
  <c r="CW87" i="1"/>
  <c r="G179" i="1"/>
  <c r="V179" i="1"/>
  <c r="AJ179" i="1"/>
  <c r="AX179" i="1"/>
  <c r="BQ179" i="1"/>
  <c r="BR179" i="1"/>
  <c r="CC179" i="1"/>
  <c r="CW179" i="1"/>
  <c r="G1121" i="1"/>
  <c r="V1121" i="1"/>
  <c r="AJ1121" i="1"/>
  <c r="AX1121" i="1"/>
  <c r="BQ1121" i="1"/>
  <c r="BR1121" i="1"/>
  <c r="CC1121" i="1"/>
  <c r="CV1121" i="1"/>
  <c r="CW1121" i="1"/>
  <c r="G148" i="1"/>
  <c r="V148" i="1"/>
  <c r="AJ148" i="1"/>
  <c r="AX148" i="1"/>
  <c r="BQ148" i="1"/>
  <c r="BR148" i="1"/>
  <c r="CC148" i="1"/>
  <c r="CW148" i="1"/>
  <c r="G80" i="1"/>
  <c r="V80" i="1"/>
  <c r="AJ80" i="1"/>
  <c r="AX80" i="1"/>
  <c r="BQ80" i="1"/>
  <c r="BR80" i="1"/>
  <c r="CC80" i="1"/>
  <c r="CW80" i="1"/>
  <c r="G271" i="1"/>
  <c r="V271" i="1"/>
  <c r="AJ271" i="1"/>
  <c r="AX271" i="1"/>
  <c r="BQ271" i="1"/>
  <c r="BR271" i="1"/>
  <c r="CC271" i="1"/>
  <c r="CW271" i="1"/>
  <c r="G126" i="1"/>
  <c r="V126" i="1"/>
  <c r="AJ126" i="1"/>
  <c r="AX126" i="1"/>
  <c r="BQ126" i="1"/>
  <c r="BR126" i="1"/>
  <c r="CC126" i="1"/>
  <c r="CW126" i="1"/>
  <c r="G88" i="1"/>
  <c r="V88" i="1"/>
  <c r="AJ88" i="1"/>
  <c r="AX88" i="1"/>
  <c r="BQ88" i="1"/>
  <c r="BR88" i="1"/>
  <c r="CC88" i="1"/>
  <c r="CW88" i="1"/>
  <c r="G243" i="1"/>
  <c r="V243" i="1"/>
  <c r="AJ243" i="1"/>
  <c r="AX243" i="1"/>
  <c r="BQ243" i="1"/>
  <c r="BR243" i="1"/>
  <c r="CC243" i="1"/>
  <c r="CW243" i="1"/>
  <c r="G222" i="1"/>
  <c r="V222" i="1"/>
  <c r="AJ222" i="1"/>
  <c r="AX222" i="1"/>
  <c r="BQ222" i="1"/>
  <c r="BR222" i="1"/>
  <c r="CC222" i="1"/>
  <c r="CW222" i="1"/>
  <c r="G235" i="1"/>
  <c r="V235" i="1"/>
  <c r="AJ235" i="1"/>
  <c r="AX235" i="1"/>
  <c r="BQ235" i="1"/>
  <c r="BR235" i="1"/>
  <c r="CC235" i="1"/>
  <c r="CW235" i="1"/>
  <c r="G152" i="1"/>
  <c r="V152" i="1"/>
  <c r="AJ152" i="1"/>
  <c r="AX152" i="1"/>
  <c r="BQ152" i="1"/>
  <c r="BR152" i="1"/>
  <c r="CC152" i="1"/>
  <c r="CW152" i="1"/>
  <c r="G223" i="1"/>
  <c r="V223" i="1"/>
  <c r="AJ223" i="1"/>
  <c r="AX223" i="1"/>
  <c r="BQ223" i="1"/>
  <c r="BR223" i="1"/>
  <c r="CC223" i="1"/>
  <c r="CW223" i="1"/>
  <c r="G1144" i="1"/>
  <c r="V1144" i="1"/>
  <c r="AJ1144" i="1"/>
  <c r="AX1144" i="1"/>
  <c r="BQ1144" i="1"/>
  <c r="BR1144" i="1"/>
  <c r="CC1144" i="1"/>
  <c r="CW1144" i="1"/>
  <c r="G1385" i="1"/>
  <c r="V1385" i="1"/>
  <c r="AJ1385" i="1"/>
  <c r="AX1385" i="1"/>
  <c r="BQ1385" i="1"/>
  <c r="BR1385" i="1"/>
  <c r="CC1385" i="1"/>
  <c r="CW1385" i="1"/>
  <c r="G1387" i="1"/>
  <c r="V1387" i="1"/>
  <c r="AJ1387" i="1"/>
  <c r="AX1387" i="1"/>
  <c r="BQ1387" i="1"/>
  <c r="BR1387" i="1"/>
  <c r="CC1387" i="1"/>
  <c r="CW1387" i="1"/>
  <c r="G1389" i="1"/>
  <c r="V1389" i="1"/>
  <c r="AJ1389" i="1"/>
  <c r="AX1389" i="1"/>
  <c r="BQ1389" i="1"/>
  <c r="BR1389" i="1"/>
  <c r="CC1389" i="1"/>
  <c r="CW1389" i="1"/>
  <c r="G1154" i="1"/>
  <c r="V1154" i="1"/>
  <c r="AJ1154" i="1"/>
  <c r="AX1154" i="1"/>
  <c r="BQ1154" i="1"/>
  <c r="BR1154" i="1"/>
  <c r="CC1154" i="1"/>
  <c r="CW1154" i="1"/>
  <c r="G471" i="1"/>
  <c r="V471" i="1"/>
  <c r="AJ471" i="1"/>
  <c r="AX471" i="1"/>
  <c r="BQ471" i="1"/>
  <c r="BR471" i="1"/>
  <c r="CC471" i="1"/>
  <c r="CW471" i="1"/>
  <c r="G1347" i="1"/>
  <c r="V1347" i="1"/>
  <c r="AJ1347" i="1"/>
  <c r="AX1347" i="1"/>
  <c r="BQ1347" i="1"/>
  <c r="BR1347" i="1"/>
  <c r="CC1347" i="1"/>
  <c r="CW1347" i="1"/>
  <c r="G489" i="1"/>
  <c r="V489" i="1"/>
  <c r="AJ489" i="1"/>
  <c r="AX489" i="1"/>
  <c r="BQ489" i="1"/>
  <c r="BR489" i="1"/>
  <c r="CC489" i="1"/>
  <c r="CW489" i="1"/>
  <c r="G487" i="1"/>
  <c r="V487" i="1"/>
  <c r="AJ487" i="1"/>
  <c r="AX487" i="1"/>
  <c r="BQ487" i="1"/>
  <c r="BR487" i="1"/>
  <c r="CC487" i="1"/>
  <c r="CW487" i="1"/>
  <c r="G1449" i="1"/>
  <c r="V1449" i="1"/>
  <c r="AJ1449" i="1"/>
  <c r="AX1449" i="1"/>
  <c r="BQ1449" i="1"/>
  <c r="BR1449" i="1"/>
  <c r="CC1449" i="1"/>
  <c r="CW1449" i="1"/>
  <c r="G484" i="1"/>
  <c r="V484" i="1"/>
  <c r="AJ484" i="1"/>
  <c r="AX484" i="1"/>
  <c r="BQ484" i="1"/>
  <c r="BR484" i="1"/>
  <c r="CC484" i="1"/>
  <c r="CW484" i="1"/>
  <c r="G442" i="1"/>
  <c r="V442" i="1"/>
  <c r="AJ442" i="1"/>
  <c r="AX442" i="1"/>
  <c r="BQ442" i="1"/>
  <c r="BR442" i="1"/>
  <c r="CC442" i="1"/>
  <c r="CW442" i="1"/>
  <c r="G443" i="1"/>
  <c r="V443" i="1"/>
  <c r="AJ443" i="1"/>
  <c r="AX443" i="1"/>
  <c r="BQ443" i="1"/>
  <c r="BR443" i="1"/>
  <c r="CC443" i="1"/>
  <c r="CW443" i="1"/>
  <c r="G1409" i="1"/>
  <c r="V1409" i="1"/>
  <c r="AJ1409" i="1"/>
  <c r="AX1409" i="1"/>
  <c r="BQ1409" i="1"/>
  <c r="BR1409" i="1"/>
  <c r="CC1409" i="1"/>
  <c r="CW1409" i="1"/>
  <c r="G451" i="1"/>
  <c r="V451" i="1"/>
  <c r="AJ451" i="1"/>
  <c r="AX451" i="1"/>
  <c r="BQ451" i="1"/>
  <c r="BR451" i="1"/>
  <c r="CC451" i="1"/>
  <c r="CW451" i="1"/>
  <c r="G1448" i="1"/>
  <c r="V1448" i="1"/>
  <c r="AJ1448" i="1"/>
  <c r="AX1448" i="1"/>
  <c r="BQ1448" i="1"/>
  <c r="BR1448" i="1"/>
  <c r="CC1448" i="1"/>
  <c r="CW1448" i="1"/>
  <c r="G1419" i="1"/>
  <c r="V1419" i="1"/>
  <c r="AJ1419" i="1"/>
  <c r="AX1419" i="1"/>
  <c r="BQ1419" i="1"/>
  <c r="BR1419" i="1"/>
  <c r="CC1419" i="1"/>
  <c r="CW1419" i="1"/>
  <c r="G1424" i="1"/>
  <c r="V1424" i="1"/>
  <c r="AJ1424" i="1"/>
  <c r="AX1424" i="1"/>
  <c r="BQ1424" i="1"/>
  <c r="BR1424" i="1"/>
  <c r="CC1424" i="1"/>
  <c r="CW1424" i="1"/>
  <c r="G1397" i="1"/>
  <c r="V1397" i="1"/>
  <c r="AJ1397" i="1"/>
  <c r="AX1397" i="1"/>
  <c r="BQ1397" i="1"/>
  <c r="BR1397" i="1"/>
  <c r="CC1397" i="1"/>
  <c r="CW1397" i="1"/>
  <c r="G1416" i="1"/>
  <c r="V1416" i="1"/>
  <c r="AJ1416" i="1"/>
  <c r="AX1416" i="1"/>
  <c r="BQ1416" i="1"/>
  <c r="BR1416" i="1"/>
  <c r="CC1416" i="1"/>
  <c r="CW1416" i="1"/>
  <c r="G1411" i="1"/>
  <c r="V1411" i="1"/>
  <c r="AJ1411" i="1"/>
  <c r="AX1411" i="1"/>
  <c r="BQ1411" i="1"/>
  <c r="BR1411" i="1"/>
  <c r="CC1411" i="1"/>
  <c r="CW1411" i="1"/>
  <c r="G490" i="1"/>
  <c r="V490" i="1"/>
  <c r="AJ490" i="1"/>
  <c r="AX490" i="1"/>
  <c r="BQ490" i="1"/>
  <c r="BR490" i="1"/>
  <c r="CC490" i="1"/>
  <c r="CW490" i="1"/>
  <c r="G441" i="1"/>
  <c r="V441" i="1"/>
  <c r="AJ441" i="1"/>
  <c r="AX441" i="1"/>
  <c r="BQ441" i="1"/>
  <c r="BR441" i="1"/>
  <c r="CC441" i="1"/>
  <c r="CW441" i="1"/>
  <c r="G526" i="1"/>
  <c r="V526" i="1"/>
  <c r="AJ526" i="1"/>
  <c r="AX526" i="1"/>
  <c r="BQ526" i="1"/>
  <c r="BR526" i="1"/>
  <c r="CC526" i="1"/>
  <c r="CW526" i="1"/>
  <c r="G528" i="1"/>
  <c r="V528" i="1"/>
  <c r="AJ528" i="1"/>
  <c r="AX528" i="1"/>
  <c r="BQ528" i="1"/>
  <c r="BR528" i="1"/>
  <c r="CC528" i="1"/>
  <c r="CW528" i="1"/>
  <c r="G511" i="1"/>
  <c r="V511" i="1"/>
  <c r="AJ511" i="1"/>
  <c r="AX511" i="1"/>
  <c r="BQ511" i="1"/>
  <c r="BR511" i="1"/>
  <c r="CC511" i="1"/>
  <c r="CW511" i="1"/>
  <c r="G578" i="1"/>
  <c r="V578" i="1"/>
  <c r="AJ578" i="1"/>
  <c r="AX578" i="1"/>
  <c r="BQ578" i="1"/>
  <c r="BR578" i="1"/>
  <c r="CC578" i="1"/>
  <c r="CW578" i="1"/>
  <c r="G568" i="1"/>
  <c r="V568" i="1"/>
  <c r="AJ568" i="1"/>
  <c r="AX568" i="1"/>
  <c r="BQ568" i="1"/>
  <c r="BR568" i="1"/>
  <c r="CC568" i="1"/>
  <c r="CW568" i="1"/>
  <c r="G515" i="1"/>
  <c r="V515" i="1"/>
  <c r="AJ515" i="1"/>
  <c r="AX515" i="1"/>
  <c r="BQ515" i="1"/>
  <c r="BR515" i="1"/>
  <c r="CC515" i="1"/>
  <c r="CW515" i="1"/>
  <c r="G548" i="1"/>
  <c r="V548" i="1"/>
  <c r="AJ548" i="1"/>
  <c r="AX548" i="1"/>
  <c r="BQ548" i="1"/>
  <c r="BR548" i="1"/>
  <c r="CC548" i="1"/>
  <c r="CW548" i="1"/>
  <c r="G1174" i="1"/>
  <c r="V1174" i="1"/>
  <c r="AJ1174" i="1"/>
  <c r="AX1174" i="1"/>
  <c r="BQ1174" i="1"/>
  <c r="BR1174" i="1"/>
  <c r="CC1174" i="1"/>
  <c r="CW1174" i="1"/>
  <c r="G596" i="1"/>
  <c r="V596" i="1"/>
  <c r="AJ596" i="1"/>
  <c r="AX596" i="1"/>
  <c r="BQ596" i="1"/>
  <c r="BR596" i="1"/>
  <c r="CC596" i="1"/>
  <c r="CW596" i="1"/>
  <c r="G576" i="1"/>
  <c r="V576" i="1"/>
  <c r="AJ576" i="1"/>
  <c r="AX576" i="1"/>
  <c r="BQ576" i="1"/>
  <c r="BR576" i="1"/>
  <c r="CC576" i="1"/>
  <c r="CW576" i="1"/>
  <c r="G1520" i="1"/>
  <c r="V1520" i="1"/>
  <c r="AJ1520" i="1"/>
  <c r="AX1520" i="1"/>
  <c r="BQ1520" i="1"/>
  <c r="BR1520" i="1"/>
  <c r="CC1520" i="1"/>
  <c r="CW1520" i="1"/>
  <c r="G1328" i="1"/>
  <c r="V1328" i="1"/>
  <c r="AJ1328" i="1"/>
  <c r="AX1328" i="1"/>
  <c r="BQ1328" i="1"/>
  <c r="BR1328" i="1"/>
  <c r="CC1328" i="1"/>
  <c r="CW1328" i="1"/>
  <c r="G1285" i="1"/>
  <c r="V1285" i="1"/>
  <c r="AJ1285" i="1"/>
  <c r="AX1285" i="1"/>
  <c r="BQ1285" i="1"/>
  <c r="BR1285" i="1"/>
  <c r="CC1285" i="1"/>
  <c r="CW1285" i="1"/>
  <c r="G1338" i="1"/>
  <c r="V1338" i="1"/>
  <c r="AJ1338" i="1"/>
  <c r="AX1338" i="1"/>
  <c r="BQ1338" i="1"/>
  <c r="BR1338" i="1"/>
  <c r="CC1338" i="1"/>
  <c r="CW1338" i="1"/>
  <c r="G803" i="1"/>
  <c r="V803" i="1"/>
  <c r="AJ803" i="1"/>
  <c r="AX803" i="1"/>
  <c r="BQ803" i="1"/>
  <c r="BR803" i="1"/>
  <c r="CC803" i="1"/>
  <c r="CW803" i="1"/>
  <c r="G1286" i="1"/>
  <c r="V1286" i="1"/>
  <c r="AJ1286" i="1"/>
  <c r="AX1286" i="1"/>
  <c r="BQ1286" i="1"/>
  <c r="BR1286" i="1"/>
  <c r="CC1286" i="1"/>
  <c r="CW1286" i="1"/>
  <c r="G884" i="1"/>
  <c r="V884" i="1"/>
  <c r="AJ884" i="1"/>
  <c r="AX884" i="1"/>
  <c r="BQ884" i="1"/>
  <c r="BR884" i="1"/>
  <c r="CC884" i="1"/>
  <c r="CW884" i="1"/>
  <c r="G680" i="1"/>
  <c r="V680" i="1"/>
  <c r="AJ680" i="1"/>
  <c r="AX680" i="1"/>
  <c r="BQ680" i="1"/>
  <c r="BR680" i="1"/>
  <c r="CC680" i="1"/>
  <c r="CW680" i="1"/>
  <c r="G1399" i="1"/>
  <c r="V1399" i="1"/>
  <c r="AJ1399" i="1"/>
  <c r="AX1399" i="1"/>
  <c r="BQ1399" i="1"/>
  <c r="BR1399" i="1"/>
  <c r="CC1399" i="1"/>
  <c r="CW1399" i="1"/>
  <c r="G1491" i="1"/>
  <c r="V1491" i="1"/>
  <c r="AJ1491" i="1"/>
  <c r="AX1491" i="1"/>
  <c r="BQ1491" i="1"/>
  <c r="BR1491" i="1"/>
  <c r="CC1491" i="1"/>
  <c r="CW1491" i="1"/>
  <c r="G617" i="1"/>
  <c r="V617" i="1"/>
  <c r="AJ617" i="1"/>
  <c r="AX617" i="1"/>
  <c r="BQ617" i="1"/>
  <c r="BR617" i="1"/>
  <c r="CC617" i="1"/>
  <c r="CW617" i="1"/>
  <c r="G604" i="1"/>
  <c r="V604" i="1"/>
  <c r="AJ604" i="1"/>
  <c r="AX604" i="1"/>
  <c r="BQ604" i="1"/>
  <c r="BR604" i="1"/>
  <c r="CC604" i="1"/>
  <c r="CW604" i="1"/>
  <c r="G599" i="1"/>
  <c r="V599" i="1"/>
  <c r="AJ599" i="1"/>
  <c r="AX599" i="1"/>
  <c r="BQ599" i="1"/>
  <c r="BR599" i="1"/>
  <c r="CC599" i="1"/>
  <c r="CW599" i="1"/>
  <c r="G919" i="1"/>
  <c r="V919" i="1"/>
  <c r="AJ919" i="1"/>
  <c r="AX919" i="1"/>
  <c r="BQ919" i="1"/>
  <c r="BR919" i="1"/>
  <c r="CC919" i="1"/>
  <c r="CW919" i="1"/>
  <c r="G1230" i="1"/>
  <c r="V1230" i="1"/>
  <c r="AJ1230" i="1"/>
  <c r="AX1230" i="1"/>
  <c r="BQ1230" i="1"/>
  <c r="BR1230" i="1"/>
  <c r="CC1230" i="1"/>
  <c r="CW1230" i="1"/>
  <c r="G1255" i="1"/>
  <c r="V1255" i="1"/>
  <c r="AJ1255" i="1"/>
  <c r="AX1255" i="1"/>
  <c r="BQ1255" i="1"/>
  <c r="BR1255" i="1"/>
  <c r="CC1255" i="1"/>
  <c r="CW1255" i="1"/>
  <c r="G1484" i="1"/>
  <c r="V1484" i="1"/>
  <c r="AJ1484" i="1"/>
  <c r="AX1484" i="1"/>
  <c r="CC1484" i="1"/>
  <c r="CW1484" i="1"/>
  <c r="G1111" i="1"/>
  <c r="V1111" i="1"/>
  <c r="AJ1111" i="1"/>
  <c r="AX1111" i="1"/>
  <c r="BQ1111" i="1"/>
  <c r="BR1111" i="1"/>
  <c r="CC1111" i="1"/>
  <c r="CW1111" i="1"/>
  <c r="G1500" i="1"/>
  <c r="V1500" i="1"/>
  <c r="AJ1500" i="1"/>
  <c r="AX1500" i="1"/>
  <c r="BQ1500" i="1"/>
  <c r="BR1500" i="1"/>
  <c r="CC1500" i="1"/>
  <c r="CW1500" i="1"/>
  <c r="G1306" i="1"/>
  <c r="V1306" i="1"/>
  <c r="AJ1306" i="1"/>
  <c r="AX1306" i="1"/>
  <c r="BQ1306" i="1"/>
  <c r="BR1306" i="1"/>
  <c r="CC1306" i="1"/>
  <c r="CW1306" i="1"/>
  <c r="G832" i="1"/>
  <c r="V832" i="1"/>
  <c r="AJ832" i="1"/>
  <c r="AX832" i="1"/>
  <c r="BQ832" i="1"/>
  <c r="BR832" i="1"/>
  <c r="CC832" i="1"/>
  <c r="CW832" i="1"/>
  <c r="G1293" i="1"/>
  <c r="V1293" i="1"/>
  <c r="AJ1293" i="1"/>
  <c r="AX1293" i="1"/>
  <c r="BQ1293" i="1"/>
  <c r="BR1293" i="1"/>
  <c r="CC1293" i="1"/>
  <c r="CW1293" i="1"/>
  <c r="G1060" i="1"/>
  <c r="V1060" i="1"/>
  <c r="AJ1060" i="1"/>
  <c r="AX1060" i="1"/>
  <c r="BQ1060" i="1"/>
  <c r="BR1060" i="1"/>
  <c r="CC1060" i="1"/>
  <c r="CW1060" i="1"/>
  <c r="G939" i="1"/>
  <c r="V939" i="1"/>
  <c r="AJ939" i="1"/>
  <c r="AX939" i="1"/>
  <c r="BQ939" i="1"/>
  <c r="BR939" i="1"/>
  <c r="CC939" i="1"/>
  <c r="CW939" i="1"/>
  <c r="G812" i="1"/>
  <c r="V812" i="1"/>
  <c r="AJ812" i="1"/>
  <c r="AX812" i="1"/>
  <c r="BQ812" i="1"/>
  <c r="BR812" i="1"/>
  <c r="CC812" i="1"/>
  <c r="CW812" i="1"/>
  <c r="G1211" i="1"/>
  <c r="V1211" i="1"/>
  <c r="AJ1211" i="1"/>
  <c r="AX1211" i="1"/>
  <c r="BQ1211" i="1"/>
  <c r="BR1211" i="1"/>
  <c r="CC1211" i="1"/>
  <c r="CW1211" i="1"/>
  <c r="G652" i="1"/>
  <c r="V652" i="1"/>
  <c r="AJ652" i="1"/>
  <c r="AX652" i="1"/>
  <c r="BQ652" i="1"/>
  <c r="BR652" i="1"/>
  <c r="CC652" i="1"/>
  <c r="CW652" i="1"/>
  <c r="G774" i="1"/>
  <c r="V774" i="1"/>
  <c r="AJ774" i="1"/>
  <c r="AX774" i="1"/>
  <c r="BQ774" i="1"/>
  <c r="BR774" i="1"/>
  <c r="CC774" i="1"/>
  <c r="CW774" i="1"/>
  <c r="G1244" i="1"/>
  <c r="V1244" i="1"/>
  <c r="AJ1244" i="1"/>
  <c r="AX1244" i="1"/>
  <c r="BQ1244" i="1"/>
  <c r="BR1244" i="1"/>
  <c r="CC1244" i="1"/>
  <c r="CW1244" i="1"/>
  <c r="G887" i="1"/>
  <c r="V887" i="1"/>
  <c r="AJ887" i="1"/>
  <c r="AX887" i="1"/>
  <c r="BQ887" i="1"/>
  <c r="BR887" i="1"/>
  <c r="CC887" i="1"/>
  <c r="CW887" i="1"/>
  <c r="G725" i="1"/>
  <c r="V725" i="1"/>
  <c r="AJ725" i="1"/>
  <c r="AX725" i="1"/>
  <c r="BQ725" i="1"/>
  <c r="BR725" i="1"/>
  <c r="CC725" i="1"/>
  <c r="CW725" i="1"/>
  <c r="G1498" i="1"/>
  <c r="V1498" i="1"/>
  <c r="AJ1498" i="1"/>
  <c r="AX1498" i="1"/>
  <c r="BQ1498" i="1"/>
  <c r="BR1498" i="1"/>
  <c r="CC1498" i="1"/>
  <c r="CW1498" i="1"/>
  <c r="G1495" i="1"/>
  <c r="V1495" i="1"/>
  <c r="AJ1495" i="1"/>
  <c r="AX1495" i="1"/>
  <c r="BQ1495" i="1"/>
  <c r="BR1495" i="1"/>
  <c r="CC1495" i="1"/>
  <c r="CW1495" i="1"/>
  <c r="G717" i="1"/>
  <c r="V717" i="1"/>
  <c r="AJ717" i="1"/>
  <c r="AX717" i="1"/>
  <c r="BQ717" i="1"/>
  <c r="BR717" i="1"/>
  <c r="CC717" i="1"/>
  <c r="CW717" i="1"/>
  <c r="G894" i="1"/>
  <c r="V894" i="1"/>
  <c r="AJ894" i="1"/>
  <c r="AX894" i="1"/>
  <c r="BQ894" i="1"/>
  <c r="BR894" i="1"/>
  <c r="CC894" i="1"/>
  <c r="CW894" i="1"/>
  <c r="G1360" i="1"/>
  <c r="V1360" i="1"/>
  <c r="AJ1360" i="1"/>
  <c r="AX1360" i="1"/>
  <c r="BQ1360" i="1"/>
  <c r="BR1360" i="1"/>
  <c r="CC1360" i="1"/>
  <c r="CW1360" i="1"/>
  <c r="G1104" i="1"/>
  <c r="V1104" i="1"/>
  <c r="AJ1104" i="1"/>
  <c r="AX1104" i="1"/>
  <c r="BQ1104" i="1"/>
  <c r="BR1104" i="1"/>
  <c r="CC1104" i="1"/>
  <c r="CW1104" i="1"/>
  <c r="G781" i="1"/>
  <c r="V781" i="1"/>
  <c r="AJ781" i="1"/>
  <c r="AX781" i="1"/>
  <c r="BQ781" i="1"/>
  <c r="BR781" i="1"/>
  <c r="CC781" i="1"/>
  <c r="CW781" i="1"/>
  <c r="G1216" i="1"/>
  <c r="V1216" i="1"/>
  <c r="AJ1216" i="1"/>
  <c r="AX1216" i="1"/>
  <c r="BQ1216" i="1"/>
  <c r="BR1216" i="1"/>
  <c r="CC1216" i="1"/>
  <c r="CW1216" i="1"/>
  <c r="G1112" i="1"/>
  <c r="V1112" i="1"/>
  <c r="AJ1112" i="1"/>
  <c r="AX1112" i="1"/>
  <c r="BQ1112" i="1"/>
  <c r="BR1112" i="1"/>
  <c r="CC1112" i="1"/>
  <c r="CW1112" i="1"/>
  <c r="G1084" i="1"/>
  <c r="V1084" i="1"/>
  <c r="AJ1084" i="1"/>
  <c r="AX1084" i="1"/>
  <c r="BQ1084" i="1"/>
  <c r="BR1084" i="1"/>
  <c r="CC1084" i="1"/>
  <c r="CW1084" i="1"/>
  <c r="G746" i="1"/>
  <c r="V746" i="1"/>
  <c r="AJ746" i="1"/>
  <c r="AX746" i="1"/>
  <c r="BQ746" i="1"/>
  <c r="BR746" i="1"/>
  <c r="CC746" i="1"/>
  <c r="CW746" i="1"/>
  <c r="G1362" i="1"/>
  <c r="V1362" i="1"/>
  <c r="AJ1362" i="1"/>
  <c r="AX1362" i="1"/>
  <c r="BQ1362" i="1"/>
  <c r="BR1362" i="1"/>
  <c r="CC1362" i="1"/>
  <c r="CW1362" i="1"/>
  <c r="G295" i="1"/>
  <c r="V295" i="1"/>
  <c r="AJ295" i="1"/>
  <c r="AX295" i="1"/>
  <c r="BQ295" i="1"/>
  <c r="BR295" i="1"/>
  <c r="CC295" i="1"/>
  <c r="CW295" i="1"/>
  <c r="G335" i="1"/>
  <c r="V335" i="1"/>
  <c r="AJ335" i="1"/>
  <c r="AX335" i="1"/>
  <c r="BQ335" i="1"/>
  <c r="BR335" i="1"/>
  <c r="CC335" i="1"/>
  <c r="CW335" i="1"/>
  <c r="G306" i="1"/>
  <c r="V306" i="1"/>
  <c r="AJ306" i="1"/>
  <c r="AX306" i="1"/>
  <c r="BQ306" i="1"/>
  <c r="BR306" i="1"/>
  <c r="CC306" i="1"/>
  <c r="CW306" i="1"/>
  <c r="G348" i="1"/>
  <c r="V348" i="1"/>
  <c r="AJ348" i="1"/>
  <c r="AX348" i="1"/>
  <c r="BQ348" i="1"/>
  <c r="BR348" i="1"/>
  <c r="CC348" i="1"/>
  <c r="CW348" i="1"/>
  <c r="G322" i="1"/>
  <c r="V322" i="1"/>
  <c r="AJ322" i="1"/>
  <c r="AX322" i="1"/>
  <c r="BQ322" i="1"/>
  <c r="BR322" i="1"/>
  <c r="CC322" i="1"/>
  <c r="CW322" i="1"/>
  <c r="G296" i="1"/>
  <c r="V296" i="1"/>
  <c r="AJ296" i="1"/>
  <c r="AX296" i="1"/>
  <c r="BQ296" i="1"/>
  <c r="BR296" i="1"/>
  <c r="CC296" i="1"/>
  <c r="CW296" i="1"/>
  <c r="G294" i="1"/>
  <c r="V294" i="1"/>
  <c r="AJ294" i="1"/>
  <c r="AX294" i="1"/>
  <c r="BQ294" i="1"/>
  <c r="BR294" i="1"/>
  <c r="CC294" i="1"/>
  <c r="CW294" i="1"/>
  <c r="G102" i="1"/>
  <c r="V102" i="1"/>
  <c r="AJ102" i="1"/>
  <c r="AX102" i="1"/>
  <c r="BQ102" i="1"/>
  <c r="BR102" i="1"/>
  <c r="CC102" i="1"/>
  <c r="CW102" i="1"/>
  <c r="G111" i="1"/>
  <c r="V111" i="1"/>
  <c r="AJ111" i="1"/>
  <c r="AX111" i="1"/>
  <c r="BQ111" i="1"/>
  <c r="BR111" i="1"/>
  <c r="CC111" i="1"/>
  <c r="CW111" i="1"/>
  <c r="G203" i="1"/>
  <c r="V203" i="1"/>
  <c r="AJ203" i="1"/>
  <c r="AX203" i="1"/>
  <c r="BQ203" i="1"/>
  <c r="BR203" i="1"/>
  <c r="CC203" i="1"/>
  <c r="CW203" i="1"/>
  <c r="G194" i="1"/>
  <c r="V194" i="1"/>
  <c r="AJ194" i="1"/>
  <c r="AX194" i="1"/>
  <c r="BQ194" i="1"/>
  <c r="BR194" i="1"/>
  <c r="CC194" i="1"/>
  <c r="CW194" i="1"/>
  <c r="G283" i="1"/>
  <c r="V283" i="1"/>
  <c r="AJ283" i="1"/>
  <c r="AX283" i="1"/>
  <c r="BQ283" i="1"/>
  <c r="BR283" i="1"/>
  <c r="CC283" i="1"/>
  <c r="CW283" i="1"/>
  <c r="G94" i="1"/>
  <c r="V94" i="1"/>
  <c r="AJ94" i="1"/>
  <c r="AX94" i="1"/>
  <c r="BQ94" i="1"/>
  <c r="BR94" i="1"/>
  <c r="CC94" i="1"/>
  <c r="CW94" i="1"/>
  <c r="G31" i="1"/>
  <c r="V31" i="1"/>
  <c r="AJ31" i="1"/>
  <c r="AX31" i="1"/>
  <c r="BQ31" i="1"/>
  <c r="BR31" i="1"/>
  <c r="CC31" i="1"/>
  <c r="CW31" i="1"/>
  <c r="G196" i="1"/>
  <c r="V196" i="1"/>
  <c r="AJ196" i="1"/>
  <c r="AX196" i="1"/>
  <c r="BQ196" i="1"/>
  <c r="BR196" i="1"/>
  <c r="CC196" i="1"/>
  <c r="CW196" i="1"/>
  <c r="G153" i="1"/>
  <c r="V153" i="1"/>
  <c r="AJ153" i="1"/>
  <c r="AX153" i="1"/>
  <c r="BQ153" i="1"/>
  <c r="BR153" i="1"/>
  <c r="CC153" i="1"/>
  <c r="CW153" i="1"/>
  <c r="G72" i="1"/>
  <c r="V72" i="1"/>
  <c r="AJ72" i="1"/>
  <c r="AX72" i="1"/>
  <c r="BQ72" i="1"/>
  <c r="BR72" i="1"/>
  <c r="CC72" i="1"/>
  <c r="CW72" i="1"/>
  <c r="G1125" i="1"/>
  <c r="V1125" i="1"/>
  <c r="AJ1125" i="1"/>
  <c r="AX1125" i="1"/>
  <c r="BQ1125" i="1"/>
  <c r="BR1125" i="1"/>
  <c r="CC1125" i="1"/>
  <c r="CW1125" i="1"/>
  <c r="G129" i="1"/>
  <c r="V129" i="1"/>
  <c r="AJ129" i="1"/>
  <c r="AX129" i="1"/>
  <c r="BQ129" i="1"/>
  <c r="BR129" i="1"/>
  <c r="CC129" i="1"/>
  <c r="CW129" i="1"/>
  <c r="G149" i="1"/>
  <c r="V149" i="1"/>
  <c r="AJ149" i="1"/>
  <c r="AX149" i="1"/>
  <c r="BQ149" i="1"/>
  <c r="BR149" i="1"/>
  <c r="CC149" i="1"/>
  <c r="CW149" i="1"/>
  <c r="G150" i="1"/>
  <c r="V150" i="1"/>
  <c r="AJ150" i="1"/>
  <c r="AX150" i="1"/>
  <c r="BQ150" i="1"/>
  <c r="BR150" i="1"/>
  <c r="CC150" i="1"/>
  <c r="CW150" i="1"/>
  <c r="G279" i="1"/>
  <c r="V279" i="1"/>
  <c r="AJ279" i="1"/>
  <c r="AX279" i="1"/>
  <c r="BQ279" i="1"/>
  <c r="BR279" i="1"/>
  <c r="CC279" i="1"/>
  <c r="CW279" i="1"/>
  <c r="G432" i="1"/>
  <c r="V432" i="1"/>
  <c r="AJ432" i="1"/>
  <c r="AX432" i="1"/>
  <c r="BQ432" i="1"/>
  <c r="BR432" i="1"/>
  <c r="CC432" i="1"/>
  <c r="CW432" i="1"/>
  <c r="G428" i="1"/>
  <c r="V428" i="1"/>
  <c r="AJ428" i="1"/>
  <c r="AX428" i="1"/>
  <c r="BQ428" i="1"/>
  <c r="BR428" i="1"/>
  <c r="CC428" i="1"/>
  <c r="CW428" i="1"/>
  <c r="G418" i="1"/>
  <c r="V418" i="1"/>
  <c r="AJ418" i="1"/>
  <c r="AX418" i="1"/>
  <c r="BQ418" i="1"/>
  <c r="BR418" i="1"/>
  <c r="CC418" i="1"/>
  <c r="CW418" i="1"/>
  <c r="G365" i="1"/>
  <c r="V365" i="1"/>
  <c r="AJ365" i="1"/>
  <c r="AX365" i="1"/>
  <c r="BQ365" i="1"/>
  <c r="BR365" i="1"/>
  <c r="CC365" i="1"/>
  <c r="CW365" i="1"/>
  <c r="G364" i="1"/>
  <c r="V364" i="1"/>
  <c r="AJ364" i="1"/>
  <c r="AX364" i="1"/>
  <c r="BQ364" i="1"/>
  <c r="BR364" i="1"/>
  <c r="CC364" i="1"/>
  <c r="CW364" i="1"/>
  <c r="G426" i="1"/>
  <c r="V426" i="1"/>
  <c r="AJ426" i="1"/>
  <c r="AX426" i="1"/>
  <c r="BQ426" i="1"/>
  <c r="BR426" i="1"/>
  <c r="CC426" i="1"/>
  <c r="CW426" i="1"/>
  <c r="G434" i="1"/>
  <c r="V434" i="1"/>
  <c r="AJ434" i="1"/>
  <c r="AX434" i="1"/>
  <c r="BQ434" i="1"/>
  <c r="BR434" i="1"/>
  <c r="CC434" i="1"/>
  <c r="CW434" i="1"/>
  <c r="G1405" i="1"/>
  <c r="V1405" i="1"/>
  <c r="AJ1405" i="1"/>
  <c r="AX1405" i="1"/>
  <c r="BQ1405" i="1"/>
  <c r="BR1405" i="1"/>
  <c r="CC1405" i="1"/>
  <c r="CW1405" i="1"/>
  <c r="G1165" i="1"/>
  <c r="V1165" i="1"/>
  <c r="AJ1165" i="1"/>
  <c r="AX1165" i="1"/>
  <c r="BQ1165" i="1"/>
  <c r="BR1165" i="1"/>
  <c r="CC1165" i="1"/>
  <c r="CW1165" i="1"/>
  <c r="G1436" i="1"/>
  <c r="V1436" i="1"/>
  <c r="AJ1436" i="1"/>
  <c r="AX1436" i="1"/>
  <c r="BQ1436" i="1"/>
  <c r="BR1436" i="1"/>
  <c r="CC1436" i="1"/>
  <c r="CW1436" i="1"/>
  <c r="G1442" i="1"/>
  <c r="V1442" i="1"/>
  <c r="AJ1442" i="1"/>
  <c r="AX1442" i="1"/>
  <c r="BQ1442" i="1"/>
  <c r="BR1442" i="1"/>
  <c r="CC1442" i="1"/>
  <c r="CW1442" i="1"/>
  <c r="G485" i="1"/>
  <c r="V485" i="1"/>
  <c r="AJ485" i="1"/>
  <c r="AX485" i="1"/>
  <c r="BQ485" i="1"/>
  <c r="BR485" i="1"/>
  <c r="CC485" i="1"/>
  <c r="CW485" i="1"/>
  <c r="G1407" i="1"/>
  <c r="V1407" i="1"/>
  <c r="AJ1407" i="1"/>
  <c r="AX1407" i="1"/>
  <c r="BQ1407" i="1"/>
  <c r="BR1407" i="1"/>
  <c r="CC1407" i="1"/>
  <c r="CW1407" i="1"/>
  <c r="G449" i="1"/>
  <c r="V449" i="1"/>
  <c r="AJ449" i="1"/>
  <c r="AX449" i="1"/>
  <c r="BQ449" i="1"/>
  <c r="BR449" i="1"/>
  <c r="CC449" i="1"/>
  <c r="CW449" i="1"/>
  <c r="G461" i="1"/>
  <c r="V461" i="1"/>
  <c r="AJ461" i="1"/>
  <c r="AX461" i="1"/>
  <c r="BQ461" i="1"/>
  <c r="BR461" i="1"/>
  <c r="CC461" i="1"/>
  <c r="CW461" i="1"/>
  <c r="G457" i="1"/>
  <c r="V457" i="1"/>
  <c r="AJ457" i="1"/>
  <c r="AX457" i="1"/>
  <c r="BQ457" i="1"/>
  <c r="BR457" i="1"/>
  <c r="CC457" i="1"/>
  <c r="CW457" i="1"/>
  <c r="G459" i="1"/>
  <c r="V459" i="1"/>
  <c r="AJ459" i="1"/>
  <c r="AX459" i="1"/>
  <c r="BQ459" i="1"/>
  <c r="BR459" i="1"/>
  <c r="CC459" i="1"/>
  <c r="CW459" i="1"/>
  <c r="G563" i="1"/>
  <c r="V563" i="1"/>
  <c r="AJ563" i="1"/>
  <c r="AX563" i="1"/>
  <c r="BQ563" i="1"/>
  <c r="BR563" i="1"/>
  <c r="CC563" i="1"/>
  <c r="CW563" i="1"/>
  <c r="G1182" i="1"/>
  <c r="V1182" i="1"/>
  <c r="AJ1182" i="1"/>
  <c r="AX1182" i="1"/>
  <c r="BQ1182" i="1"/>
  <c r="BR1182" i="1"/>
  <c r="CC1182" i="1"/>
  <c r="CW1182" i="1"/>
  <c r="G565" i="1"/>
  <c r="V565" i="1"/>
  <c r="AJ565" i="1"/>
  <c r="AX565" i="1"/>
  <c r="BQ565" i="1"/>
  <c r="BR565" i="1"/>
  <c r="CC565" i="1"/>
  <c r="CW565" i="1"/>
  <c r="G580" i="1"/>
  <c r="V580" i="1"/>
  <c r="AJ580" i="1"/>
  <c r="AX580" i="1"/>
  <c r="BQ580" i="1"/>
  <c r="BR580" i="1"/>
  <c r="CC580" i="1"/>
  <c r="CW580" i="1"/>
  <c r="G595" i="1"/>
  <c r="V595" i="1"/>
  <c r="AJ595" i="1"/>
  <c r="AX595" i="1"/>
  <c r="BQ595" i="1"/>
  <c r="BR595" i="1"/>
  <c r="CC595" i="1"/>
  <c r="CW595" i="1"/>
  <c r="G531" i="1"/>
  <c r="V531" i="1"/>
  <c r="AJ531" i="1"/>
  <c r="AX531" i="1"/>
  <c r="BQ531" i="1"/>
  <c r="BR531" i="1"/>
  <c r="CC531" i="1"/>
  <c r="CW531" i="1"/>
  <c r="G579" i="1"/>
  <c r="V579" i="1"/>
  <c r="AJ579" i="1"/>
  <c r="AX579" i="1"/>
  <c r="BQ579" i="1"/>
  <c r="BR579" i="1"/>
  <c r="CC579" i="1"/>
  <c r="CW579" i="1"/>
  <c r="G1511" i="1"/>
  <c r="V1511" i="1"/>
  <c r="AJ1511" i="1"/>
  <c r="AX1511" i="1"/>
  <c r="BQ1511" i="1"/>
  <c r="BR1511" i="1"/>
  <c r="CC1511" i="1"/>
  <c r="CW1511" i="1"/>
  <c r="G727" i="1"/>
  <c r="V727" i="1"/>
  <c r="AJ727" i="1"/>
  <c r="AX727" i="1"/>
  <c r="BQ727" i="1"/>
  <c r="BR727" i="1"/>
  <c r="CC727" i="1"/>
  <c r="CW727" i="1"/>
  <c r="G1013" i="1"/>
  <c r="V1013" i="1"/>
  <c r="AJ1013" i="1"/>
  <c r="AX1013" i="1"/>
  <c r="BQ1013" i="1"/>
  <c r="BR1013" i="1"/>
  <c r="CC1013" i="1"/>
  <c r="CW1013" i="1"/>
  <c r="G903" i="1"/>
  <c r="V903" i="1"/>
  <c r="AJ903" i="1"/>
  <c r="AX903" i="1"/>
  <c r="BQ903" i="1"/>
  <c r="BR903" i="1"/>
  <c r="CC903" i="1"/>
  <c r="CW903" i="1"/>
  <c r="G878" i="1"/>
  <c r="V878" i="1"/>
  <c r="AJ878" i="1"/>
  <c r="AX878" i="1"/>
  <c r="BQ878" i="1"/>
  <c r="BR878" i="1"/>
  <c r="CC878" i="1"/>
  <c r="CW878" i="1"/>
  <c r="G585" i="1"/>
  <c r="V585" i="1"/>
  <c r="AJ585" i="1"/>
  <c r="AX585" i="1"/>
  <c r="BQ585" i="1"/>
  <c r="BR585" i="1"/>
  <c r="CC585" i="1"/>
  <c r="CW585" i="1"/>
  <c r="G626" i="1"/>
  <c r="V626" i="1"/>
  <c r="AJ626" i="1"/>
  <c r="AX626" i="1"/>
  <c r="BQ626" i="1"/>
  <c r="BR626" i="1"/>
  <c r="CC626" i="1"/>
  <c r="CW626" i="1"/>
  <c r="G1241" i="1"/>
  <c r="V1241" i="1"/>
  <c r="AJ1241" i="1"/>
  <c r="AX1241" i="1"/>
  <c r="BQ1241" i="1"/>
  <c r="BR1241" i="1"/>
  <c r="CC1241" i="1"/>
  <c r="CW1241" i="1"/>
  <c r="G1332" i="1"/>
  <c r="V1332" i="1"/>
  <c r="AJ1332" i="1"/>
  <c r="AX1332" i="1"/>
  <c r="BQ1332" i="1"/>
  <c r="BR1332" i="1"/>
  <c r="CC1332" i="1"/>
  <c r="CW1332" i="1"/>
  <c r="G993" i="1"/>
  <c r="V993" i="1"/>
  <c r="AJ993" i="1"/>
  <c r="AX993" i="1"/>
  <c r="BQ993" i="1"/>
  <c r="BR993" i="1"/>
  <c r="CC993" i="1"/>
  <c r="CW993" i="1"/>
  <c r="G912" i="1"/>
  <c r="V912" i="1"/>
  <c r="AJ912" i="1"/>
  <c r="AX912" i="1"/>
  <c r="BQ912" i="1"/>
  <c r="BR912" i="1"/>
  <c r="CC912" i="1"/>
  <c r="CW912" i="1"/>
  <c r="G1003" i="1"/>
  <c r="V1003" i="1"/>
  <c r="AJ1003" i="1"/>
  <c r="AX1003" i="1"/>
  <c r="BQ1003" i="1"/>
  <c r="BR1003" i="1"/>
  <c r="CC1003" i="1"/>
  <c r="CW1003" i="1"/>
  <c r="G752" i="1"/>
  <c r="V752" i="1"/>
  <c r="AJ752" i="1"/>
  <c r="AX752" i="1"/>
  <c r="BQ752" i="1"/>
  <c r="BR752" i="1"/>
  <c r="CC752" i="1"/>
  <c r="CW752" i="1"/>
  <c r="G1024" i="1"/>
  <c r="V1024" i="1"/>
  <c r="AJ1024" i="1"/>
  <c r="AX1024" i="1"/>
  <c r="BQ1024" i="1"/>
  <c r="BR1024" i="1"/>
  <c r="CC1024" i="1"/>
  <c r="CW1024" i="1"/>
  <c r="G900" i="1"/>
  <c r="V900" i="1"/>
  <c r="AJ900" i="1"/>
  <c r="AX900" i="1"/>
  <c r="BQ900" i="1"/>
  <c r="BR900" i="1"/>
  <c r="CC900" i="1"/>
  <c r="CW900" i="1"/>
  <c r="G888" i="1"/>
  <c r="V888" i="1"/>
  <c r="AJ888" i="1"/>
  <c r="AX888" i="1"/>
  <c r="BQ888" i="1"/>
  <c r="BR888" i="1"/>
  <c r="CC888" i="1"/>
  <c r="CW888" i="1"/>
  <c r="G943" i="1"/>
  <c r="V943" i="1"/>
  <c r="AJ943" i="1"/>
  <c r="AX943" i="1"/>
  <c r="BQ943" i="1"/>
  <c r="BR943" i="1"/>
  <c r="CC943" i="1"/>
  <c r="CW943" i="1"/>
  <c r="G918" i="1"/>
  <c r="V918" i="1"/>
  <c r="AJ918" i="1"/>
  <c r="AX918" i="1"/>
  <c r="BQ918" i="1"/>
  <c r="BR918" i="1"/>
  <c r="CC918" i="1"/>
  <c r="CW918" i="1"/>
  <c r="G712" i="1"/>
  <c r="V712" i="1"/>
  <c r="AJ712" i="1"/>
  <c r="AX712" i="1"/>
  <c r="BQ712" i="1"/>
  <c r="BR712" i="1"/>
  <c r="CC712" i="1"/>
  <c r="CW712" i="1"/>
  <c r="G1333" i="1"/>
  <c r="V1333" i="1"/>
  <c r="AJ1333" i="1"/>
  <c r="AX1333" i="1"/>
  <c r="BQ1333" i="1"/>
  <c r="BR1333" i="1"/>
  <c r="CC1333" i="1"/>
  <c r="CK1333" i="1"/>
  <c r="CW1333" i="1"/>
  <c r="G1036" i="1"/>
  <c r="V1036" i="1"/>
  <c r="AJ1036" i="1"/>
  <c r="AX1036" i="1"/>
  <c r="BQ1036" i="1"/>
  <c r="BR1036" i="1"/>
  <c r="CC1036" i="1"/>
  <c r="CW1036" i="1"/>
  <c r="G1073" i="1"/>
  <c r="V1073" i="1"/>
  <c r="AJ1073" i="1"/>
  <c r="AX1073" i="1"/>
  <c r="BQ1073" i="1"/>
  <c r="BR1073" i="1"/>
  <c r="CC1073" i="1"/>
  <c r="CW1073" i="1"/>
  <c r="G1045" i="1"/>
  <c r="V1045" i="1"/>
  <c r="AJ1045" i="1"/>
  <c r="AX1045" i="1"/>
  <c r="BQ1045" i="1"/>
  <c r="BR1045" i="1"/>
  <c r="CC1045" i="1"/>
  <c r="CW1045" i="1"/>
  <c r="G694" i="1"/>
  <c r="V694" i="1"/>
  <c r="AJ694" i="1"/>
  <c r="AX694" i="1"/>
  <c r="BQ694" i="1"/>
  <c r="BR694" i="1"/>
  <c r="CC694" i="1"/>
  <c r="CW694" i="1"/>
  <c r="G1234" i="1"/>
  <c r="V1234" i="1"/>
  <c r="AJ1234" i="1"/>
  <c r="AX1234" i="1"/>
  <c r="BQ1234" i="1"/>
  <c r="BR1234" i="1"/>
  <c r="CC1234" i="1"/>
  <c r="CW1234" i="1"/>
  <c r="G1071" i="1"/>
  <c r="V1071" i="1"/>
  <c r="AJ1071" i="1"/>
  <c r="AX1071" i="1"/>
  <c r="BQ1071" i="1"/>
  <c r="BR1071" i="1"/>
  <c r="CC1071" i="1"/>
  <c r="CW1071" i="1"/>
  <c r="G1070" i="1"/>
  <c r="V1070" i="1"/>
  <c r="AJ1070" i="1"/>
  <c r="AX1070" i="1"/>
  <c r="BQ1070" i="1"/>
  <c r="BR1070" i="1"/>
  <c r="CC1070" i="1"/>
  <c r="CW1070" i="1"/>
  <c r="G924" i="1"/>
  <c r="V924" i="1"/>
  <c r="AJ924" i="1"/>
  <c r="AX924" i="1"/>
  <c r="BQ924" i="1"/>
  <c r="BR924" i="1"/>
  <c r="CC924" i="1"/>
  <c r="CW924" i="1"/>
  <c r="G802" i="1"/>
  <c r="V802" i="1"/>
  <c r="AJ802" i="1"/>
  <c r="AX802" i="1"/>
  <c r="BQ802" i="1"/>
  <c r="BR802" i="1"/>
  <c r="CC802" i="1"/>
  <c r="CW802" i="1"/>
  <c r="G649" i="1"/>
  <c r="V649" i="1"/>
  <c r="AJ649" i="1"/>
  <c r="AX649" i="1"/>
  <c r="BQ649" i="1"/>
  <c r="BR649" i="1"/>
  <c r="CC649" i="1"/>
  <c r="CW649" i="1"/>
  <c r="G655" i="1"/>
  <c r="V655" i="1"/>
  <c r="AJ655" i="1"/>
  <c r="AX655" i="1"/>
  <c r="BQ655" i="1"/>
  <c r="BR655" i="1"/>
  <c r="CC655" i="1"/>
  <c r="CW655" i="1"/>
  <c r="G1043" i="1"/>
  <c r="V1043" i="1"/>
  <c r="AJ1043" i="1"/>
  <c r="AX1043" i="1"/>
  <c r="BQ1043" i="1"/>
  <c r="BR1043" i="1"/>
  <c r="CC1043" i="1"/>
  <c r="CW1043" i="1"/>
  <c r="G1041" i="1"/>
  <c r="V1041" i="1"/>
  <c r="AJ1041" i="1"/>
  <c r="AX1041" i="1"/>
  <c r="BQ1041" i="1"/>
  <c r="BR1041" i="1"/>
  <c r="CC1041" i="1"/>
  <c r="CW1041" i="1"/>
  <c r="G920" i="1"/>
  <c r="V920" i="1"/>
  <c r="AJ920" i="1"/>
  <c r="AX920" i="1"/>
  <c r="BQ920" i="1"/>
  <c r="BR920" i="1"/>
  <c r="CC920" i="1"/>
  <c r="CW920" i="1"/>
  <c r="G1358" i="1"/>
  <c r="V1358" i="1"/>
  <c r="AJ1358" i="1"/>
  <c r="AX1358" i="1"/>
  <c r="BQ1358" i="1"/>
  <c r="BR1358" i="1"/>
  <c r="CC1358" i="1"/>
  <c r="CW1358" i="1"/>
  <c r="G769" i="1"/>
  <c r="V769" i="1"/>
  <c r="AJ769" i="1"/>
  <c r="AX769" i="1"/>
  <c r="BQ769" i="1"/>
  <c r="BR769" i="1"/>
  <c r="CC769" i="1"/>
  <c r="CW769" i="1"/>
  <c r="G841" i="1"/>
  <c r="V841" i="1"/>
  <c r="AJ841" i="1"/>
  <c r="AX841" i="1"/>
  <c r="BQ841" i="1"/>
  <c r="BR841" i="1"/>
  <c r="CC841" i="1"/>
  <c r="CW841" i="1"/>
  <c r="G951" i="1"/>
  <c r="V951" i="1"/>
  <c r="AJ951" i="1"/>
  <c r="AX951" i="1"/>
  <c r="BQ951" i="1"/>
  <c r="BR951" i="1"/>
  <c r="CC951" i="1"/>
  <c r="CW951" i="1"/>
  <c r="G700" i="1"/>
  <c r="V700" i="1"/>
  <c r="AJ700" i="1"/>
  <c r="AX700" i="1"/>
  <c r="BQ700" i="1"/>
  <c r="BR700" i="1"/>
  <c r="CC700" i="1"/>
  <c r="CW700" i="1"/>
  <c r="G747" i="1"/>
  <c r="V747" i="1"/>
  <c r="AJ747" i="1"/>
  <c r="AX747" i="1"/>
  <c r="BQ747" i="1"/>
  <c r="BR747" i="1"/>
  <c r="CC747" i="1"/>
  <c r="CW747" i="1"/>
  <c r="G1011" i="1"/>
  <c r="V1011" i="1"/>
  <c r="AJ1011" i="1"/>
  <c r="AX1011" i="1"/>
  <c r="BQ1011" i="1"/>
  <c r="BR1011" i="1"/>
  <c r="CC1011" i="1"/>
  <c r="CK1011" i="1"/>
  <c r="CW1011" i="1"/>
  <c r="G870" i="1"/>
  <c r="V870" i="1"/>
  <c r="AJ870" i="1"/>
  <c r="AX870" i="1"/>
  <c r="BQ870" i="1"/>
  <c r="BR870" i="1"/>
  <c r="CC870" i="1"/>
  <c r="CW870" i="1"/>
  <c r="G1009" i="1"/>
  <c r="V1009" i="1"/>
  <c r="AJ1009" i="1"/>
  <c r="AX1009" i="1"/>
  <c r="BQ1009" i="1"/>
  <c r="BR1009" i="1"/>
  <c r="CC1009" i="1"/>
  <c r="CW1009" i="1"/>
  <c r="G936" i="1"/>
  <c r="V936" i="1"/>
  <c r="AJ936" i="1"/>
  <c r="AX936" i="1"/>
  <c r="BQ936" i="1"/>
  <c r="BR936" i="1"/>
  <c r="CC936" i="1"/>
  <c r="CW936" i="1"/>
  <c r="G734" i="1"/>
  <c r="V734" i="1"/>
  <c r="AJ734" i="1"/>
  <c r="AX734" i="1"/>
  <c r="BQ734" i="1"/>
  <c r="BR734" i="1"/>
  <c r="CC734" i="1"/>
  <c r="CW734" i="1"/>
  <c r="G1264" i="1"/>
  <c r="V1264" i="1"/>
  <c r="AJ1264" i="1"/>
  <c r="AX1264" i="1"/>
  <c r="BQ1264" i="1"/>
  <c r="BR1264" i="1"/>
  <c r="CC1264" i="1"/>
  <c r="CW1264" i="1"/>
  <c r="G760" i="1"/>
  <c r="V760" i="1"/>
  <c r="AJ760" i="1"/>
  <c r="AX760" i="1"/>
  <c r="BQ760" i="1"/>
  <c r="BR760" i="1"/>
  <c r="CC760" i="1"/>
  <c r="CW760" i="1"/>
  <c r="G1357" i="1"/>
  <c r="V1357" i="1"/>
  <c r="AJ1357" i="1"/>
  <c r="AX1357" i="1"/>
  <c r="BQ1357" i="1"/>
  <c r="BR1357" i="1"/>
  <c r="CC1357" i="1"/>
  <c r="CW1357" i="1"/>
  <c r="G833" i="1"/>
  <c r="V833" i="1"/>
  <c r="AJ833" i="1"/>
  <c r="AX833" i="1"/>
  <c r="BQ833" i="1"/>
  <c r="BR833" i="1"/>
  <c r="CC833" i="1"/>
  <c r="CW833" i="1"/>
  <c r="G1138" i="1"/>
  <c r="V1138" i="1"/>
  <c r="AJ1138" i="1"/>
  <c r="AX1138" i="1"/>
  <c r="BQ1138" i="1"/>
  <c r="BR1138" i="1"/>
  <c r="CC1138" i="1"/>
  <c r="CW1138" i="1"/>
  <c r="G311" i="1"/>
  <c r="V311" i="1"/>
  <c r="AJ311" i="1"/>
  <c r="AX311" i="1"/>
  <c r="BQ311" i="1"/>
  <c r="BR311" i="1"/>
  <c r="CC311" i="1"/>
  <c r="CW311" i="1"/>
  <c r="G351" i="1"/>
  <c r="V351" i="1"/>
  <c r="AJ351" i="1"/>
  <c r="AX351" i="1"/>
  <c r="BQ351" i="1"/>
  <c r="BR351" i="1"/>
  <c r="CC351" i="1"/>
  <c r="CW351" i="1"/>
  <c r="G65" i="1"/>
  <c r="V65" i="1"/>
  <c r="AJ65" i="1"/>
  <c r="AX65" i="1"/>
  <c r="BQ65" i="1"/>
  <c r="BR65" i="1"/>
  <c r="CC65" i="1"/>
  <c r="CW65" i="1"/>
  <c r="G32" i="1"/>
  <c r="V32" i="1"/>
  <c r="AJ32" i="1"/>
  <c r="AX32" i="1"/>
  <c r="BQ32" i="1"/>
  <c r="BR32" i="1"/>
  <c r="CC32" i="1"/>
  <c r="CW32" i="1"/>
  <c r="G19" i="1"/>
  <c r="V19" i="1"/>
  <c r="AJ19" i="1"/>
  <c r="AX19" i="1"/>
  <c r="BQ19" i="1"/>
  <c r="BR19" i="1"/>
  <c r="CC19" i="1"/>
  <c r="CW19" i="1"/>
  <c r="G193" i="1"/>
  <c r="V193" i="1"/>
  <c r="AJ193" i="1"/>
  <c r="AX193" i="1"/>
  <c r="BQ193" i="1"/>
  <c r="BR193" i="1"/>
  <c r="CC193" i="1"/>
  <c r="CW193" i="1"/>
  <c r="G1120" i="1"/>
  <c r="V1120" i="1"/>
  <c r="AJ1120" i="1"/>
  <c r="AX1120" i="1"/>
  <c r="BQ1120" i="1"/>
  <c r="BR1120" i="1"/>
  <c r="CC1120" i="1"/>
  <c r="CW1120" i="1"/>
  <c r="G218" i="1"/>
  <c r="V218" i="1"/>
  <c r="AJ218" i="1"/>
  <c r="AX218" i="1"/>
  <c r="BQ218" i="1"/>
  <c r="BR218" i="1"/>
  <c r="CC218" i="1"/>
  <c r="CW218" i="1"/>
  <c r="G38" i="1"/>
  <c r="V38" i="1"/>
  <c r="AJ38" i="1"/>
  <c r="AX38" i="1"/>
  <c r="BQ38" i="1"/>
  <c r="BR38" i="1"/>
  <c r="CC38" i="1"/>
  <c r="CW38" i="1"/>
  <c r="G84" i="1"/>
  <c r="V84" i="1"/>
  <c r="AJ84" i="1"/>
  <c r="AX84" i="1"/>
  <c r="BQ84" i="1"/>
  <c r="BR84" i="1"/>
  <c r="CC84" i="1"/>
  <c r="CW84" i="1"/>
  <c r="G256" i="1"/>
  <c r="V256" i="1"/>
  <c r="AJ256" i="1"/>
  <c r="AX256" i="1"/>
  <c r="BQ256" i="1"/>
  <c r="BR256" i="1"/>
  <c r="CC256" i="1"/>
  <c r="CW256" i="1"/>
  <c r="G165" i="1"/>
  <c r="V165" i="1"/>
  <c r="AJ165" i="1"/>
  <c r="AX165" i="1"/>
  <c r="BQ165" i="1"/>
  <c r="BR165" i="1"/>
  <c r="CC165" i="1"/>
  <c r="CW165" i="1"/>
  <c r="G158" i="1"/>
  <c r="V158" i="1"/>
  <c r="AJ158" i="1"/>
  <c r="AX158" i="1"/>
  <c r="BQ158" i="1"/>
  <c r="BR158" i="1"/>
  <c r="CC158" i="1"/>
  <c r="CW158" i="1"/>
  <c r="G47" i="1"/>
  <c r="V47" i="1"/>
  <c r="AJ47" i="1"/>
  <c r="AX47" i="1"/>
  <c r="BQ47" i="1"/>
  <c r="BR47" i="1"/>
  <c r="CC47" i="1"/>
  <c r="CW47" i="1"/>
  <c r="G108" i="1"/>
  <c r="V108" i="1"/>
  <c r="AJ108" i="1"/>
  <c r="AX108" i="1"/>
  <c r="BQ108" i="1"/>
  <c r="BR108" i="1"/>
  <c r="CC108" i="1"/>
  <c r="CW108" i="1"/>
  <c r="G121" i="1"/>
  <c r="V121" i="1"/>
  <c r="AJ121" i="1"/>
  <c r="AX121" i="1"/>
  <c r="BQ121" i="1"/>
  <c r="BR121" i="1"/>
  <c r="CC121" i="1"/>
  <c r="CW121" i="1"/>
  <c r="G1342" i="1"/>
  <c r="V1342" i="1"/>
  <c r="AJ1342" i="1"/>
  <c r="AX1342" i="1"/>
  <c r="BQ1342" i="1"/>
  <c r="BR1342" i="1"/>
  <c r="CC1342" i="1"/>
  <c r="CW1342" i="1"/>
  <c r="G163" i="1"/>
  <c r="V163" i="1"/>
  <c r="AJ163" i="1"/>
  <c r="AX163" i="1"/>
  <c r="BQ163" i="1"/>
  <c r="BR163" i="1"/>
  <c r="CC163" i="1"/>
  <c r="CW163" i="1"/>
  <c r="G141" i="1"/>
  <c r="V141" i="1"/>
  <c r="AJ141" i="1"/>
  <c r="AX141" i="1"/>
  <c r="BQ141" i="1"/>
  <c r="BR141" i="1"/>
  <c r="CC141" i="1"/>
  <c r="CW141" i="1"/>
  <c r="G60" i="1"/>
  <c r="V60" i="1"/>
  <c r="AJ60" i="1"/>
  <c r="AX60" i="1"/>
  <c r="BQ60" i="1"/>
  <c r="BR60" i="1"/>
  <c r="CC60" i="1"/>
  <c r="CW60" i="1"/>
  <c r="G59" i="1"/>
  <c r="V59" i="1"/>
  <c r="AJ59" i="1"/>
  <c r="AX59" i="1"/>
  <c r="BQ59" i="1"/>
  <c r="BR59" i="1"/>
  <c r="CC59" i="1"/>
  <c r="CW59" i="1"/>
  <c r="G285" i="1"/>
  <c r="V285" i="1"/>
  <c r="AJ285" i="1"/>
  <c r="AX285" i="1"/>
  <c r="BQ285" i="1"/>
  <c r="BR285" i="1"/>
  <c r="CC285" i="1"/>
  <c r="CW285" i="1"/>
  <c r="G124" i="1"/>
  <c r="V124" i="1"/>
  <c r="AJ124" i="1"/>
  <c r="AX124" i="1"/>
  <c r="BQ124" i="1"/>
  <c r="BR124" i="1"/>
  <c r="CC124" i="1"/>
  <c r="CW124" i="1"/>
  <c r="G12" i="1"/>
  <c r="V12" i="1"/>
  <c r="AJ12" i="1"/>
  <c r="AX12" i="1"/>
  <c r="BQ12" i="1"/>
  <c r="BR12" i="1"/>
  <c r="CC12" i="1"/>
  <c r="CW12" i="1"/>
  <c r="G270" i="1"/>
  <c r="V270" i="1"/>
  <c r="AJ270" i="1"/>
  <c r="AX270" i="1"/>
  <c r="BQ270" i="1"/>
  <c r="BR270" i="1"/>
  <c r="CC270" i="1"/>
  <c r="CW270" i="1"/>
  <c r="G123" i="1"/>
  <c r="V123" i="1"/>
  <c r="AJ123" i="1"/>
  <c r="AX123" i="1"/>
  <c r="BQ123" i="1"/>
  <c r="BR123" i="1"/>
  <c r="CC123" i="1"/>
  <c r="CW123" i="1"/>
  <c r="G155" i="1"/>
  <c r="V155" i="1"/>
  <c r="AJ155" i="1"/>
  <c r="AX155" i="1"/>
  <c r="BQ155" i="1"/>
  <c r="BR155" i="1"/>
  <c r="CC155" i="1"/>
  <c r="CW155" i="1"/>
  <c r="G143" i="1"/>
  <c r="V143" i="1"/>
  <c r="AJ143" i="1"/>
  <c r="AX143" i="1"/>
  <c r="BQ143" i="1"/>
  <c r="BR143" i="1"/>
  <c r="CC143" i="1"/>
  <c r="CW143" i="1"/>
  <c r="G379" i="1"/>
  <c r="V379" i="1"/>
  <c r="AJ379" i="1"/>
  <c r="AX379" i="1"/>
  <c r="BQ379" i="1"/>
  <c r="BR379" i="1"/>
  <c r="CC379" i="1"/>
  <c r="CW379" i="1"/>
  <c r="G1153" i="1"/>
  <c r="V1153" i="1"/>
  <c r="AJ1153" i="1"/>
  <c r="AX1153" i="1"/>
  <c r="BQ1153" i="1"/>
  <c r="BR1153" i="1"/>
  <c r="CC1153" i="1"/>
  <c r="CW1153" i="1"/>
  <c r="G372" i="1"/>
  <c r="V372" i="1"/>
  <c r="AJ372" i="1"/>
  <c r="AX372" i="1"/>
  <c r="BQ372" i="1"/>
  <c r="BR372" i="1"/>
  <c r="CC372" i="1"/>
  <c r="CW372" i="1"/>
  <c r="G399" i="1"/>
  <c r="V399" i="1"/>
  <c r="AJ399" i="1"/>
  <c r="AX399" i="1"/>
  <c r="BQ399" i="1"/>
  <c r="BR399" i="1"/>
  <c r="CC399" i="1"/>
  <c r="CW399" i="1"/>
  <c r="G469" i="1"/>
  <c r="V469" i="1"/>
  <c r="AJ469" i="1"/>
  <c r="AX469" i="1"/>
  <c r="BQ469" i="1"/>
  <c r="BR469" i="1"/>
  <c r="CC469" i="1"/>
  <c r="CW469" i="1"/>
  <c r="G477" i="1"/>
  <c r="V477" i="1"/>
  <c r="AJ477" i="1"/>
  <c r="AX477" i="1"/>
  <c r="BQ477" i="1"/>
  <c r="BR477" i="1"/>
  <c r="CC477" i="1"/>
  <c r="CW477" i="1"/>
  <c r="G1167" i="1"/>
  <c r="V1167" i="1"/>
  <c r="AJ1167" i="1"/>
  <c r="AX1167" i="1"/>
  <c r="BQ1167" i="1"/>
  <c r="BR1167" i="1"/>
  <c r="CC1167" i="1"/>
  <c r="CW1167" i="1"/>
  <c r="G1163" i="1"/>
  <c r="V1163" i="1"/>
  <c r="AJ1163" i="1"/>
  <c r="AX1163" i="1"/>
  <c r="BQ1163" i="1"/>
  <c r="BR1163" i="1"/>
  <c r="CC1163" i="1"/>
  <c r="CW1163" i="1"/>
  <c r="G445" i="1"/>
  <c r="V445" i="1"/>
  <c r="AJ445" i="1"/>
  <c r="AX445" i="1"/>
  <c r="BQ445" i="1"/>
  <c r="BR445" i="1"/>
  <c r="CC445" i="1"/>
  <c r="CW445" i="1"/>
  <c r="G1446" i="1"/>
  <c r="V1446" i="1"/>
  <c r="AJ1446" i="1"/>
  <c r="AX1446" i="1"/>
  <c r="BQ1446" i="1"/>
  <c r="BR1446" i="1"/>
  <c r="CC1446" i="1"/>
  <c r="CW1446" i="1"/>
  <c r="G1171" i="1"/>
  <c r="V1171" i="1"/>
  <c r="AJ1171" i="1"/>
  <c r="AX1171" i="1"/>
  <c r="BQ1171" i="1"/>
  <c r="BR1171" i="1"/>
  <c r="CC1171" i="1"/>
  <c r="CW1171" i="1"/>
  <c r="G1376" i="1"/>
  <c r="V1376" i="1"/>
  <c r="AJ1376" i="1"/>
  <c r="AX1376" i="1"/>
  <c r="BQ1376" i="1"/>
  <c r="BR1376" i="1"/>
  <c r="CC1376" i="1"/>
  <c r="CW1376" i="1"/>
  <c r="G429" i="1"/>
  <c r="V429" i="1"/>
  <c r="AJ429" i="1"/>
  <c r="AX429" i="1"/>
  <c r="BQ429" i="1"/>
  <c r="BR429" i="1"/>
  <c r="CC429" i="1"/>
  <c r="CW429" i="1"/>
  <c r="G1418" i="1"/>
  <c r="V1418" i="1"/>
  <c r="AJ1418" i="1"/>
  <c r="AX1418" i="1"/>
  <c r="BQ1418" i="1"/>
  <c r="BR1418" i="1"/>
  <c r="CC1418" i="1"/>
  <c r="CW1418" i="1"/>
  <c r="G452" i="1"/>
  <c r="V452" i="1"/>
  <c r="AJ452" i="1"/>
  <c r="AX452" i="1"/>
  <c r="BQ452" i="1"/>
  <c r="BR452" i="1"/>
  <c r="CC452" i="1"/>
  <c r="CW452" i="1"/>
  <c r="G499" i="1"/>
  <c r="V499" i="1"/>
  <c r="AJ499" i="1"/>
  <c r="AX499" i="1"/>
  <c r="BQ499" i="1"/>
  <c r="BR499" i="1"/>
  <c r="CC499" i="1"/>
  <c r="CW499" i="1"/>
  <c r="G1393" i="1"/>
  <c r="V1393" i="1"/>
  <c r="AJ1393" i="1"/>
  <c r="AX1393" i="1"/>
  <c r="BQ1393" i="1"/>
  <c r="BR1393" i="1"/>
  <c r="CC1393" i="1"/>
  <c r="CW1393" i="1"/>
  <c r="G545" i="1"/>
  <c r="V545" i="1"/>
  <c r="AJ545" i="1"/>
  <c r="AX545" i="1"/>
  <c r="BQ545" i="1"/>
  <c r="BR545" i="1"/>
  <c r="CC545" i="1"/>
  <c r="CW545" i="1"/>
  <c r="G1474" i="1"/>
  <c r="V1474" i="1"/>
  <c r="AJ1474" i="1"/>
  <c r="AX1474" i="1"/>
  <c r="BQ1474" i="1"/>
  <c r="BR1474" i="1"/>
  <c r="CC1474" i="1"/>
  <c r="CW1474" i="1"/>
  <c r="G534" i="1"/>
  <c r="V534" i="1"/>
  <c r="AJ534" i="1"/>
  <c r="AX534" i="1"/>
  <c r="BQ534" i="1"/>
  <c r="BR534" i="1"/>
  <c r="CC534" i="1"/>
  <c r="CW534" i="1"/>
  <c r="G492" i="1"/>
  <c r="V492" i="1"/>
  <c r="AJ492" i="1"/>
  <c r="AX492" i="1"/>
  <c r="BQ492" i="1"/>
  <c r="BR492" i="1"/>
  <c r="CC492" i="1"/>
  <c r="CW492" i="1"/>
  <c r="G553" i="1"/>
  <c r="V553" i="1"/>
  <c r="AJ553" i="1"/>
  <c r="AX553" i="1"/>
  <c r="BQ553" i="1"/>
  <c r="BR553" i="1"/>
  <c r="CC553" i="1"/>
  <c r="CW553" i="1"/>
  <c r="G1517" i="1"/>
  <c r="V1517" i="1"/>
  <c r="AJ1517" i="1"/>
  <c r="AX1517" i="1"/>
  <c r="BQ1517" i="1"/>
  <c r="BR1517" i="1"/>
  <c r="CC1517" i="1"/>
  <c r="CW1517" i="1"/>
  <c r="G1518" i="1"/>
  <c r="V1518" i="1"/>
  <c r="AJ1518" i="1"/>
  <c r="AX1518" i="1"/>
  <c r="BQ1518" i="1"/>
  <c r="BR1518" i="1"/>
  <c r="CC1518" i="1"/>
  <c r="CW1518" i="1"/>
  <c r="G1361" i="1"/>
  <c r="V1361" i="1"/>
  <c r="AJ1361" i="1"/>
  <c r="AX1361" i="1"/>
  <c r="BQ1361" i="1"/>
  <c r="BR1361" i="1"/>
  <c r="CC1361" i="1"/>
  <c r="CW1361" i="1"/>
  <c r="G1326" i="1"/>
  <c r="V1326" i="1"/>
  <c r="AJ1326" i="1"/>
  <c r="AX1326" i="1"/>
  <c r="BQ1326" i="1"/>
  <c r="BR1326" i="1"/>
  <c r="CC1326" i="1"/>
  <c r="CW1326" i="1"/>
  <c r="G704" i="1"/>
  <c r="V704" i="1"/>
  <c r="AJ704" i="1"/>
  <c r="AX704" i="1"/>
  <c r="BQ704" i="1"/>
  <c r="BR704" i="1"/>
  <c r="CC704" i="1"/>
  <c r="CW704" i="1"/>
  <c r="G1310" i="1"/>
  <c r="V1310" i="1"/>
  <c r="AJ1310" i="1"/>
  <c r="AX1310" i="1"/>
  <c r="BQ1310" i="1"/>
  <c r="BR1310" i="1"/>
  <c r="CC1310" i="1"/>
  <c r="CW1310" i="1"/>
  <c r="G927" i="1"/>
  <c r="V927" i="1"/>
  <c r="AJ927" i="1"/>
  <c r="AX927" i="1"/>
  <c r="BQ927" i="1"/>
  <c r="BR927" i="1"/>
  <c r="CC927" i="1"/>
  <c r="CW927" i="1"/>
  <c r="G1261" i="1"/>
  <c r="V1261" i="1"/>
  <c r="AJ1261" i="1"/>
  <c r="AX1261" i="1"/>
  <c r="BQ1261" i="1"/>
  <c r="BR1261" i="1"/>
  <c r="CC1261" i="1"/>
  <c r="CW1261" i="1"/>
  <c r="G981" i="1"/>
  <c r="V981" i="1"/>
  <c r="AJ981" i="1"/>
  <c r="AX981" i="1"/>
  <c r="BQ981" i="1"/>
  <c r="BR981" i="1"/>
  <c r="CC981" i="1"/>
  <c r="CW981" i="1"/>
  <c r="G1064" i="1"/>
  <c r="V1064" i="1"/>
  <c r="AJ1064" i="1"/>
  <c r="AX1064" i="1"/>
  <c r="BQ1064" i="1"/>
  <c r="BR1064" i="1"/>
  <c r="CC1064" i="1"/>
  <c r="CW1064" i="1"/>
  <c r="G610" i="1"/>
  <c r="V610" i="1"/>
  <c r="AJ610" i="1"/>
  <c r="AX610" i="1"/>
  <c r="BQ610" i="1"/>
  <c r="BR610" i="1"/>
  <c r="CC610" i="1"/>
  <c r="CW610" i="1"/>
  <c r="G676" i="1"/>
  <c r="V676" i="1"/>
  <c r="AJ676" i="1"/>
  <c r="AX676" i="1"/>
  <c r="BQ676" i="1"/>
  <c r="BR676" i="1"/>
  <c r="CC676" i="1"/>
  <c r="CW676" i="1"/>
  <c r="G607" i="1"/>
  <c r="V607" i="1"/>
  <c r="AJ607" i="1"/>
  <c r="AX607" i="1"/>
  <c r="BQ607" i="1"/>
  <c r="BR607" i="1"/>
  <c r="CC607" i="1"/>
  <c r="CW607" i="1"/>
  <c r="G589" i="1"/>
  <c r="V589" i="1"/>
  <c r="AJ589" i="1"/>
  <c r="AX589" i="1"/>
  <c r="BQ589" i="1"/>
  <c r="BR589" i="1"/>
  <c r="CC589" i="1"/>
  <c r="CW589" i="1"/>
  <c r="G681" i="1"/>
  <c r="V681" i="1"/>
  <c r="AJ681" i="1"/>
  <c r="AX681" i="1"/>
  <c r="BQ681" i="1"/>
  <c r="BR681" i="1"/>
  <c r="CC681" i="1"/>
  <c r="CW681" i="1"/>
  <c r="G873" i="1"/>
  <c r="V873" i="1"/>
  <c r="AJ873" i="1"/>
  <c r="AX873" i="1"/>
  <c r="BQ873" i="1"/>
  <c r="BR873" i="1"/>
  <c r="CC873" i="1"/>
  <c r="CW873" i="1"/>
  <c r="G961" i="1"/>
  <c r="V961" i="1"/>
  <c r="AJ961" i="1"/>
  <c r="AX961" i="1"/>
  <c r="BQ961" i="1"/>
  <c r="BR961" i="1"/>
  <c r="CC961" i="1"/>
  <c r="CW961" i="1"/>
  <c r="G998" i="1"/>
  <c r="V998" i="1"/>
  <c r="AJ998" i="1"/>
  <c r="AX998" i="1"/>
  <c r="BQ998" i="1"/>
  <c r="BR998" i="1"/>
  <c r="CC998" i="1"/>
  <c r="CW998" i="1"/>
  <c r="G1006" i="1"/>
  <c r="V1006" i="1"/>
  <c r="AJ1006" i="1"/>
  <c r="AX1006" i="1"/>
  <c r="BQ1006" i="1"/>
  <c r="BR1006" i="1"/>
  <c r="CC1006" i="1"/>
  <c r="CW1006" i="1"/>
  <c r="G847" i="1"/>
  <c r="V847" i="1"/>
  <c r="AJ847" i="1"/>
  <c r="AX847" i="1"/>
  <c r="BQ847" i="1"/>
  <c r="BR847" i="1"/>
  <c r="CC847" i="1"/>
  <c r="CW847" i="1"/>
  <c r="G897" i="1"/>
  <c r="V897" i="1"/>
  <c r="AJ897" i="1"/>
  <c r="AX897" i="1"/>
  <c r="BQ897" i="1"/>
  <c r="BR897" i="1"/>
  <c r="CC897" i="1"/>
  <c r="CW897" i="1"/>
  <c r="G1237" i="1"/>
  <c r="V1237" i="1"/>
  <c r="AJ1237" i="1"/>
  <c r="AX1237" i="1"/>
  <c r="BQ1237" i="1"/>
  <c r="BR1237" i="1"/>
  <c r="CC1237" i="1"/>
  <c r="CW1237" i="1"/>
  <c r="G1231" i="1"/>
  <c r="V1231" i="1"/>
  <c r="AJ1231" i="1"/>
  <c r="AX1231" i="1"/>
  <c r="BQ1231" i="1"/>
  <c r="BR1231" i="1"/>
  <c r="CC1231" i="1"/>
  <c r="CW1231" i="1"/>
  <c r="G686" i="1"/>
  <c r="V686" i="1"/>
  <c r="AJ686" i="1"/>
  <c r="AX686" i="1"/>
  <c r="BQ686" i="1"/>
  <c r="BR686" i="1"/>
  <c r="CC686" i="1"/>
  <c r="CW686" i="1"/>
  <c r="G1308" i="1"/>
  <c r="V1308" i="1"/>
  <c r="AJ1308" i="1"/>
  <c r="AX1308" i="1"/>
  <c r="BQ1308" i="1"/>
  <c r="BR1308" i="1"/>
  <c r="CC1308" i="1"/>
  <c r="CW1308" i="1"/>
  <c r="G1093" i="1"/>
  <c r="V1093" i="1"/>
  <c r="AJ1093" i="1"/>
  <c r="AX1093" i="1"/>
  <c r="BQ1093" i="1"/>
  <c r="BR1093" i="1"/>
  <c r="CC1093" i="1"/>
  <c r="CW1093" i="1"/>
  <c r="G872" i="1"/>
  <c r="V872" i="1"/>
  <c r="AJ872" i="1"/>
  <c r="AX872" i="1"/>
  <c r="BQ872" i="1"/>
  <c r="BR872" i="1"/>
  <c r="CC872" i="1"/>
  <c r="CW872" i="1"/>
  <c r="G952" i="1"/>
  <c r="V952" i="1"/>
  <c r="AJ952" i="1"/>
  <c r="AX952" i="1"/>
  <c r="BQ952" i="1"/>
  <c r="BR952" i="1"/>
  <c r="CC952" i="1"/>
  <c r="CW952" i="1"/>
  <c r="G1268" i="1"/>
  <c r="V1268" i="1"/>
  <c r="AJ1268" i="1"/>
  <c r="AX1268" i="1"/>
  <c r="BQ1268" i="1"/>
  <c r="BR1268" i="1"/>
  <c r="CC1268" i="1"/>
  <c r="CW1268" i="1"/>
  <c r="G1271" i="1"/>
  <c r="V1271" i="1"/>
  <c r="AJ1271" i="1"/>
  <c r="AX1271" i="1"/>
  <c r="BQ1271" i="1"/>
  <c r="BR1271" i="1"/>
  <c r="CC1271" i="1"/>
  <c r="CW1271" i="1"/>
  <c r="G1325" i="1"/>
  <c r="V1325" i="1"/>
  <c r="AJ1325" i="1"/>
  <c r="AX1325" i="1"/>
  <c r="BQ1325" i="1"/>
  <c r="BR1325" i="1"/>
  <c r="CC1325" i="1"/>
  <c r="CW1325" i="1"/>
  <c r="G1038" i="1"/>
  <c r="V1038" i="1"/>
  <c r="AJ1038" i="1"/>
  <c r="AX1038" i="1"/>
  <c r="BQ1038" i="1"/>
  <c r="BR1038" i="1"/>
  <c r="CC1038" i="1"/>
  <c r="CW1038" i="1"/>
  <c r="G683" i="1"/>
  <c r="V683" i="1"/>
  <c r="AJ683" i="1"/>
  <c r="AX683" i="1"/>
  <c r="BQ683" i="1"/>
  <c r="BR683" i="1"/>
  <c r="CC683" i="1"/>
  <c r="CW683" i="1"/>
  <c r="G899" i="1"/>
  <c r="V899" i="1"/>
  <c r="AJ899" i="1"/>
  <c r="AX899" i="1"/>
  <c r="BQ899" i="1"/>
  <c r="BR899" i="1"/>
  <c r="CC899" i="1"/>
  <c r="CW899" i="1"/>
  <c r="G733" i="1"/>
  <c r="V733" i="1"/>
  <c r="AJ733" i="1"/>
  <c r="AX733" i="1"/>
  <c r="BQ733" i="1"/>
  <c r="BR733" i="1"/>
  <c r="CC733" i="1"/>
  <c r="CW733" i="1"/>
  <c r="G938" i="1"/>
  <c r="V938" i="1"/>
  <c r="AJ938" i="1"/>
  <c r="AX938" i="1"/>
  <c r="BQ938" i="1"/>
  <c r="BR938" i="1"/>
  <c r="CC938" i="1"/>
  <c r="CW938" i="1"/>
  <c r="G1299" i="1"/>
  <c r="V1299" i="1"/>
  <c r="AJ1299" i="1"/>
  <c r="AX1299" i="1"/>
  <c r="BQ1299" i="1"/>
  <c r="BR1299" i="1"/>
  <c r="CC1299" i="1"/>
  <c r="CW1299" i="1"/>
  <c r="G759" i="1"/>
  <c r="V759" i="1"/>
  <c r="AJ759" i="1"/>
  <c r="AX759" i="1"/>
  <c r="BQ759" i="1"/>
  <c r="BR759" i="1"/>
  <c r="CC759" i="1"/>
  <c r="CW759" i="1"/>
  <c r="G751" i="1"/>
  <c r="V751" i="1"/>
  <c r="AJ751" i="1"/>
  <c r="AX751" i="1"/>
  <c r="BQ751" i="1"/>
  <c r="BR751" i="1"/>
  <c r="CC751" i="1"/>
  <c r="CW751" i="1"/>
  <c r="G1065" i="1"/>
  <c r="V1065" i="1"/>
  <c r="AJ1065" i="1"/>
  <c r="AX1065" i="1"/>
  <c r="BQ1065" i="1"/>
  <c r="BR1065" i="1"/>
  <c r="CC1065" i="1"/>
  <c r="CW1065" i="1"/>
  <c r="G1105" i="1"/>
  <c r="V1105" i="1"/>
  <c r="AJ1105" i="1"/>
  <c r="AX1105" i="1"/>
  <c r="BQ1105" i="1"/>
  <c r="BR1105" i="1"/>
  <c r="CC1105" i="1"/>
  <c r="CW1105" i="1"/>
  <c r="G909" i="1"/>
  <c r="V909" i="1"/>
  <c r="AJ909" i="1"/>
  <c r="AX909" i="1"/>
  <c r="BQ909" i="1"/>
  <c r="BR909" i="1"/>
  <c r="CC909" i="1"/>
  <c r="CW909" i="1"/>
  <c r="G772" i="1"/>
  <c r="V772" i="1"/>
  <c r="AJ772" i="1"/>
  <c r="AX772" i="1"/>
  <c r="BQ772" i="1"/>
  <c r="BR772" i="1"/>
  <c r="CC772" i="1"/>
  <c r="CW772" i="1"/>
  <c r="G914" i="1"/>
  <c r="V914" i="1"/>
  <c r="AJ914" i="1"/>
  <c r="AX914" i="1"/>
  <c r="BQ914" i="1"/>
  <c r="BR914" i="1"/>
  <c r="CC914" i="1"/>
  <c r="CW914" i="1"/>
  <c r="G814" i="1"/>
  <c r="V814" i="1"/>
  <c r="AJ814" i="1"/>
  <c r="AX814" i="1"/>
  <c r="BQ814" i="1"/>
  <c r="BR814" i="1"/>
  <c r="CC814" i="1"/>
  <c r="CW814" i="1"/>
  <c r="G1133" i="1"/>
  <c r="V1133" i="1"/>
  <c r="AJ1133" i="1"/>
  <c r="AX1133" i="1"/>
  <c r="BQ1133" i="1"/>
  <c r="BR1133" i="1"/>
  <c r="CC1133" i="1"/>
  <c r="CV1133" i="1"/>
  <c r="CW1133" i="1"/>
  <c r="G352" i="1"/>
  <c r="V352" i="1"/>
  <c r="AJ352" i="1"/>
  <c r="AX352" i="1"/>
  <c r="BQ352" i="1"/>
  <c r="BR352" i="1"/>
  <c r="CC352" i="1"/>
  <c r="CW352" i="1"/>
  <c r="G1373" i="1"/>
  <c r="V1373" i="1"/>
  <c r="AJ1373" i="1"/>
  <c r="AX1373" i="1"/>
  <c r="BQ1373" i="1"/>
  <c r="BR1373" i="1"/>
  <c r="CC1373" i="1"/>
  <c r="CW1373" i="1"/>
  <c r="G363" i="1"/>
  <c r="V363" i="1"/>
  <c r="AJ363" i="1"/>
  <c r="AX363" i="1"/>
  <c r="BQ363" i="1"/>
  <c r="BR363" i="1"/>
  <c r="CC363" i="1"/>
  <c r="CW363" i="1"/>
  <c r="G342" i="1"/>
  <c r="V342" i="1"/>
  <c r="AJ342" i="1"/>
  <c r="AX342" i="1"/>
  <c r="BQ342" i="1"/>
  <c r="BR342" i="1"/>
  <c r="CC342" i="1"/>
  <c r="CW342" i="1"/>
  <c r="G359" i="1"/>
  <c r="V359" i="1"/>
  <c r="AJ359" i="1"/>
  <c r="AX359" i="1"/>
  <c r="BQ359" i="1"/>
  <c r="BR359" i="1"/>
  <c r="CC359" i="1"/>
  <c r="CW359" i="1"/>
  <c r="G110" i="1"/>
  <c r="V110" i="1"/>
  <c r="AJ110" i="1"/>
  <c r="AX110" i="1"/>
  <c r="BQ110" i="1"/>
  <c r="BR110" i="1"/>
  <c r="CC110" i="1"/>
  <c r="CW110" i="1"/>
  <c r="G61" i="1"/>
  <c r="V61" i="1"/>
  <c r="AJ61" i="1"/>
  <c r="AX61" i="1"/>
  <c r="BQ61" i="1"/>
  <c r="BR61" i="1"/>
  <c r="CC61" i="1"/>
  <c r="CW61" i="1"/>
  <c r="G238" i="1"/>
  <c r="V238" i="1"/>
  <c r="AJ238" i="1"/>
  <c r="AX238" i="1"/>
  <c r="BQ238" i="1"/>
  <c r="BR238" i="1"/>
  <c r="CC238" i="1"/>
  <c r="CW238" i="1"/>
  <c r="G191" i="1"/>
  <c r="V191" i="1"/>
  <c r="AJ191" i="1"/>
  <c r="AX191" i="1"/>
  <c r="BQ191" i="1"/>
  <c r="BR191" i="1"/>
  <c r="CC191" i="1"/>
  <c r="CW191" i="1"/>
  <c r="G159" i="1"/>
  <c r="V159" i="1"/>
  <c r="AJ159" i="1"/>
  <c r="AX159" i="1"/>
  <c r="BQ159" i="1"/>
  <c r="BR159" i="1"/>
  <c r="CC159" i="1"/>
  <c r="CW159" i="1"/>
  <c r="G57" i="1"/>
  <c r="V57" i="1"/>
  <c r="AJ57" i="1"/>
  <c r="AX57" i="1"/>
  <c r="BQ57" i="1"/>
  <c r="BR57" i="1"/>
  <c r="CC57" i="1"/>
  <c r="CW57" i="1"/>
  <c r="G168" i="1"/>
  <c r="V168" i="1"/>
  <c r="AJ168" i="1"/>
  <c r="AX168" i="1"/>
  <c r="BQ168" i="1"/>
  <c r="BR168" i="1"/>
  <c r="CC168" i="1"/>
  <c r="CW168" i="1"/>
  <c r="G3" i="1"/>
  <c r="V3" i="1"/>
  <c r="AJ3" i="1"/>
  <c r="AX3" i="1"/>
  <c r="BQ3" i="1"/>
  <c r="BR3" i="1"/>
  <c r="CC3" i="1"/>
  <c r="CW3" i="1"/>
  <c r="G216" i="1"/>
  <c r="V216" i="1"/>
  <c r="AJ216" i="1"/>
  <c r="AX216" i="1"/>
  <c r="BQ216" i="1"/>
  <c r="BR216" i="1"/>
  <c r="CC216" i="1"/>
  <c r="CW216" i="1"/>
  <c r="G246" i="1"/>
  <c r="V246" i="1"/>
  <c r="AJ246" i="1"/>
  <c r="AX246" i="1"/>
  <c r="BQ246" i="1"/>
  <c r="BR246" i="1"/>
  <c r="CC246" i="1"/>
  <c r="CW246" i="1"/>
  <c r="G176" i="1"/>
  <c r="V176" i="1"/>
  <c r="AJ176" i="1"/>
  <c r="AX176" i="1"/>
  <c r="BQ176" i="1"/>
  <c r="BR176" i="1"/>
  <c r="CC176" i="1"/>
  <c r="CW176" i="1"/>
  <c r="G227" i="1"/>
  <c r="V227" i="1"/>
  <c r="AJ227" i="1"/>
  <c r="AX227" i="1"/>
  <c r="BQ227" i="1"/>
  <c r="BR227" i="1"/>
  <c r="CC227" i="1"/>
  <c r="CW227" i="1"/>
  <c r="G85" i="1"/>
  <c r="V85" i="1"/>
  <c r="AJ85" i="1"/>
  <c r="AX85" i="1"/>
  <c r="BQ85" i="1"/>
  <c r="BR85" i="1"/>
  <c r="CC85" i="1"/>
  <c r="CW85" i="1"/>
  <c r="G169" i="1"/>
  <c r="V169" i="1"/>
  <c r="AJ169" i="1"/>
  <c r="AX169" i="1"/>
  <c r="BQ169" i="1"/>
  <c r="BR169" i="1"/>
  <c r="CC169" i="1"/>
  <c r="CW169" i="1"/>
  <c r="G95" i="1"/>
  <c r="V95" i="1"/>
  <c r="AJ95" i="1"/>
  <c r="AX95" i="1"/>
  <c r="BQ95" i="1"/>
  <c r="BR95" i="1"/>
  <c r="CC95" i="1"/>
  <c r="CW95" i="1"/>
  <c r="G1117" i="1"/>
  <c r="V1117" i="1"/>
  <c r="AJ1117" i="1"/>
  <c r="AX1117" i="1"/>
  <c r="BQ1117" i="1"/>
  <c r="BR1117" i="1"/>
  <c r="CC1117" i="1"/>
  <c r="CW1117" i="1"/>
  <c r="G204" i="1"/>
  <c r="V204" i="1"/>
  <c r="AJ204" i="1"/>
  <c r="AX204" i="1"/>
  <c r="BQ204" i="1"/>
  <c r="BR204" i="1"/>
  <c r="CC204" i="1"/>
  <c r="CW204" i="1"/>
  <c r="G1149" i="1"/>
  <c r="V1149" i="1"/>
  <c r="AJ1149" i="1"/>
  <c r="AX1149" i="1"/>
  <c r="BQ1149" i="1"/>
  <c r="BR1149" i="1"/>
  <c r="CC1149" i="1"/>
  <c r="CW1149" i="1"/>
  <c r="G1343" i="1"/>
  <c r="V1343" i="1"/>
  <c r="AJ1343" i="1"/>
  <c r="AX1343" i="1"/>
  <c r="BQ1343" i="1"/>
  <c r="BR1343" i="1"/>
  <c r="CC1343" i="1"/>
  <c r="CW1343" i="1"/>
  <c r="G424" i="1"/>
  <c r="V424" i="1"/>
  <c r="AJ424" i="1"/>
  <c r="AX424" i="1"/>
  <c r="BQ424" i="1"/>
  <c r="BR424" i="1"/>
  <c r="CC424" i="1"/>
  <c r="CW424" i="1"/>
  <c r="G414" i="1"/>
  <c r="V414" i="1"/>
  <c r="AJ414" i="1"/>
  <c r="AX414" i="1"/>
  <c r="BQ414" i="1"/>
  <c r="BR414" i="1"/>
  <c r="CC414" i="1"/>
  <c r="CW414" i="1"/>
  <c r="G409" i="1"/>
  <c r="V409" i="1"/>
  <c r="AJ409" i="1"/>
  <c r="AX409" i="1"/>
  <c r="BQ409" i="1"/>
  <c r="BR409" i="1"/>
  <c r="CC409" i="1"/>
  <c r="CW409" i="1"/>
  <c r="G476" i="1"/>
  <c r="V476" i="1"/>
  <c r="AJ476" i="1"/>
  <c r="AX476" i="1"/>
  <c r="BQ476" i="1"/>
  <c r="BR476" i="1"/>
  <c r="CC476" i="1"/>
  <c r="CW476" i="1"/>
  <c r="G431" i="1"/>
  <c r="V431" i="1"/>
  <c r="AJ431" i="1"/>
  <c r="AX431" i="1"/>
  <c r="BQ431" i="1"/>
  <c r="BR431" i="1"/>
  <c r="CC431" i="1"/>
  <c r="CW431" i="1"/>
  <c r="G422" i="1"/>
  <c r="V422" i="1"/>
  <c r="AJ422" i="1"/>
  <c r="AX422" i="1"/>
  <c r="BQ422" i="1"/>
  <c r="BR422" i="1"/>
  <c r="CC422" i="1"/>
  <c r="CW422" i="1"/>
  <c r="G1170" i="1"/>
  <c r="V1170" i="1"/>
  <c r="AJ1170" i="1"/>
  <c r="AX1170" i="1"/>
  <c r="BQ1170" i="1"/>
  <c r="BR1170" i="1"/>
  <c r="CC1170" i="1"/>
  <c r="CW1170" i="1"/>
  <c r="G1164" i="1"/>
  <c r="V1164" i="1"/>
  <c r="AJ1164" i="1"/>
  <c r="AX1164" i="1"/>
  <c r="BQ1164" i="1"/>
  <c r="BR1164" i="1"/>
  <c r="CC1164" i="1"/>
  <c r="CW1164" i="1"/>
  <c r="G1370" i="1"/>
  <c r="V1370" i="1"/>
  <c r="AJ1370" i="1"/>
  <c r="AX1370" i="1"/>
  <c r="BQ1370" i="1"/>
  <c r="BR1370" i="1"/>
  <c r="CC1370" i="1"/>
  <c r="CW1370" i="1"/>
  <c r="G1172" i="1"/>
  <c r="V1172" i="1"/>
  <c r="AJ1172" i="1"/>
  <c r="AX1172" i="1"/>
  <c r="BQ1172" i="1"/>
  <c r="BR1172" i="1"/>
  <c r="CC1172" i="1"/>
  <c r="CW1172" i="1"/>
  <c r="G597" i="1"/>
  <c r="V597" i="1"/>
  <c r="AJ597" i="1"/>
  <c r="AX597" i="1"/>
  <c r="BQ597" i="1"/>
  <c r="BR597" i="1"/>
  <c r="CC597" i="1"/>
  <c r="CW597" i="1"/>
  <c r="G1473" i="1"/>
  <c r="V1473" i="1"/>
  <c r="AJ1473" i="1"/>
  <c r="AX1473" i="1"/>
  <c r="BQ1473" i="1"/>
  <c r="BR1473" i="1"/>
  <c r="CC1473" i="1"/>
  <c r="CW1473" i="1"/>
  <c r="G519" i="1"/>
  <c r="V519" i="1"/>
  <c r="AJ519" i="1"/>
  <c r="AX519" i="1"/>
  <c r="BQ519" i="1"/>
  <c r="BR519" i="1"/>
  <c r="CC519" i="1"/>
  <c r="CW519" i="1"/>
  <c r="G555" i="1"/>
  <c r="V555" i="1"/>
  <c r="AJ555" i="1"/>
  <c r="AX555" i="1"/>
  <c r="BQ555" i="1"/>
  <c r="BR555" i="1"/>
  <c r="CC555" i="1"/>
  <c r="CW555" i="1"/>
  <c r="G540" i="1"/>
  <c r="V540" i="1"/>
  <c r="AJ540" i="1"/>
  <c r="AX540" i="1"/>
  <c r="BQ540" i="1"/>
  <c r="BR540" i="1"/>
  <c r="CC540" i="1"/>
  <c r="CW540" i="1"/>
  <c r="G566" i="1"/>
  <c r="V566" i="1"/>
  <c r="AJ566" i="1"/>
  <c r="AX566" i="1"/>
  <c r="BQ566" i="1"/>
  <c r="BR566" i="1"/>
  <c r="CC566" i="1"/>
  <c r="CW566" i="1"/>
  <c r="G1249" i="1"/>
  <c r="V1249" i="1"/>
  <c r="AJ1249" i="1"/>
  <c r="AX1249" i="1"/>
  <c r="BQ1249" i="1"/>
  <c r="BR1249" i="1"/>
  <c r="CC1249" i="1"/>
  <c r="CW1249" i="1"/>
  <c r="G799" i="1"/>
  <c r="V799" i="1"/>
  <c r="AJ799" i="1"/>
  <c r="AX799" i="1"/>
  <c r="BQ799" i="1"/>
  <c r="BR799" i="1"/>
  <c r="CC799" i="1"/>
  <c r="CW799" i="1"/>
  <c r="G867" i="1"/>
  <c r="V867" i="1"/>
  <c r="AJ867" i="1"/>
  <c r="AX867" i="1"/>
  <c r="BQ867" i="1"/>
  <c r="BR867" i="1"/>
  <c r="CC867" i="1"/>
  <c r="CW867" i="1"/>
  <c r="G743" i="1"/>
  <c r="V743" i="1"/>
  <c r="AJ743" i="1"/>
  <c r="AX743" i="1"/>
  <c r="BQ743" i="1"/>
  <c r="BR743" i="1"/>
  <c r="CC743" i="1"/>
  <c r="CW743" i="1"/>
  <c r="G730" i="1"/>
  <c r="V730" i="1"/>
  <c r="AJ730" i="1"/>
  <c r="AX730" i="1"/>
  <c r="BQ730" i="1"/>
  <c r="BR730" i="1"/>
  <c r="CC730" i="1"/>
  <c r="CW730" i="1"/>
  <c r="G1090" i="1"/>
  <c r="V1090" i="1"/>
  <c r="AJ1090" i="1"/>
  <c r="AX1090" i="1"/>
  <c r="BQ1090" i="1"/>
  <c r="BR1090" i="1"/>
  <c r="CC1090" i="1"/>
  <c r="CW1090" i="1"/>
  <c r="G688" i="1"/>
  <c r="V688" i="1"/>
  <c r="AJ688" i="1"/>
  <c r="AX688" i="1"/>
  <c r="BQ688" i="1"/>
  <c r="BR688" i="1"/>
  <c r="CC688" i="1"/>
  <c r="CW688" i="1"/>
  <c r="G615" i="1"/>
  <c r="V615" i="1"/>
  <c r="AJ615" i="1"/>
  <c r="AX615" i="1"/>
  <c r="BQ615" i="1"/>
  <c r="BR615" i="1"/>
  <c r="CC615" i="1"/>
  <c r="CW615" i="1"/>
  <c r="G636" i="1"/>
  <c r="V636" i="1"/>
  <c r="AJ636" i="1"/>
  <c r="AX636" i="1"/>
  <c r="BQ636" i="1"/>
  <c r="BR636" i="1"/>
  <c r="CC636" i="1"/>
  <c r="CW636" i="1"/>
  <c r="G1191" i="1"/>
  <c r="V1191" i="1"/>
  <c r="AJ1191" i="1"/>
  <c r="AX1191" i="1"/>
  <c r="BQ1191" i="1"/>
  <c r="BR1191" i="1"/>
  <c r="CC1191" i="1"/>
  <c r="CW1191" i="1"/>
  <c r="G1188" i="1"/>
  <c r="V1188" i="1"/>
  <c r="AJ1188" i="1"/>
  <c r="AX1188" i="1"/>
  <c r="BQ1188" i="1"/>
  <c r="BR1188" i="1"/>
  <c r="CC1188" i="1"/>
  <c r="CW1188" i="1"/>
  <c r="G600" i="1"/>
  <c r="V600" i="1"/>
  <c r="AJ600" i="1"/>
  <c r="AX600" i="1"/>
  <c r="BQ600" i="1"/>
  <c r="BR600" i="1"/>
  <c r="CC600" i="1"/>
  <c r="CW600" i="1"/>
  <c r="G621" i="1"/>
  <c r="V621" i="1"/>
  <c r="AJ621" i="1"/>
  <c r="AX621" i="1"/>
  <c r="BQ621" i="1"/>
  <c r="BR621" i="1"/>
  <c r="CC621" i="1"/>
  <c r="CW621" i="1"/>
  <c r="G707" i="1"/>
  <c r="V707" i="1"/>
  <c r="AJ707" i="1"/>
  <c r="AX707" i="1"/>
  <c r="BQ707" i="1"/>
  <c r="BR707" i="1"/>
  <c r="CC707" i="1"/>
  <c r="CW707" i="1"/>
  <c r="G1106" i="1"/>
  <c r="V1106" i="1"/>
  <c r="AJ1106" i="1"/>
  <c r="AX1106" i="1"/>
  <c r="BQ1106" i="1"/>
  <c r="BR1106" i="1"/>
  <c r="CC1106" i="1"/>
  <c r="CW1106" i="1"/>
  <c r="G1254" i="1"/>
  <c r="V1254" i="1"/>
  <c r="AJ1254" i="1"/>
  <c r="AX1254" i="1"/>
  <c r="BQ1254" i="1"/>
  <c r="BR1254" i="1"/>
  <c r="CC1254" i="1"/>
  <c r="CW1254" i="1"/>
  <c r="G817" i="1"/>
  <c r="V817" i="1"/>
  <c r="AJ817" i="1"/>
  <c r="AX817" i="1"/>
  <c r="BQ817" i="1"/>
  <c r="BR817" i="1"/>
  <c r="CC817" i="1"/>
  <c r="CW817" i="1"/>
  <c r="G708" i="1"/>
  <c r="V708" i="1"/>
  <c r="AJ708" i="1"/>
  <c r="AX708" i="1"/>
  <c r="BQ708" i="1"/>
  <c r="BR708" i="1"/>
  <c r="CC708" i="1"/>
  <c r="CW708" i="1"/>
  <c r="G1010" i="1"/>
  <c r="V1010" i="1"/>
  <c r="AJ1010" i="1"/>
  <c r="AX1010" i="1"/>
  <c r="BQ1010" i="1"/>
  <c r="BR1010" i="1"/>
  <c r="CC1010" i="1"/>
  <c r="CW1010" i="1"/>
  <c r="G1047" i="1"/>
  <c r="V1047" i="1"/>
  <c r="AJ1047" i="1"/>
  <c r="AX1047" i="1"/>
  <c r="BQ1047" i="1"/>
  <c r="BR1047" i="1"/>
  <c r="CC1047" i="1"/>
  <c r="CW1047" i="1"/>
  <c r="G831" i="1"/>
  <c r="V831" i="1"/>
  <c r="AJ831" i="1"/>
  <c r="AX831" i="1"/>
  <c r="BQ831" i="1"/>
  <c r="BR831" i="1"/>
  <c r="CC831" i="1"/>
  <c r="CW831" i="1"/>
  <c r="G1257" i="1"/>
  <c r="V1257" i="1"/>
  <c r="AJ1257" i="1"/>
  <c r="AX1257" i="1"/>
  <c r="BQ1257" i="1"/>
  <c r="BR1257" i="1"/>
  <c r="CC1257" i="1"/>
  <c r="CW1257" i="1"/>
  <c r="G856" i="1"/>
  <c r="V856" i="1"/>
  <c r="AJ856" i="1"/>
  <c r="AX856" i="1"/>
  <c r="BQ856" i="1"/>
  <c r="BR856" i="1"/>
  <c r="CC856" i="1"/>
  <c r="CW856" i="1"/>
  <c r="G1103" i="1"/>
  <c r="V1103" i="1"/>
  <c r="AJ1103" i="1"/>
  <c r="AX1103" i="1"/>
  <c r="BQ1103" i="1"/>
  <c r="BR1103" i="1"/>
  <c r="CC1103" i="1"/>
  <c r="CW1103" i="1"/>
  <c r="G1340" i="1"/>
  <c r="V1340" i="1"/>
  <c r="AJ1340" i="1"/>
  <c r="AX1340" i="1"/>
  <c r="BQ1340" i="1"/>
  <c r="BR1340" i="1"/>
  <c r="CC1340" i="1"/>
  <c r="CW1340" i="1"/>
  <c r="G975" i="1"/>
  <c r="V975" i="1"/>
  <c r="AJ975" i="1"/>
  <c r="AX975" i="1"/>
  <c r="BQ975" i="1"/>
  <c r="BR975" i="1"/>
  <c r="CC975" i="1"/>
  <c r="CW975" i="1"/>
  <c r="G829" i="1"/>
  <c r="V829" i="1"/>
  <c r="AJ829" i="1"/>
  <c r="AX829" i="1"/>
  <c r="BQ829" i="1"/>
  <c r="BR829" i="1"/>
  <c r="CC829" i="1"/>
  <c r="CW829" i="1"/>
  <c r="G978" i="1"/>
  <c r="V978" i="1"/>
  <c r="AJ978" i="1"/>
  <c r="AX978" i="1"/>
  <c r="BQ978" i="1"/>
  <c r="BR978" i="1"/>
  <c r="CC978" i="1"/>
  <c r="CW978" i="1"/>
  <c r="G702" i="1"/>
  <c r="V702" i="1"/>
  <c r="AJ702" i="1"/>
  <c r="AX702" i="1"/>
  <c r="BQ702" i="1"/>
  <c r="BR702" i="1"/>
  <c r="CC702" i="1"/>
  <c r="CW702" i="1"/>
  <c r="G661" i="1"/>
  <c r="V661" i="1"/>
  <c r="AJ661" i="1"/>
  <c r="AX661" i="1"/>
  <c r="BQ661" i="1"/>
  <c r="BR661" i="1"/>
  <c r="CC661" i="1"/>
  <c r="CW661" i="1"/>
  <c r="G739" i="1"/>
  <c r="V739" i="1"/>
  <c r="AJ739" i="1"/>
  <c r="AX739" i="1"/>
  <c r="BQ739" i="1"/>
  <c r="BR739" i="1"/>
  <c r="CC739" i="1"/>
  <c r="CW739" i="1"/>
  <c r="G718" i="1"/>
  <c r="V718" i="1"/>
  <c r="AJ718" i="1"/>
  <c r="AX718" i="1"/>
  <c r="BQ718" i="1"/>
  <c r="BR718" i="1"/>
  <c r="CC718" i="1"/>
  <c r="CW718" i="1"/>
  <c r="G698" i="1"/>
  <c r="V698" i="1"/>
  <c r="AJ698" i="1"/>
  <c r="AX698" i="1"/>
  <c r="BQ698" i="1"/>
  <c r="BR698" i="1"/>
  <c r="CC698" i="1"/>
  <c r="CW698" i="1"/>
  <c r="G896" i="1"/>
  <c r="V896" i="1"/>
  <c r="AJ896" i="1"/>
  <c r="AX896" i="1"/>
  <c r="BQ896" i="1"/>
  <c r="BR896" i="1"/>
  <c r="CC896" i="1"/>
  <c r="CW896" i="1"/>
  <c r="G1506" i="1"/>
  <c r="V1506" i="1"/>
  <c r="AJ1506" i="1"/>
  <c r="AX1506" i="1"/>
  <c r="BQ1506" i="1"/>
  <c r="BR1506" i="1"/>
  <c r="CC1506" i="1"/>
  <c r="CW1506" i="1"/>
  <c r="G1505" i="1"/>
  <c r="V1505" i="1"/>
  <c r="AJ1505" i="1"/>
  <c r="AX1505" i="1"/>
  <c r="BQ1505" i="1"/>
  <c r="BR1505" i="1"/>
  <c r="CC1505" i="1"/>
  <c r="CW1505" i="1"/>
  <c r="G1083" i="1"/>
  <c r="V1083" i="1"/>
  <c r="AJ1083" i="1"/>
  <c r="AX1083" i="1"/>
  <c r="BQ1083" i="1"/>
  <c r="BR1083" i="1"/>
  <c r="CC1083" i="1"/>
  <c r="CW1083" i="1"/>
  <c r="G954" i="1"/>
  <c r="V954" i="1"/>
  <c r="AJ954" i="1"/>
  <c r="AX954" i="1"/>
  <c r="BQ954" i="1"/>
  <c r="BR954" i="1"/>
  <c r="CC954" i="1"/>
  <c r="CW954" i="1"/>
  <c r="G765" i="1"/>
  <c r="V765" i="1"/>
  <c r="AJ765" i="1"/>
  <c r="AX765" i="1"/>
  <c r="BQ765" i="1"/>
  <c r="BR765" i="1"/>
  <c r="CC765" i="1"/>
  <c r="CW765" i="1"/>
  <c r="G1221" i="1"/>
  <c r="V1221" i="1"/>
  <c r="AJ1221" i="1"/>
  <c r="AX1221" i="1"/>
  <c r="BQ1221" i="1"/>
  <c r="BR1221" i="1"/>
  <c r="CC1221" i="1"/>
  <c r="CW1221" i="1"/>
  <c r="G838" i="1"/>
  <c r="V838" i="1"/>
  <c r="AJ838" i="1"/>
  <c r="AX838" i="1"/>
  <c r="BQ838" i="1"/>
  <c r="BR838" i="1"/>
  <c r="CC838" i="1"/>
  <c r="CW838" i="1"/>
  <c r="G1304" i="1"/>
  <c r="V1304" i="1"/>
  <c r="AJ1304" i="1"/>
  <c r="AX1304" i="1"/>
  <c r="BQ1304" i="1"/>
  <c r="BR1304" i="1"/>
  <c r="CC1304" i="1"/>
  <c r="CW1304" i="1"/>
  <c r="G1088" i="1"/>
  <c r="V1088" i="1"/>
  <c r="AJ1088" i="1"/>
  <c r="AX1088" i="1"/>
  <c r="BQ1088" i="1"/>
  <c r="BR1088" i="1"/>
  <c r="CC1088" i="1"/>
  <c r="CW1088" i="1"/>
  <c r="G791" i="1"/>
  <c r="V791" i="1"/>
  <c r="AJ791" i="1"/>
  <c r="AX791" i="1"/>
  <c r="BQ791" i="1"/>
  <c r="BR791" i="1"/>
  <c r="CC791" i="1"/>
  <c r="CW791" i="1"/>
  <c r="G1275" i="1"/>
  <c r="V1275" i="1"/>
  <c r="AJ1275" i="1"/>
  <c r="AX1275" i="1"/>
  <c r="BQ1275" i="1"/>
  <c r="BR1275" i="1"/>
  <c r="CC1275" i="1"/>
  <c r="CW1275" i="1"/>
  <c r="G1508" i="1"/>
  <c r="V1508" i="1"/>
  <c r="AJ1508" i="1"/>
  <c r="AX1508" i="1"/>
  <c r="BQ1508" i="1"/>
  <c r="BR1508" i="1"/>
  <c r="CC1508" i="1"/>
  <c r="CW1508" i="1"/>
  <c r="G824" i="1"/>
  <c r="V824" i="1"/>
  <c r="AJ824" i="1"/>
  <c r="AX824" i="1"/>
  <c r="BQ824" i="1"/>
  <c r="BR824" i="1"/>
  <c r="CC824" i="1"/>
  <c r="CW824" i="1"/>
  <c r="G763" i="1"/>
  <c r="V763" i="1"/>
  <c r="AJ763" i="1"/>
  <c r="AX763" i="1"/>
  <c r="BQ763" i="1"/>
  <c r="BR763" i="1"/>
  <c r="CC763" i="1"/>
  <c r="CW763" i="1"/>
  <c r="G776" i="1"/>
  <c r="V776" i="1"/>
  <c r="AJ776" i="1"/>
  <c r="AX776" i="1"/>
  <c r="BQ776" i="1"/>
  <c r="BR776" i="1"/>
  <c r="CC776" i="1"/>
  <c r="CW776" i="1"/>
  <c r="G1097" i="1"/>
  <c r="V1097" i="1"/>
  <c r="AJ1097" i="1"/>
  <c r="AX1097" i="1"/>
  <c r="BQ1097" i="1"/>
  <c r="BR1097" i="1"/>
  <c r="CC1097" i="1"/>
  <c r="CW1097" i="1"/>
  <c r="G874" i="1"/>
  <c r="V874" i="1"/>
  <c r="AJ874" i="1"/>
  <c r="AX874" i="1"/>
  <c r="BQ874" i="1"/>
  <c r="BR874" i="1"/>
  <c r="CC874" i="1"/>
  <c r="CW874" i="1"/>
  <c r="G898" i="1"/>
  <c r="V898" i="1"/>
  <c r="AJ898" i="1"/>
  <c r="AX898" i="1"/>
  <c r="BQ898" i="1"/>
  <c r="BR898" i="1"/>
  <c r="CC898" i="1"/>
  <c r="CW898" i="1"/>
  <c r="G994" i="1"/>
  <c r="V994" i="1"/>
  <c r="AJ994" i="1"/>
  <c r="AX994" i="1"/>
  <c r="BQ994" i="1"/>
  <c r="BR994" i="1"/>
  <c r="CC994" i="1"/>
  <c r="CW994" i="1"/>
  <c r="G1135" i="1"/>
  <c r="V1135" i="1"/>
  <c r="AJ1135" i="1"/>
  <c r="AX1135" i="1"/>
  <c r="BQ1135" i="1"/>
  <c r="BR1135" i="1"/>
  <c r="CC1135" i="1"/>
  <c r="CW1135" i="1"/>
  <c r="G315" i="1"/>
  <c r="V315" i="1"/>
  <c r="AJ315" i="1"/>
  <c r="AX315" i="1"/>
  <c r="BQ315" i="1"/>
  <c r="BR315" i="1"/>
  <c r="CC315" i="1"/>
  <c r="CW315" i="1"/>
  <c r="G37" i="1"/>
  <c r="V37" i="1"/>
  <c r="AJ37" i="1"/>
  <c r="AX37" i="1"/>
  <c r="BQ37" i="1"/>
  <c r="BR37" i="1"/>
  <c r="CC37" i="1"/>
  <c r="CW37" i="1"/>
  <c r="G210" i="1"/>
  <c r="V210" i="1"/>
  <c r="AJ210" i="1"/>
  <c r="AX210" i="1"/>
  <c r="BQ210" i="1"/>
  <c r="BR210" i="1"/>
  <c r="CC210" i="1"/>
  <c r="CW210" i="1"/>
  <c r="G247" i="1"/>
  <c r="V247" i="1"/>
  <c r="AJ247" i="1"/>
  <c r="AX247" i="1"/>
  <c r="BQ247" i="1"/>
  <c r="BR247" i="1"/>
  <c r="CC247" i="1"/>
  <c r="CW247" i="1"/>
  <c r="G71" i="1"/>
  <c r="V71" i="1"/>
  <c r="AJ71" i="1"/>
  <c r="AX71" i="1"/>
  <c r="BQ71" i="1"/>
  <c r="BR71" i="1"/>
  <c r="CC71" i="1"/>
  <c r="CW71" i="1"/>
  <c r="G56" i="1"/>
  <c r="V56" i="1"/>
  <c r="AJ56" i="1"/>
  <c r="AX56" i="1"/>
  <c r="BQ56" i="1"/>
  <c r="BR56" i="1"/>
  <c r="CC56" i="1"/>
  <c r="CW56" i="1"/>
  <c r="G17" i="1"/>
  <c r="V17" i="1"/>
  <c r="AJ17" i="1"/>
  <c r="AX17" i="1"/>
  <c r="BQ17" i="1"/>
  <c r="BR17" i="1"/>
  <c r="CC17" i="1"/>
  <c r="CW17" i="1"/>
  <c r="G16" i="1"/>
  <c r="V16" i="1"/>
  <c r="AJ16" i="1"/>
  <c r="AX16" i="1"/>
  <c r="BQ16" i="1"/>
  <c r="BR16" i="1"/>
  <c r="CC16" i="1"/>
  <c r="CW16" i="1"/>
  <c r="G4" i="1"/>
  <c r="V4" i="1"/>
  <c r="AJ4" i="1"/>
  <c r="AX4" i="1"/>
  <c r="BQ4" i="1"/>
  <c r="BR4" i="1"/>
  <c r="CC4" i="1"/>
  <c r="CW4" i="1"/>
  <c r="G9" i="1"/>
  <c r="V9" i="1"/>
  <c r="AJ9" i="1"/>
  <c r="AX9" i="1"/>
  <c r="BQ9" i="1"/>
  <c r="BR9" i="1"/>
  <c r="CC9" i="1"/>
  <c r="CW9" i="1"/>
  <c r="G190" i="1"/>
  <c r="V190" i="1"/>
  <c r="AJ190" i="1"/>
  <c r="AX190" i="1"/>
  <c r="BQ190" i="1"/>
  <c r="BR190" i="1"/>
  <c r="CC190" i="1"/>
  <c r="CW190" i="1"/>
  <c r="G167" i="1"/>
  <c r="V167" i="1"/>
  <c r="AJ167" i="1"/>
  <c r="AX167" i="1"/>
  <c r="BQ167" i="1"/>
  <c r="BR167" i="1"/>
  <c r="CC167" i="1"/>
  <c r="CW167" i="1"/>
  <c r="G208" i="1"/>
  <c r="V208" i="1"/>
  <c r="AJ208" i="1"/>
  <c r="AX208" i="1"/>
  <c r="BQ208" i="1"/>
  <c r="BR208" i="1"/>
  <c r="CC208" i="1"/>
  <c r="CW208" i="1"/>
  <c r="G8" i="1"/>
  <c r="V8" i="1"/>
  <c r="AJ8" i="1"/>
  <c r="AX8" i="1"/>
  <c r="BQ8" i="1"/>
  <c r="BR8" i="1"/>
  <c r="CC8" i="1"/>
  <c r="CW8" i="1"/>
  <c r="G219" i="1"/>
  <c r="V219" i="1"/>
  <c r="AJ219" i="1"/>
  <c r="AX219" i="1"/>
  <c r="BQ219" i="1"/>
  <c r="BR219" i="1"/>
  <c r="CC219" i="1"/>
  <c r="CW219" i="1"/>
  <c r="G93" i="1"/>
  <c r="V93" i="1"/>
  <c r="AJ93" i="1"/>
  <c r="AX93" i="1"/>
  <c r="BQ93" i="1"/>
  <c r="BR93" i="1"/>
  <c r="CC93" i="1"/>
  <c r="CW93" i="1"/>
  <c r="G5" i="1"/>
  <c r="V5" i="1"/>
  <c r="AJ5" i="1"/>
  <c r="AX5" i="1"/>
  <c r="BQ5" i="1"/>
  <c r="BR5" i="1"/>
  <c r="CC5" i="1"/>
  <c r="CW5" i="1"/>
  <c r="G142" i="1"/>
  <c r="V142" i="1"/>
  <c r="AJ142" i="1"/>
  <c r="AX142" i="1"/>
  <c r="BQ142" i="1"/>
  <c r="BR142" i="1"/>
  <c r="CC142" i="1"/>
  <c r="CW142" i="1"/>
  <c r="G174" i="1"/>
  <c r="V174" i="1"/>
  <c r="AJ174" i="1"/>
  <c r="AX174" i="1"/>
  <c r="BQ174" i="1"/>
  <c r="BR174" i="1"/>
  <c r="CC174" i="1"/>
  <c r="CW174" i="1"/>
  <c r="G278" i="1"/>
  <c r="V278" i="1"/>
  <c r="AJ278" i="1"/>
  <c r="AX278" i="1"/>
  <c r="BQ278" i="1"/>
  <c r="BR278" i="1"/>
  <c r="CC278" i="1"/>
  <c r="CW278" i="1"/>
  <c r="G79" i="1"/>
  <c r="V79" i="1"/>
  <c r="AJ79" i="1"/>
  <c r="AX79" i="1"/>
  <c r="BQ79" i="1"/>
  <c r="BR79" i="1"/>
  <c r="CC79" i="1"/>
  <c r="CW79" i="1"/>
  <c r="G195" i="1"/>
  <c r="V195" i="1"/>
  <c r="AJ195" i="1"/>
  <c r="AX195" i="1"/>
  <c r="BQ195" i="1"/>
  <c r="BR195" i="1"/>
  <c r="CC195" i="1"/>
  <c r="CW195" i="1"/>
  <c r="G373" i="1"/>
  <c r="V373" i="1"/>
  <c r="AJ373" i="1"/>
  <c r="AX373" i="1"/>
  <c r="BQ373" i="1"/>
  <c r="BR373" i="1"/>
  <c r="CC373" i="1"/>
  <c r="CW373" i="1"/>
  <c r="G384" i="1"/>
  <c r="V384" i="1"/>
  <c r="AJ384" i="1"/>
  <c r="AX384" i="1"/>
  <c r="BQ384" i="1"/>
  <c r="BR384" i="1"/>
  <c r="CC384" i="1"/>
  <c r="CW384" i="1"/>
  <c r="G368" i="1"/>
  <c r="V368" i="1"/>
  <c r="AJ368" i="1"/>
  <c r="AX368" i="1"/>
  <c r="BQ368" i="1"/>
  <c r="BR368" i="1"/>
  <c r="CC368" i="1"/>
  <c r="CW368" i="1"/>
  <c r="G400" i="1"/>
  <c r="V400" i="1"/>
  <c r="AJ400" i="1"/>
  <c r="AX400" i="1"/>
  <c r="BQ400" i="1"/>
  <c r="BR400" i="1"/>
  <c r="CC400" i="1"/>
  <c r="CW400" i="1"/>
  <c r="G380" i="1"/>
  <c r="V380" i="1"/>
  <c r="AJ380" i="1"/>
  <c r="AX380" i="1"/>
  <c r="BQ380" i="1"/>
  <c r="BR380" i="1"/>
  <c r="CC380" i="1"/>
  <c r="CW380" i="1"/>
  <c r="G408" i="1"/>
  <c r="V408" i="1"/>
  <c r="AJ408" i="1"/>
  <c r="AX408" i="1"/>
  <c r="BQ408" i="1"/>
  <c r="BR408" i="1"/>
  <c r="CC408" i="1"/>
  <c r="CW408" i="1"/>
  <c r="G1451" i="1"/>
  <c r="V1451" i="1"/>
  <c r="AJ1451" i="1"/>
  <c r="AX1451" i="1"/>
  <c r="BQ1451" i="1"/>
  <c r="BR1451" i="1"/>
  <c r="CC1451" i="1"/>
  <c r="CW1451" i="1"/>
  <c r="G1391" i="1"/>
  <c r="V1391" i="1"/>
  <c r="AJ1391" i="1"/>
  <c r="AX1391" i="1"/>
  <c r="BQ1391" i="1"/>
  <c r="BR1391" i="1"/>
  <c r="CC1391" i="1"/>
  <c r="CW1391" i="1"/>
  <c r="G1455" i="1"/>
  <c r="V1455" i="1"/>
  <c r="AJ1455" i="1"/>
  <c r="AX1455" i="1"/>
  <c r="BQ1455" i="1"/>
  <c r="BR1455" i="1"/>
  <c r="CC1455" i="1"/>
  <c r="CW1455" i="1"/>
  <c r="G1440" i="1"/>
  <c r="V1440" i="1"/>
  <c r="AJ1440" i="1"/>
  <c r="AX1440" i="1"/>
  <c r="BQ1440" i="1"/>
  <c r="BR1440" i="1"/>
  <c r="CC1440" i="1"/>
  <c r="CW1440" i="1"/>
  <c r="G1162" i="1"/>
  <c r="V1162" i="1"/>
  <c r="AJ1162" i="1"/>
  <c r="AX1162" i="1"/>
  <c r="BQ1162" i="1"/>
  <c r="BR1162" i="1"/>
  <c r="CC1162" i="1"/>
  <c r="CW1162" i="1"/>
  <c r="G488" i="1"/>
  <c r="V488" i="1"/>
  <c r="AJ488" i="1"/>
  <c r="AX488" i="1"/>
  <c r="BQ488" i="1"/>
  <c r="BR488" i="1"/>
  <c r="CC488" i="1"/>
  <c r="CW488" i="1"/>
  <c r="G1382" i="1"/>
  <c r="V1382" i="1"/>
  <c r="AJ1382" i="1"/>
  <c r="AX1382" i="1"/>
  <c r="BQ1382" i="1"/>
  <c r="BR1382" i="1"/>
  <c r="CC1382" i="1"/>
  <c r="CW1382" i="1"/>
  <c r="G1457" i="1"/>
  <c r="V1457" i="1"/>
  <c r="AJ1457" i="1"/>
  <c r="AX1457" i="1"/>
  <c r="BQ1457" i="1"/>
  <c r="BR1457" i="1"/>
  <c r="CC1457" i="1"/>
  <c r="CW1457" i="1"/>
  <c r="G1402" i="1"/>
  <c r="V1402" i="1"/>
  <c r="AJ1402" i="1"/>
  <c r="AX1402" i="1"/>
  <c r="BQ1402" i="1"/>
  <c r="BR1402" i="1"/>
  <c r="CC1402" i="1"/>
  <c r="CW1402" i="1"/>
  <c r="G1431" i="1"/>
  <c r="V1431" i="1"/>
  <c r="AJ1431" i="1"/>
  <c r="AX1431" i="1"/>
  <c r="BQ1431" i="1"/>
  <c r="BR1431" i="1"/>
  <c r="CC1431" i="1"/>
  <c r="CW1431" i="1"/>
  <c r="G547" i="1"/>
  <c r="V547" i="1"/>
  <c r="AJ547" i="1"/>
  <c r="AX547" i="1"/>
  <c r="BQ547" i="1"/>
  <c r="BR547" i="1"/>
  <c r="CC547" i="1"/>
  <c r="CW547" i="1"/>
  <c r="G593" i="1"/>
  <c r="V593" i="1"/>
  <c r="AJ593" i="1"/>
  <c r="AX593" i="1"/>
  <c r="BQ593" i="1"/>
  <c r="BR593" i="1"/>
  <c r="CC593" i="1"/>
  <c r="CW593" i="1"/>
  <c r="G510" i="1"/>
  <c r="V510" i="1"/>
  <c r="AJ510" i="1"/>
  <c r="AX510" i="1"/>
  <c r="BQ510" i="1"/>
  <c r="BR510" i="1"/>
  <c r="CC510" i="1"/>
  <c r="CW510" i="1"/>
  <c r="G1179" i="1"/>
  <c r="V1179" i="1"/>
  <c r="AJ1179" i="1"/>
  <c r="AX1179" i="1"/>
  <c r="BQ1179" i="1"/>
  <c r="BR1179" i="1"/>
  <c r="CC1179" i="1"/>
  <c r="CW1179" i="1"/>
  <c r="G1470" i="1"/>
  <c r="V1470" i="1"/>
  <c r="AJ1470" i="1"/>
  <c r="AX1470" i="1"/>
  <c r="BQ1470" i="1"/>
  <c r="BR1470" i="1"/>
  <c r="CC1470" i="1"/>
  <c r="CW1470" i="1"/>
  <c r="G500" i="1"/>
  <c r="V500" i="1"/>
  <c r="AJ500" i="1"/>
  <c r="AX500" i="1"/>
  <c r="BQ500" i="1"/>
  <c r="BR500" i="1"/>
  <c r="CC500" i="1"/>
  <c r="CW500" i="1"/>
  <c r="G541" i="1"/>
  <c r="V541" i="1"/>
  <c r="AJ541" i="1"/>
  <c r="AX541" i="1"/>
  <c r="BQ541" i="1"/>
  <c r="BR541" i="1"/>
  <c r="CC541" i="1"/>
  <c r="CW541" i="1"/>
  <c r="G1525" i="1"/>
  <c r="V1525" i="1"/>
  <c r="AJ1525" i="1"/>
  <c r="AX1525" i="1"/>
  <c r="BQ1525" i="1"/>
  <c r="BR1525" i="1"/>
  <c r="CC1525" i="1"/>
  <c r="CW1525" i="1"/>
  <c r="G689" i="1"/>
  <c r="V689" i="1"/>
  <c r="AJ689" i="1"/>
  <c r="AX689" i="1"/>
  <c r="BQ689" i="1"/>
  <c r="BR689" i="1"/>
  <c r="CC689" i="1"/>
  <c r="CW689" i="1"/>
  <c r="G1015" i="1"/>
  <c r="V1015" i="1"/>
  <c r="AJ1015" i="1"/>
  <c r="AX1015" i="1"/>
  <c r="BQ1015" i="1"/>
  <c r="BR1015" i="1"/>
  <c r="CC1015" i="1"/>
  <c r="CW1015" i="1"/>
  <c r="G822" i="1"/>
  <c r="V822" i="1"/>
  <c r="AJ822" i="1"/>
  <c r="AX822" i="1"/>
  <c r="BQ822" i="1"/>
  <c r="BR822" i="1"/>
  <c r="CC822" i="1"/>
  <c r="CW822" i="1"/>
  <c r="G851" i="1"/>
  <c r="V851" i="1"/>
  <c r="AJ851" i="1"/>
  <c r="AX851" i="1"/>
  <c r="BQ851" i="1"/>
  <c r="BR851" i="1"/>
  <c r="CC851" i="1"/>
  <c r="CW851" i="1"/>
  <c r="G793" i="1"/>
  <c r="V793" i="1"/>
  <c r="AJ793" i="1"/>
  <c r="AX793" i="1"/>
  <c r="BQ793" i="1"/>
  <c r="BR793" i="1"/>
  <c r="CC793" i="1"/>
  <c r="CW793" i="1"/>
  <c r="G678" i="1"/>
  <c r="V678" i="1"/>
  <c r="AJ678" i="1"/>
  <c r="AX678" i="1"/>
  <c r="BQ678" i="1"/>
  <c r="BR678" i="1"/>
  <c r="CC678" i="1"/>
  <c r="CW678" i="1"/>
  <c r="G1193" i="1"/>
  <c r="V1193" i="1"/>
  <c r="AJ1193" i="1"/>
  <c r="AX1193" i="1"/>
  <c r="BQ1193" i="1"/>
  <c r="BR1193" i="1"/>
  <c r="CC1193" i="1"/>
  <c r="CW1193" i="1"/>
  <c r="G581" i="1"/>
  <c r="V581" i="1"/>
  <c r="AJ581" i="1"/>
  <c r="AX581" i="1"/>
  <c r="BQ581" i="1"/>
  <c r="BR581" i="1"/>
  <c r="CC581" i="1"/>
  <c r="CW581" i="1"/>
  <c r="G1192" i="1"/>
  <c r="V1192" i="1"/>
  <c r="AJ1192" i="1"/>
  <c r="AX1192" i="1"/>
  <c r="BQ1192" i="1"/>
  <c r="BR1192" i="1"/>
  <c r="CC1192" i="1"/>
  <c r="CW1192" i="1"/>
  <c r="G623" i="1"/>
  <c r="V623" i="1"/>
  <c r="AJ623" i="1"/>
  <c r="AX623" i="1"/>
  <c r="BQ623" i="1"/>
  <c r="BR623" i="1"/>
  <c r="CC623" i="1"/>
  <c r="CW623" i="1"/>
  <c r="G632" i="1"/>
  <c r="V632" i="1"/>
  <c r="AJ632" i="1"/>
  <c r="AX632" i="1"/>
  <c r="BQ632" i="1"/>
  <c r="BR632" i="1"/>
  <c r="CC632" i="1"/>
  <c r="CW632" i="1"/>
  <c r="G1190" i="1"/>
  <c r="V1190" i="1"/>
  <c r="AJ1190" i="1"/>
  <c r="AX1190" i="1"/>
  <c r="BQ1190" i="1"/>
  <c r="BR1190" i="1"/>
  <c r="CC1190" i="1"/>
  <c r="CW1190" i="1"/>
  <c r="G635" i="1"/>
  <c r="V635" i="1"/>
  <c r="AJ635" i="1"/>
  <c r="AX635" i="1"/>
  <c r="BQ635" i="1"/>
  <c r="BR635" i="1"/>
  <c r="CC635" i="1"/>
  <c r="CW635" i="1"/>
  <c r="G1353" i="1"/>
  <c r="V1353" i="1"/>
  <c r="AJ1353" i="1"/>
  <c r="AX1353" i="1"/>
  <c r="BQ1353" i="1"/>
  <c r="BR1353" i="1"/>
  <c r="CC1353" i="1"/>
  <c r="CW1353" i="1"/>
  <c r="G592" i="1"/>
  <c r="V592" i="1"/>
  <c r="AJ592" i="1"/>
  <c r="AX592" i="1"/>
  <c r="BQ592" i="1"/>
  <c r="BR592" i="1"/>
  <c r="CC592" i="1"/>
  <c r="CW592" i="1"/>
  <c r="G685" i="1"/>
  <c r="V685" i="1"/>
  <c r="AJ685" i="1"/>
  <c r="AX685" i="1"/>
  <c r="BQ685" i="1"/>
  <c r="BR685" i="1"/>
  <c r="CC685" i="1"/>
  <c r="CW685" i="1"/>
  <c r="G1017" i="1"/>
  <c r="V1017" i="1"/>
  <c r="AJ1017" i="1"/>
  <c r="AX1017" i="1"/>
  <c r="BQ1017" i="1"/>
  <c r="BR1017" i="1"/>
  <c r="CC1017" i="1"/>
  <c r="CW1017" i="1"/>
  <c r="G1019" i="1"/>
  <c r="V1019" i="1"/>
  <c r="AJ1019" i="1"/>
  <c r="AX1019" i="1"/>
  <c r="BQ1019" i="1"/>
  <c r="BR1019" i="1"/>
  <c r="CC1019" i="1"/>
  <c r="CW1019" i="1"/>
  <c r="G1100" i="1"/>
  <c r="V1100" i="1"/>
  <c r="AJ1100" i="1"/>
  <c r="AX1100" i="1"/>
  <c r="BQ1100" i="1"/>
  <c r="BR1100" i="1"/>
  <c r="CC1100" i="1"/>
  <c r="CW1100" i="1"/>
  <c r="G773" i="1"/>
  <c r="V773" i="1"/>
  <c r="AJ773" i="1"/>
  <c r="AX773" i="1"/>
  <c r="BQ773" i="1"/>
  <c r="BR773" i="1"/>
  <c r="CC773" i="1"/>
  <c r="CW773" i="1"/>
  <c r="G1031" i="1"/>
  <c r="V1031" i="1"/>
  <c r="AJ1031" i="1"/>
  <c r="AX1031" i="1"/>
  <c r="BQ1031" i="1"/>
  <c r="BR1031" i="1"/>
  <c r="CC1031" i="1"/>
  <c r="CW1031" i="1"/>
  <c r="G959" i="1"/>
  <c r="V959" i="1"/>
  <c r="AJ959" i="1"/>
  <c r="AX959" i="1"/>
  <c r="BQ959" i="1"/>
  <c r="BR959" i="1"/>
  <c r="CC959" i="1"/>
  <c r="CW959" i="1"/>
  <c r="G1085" i="1"/>
  <c r="V1085" i="1"/>
  <c r="AJ1085" i="1"/>
  <c r="AX1085" i="1"/>
  <c r="BQ1085" i="1"/>
  <c r="BR1085" i="1"/>
  <c r="CC1085" i="1"/>
  <c r="CW1085" i="1"/>
  <c r="G1228" i="1"/>
  <c r="V1228" i="1"/>
  <c r="AJ1228" i="1"/>
  <c r="AX1228" i="1"/>
  <c r="BQ1228" i="1"/>
  <c r="BR1228" i="1"/>
  <c r="CC1228" i="1"/>
  <c r="CW1228" i="1"/>
  <c r="G966" i="1"/>
  <c r="V966" i="1"/>
  <c r="AJ966" i="1"/>
  <c r="AX966" i="1"/>
  <c r="BQ966" i="1"/>
  <c r="BR966" i="1"/>
  <c r="CC966" i="1"/>
  <c r="CW966" i="1"/>
  <c r="G1012" i="1"/>
  <c r="V1012" i="1"/>
  <c r="AJ1012" i="1"/>
  <c r="AX1012" i="1"/>
  <c r="BQ1012" i="1"/>
  <c r="BR1012" i="1"/>
  <c r="CC1012" i="1"/>
  <c r="CW1012" i="1"/>
  <c r="G819" i="1"/>
  <c r="V819" i="1"/>
  <c r="AJ819" i="1"/>
  <c r="AX819" i="1"/>
  <c r="BQ819" i="1"/>
  <c r="BR819" i="1"/>
  <c r="CC819" i="1"/>
  <c r="CW819" i="1"/>
  <c r="G801" i="1"/>
  <c r="V801" i="1"/>
  <c r="AJ801" i="1"/>
  <c r="AX801" i="1"/>
  <c r="BQ801" i="1"/>
  <c r="BR801" i="1"/>
  <c r="CC801" i="1"/>
  <c r="CW801" i="1"/>
  <c r="G665" i="1"/>
  <c r="V665" i="1"/>
  <c r="AJ665" i="1"/>
  <c r="AX665" i="1"/>
  <c r="BQ665" i="1"/>
  <c r="BR665" i="1"/>
  <c r="CC665" i="1"/>
  <c r="CW665" i="1"/>
  <c r="G1095" i="1"/>
  <c r="V1095" i="1"/>
  <c r="AJ1095" i="1"/>
  <c r="AX1095" i="1"/>
  <c r="BQ1095" i="1"/>
  <c r="BR1095" i="1"/>
  <c r="CC1095" i="1"/>
  <c r="CW1095" i="1"/>
  <c r="G668" i="1"/>
  <c r="V668" i="1"/>
  <c r="AJ668" i="1"/>
  <c r="AX668" i="1"/>
  <c r="BQ668" i="1"/>
  <c r="BR668" i="1"/>
  <c r="CC668" i="1"/>
  <c r="CW668" i="1"/>
  <c r="G1288" i="1"/>
  <c r="V1288" i="1"/>
  <c r="AJ1288" i="1"/>
  <c r="AX1288" i="1"/>
  <c r="BQ1288" i="1"/>
  <c r="BR1288" i="1"/>
  <c r="CC1288" i="1"/>
  <c r="CW1288" i="1"/>
  <c r="G1207" i="1"/>
  <c r="V1207" i="1"/>
  <c r="AJ1207" i="1"/>
  <c r="AX1207" i="1"/>
  <c r="BQ1207" i="1"/>
  <c r="BR1207" i="1"/>
  <c r="CC1207" i="1"/>
  <c r="CW1207" i="1"/>
  <c r="G768" i="1"/>
  <c r="V768" i="1"/>
  <c r="AJ768" i="1"/>
  <c r="AX768" i="1"/>
  <c r="BQ768" i="1"/>
  <c r="BR768" i="1"/>
  <c r="CC768" i="1"/>
  <c r="CW768" i="1"/>
  <c r="G1259" i="1"/>
  <c r="V1259" i="1"/>
  <c r="AJ1259" i="1"/>
  <c r="AX1259" i="1"/>
  <c r="BQ1259" i="1"/>
  <c r="BR1259" i="1"/>
  <c r="CC1259" i="1"/>
  <c r="CW1259" i="1"/>
  <c r="G756" i="1"/>
  <c r="V756" i="1"/>
  <c r="AJ756" i="1"/>
  <c r="AX756" i="1"/>
  <c r="BQ756" i="1"/>
  <c r="BR756" i="1"/>
  <c r="CC756" i="1"/>
  <c r="CW756" i="1"/>
  <c r="G804" i="1"/>
  <c r="V804" i="1"/>
  <c r="AJ804" i="1"/>
  <c r="AX804" i="1"/>
  <c r="BQ804" i="1"/>
  <c r="BR804" i="1"/>
  <c r="CC804" i="1"/>
  <c r="CW804" i="1"/>
  <c r="G798" i="1"/>
  <c r="V798" i="1"/>
  <c r="AJ798" i="1"/>
  <c r="AX798" i="1"/>
  <c r="BQ798" i="1"/>
  <c r="BR798" i="1"/>
  <c r="CC798" i="1"/>
  <c r="CW798" i="1"/>
  <c r="G786" i="1"/>
  <c r="V786" i="1"/>
  <c r="AJ786" i="1"/>
  <c r="AX786" i="1"/>
  <c r="BQ786" i="1"/>
  <c r="BR786" i="1"/>
  <c r="CC786" i="1"/>
  <c r="CK786" i="1"/>
  <c r="CW786" i="1"/>
  <c r="G842" i="1"/>
  <c r="V842" i="1"/>
  <c r="AJ842" i="1"/>
  <c r="AX842" i="1"/>
  <c r="BQ842" i="1"/>
  <c r="BR842" i="1"/>
  <c r="CC842" i="1"/>
  <c r="CW842" i="1"/>
  <c r="G862" i="1"/>
  <c r="V862" i="1"/>
  <c r="AJ862" i="1"/>
  <c r="AX862" i="1"/>
  <c r="BQ862" i="1"/>
  <c r="BR862" i="1"/>
  <c r="CC862" i="1"/>
  <c r="CW862" i="1"/>
  <c r="G1089" i="1"/>
  <c r="V1089" i="1"/>
  <c r="AJ1089" i="1"/>
  <c r="AX1089" i="1"/>
  <c r="BQ1089" i="1"/>
  <c r="BR1089" i="1"/>
  <c r="CC1089" i="1"/>
  <c r="CW1089" i="1"/>
  <c r="G1053" i="1"/>
  <c r="V1053" i="1"/>
  <c r="AJ1053" i="1"/>
  <c r="AX1053" i="1"/>
  <c r="BQ1053" i="1"/>
  <c r="BR1053" i="1"/>
  <c r="CC1053" i="1"/>
  <c r="CW1053" i="1"/>
  <c r="G825" i="1"/>
  <c r="V825" i="1"/>
  <c r="AJ825" i="1"/>
  <c r="AX825" i="1"/>
  <c r="BQ825" i="1"/>
  <c r="BR825" i="1"/>
  <c r="CC825" i="1"/>
  <c r="CW825" i="1"/>
  <c r="G916" i="1"/>
  <c r="V916" i="1"/>
  <c r="AJ916" i="1"/>
  <c r="AX916" i="1"/>
  <c r="BQ916" i="1"/>
  <c r="BR916" i="1"/>
  <c r="CC916" i="1"/>
  <c r="CW916" i="1"/>
  <c r="G861" i="1"/>
  <c r="V861" i="1"/>
  <c r="AJ861" i="1"/>
  <c r="AX861" i="1"/>
  <c r="BQ861" i="1"/>
  <c r="BR861" i="1"/>
  <c r="CC861" i="1"/>
  <c r="CW861" i="1"/>
  <c r="G362" i="1"/>
  <c r="V362" i="1"/>
  <c r="AJ362" i="1"/>
  <c r="AX362" i="1"/>
  <c r="BQ362" i="1"/>
  <c r="BR362" i="1"/>
  <c r="CC362" i="1"/>
  <c r="CW362" i="1"/>
  <c r="G318" i="1"/>
  <c r="V318" i="1"/>
  <c r="AJ318" i="1"/>
  <c r="AX318" i="1"/>
  <c r="BQ318" i="1"/>
  <c r="BR318" i="1"/>
  <c r="CC318" i="1"/>
  <c r="CW318" i="1"/>
  <c r="G298" i="1"/>
  <c r="V298" i="1"/>
  <c r="AJ298" i="1"/>
  <c r="AX298" i="1"/>
  <c r="BQ298" i="1"/>
  <c r="BR298" i="1"/>
  <c r="CC298" i="1"/>
  <c r="CW298" i="1"/>
  <c r="G313" i="1"/>
  <c r="V313" i="1"/>
  <c r="AJ313" i="1"/>
  <c r="AX313" i="1"/>
  <c r="BQ313" i="1"/>
  <c r="BR313" i="1"/>
  <c r="CC313" i="1"/>
  <c r="CW313" i="1"/>
  <c r="G361" i="1"/>
  <c r="V361" i="1"/>
  <c r="AJ361" i="1"/>
  <c r="AX361" i="1"/>
  <c r="BQ361" i="1"/>
  <c r="BR361" i="1"/>
  <c r="CC361" i="1"/>
  <c r="CW361" i="1"/>
  <c r="G1377" i="1"/>
  <c r="V1377" i="1"/>
  <c r="AJ1377" i="1"/>
  <c r="AX1377" i="1"/>
  <c r="BQ1377" i="1"/>
  <c r="BR1377" i="1"/>
  <c r="CC1377" i="1"/>
  <c r="CW1377" i="1"/>
  <c r="G314" i="1"/>
  <c r="V314" i="1"/>
  <c r="AJ314" i="1"/>
  <c r="AX314" i="1"/>
  <c r="BQ314" i="1"/>
  <c r="BR314" i="1"/>
  <c r="CC314" i="1"/>
  <c r="CW314" i="1"/>
  <c r="G327" i="1"/>
  <c r="V327" i="1"/>
  <c r="AJ327" i="1"/>
  <c r="AX327" i="1"/>
  <c r="BQ327" i="1"/>
  <c r="BR327" i="1"/>
  <c r="CC327" i="1"/>
  <c r="CW327" i="1"/>
  <c r="G1131" i="1"/>
  <c r="V1131" i="1"/>
  <c r="AJ1131" i="1"/>
  <c r="AX1131" i="1"/>
  <c r="BQ1131" i="1"/>
  <c r="BR1131" i="1"/>
  <c r="CC1131" i="1"/>
  <c r="CW1131" i="1"/>
  <c r="G1132" i="1"/>
  <c r="V1132" i="1"/>
  <c r="AJ1132" i="1"/>
  <c r="AX1132" i="1"/>
  <c r="BQ1132" i="1"/>
  <c r="BR1132" i="1"/>
  <c r="CC1132" i="1"/>
  <c r="CW1132" i="1"/>
  <c r="G328" i="1"/>
  <c r="V328" i="1"/>
  <c r="AJ328" i="1"/>
  <c r="AX328" i="1"/>
  <c r="BQ328" i="1"/>
  <c r="BR328" i="1"/>
  <c r="CC328" i="1"/>
  <c r="CW328" i="1"/>
  <c r="G349" i="1"/>
  <c r="V349" i="1"/>
  <c r="AJ349" i="1"/>
  <c r="AX349" i="1"/>
  <c r="BQ349" i="1"/>
  <c r="BR349" i="1"/>
  <c r="CC349" i="1"/>
  <c r="CW349" i="1"/>
  <c r="G92" i="1"/>
  <c r="V92" i="1"/>
  <c r="AJ92" i="1"/>
  <c r="AX92" i="1"/>
  <c r="BQ92" i="1"/>
  <c r="BR92" i="1"/>
  <c r="CC92" i="1"/>
  <c r="CW92" i="1"/>
  <c r="G1127" i="1"/>
  <c r="V1127" i="1"/>
  <c r="AJ1127" i="1"/>
  <c r="AX1127" i="1"/>
  <c r="BQ1127" i="1"/>
  <c r="BR1127" i="1"/>
  <c r="CC1127" i="1"/>
  <c r="CK1127" i="1"/>
  <c r="CV1127" i="1"/>
  <c r="CW1127" i="1"/>
  <c r="G68" i="1"/>
  <c r="V68" i="1"/>
  <c r="AJ68" i="1"/>
  <c r="AX68" i="1"/>
  <c r="BQ68" i="1"/>
  <c r="BR68" i="1"/>
  <c r="CC68" i="1"/>
  <c r="CW68" i="1"/>
  <c r="G276" i="1"/>
  <c r="V276" i="1"/>
  <c r="AJ276" i="1"/>
  <c r="AX276" i="1"/>
  <c r="BQ276" i="1"/>
  <c r="BR276" i="1"/>
  <c r="CC276" i="1"/>
  <c r="CW276" i="1"/>
  <c r="G73" i="1"/>
  <c r="V73" i="1"/>
  <c r="AJ73" i="1"/>
  <c r="AX73" i="1"/>
  <c r="BQ73" i="1"/>
  <c r="BR73" i="1"/>
  <c r="CC73" i="1"/>
  <c r="CW73" i="1"/>
  <c r="G182" i="1"/>
  <c r="V182" i="1"/>
  <c r="AJ182" i="1"/>
  <c r="AX182" i="1"/>
  <c r="BQ182" i="1"/>
  <c r="BR182" i="1"/>
  <c r="CC182" i="1"/>
  <c r="CW182" i="1"/>
  <c r="G160" i="1"/>
  <c r="V160" i="1"/>
  <c r="AJ160" i="1"/>
  <c r="AX160" i="1"/>
  <c r="BQ160" i="1"/>
  <c r="BR160" i="1"/>
  <c r="CC160" i="1"/>
  <c r="CW160" i="1"/>
  <c r="G112" i="1"/>
  <c r="V112" i="1"/>
  <c r="AJ112" i="1"/>
  <c r="AX112" i="1"/>
  <c r="BQ112" i="1"/>
  <c r="BR112" i="1"/>
  <c r="CC112" i="1"/>
  <c r="CW112" i="1"/>
  <c r="G106" i="1"/>
  <c r="V106" i="1"/>
  <c r="AJ106" i="1"/>
  <c r="AX106" i="1"/>
  <c r="BQ106" i="1"/>
  <c r="BR106" i="1"/>
  <c r="CC106" i="1"/>
  <c r="CW106" i="1"/>
  <c r="G236" i="1"/>
  <c r="V236" i="1"/>
  <c r="AJ236" i="1"/>
  <c r="AX236" i="1"/>
  <c r="BQ236" i="1"/>
  <c r="BR236" i="1"/>
  <c r="CC236" i="1"/>
  <c r="CW236" i="1"/>
  <c r="G249" i="1"/>
  <c r="V249" i="1"/>
  <c r="AJ249" i="1"/>
  <c r="AX249" i="1"/>
  <c r="BQ249" i="1"/>
  <c r="BR249" i="1"/>
  <c r="CC249" i="1"/>
  <c r="CW249" i="1"/>
  <c r="G188" i="1"/>
  <c r="V188" i="1"/>
  <c r="AJ188" i="1"/>
  <c r="AX188" i="1"/>
  <c r="BQ188" i="1"/>
  <c r="BR188" i="1"/>
  <c r="CC188" i="1"/>
  <c r="CW188" i="1"/>
  <c r="G1124" i="1"/>
  <c r="V1124" i="1"/>
  <c r="AJ1124" i="1"/>
  <c r="AX1124" i="1"/>
  <c r="BQ1124" i="1"/>
  <c r="BR1124" i="1"/>
  <c r="CC1124" i="1"/>
  <c r="CV1124" i="1"/>
  <c r="CW1124" i="1"/>
  <c r="G100" i="1"/>
  <c r="V100" i="1"/>
  <c r="AJ100" i="1"/>
  <c r="AX100" i="1"/>
  <c r="BQ100" i="1"/>
  <c r="BR100" i="1"/>
  <c r="CC100" i="1"/>
  <c r="CW100" i="1"/>
  <c r="G89" i="1"/>
  <c r="V89" i="1"/>
  <c r="AJ89" i="1"/>
  <c r="AX89" i="1"/>
  <c r="BQ89" i="1"/>
  <c r="BR89" i="1"/>
  <c r="CC89" i="1"/>
  <c r="CW89" i="1"/>
  <c r="G36" i="1"/>
  <c r="V36" i="1"/>
  <c r="AJ36" i="1"/>
  <c r="AX36" i="1"/>
  <c r="BQ36" i="1"/>
  <c r="BR36" i="1"/>
  <c r="CC36" i="1"/>
  <c r="CW36" i="1"/>
  <c r="G217" i="1"/>
  <c r="V217" i="1"/>
  <c r="AJ217" i="1"/>
  <c r="AX217" i="1"/>
  <c r="BQ217" i="1"/>
  <c r="BR217" i="1"/>
  <c r="CC217" i="1"/>
  <c r="CW217" i="1"/>
  <c r="G273" i="1"/>
  <c r="V273" i="1"/>
  <c r="AJ273" i="1"/>
  <c r="AX273" i="1"/>
  <c r="BQ273" i="1"/>
  <c r="BR273" i="1"/>
  <c r="CC273" i="1"/>
  <c r="CW273" i="1"/>
  <c r="G260" i="1"/>
  <c r="V260" i="1"/>
  <c r="AJ260" i="1"/>
  <c r="AX260" i="1"/>
  <c r="BQ260" i="1"/>
  <c r="BR260" i="1"/>
  <c r="CC260" i="1"/>
  <c r="CW260" i="1"/>
  <c r="G1145" i="1"/>
  <c r="V1145" i="1"/>
  <c r="AJ1145" i="1"/>
  <c r="AX1145" i="1"/>
  <c r="BQ1145" i="1"/>
  <c r="BR1145" i="1"/>
  <c r="CC1145" i="1"/>
  <c r="CW1145" i="1"/>
  <c r="G369" i="1"/>
  <c r="V369" i="1"/>
  <c r="AJ369" i="1"/>
  <c r="AX369" i="1"/>
  <c r="BQ369" i="1"/>
  <c r="BR369" i="1"/>
  <c r="CC369" i="1"/>
  <c r="CW369" i="1"/>
  <c r="G391" i="1"/>
  <c r="V391" i="1"/>
  <c r="AJ391" i="1"/>
  <c r="AX391" i="1"/>
  <c r="BQ391" i="1"/>
  <c r="BR391" i="1"/>
  <c r="CC391" i="1"/>
  <c r="CW391" i="1"/>
  <c r="G1315" i="1"/>
  <c r="V1315" i="1"/>
  <c r="AJ1315" i="1"/>
  <c r="AX1315" i="1"/>
  <c r="BQ1315" i="1"/>
  <c r="BR1315" i="1"/>
  <c r="CC1315" i="1"/>
  <c r="CW1315" i="1"/>
  <c r="G425" i="1"/>
  <c r="V425" i="1"/>
  <c r="AJ425" i="1"/>
  <c r="AX425" i="1"/>
  <c r="BQ425" i="1"/>
  <c r="BR425" i="1"/>
  <c r="CC425" i="1"/>
  <c r="CW425" i="1"/>
  <c r="G383" i="1"/>
  <c r="V383" i="1"/>
  <c r="AJ383" i="1"/>
  <c r="AX383" i="1"/>
  <c r="BQ383" i="1"/>
  <c r="BR383" i="1"/>
  <c r="CC383" i="1"/>
  <c r="CW383" i="1"/>
  <c r="G463" i="1"/>
  <c r="V463" i="1"/>
  <c r="AJ463" i="1"/>
  <c r="AX463" i="1"/>
  <c r="BQ463" i="1"/>
  <c r="BR463" i="1"/>
  <c r="CC463" i="1"/>
  <c r="CW463" i="1"/>
  <c r="G468" i="1"/>
  <c r="V468" i="1"/>
  <c r="AJ468" i="1"/>
  <c r="AX468" i="1"/>
  <c r="BQ468" i="1"/>
  <c r="BR468" i="1"/>
  <c r="CC468" i="1"/>
  <c r="CW468" i="1"/>
  <c r="G1437" i="1"/>
  <c r="V1437" i="1"/>
  <c r="AJ1437" i="1"/>
  <c r="AX1437" i="1"/>
  <c r="BQ1437" i="1"/>
  <c r="BR1437" i="1"/>
  <c r="CC1437" i="1"/>
  <c r="CW1437" i="1"/>
  <c r="G1379" i="1"/>
  <c r="V1379" i="1"/>
  <c r="AJ1379" i="1"/>
  <c r="AX1379" i="1"/>
  <c r="BQ1379" i="1"/>
  <c r="BR1379" i="1"/>
  <c r="CC1379" i="1"/>
  <c r="CW1379" i="1"/>
  <c r="G1459" i="1"/>
  <c r="V1459" i="1"/>
  <c r="AJ1459" i="1"/>
  <c r="AX1459" i="1"/>
  <c r="BQ1459" i="1"/>
  <c r="BR1459" i="1"/>
  <c r="CC1459" i="1"/>
  <c r="CW1459" i="1"/>
  <c r="G479" i="1"/>
  <c r="V479" i="1"/>
  <c r="AJ479" i="1"/>
  <c r="AX479" i="1"/>
  <c r="BQ479" i="1"/>
  <c r="BR479" i="1"/>
  <c r="CC479" i="1"/>
  <c r="CW479" i="1"/>
  <c r="G453" i="1"/>
  <c r="V453" i="1"/>
  <c r="AJ453" i="1"/>
  <c r="AX453" i="1"/>
  <c r="BQ453" i="1"/>
  <c r="BR453" i="1"/>
  <c r="CC453" i="1"/>
  <c r="CW453" i="1"/>
  <c r="G486" i="1"/>
  <c r="V486" i="1"/>
  <c r="AJ486" i="1"/>
  <c r="AX486" i="1"/>
  <c r="BQ486" i="1"/>
  <c r="BR486" i="1"/>
  <c r="CC486" i="1"/>
  <c r="CW486" i="1"/>
  <c r="G1392" i="1"/>
  <c r="V1392" i="1"/>
  <c r="AJ1392" i="1"/>
  <c r="AX1392" i="1"/>
  <c r="BQ1392" i="1"/>
  <c r="BR1392" i="1"/>
  <c r="CC1392" i="1"/>
  <c r="CW1392" i="1"/>
  <c r="G495" i="1"/>
  <c r="V495" i="1"/>
  <c r="AJ495" i="1"/>
  <c r="AX495" i="1"/>
  <c r="BQ495" i="1"/>
  <c r="BR495" i="1"/>
  <c r="CC495" i="1"/>
  <c r="CW495" i="1"/>
  <c r="G543" i="1"/>
  <c r="V543" i="1"/>
  <c r="AJ543" i="1"/>
  <c r="AX543" i="1"/>
  <c r="BQ543" i="1"/>
  <c r="BR543" i="1"/>
  <c r="CC543" i="1"/>
  <c r="CW543" i="1"/>
  <c r="G551" i="1"/>
  <c r="V551" i="1"/>
  <c r="AJ551" i="1"/>
  <c r="AX551" i="1"/>
  <c r="BQ551" i="1"/>
  <c r="BR551" i="1"/>
  <c r="CC551" i="1"/>
  <c r="CW551" i="1"/>
  <c r="G1460" i="1"/>
  <c r="V1460" i="1"/>
  <c r="AJ1460" i="1"/>
  <c r="AX1460" i="1"/>
  <c r="BQ1460" i="1"/>
  <c r="BR1460" i="1"/>
  <c r="CC1460" i="1"/>
  <c r="CW1460" i="1"/>
  <c r="G567" i="1"/>
  <c r="V567" i="1"/>
  <c r="AJ567" i="1"/>
  <c r="AX567" i="1"/>
  <c r="BQ567" i="1"/>
  <c r="BR567" i="1"/>
  <c r="CC567" i="1"/>
  <c r="CW567" i="1"/>
  <c r="G523" i="1"/>
  <c r="V523" i="1"/>
  <c r="AJ523" i="1"/>
  <c r="AX523" i="1"/>
  <c r="BQ523" i="1"/>
  <c r="BR523" i="1"/>
  <c r="CC523" i="1"/>
  <c r="CW523" i="1"/>
  <c r="G538" i="1"/>
  <c r="V538" i="1"/>
  <c r="AJ538" i="1"/>
  <c r="AX538" i="1"/>
  <c r="BQ538" i="1"/>
  <c r="BR538" i="1"/>
  <c r="CC538" i="1"/>
  <c r="CW538" i="1"/>
  <c r="G1181" i="1"/>
  <c r="V1181" i="1"/>
  <c r="AJ1181" i="1"/>
  <c r="AX1181" i="1"/>
  <c r="BQ1181" i="1"/>
  <c r="BR1181" i="1"/>
  <c r="CC1181" i="1"/>
  <c r="CW1181" i="1"/>
  <c r="G552" i="1"/>
  <c r="V552" i="1"/>
  <c r="AJ552" i="1"/>
  <c r="AX552" i="1"/>
  <c r="BQ552" i="1"/>
  <c r="BR552" i="1"/>
  <c r="CC552" i="1"/>
  <c r="CW552" i="1"/>
  <c r="G507" i="1"/>
  <c r="V507" i="1"/>
  <c r="AJ507" i="1"/>
  <c r="AX507" i="1"/>
  <c r="BQ507" i="1"/>
  <c r="BR507" i="1"/>
  <c r="CC507" i="1"/>
  <c r="CW507" i="1"/>
  <c r="G1359" i="1"/>
  <c r="V1359" i="1"/>
  <c r="AJ1359" i="1"/>
  <c r="AX1359" i="1"/>
  <c r="BQ1359" i="1"/>
  <c r="BR1359" i="1"/>
  <c r="CC1359" i="1"/>
  <c r="CW1359" i="1"/>
  <c r="G1303" i="1"/>
  <c r="V1303" i="1"/>
  <c r="AJ1303" i="1"/>
  <c r="AX1303" i="1"/>
  <c r="BQ1303" i="1"/>
  <c r="BR1303" i="1"/>
  <c r="CC1303" i="1"/>
  <c r="CW1303" i="1"/>
  <c r="G789" i="1"/>
  <c r="V789" i="1"/>
  <c r="AJ789" i="1"/>
  <c r="AX789" i="1"/>
  <c r="BQ789" i="1"/>
  <c r="BR789" i="1"/>
  <c r="CC789" i="1"/>
  <c r="CW789" i="1"/>
  <c r="G1224" i="1"/>
  <c r="V1224" i="1"/>
  <c r="AJ1224" i="1"/>
  <c r="AX1224" i="1"/>
  <c r="BQ1224" i="1"/>
  <c r="BR1224" i="1"/>
  <c r="CC1224" i="1"/>
  <c r="CW1224" i="1"/>
  <c r="G1050" i="1"/>
  <c r="V1050" i="1"/>
  <c r="AJ1050" i="1"/>
  <c r="AX1050" i="1"/>
  <c r="BQ1050" i="1"/>
  <c r="BR1050" i="1"/>
  <c r="CC1050" i="1"/>
  <c r="CW1050" i="1"/>
  <c r="G679" i="1"/>
  <c r="V679" i="1"/>
  <c r="AJ679" i="1"/>
  <c r="AX679" i="1"/>
  <c r="BQ679" i="1"/>
  <c r="BR679" i="1"/>
  <c r="CC679" i="1"/>
  <c r="CW679" i="1"/>
  <c r="G637" i="1"/>
  <c r="V637" i="1"/>
  <c r="AJ637" i="1"/>
  <c r="AX637" i="1"/>
  <c r="BQ637" i="1"/>
  <c r="BR637" i="1"/>
  <c r="CC637" i="1"/>
  <c r="CW637" i="1"/>
  <c r="G631" i="1"/>
  <c r="V631" i="1"/>
  <c r="AJ631" i="1"/>
  <c r="AX631" i="1"/>
  <c r="BQ631" i="1"/>
  <c r="BR631" i="1"/>
  <c r="CC631" i="1"/>
  <c r="CW631" i="1"/>
  <c r="G1486" i="1"/>
  <c r="V1486" i="1"/>
  <c r="AJ1486" i="1"/>
  <c r="AX1486" i="1"/>
  <c r="BQ1486" i="1"/>
  <c r="BR1486" i="1"/>
  <c r="CC1486" i="1"/>
  <c r="CW1486" i="1"/>
  <c r="G629" i="1"/>
  <c r="V629" i="1"/>
  <c r="AJ629" i="1"/>
  <c r="AX629" i="1"/>
  <c r="BQ629" i="1"/>
  <c r="BR629" i="1"/>
  <c r="CC629" i="1"/>
  <c r="CW629" i="1"/>
  <c r="G616" i="1"/>
  <c r="V616" i="1"/>
  <c r="AJ616" i="1"/>
  <c r="AX616" i="1"/>
  <c r="BQ616" i="1"/>
  <c r="BR616" i="1"/>
  <c r="CC616" i="1"/>
  <c r="CW616" i="1"/>
  <c r="G627" i="1"/>
  <c r="V627" i="1"/>
  <c r="AJ627" i="1"/>
  <c r="AX627" i="1"/>
  <c r="BQ627" i="1"/>
  <c r="BR627" i="1"/>
  <c r="CC627" i="1"/>
  <c r="CW627" i="1"/>
  <c r="G624" i="1"/>
  <c r="V624" i="1"/>
  <c r="AJ624" i="1"/>
  <c r="AX624" i="1"/>
  <c r="BQ624" i="1"/>
  <c r="BR624" i="1"/>
  <c r="CC624" i="1"/>
  <c r="CW624" i="1"/>
  <c r="G639" i="1"/>
  <c r="V639" i="1"/>
  <c r="AJ639" i="1"/>
  <c r="AX639" i="1"/>
  <c r="BQ639" i="1"/>
  <c r="BR639" i="1"/>
  <c r="CC639" i="1"/>
  <c r="CW639" i="1"/>
  <c r="G641" i="1"/>
  <c r="V641" i="1"/>
  <c r="AJ641" i="1"/>
  <c r="AX641" i="1"/>
  <c r="BQ641" i="1"/>
  <c r="BR641" i="1"/>
  <c r="CC641" i="1"/>
  <c r="CW641" i="1"/>
  <c r="G633" i="1"/>
  <c r="V633" i="1"/>
  <c r="AJ633" i="1"/>
  <c r="AX633" i="1"/>
  <c r="BQ633" i="1"/>
  <c r="BR633" i="1"/>
  <c r="CC633" i="1"/>
  <c r="CW633" i="1"/>
  <c r="G1008" i="1"/>
  <c r="V1008" i="1"/>
  <c r="AJ1008" i="1"/>
  <c r="AX1008" i="1"/>
  <c r="BQ1008" i="1"/>
  <c r="BR1008" i="1"/>
  <c r="CC1008" i="1"/>
  <c r="CW1008" i="1"/>
  <c r="G1035" i="1"/>
  <c r="V1035" i="1"/>
  <c r="AJ1035" i="1"/>
  <c r="AX1035" i="1"/>
  <c r="BQ1035" i="1"/>
  <c r="BR1035" i="1"/>
  <c r="CC1035" i="1"/>
  <c r="CW1035" i="1"/>
  <c r="G973" i="1"/>
  <c r="V973" i="1"/>
  <c r="AJ973" i="1"/>
  <c r="AX973" i="1"/>
  <c r="BQ973" i="1"/>
  <c r="BR973" i="1"/>
  <c r="CC973" i="1"/>
  <c r="CW973" i="1"/>
  <c r="G869" i="1"/>
  <c r="V869" i="1"/>
  <c r="AJ869" i="1"/>
  <c r="AX869" i="1"/>
  <c r="BQ869" i="1"/>
  <c r="BR869" i="1"/>
  <c r="CC869" i="1"/>
  <c r="CW869" i="1"/>
  <c r="G740" i="1"/>
  <c r="V740" i="1"/>
  <c r="AJ740" i="1"/>
  <c r="AX740" i="1"/>
  <c r="BQ740" i="1"/>
  <c r="BR740" i="1"/>
  <c r="CC740" i="1"/>
  <c r="CW740" i="1"/>
  <c r="G1056" i="1"/>
  <c r="V1056" i="1"/>
  <c r="AJ1056" i="1"/>
  <c r="AX1056" i="1"/>
  <c r="BQ1056" i="1"/>
  <c r="BR1056" i="1"/>
  <c r="CC1056" i="1"/>
  <c r="CW1056" i="1"/>
  <c r="G1027" i="1"/>
  <c r="V1027" i="1"/>
  <c r="AJ1027" i="1"/>
  <c r="AX1027" i="1"/>
  <c r="BQ1027" i="1"/>
  <c r="BR1027" i="1"/>
  <c r="CC1027" i="1"/>
  <c r="CK1027" i="1"/>
  <c r="CW1027" i="1"/>
  <c r="G844" i="1"/>
  <c r="V844" i="1"/>
  <c r="AJ844" i="1"/>
  <c r="AX844" i="1"/>
  <c r="BQ844" i="1"/>
  <c r="BR844" i="1"/>
  <c r="CC844" i="1"/>
  <c r="CW844" i="1"/>
  <c r="G1087" i="1"/>
  <c r="V1087" i="1"/>
  <c r="AJ1087" i="1"/>
  <c r="AX1087" i="1"/>
  <c r="BQ1087" i="1"/>
  <c r="BR1087" i="1"/>
  <c r="CC1087" i="1"/>
  <c r="CW1087" i="1"/>
  <c r="G926" i="1"/>
  <c r="V926" i="1"/>
  <c r="AJ926" i="1"/>
  <c r="AX926" i="1"/>
  <c r="BQ926" i="1"/>
  <c r="BR926" i="1"/>
  <c r="CC926" i="1"/>
  <c r="CW926" i="1"/>
  <c r="G893" i="1"/>
  <c r="V893" i="1"/>
  <c r="AJ893" i="1"/>
  <c r="AX893" i="1"/>
  <c r="BQ893" i="1"/>
  <c r="BR893" i="1"/>
  <c r="CC893" i="1"/>
  <c r="CW893" i="1"/>
  <c r="G1215" i="1"/>
  <c r="V1215" i="1"/>
  <c r="AJ1215" i="1"/>
  <c r="AX1215" i="1"/>
  <c r="BQ1215" i="1"/>
  <c r="BR1215" i="1"/>
  <c r="CC1215" i="1"/>
  <c r="CW1215" i="1"/>
  <c r="G964" i="1"/>
  <c r="V964" i="1"/>
  <c r="AJ964" i="1"/>
  <c r="AX964" i="1"/>
  <c r="BQ964" i="1"/>
  <c r="BR964" i="1"/>
  <c r="CC964" i="1"/>
  <c r="CW964" i="1"/>
  <c r="G907" i="1"/>
  <c r="V907" i="1"/>
  <c r="AJ907" i="1"/>
  <c r="AX907" i="1"/>
  <c r="BQ907" i="1"/>
  <c r="BR907" i="1"/>
  <c r="CC907" i="1"/>
  <c r="CW907" i="1"/>
  <c r="G1327" i="1"/>
  <c r="V1327" i="1"/>
  <c r="AJ1327" i="1"/>
  <c r="AX1327" i="1"/>
  <c r="BQ1327" i="1"/>
  <c r="BR1327" i="1"/>
  <c r="CC1327" i="1"/>
  <c r="CW1327" i="1"/>
  <c r="G741" i="1"/>
  <c r="V741" i="1"/>
  <c r="AJ741" i="1"/>
  <c r="AX741" i="1"/>
  <c r="BQ741" i="1"/>
  <c r="BR741" i="1"/>
  <c r="CC741" i="1"/>
  <c r="CW741" i="1"/>
  <c r="G807" i="1"/>
  <c r="V807" i="1"/>
  <c r="AJ807" i="1"/>
  <c r="AX807" i="1"/>
  <c r="BQ807" i="1"/>
  <c r="BR807" i="1"/>
  <c r="CC807" i="1"/>
  <c r="CW807" i="1"/>
  <c r="G1284" i="1"/>
  <c r="V1284" i="1"/>
  <c r="AJ1284" i="1"/>
  <c r="AX1284" i="1"/>
  <c r="BQ1284" i="1"/>
  <c r="BR1284" i="1"/>
  <c r="CC1284" i="1"/>
  <c r="CW1284" i="1"/>
  <c r="G911" i="1"/>
  <c r="V911" i="1"/>
  <c r="AJ911" i="1"/>
  <c r="AX911" i="1"/>
  <c r="BQ911" i="1"/>
  <c r="BR911" i="1"/>
  <c r="CC911" i="1"/>
  <c r="CW911" i="1"/>
  <c r="G805" i="1"/>
  <c r="V805" i="1"/>
  <c r="AJ805" i="1"/>
  <c r="AX805" i="1"/>
  <c r="BQ805" i="1"/>
  <c r="BR805" i="1"/>
  <c r="CC805" i="1"/>
  <c r="CW805" i="1"/>
  <c r="G1250" i="1"/>
  <c r="V1250" i="1"/>
  <c r="AJ1250" i="1"/>
  <c r="AX1250" i="1"/>
  <c r="BQ1250" i="1"/>
  <c r="BR1250" i="1"/>
  <c r="CC1250" i="1"/>
  <c r="CW1250" i="1"/>
  <c r="G839" i="1"/>
  <c r="V839" i="1"/>
  <c r="AJ839" i="1"/>
  <c r="AX839" i="1"/>
  <c r="BQ839" i="1"/>
  <c r="BR839" i="1"/>
  <c r="CC839" i="1"/>
  <c r="CW839" i="1"/>
  <c r="G905" i="1"/>
  <c r="V905" i="1"/>
  <c r="AJ905" i="1"/>
  <c r="AX905" i="1"/>
  <c r="BQ905" i="1"/>
  <c r="BR905" i="1"/>
  <c r="CC905" i="1"/>
  <c r="CW905" i="1"/>
  <c r="G696" i="1"/>
  <c r="V696" i="1"/>
  <c r="AJ696" i="1"/>
  <c r="AX696" i="1"/>
  <c r="BQ696" i="1"/>
  <c r="BR696" i="1"/>
  <c r="CC696" i="1"/>
  <c r="CW696" i="1"/>
  <c r="G797" i="1"/>
  <c r="V797" i="1"/>
  <c r="AJ797" i="1"/>
  <c r="AX797" i="1"/>
  <c r="BQ797" i="1"/>
  <c r="BR797" i="1"/>
  <c r="CC797" i="1"/>
  <c r="CW797" i="1"/>
  <c r="G1223" i="1"/>
  <c r="V1223" i="1"/>
  <c r="AJ1223" i="1"/>
  <c r="AX1223" i="1"/>
  <c r="BQ1223" i="1"/>
  <c r="BR1223" i="1"/>
  <c r="CC1223" i="1"/>
  <c r="CW1223" i="1"/>
  <c r="G787" i="1"/>
  <c r="V787" i="1"/>
  <c r="AJ787" i="1"/>
  <c r="AX787" i="1"/>
  <c r="BQ787" i="1"/>
  <c r="BR787" i="1"/>
  <c r="CC787" i="1"/>
  <c r="CW787" i="1"/>
  <c r="G1018" i="1"/>
  <c r="V1018" i="1"/>
  <c r="AJ1018" i="1"/>
  <c r="AX1018" i="1"/>
  <c r="BQ1018" i="1"/>
  <c r="BR1018" i="1"/>
  <c r="CC1018" i="1"/>
  <c r="CW1018" i="1"/>
  <c r="G1061" i="1"/>
  <c r="V1061" i="1"/>
  <c r="AJ1061" i="1"/>
  <c r="AX1061" i="1"/>
  <c r="BQ1061" i="1"/>
  <c r="BR1061" i="1"/>
  <c r="CC1061" i="1"/>
  <c r="CW1061" i="1"/>
  <c r="G1324" i="1"/>
  <c r="V1324" i="1"/>
  <c r="AJ1324" i="1"/>
  <c r="AX1324" i="1"/>
  <c r="BQ1324" i="1"/>
  <c r="BR1324" i="1"/>
  <c r="CC1324" i="1"/>
  <c r="CW1324" i="1"/>
  <c r="G796" i="1"/>
  <c r="V796" i="1"/>
  <c r="AJ796" i="1"/>
  <c r="AX796" i="1"/>
  <c r="BQ796" i="1"/>
  <c r="BR796" i="1"/>
  <c r="CC796" i="1"/>
  <c r="CW796" i="1"/>
  <c r="G880" i="1"/>
  <c r="V880" i="1"/>
  <c r="AJ880" i="1"/>
  <c r="AX880" i="1"/>
  <c r="BQ880" i="1"/>
  <c r="BR880" i="1"/>
  <c r="CC880" i="1"/>
  <c r="CW880" i="1"/>
  <c r="G962" i="1"/>
  <c r="V962" i="1"/>
  <c r="AJ962" i="1"/>
  <c r="AX962" i="1"/>
  <c r="BQ962" i="1"/>
  <c r="BR962" i="1"/>
  <c r="CC962" i="1"/>
  <c r="CW962" i="1"/>
  <c r="G987" i="1"/>
  <c r="V987" i="1"/>
  <c r="AJ987" i="1"/>
  <c r="AX987" i="1"/>
  <c r="BQ987" i="1"/>
  <c r="BR987" i="1"/>
  <c r="CC987" i="1"/>
  <c r="CW987" i="1"/>
  <c r="G1305" i="1"/>
  <c r="V1305" i="1"/>
  <c r="AJ1305" i="1"/>
  <c r="AX1305" i="1"/>
  <c r="BQ1305" i="1"/>
  <c r="BR1305" i="1"/>
  <c r="CC1305" i="1"/>
  <c r="CW1305" i="1"/>
  <c r="G902" i="1"/>
  <c r="V902" i="1"/>
  <c r="AJ902" i="1"/>
  <c r="AX902" i="1"/>
  <c r="BQ902" i="1"/>
  <c r="BR902" i="1"/>
  <c r="CC902" i="1"/>
  <c r="CW902" i="1"/>
  <c r="G305" i="1"/>
  <c r="V305" i="1"/>
  <c r="AJ305" i="1"/>
  <c r="AX305" i="1"/>
  <c r="BQ305" i="1"/>
  <c r="BR305" i="1"/>
  <c r="CC305" i="1"/>
  <c r="CW305" i="1"/>
  <c r="G358" i="1"/>
  <c r="V358" i="1"/>
  <c r="AJ358" i="1"/>
  <c r="AX358" i="1"/>
  <c r="BQ358" i="1"/>
  <c r="BR358" i="1"/>
  <c r="CC358" i="1"/>
  <c r="CW358" i="1"/>
  <c r="G302" i="1"/>
  <c r="V302" i="1"/>
  <c r="AJ302" i="1"/>
  <c r="AX302" i="1"/>
  <c r="BQ302" i="1"/>
  <c r="BR302" i="1"/>
  <c r="CC302" i="1"/>
  <c r="CW302" i="1"/>
  <c r="G344" i="1"/>
  <c r="V344" i="1"/>
  <c r="AJ344" i="1"/>
  <c r="AX344" i="1"/>
  <c r="BQ344" i="1"/>
  <c r="BR344" i="1"/>
  <c r="CC344" i="1"/>
  <c r="CW344" i="1"/>
  <c r="G291" i="1"/>
  <c r="V291" i="1"/>
  <c r="AJ291" i="1"/>
  <c r="AX291" i="1"/>
  <c r="BQ291" i="1"/>
  <c r="BR291" i="1"/>
  <c r="CC291" i="1"/>
  <c r="CW291" i="1"/>
  <c r="G360" i="1"/>
  <c r="V360" i="1"/>
  <c r="AJ360" i="1"/>
  <c r="AX360" i="1"/>
  <c r="BQ360" i="1"/>
  <c r="BR360" i="1"/>
  <c r="CC360" i="1"/>
  <c r="CW360" i="1"/>
  <c r="G334" i="1"/>
  <c r="V334" i="1"/>
  <c r="AJ334" i="1"/>
  <c r="AX334" i="1"/>
  <c r="BQ334" i="1"/>
  <c r="BR334" i="1"/>
  <c r="CC334" i="1"/>
  <c r="CW334" i="1"/>
  <c r="G339" i="1"/>
  <c r="V339" i="1"/>
  <c r="AJ339" i="1"/>
  <c r="AX339" i="1"/>
  <c r="BQ339" i="1"/>
  <c r="BR339" i="1"/>
  <c r="CC339" i="1"/>
  <c r="CW339" i="1"/>
  <c r="G1115" i="1"/>
  <c r="V1115" i="1"/>
  <c r="AJ1115" i="1"/>
  <c r="AX1115" i="1"/>
  <c r="BQ1115" i="1"/>
  <c r="BR1115" i="1"/>
  <c r="CC1115" i="1"/>
  <c r="CW1115" i="1"/>
  <c r="G263" i="1"/>
  <c r="V263" i="1"/>
  <c r="AJ263" i="1"/>
  <c r="AX263" i="1"/>
  <c r="BQ263" i="1"/>
  <c r="BR263" i="1"/>
  <c r="CC263" i="1"/>
  <c r="CW263" i="1"/>
  <c r="G156" i="1"/>
  <c r="V156" i="1"/>
  <c r="AJ156" i="1"/>
  <c r="AX156" i="1"/>
  <c r="BQ156" i="1"/>
  <c r="BR156" i="1"/>
  <c r="CC156" i="1"/>
  <c r="CW156" i="1"/>
  <c r="G162" i="1"/>
  <c r="V162" i="1"/>
  <c r="AJ162" i="1"/>
  <c r="AX162" i="1"/>
  <c r="BQ162" i="1"/>
  <c r="BR162" i="1"/>
  <c r="CC162" i="1"/>
  <c r="CW162" i="1"/>
  <c r="G104" i="1"/>
  <c r="V104" i="1"/>
  <c r="AJ104" i="1"/>
  <c r="AX104" i="1"/>
  <c r="BQ104" i="1"/>
  <c r="BR104" i="1"/>
  <c r="CC104" i="1"/>
  <c r="CW104" i="1"/>
  <c r="G52" i="1"/>
  <c r="V52" i="1"/>
  <c r="AJ52" i="1"/>
  <c r="AX52" i="1"/>
  <c r="BQ52" i="1"/>
  <c r="BR52" i="1"/>
  <c r="CC52" i="1"/>
  <c r="CW52" i="1"/>
  <c r="G213" i="1"/>
  <c r="V213" i="1"/>
  <c r="AJ213" i="1"/>
  <c r="AX213" i="1"/>
  <c r="BQ213" i="1"/>
  <c r="BR213" i="1"/>
  <c r="CC213" i="1"/>
  <c r="CW213" i="1"/>
  <c r="G171" i="1"/>
  <c r="V171" i="1"/>
  <c r="AJ171" i="1"/>
  <c r="AX171" i="1"/>
  <c r="BQ171" i="1"/>
  <c r="BR171" i="1"/>
  <c r="CC171" i="1"/>
  <c r="CW171" i="1"/>
  <c r="G202" i="1"/>
  <c r="V202" i="1"/>
  <c r="AJ202" i="1"/>
  <c r="AX202" i="1"/>
  <c r="BQ202" i="1"/>
  <c r="BR202" i="1"/>
  <c r="CC202" i="1"/>
  <c r="CW202" i="1"/>
  <c r="G181" i="1"/>
  <c r="V181" i="1"/>
  <c r="AJ181" i="1"/>
  <c r="AX181" i="1"/>
  <c r="BQ181" i="1"/>
  <c r="BR181" i="1"/>
  <c r="CC181" i="1"/>
  <c r="CW181" i="1"/>
  <c r="G166" i="1"/>
  <c r="V166" i="1"/>
  <c r="AJ166" i="1"/>
  <c r="AX166" i="1"/>
  <c r="BQ166" i="1"/>
  <c r="BR166" i="1"/>
  <c r="CC166" i="1"/>
  <c r="CW166" i="1"/>
  <c r="G7" i="1"/>
  <c r="V7" i="1"/>
  <c r="AJ7" i="1"/>
  <c r="AX7" i="1"/>
  <c r="BQ7" i="1"/>
  <c r="BR7" i="1"/>
  <c r="CC7" i="1"/>
  <c r="CW7" i="1"/>
  <c r="G1123" i="1"/>
  <c r="V1123" i="1"/>
  <c r="AJ1123" i="1"/>
  <c r="AX1123" i="1"/>
  <c r="BQ1123" i="1"/>
  <c r="BR1123" i="1"/>
  <c r="CC1123" i="1"/>
  <c r="CV1123" i="1"/>
  <c r="CW1123" i="1"/>
  <c r="G205" i="1"/>
  <c r="V205" i="1"/>
  <c r="AJ205" i="1"/>
  <c r="AX205" i="1"/>
  <c r="BQ205" i="1"/>
  <c r="BR205" i="1"/>
  <c r="CC205" i="1"/>
  <c r="CW205" i="1"/>
  <c r="G233" i="1"/>
  <c r="V233" i="1"/>
  <c r="AJ233" i="1"/>
  <c r="AX233" i="1"/>
  <c r="BQ233" i="1"/>
  <c r="BR233" i="1"/>
  <c r="CC233" i="1"/>
  <c r="CW233" i="1"/>
  <c r="G268" i="1"/>
  <c r="V268" i="1"/>
  <c r="AJ268" i="1"/>
  <c r="AX268" i="1"/>
  <c r="BQ268" i="1"/>
  <c r="BR268" i="1"/>
  <c r="CC268" i="1"/>
  <c r="CW268" i="1"/>
  <c r="G255" i="1"/>
  <c r="V255" i="1"/>
  <c r="AJ255" i="1"/>
  <c r="AX255" i="1"/>
  <c r="BQ255" i="1"/>
  <c r="BR255" i="1"/>
  <c r="CC255" i="1"/>
  <c r="CW255" i="1"/>
  <c r="G172" i="1"/>
  <c r="V172" i="1"/>
  <c r="AJ172" i="1"/>
  <c r="AX172" i="1"/>
  <c r="BQ172" i="1"/>
  <c r="BR172" i="1"/>
  <c r="CC172" i="1"/>
  <c r="CW172" i="1"/>
  <c r="G97" i="1"/>
  <c r="V97" i="1"/>
  <c r="AJ97" i="1"/>
  <c r="AX97" i="1"/>
  <c r="BQ97" i="1"/>
  <c r="BR97" i="1"/>
  <c r="CC97" i="1"/>
  <c r="CW97" i="1"/>
  <c r="G53" i="1"/>
  <c r="V53" i="1"/>
  <c r="AJ53" i="1"/>
  <c r="AX53" i="1"/>
  <c r="BQ53" i="1"/>
  <c r="BR53" i="1"/>
  <c r="CC53" i="1"/>
  <c r="CW53" i="1"/>
  <c r="G1151" i="1"/>
  <c r="V1151" i="1"/>
  <c r="AJ1151" i="1"/>
  <c r="AX1151" i="1"/>
  <c r="BQ1151" i="1"/>
  <c r="BR1151" i="1"/>
  <c r="CC1151" i="1"/>
  <c r="CW1151" i="1"/>
  <c r="G1371" i="1"/>
  <c r="V1371" i="1"/>
  <c r="AJ1371" i="1"/>
  <c r="AX1371" i="1"/>
  <c r="BQ1371" i="1"/>
  <c r="BR1371" i="1"/>
  <c r="CC1371" i="1"/>
  <c r="CW1371" i="1"/>
  <c r="G1345" i="1"/>
  <c r="V1345" i="1"/>
  <c r="AJ1345" i="1"/>
  <c r="AX1345" i="1"/>
  <c r="BQ1345" i="1"/>
  <c r="BR1345" i="1"/>
  <c r="CC1345" i="1"/>
  <c r="CW1345" i="1"/>
  <c r="G376" i="1"/>
  <c r="V376" i="1"/>
  <c r="AJ376" i="1"/>
  <c r="AX376" i="1"/>
  <c r="BQ376" i="1"/>
  <c r="BR376" i="1"/>
  <c r="CC376" i="1"/>
  <c r="CW376" i="1"/>
  <c r="G390" i="1"/>
  <c r="V390" i="1"/>
  <c r="AJ390" i="1"/>
  <c r="AX390" i="1"/>
  <c r="BQ390" i="1"/>
  <c r="BR390" i="1"/>
  <c r="CC390" i="1"/>
  <c r="CW390" i="1"/>
  <c r="G415" i="1"/>
  <c r="V415" i="1"/>
  <c r="AJ415" i="1"/>
  <c r="AX415" i="1"/>
  <c r="BQ415" i="1"/>
  <c r="BR415" i="1"/>
  <c r="CC415" i="1"/>
  <c r="CW415" i="1"/>
  <c r="G470" i="1"/>
  <c r="V470" i="1"/>
  <c r="AJ470" i="1"/>
  <c r="AX470" i="1"/>
  <c r="BQ470" i="1"/>
  <c r="BR470" i="1"/>
  <c r="CC470" i="1"/>
  <c r="CW470" i="1"/>
  <c r="G1161" i="1"/>
  <c r="V1161" i="1"/>
  <c r="AJ1161" i="1"/>
  <c r="AX1161" i="1"/>
  <c r="BQ1161" i="1"/>
  <c r="BR1161" i="1"/>
  <c r="CC1161" i="1"/>
  <c r="CW1161" i="1"/>
  <c r="G455" i="1"/>
  <c r="V455" i="1"/>
  <c r="AJ455" i="1"/>
  <c r="AX455" i="1"/>
  <c r="BQ455" i="1"/>
  <c r="BR455" i="1"/>
  <c r="CC455" i="1"/>
  <c r="CW455" i="1"/>
  <c r="G478" i="1"/>
  <c r="V478" i="1"/>
  <c r="AJ478" i="1"/>
  <c r="AX478" i="1"/>
  <c r="BQ478" i="1"/>
  <c r="BR478" i="1"/>
  <c r="CC478" i="1"/>
  <c r="CW478" i="1"/>
  <c r="G1432" i="1"/>
  <c r="V1432" i="1"/>
  <c r="AJ1432" i="1"/>
  <c r="AX1432" i="1"/>
  <c r="BQ1432" i="1"/>
  <c r="BR1432" i="1"/>
  <c r="CC1432" i="1"/>
  <c r="CW1432" i="1"/>
  <c r="G462" i="1"/>
  <c r="V462" i="1"/>
  <c r="AJ462" i="1"/>
  <c r="AX462" i="1"/>
  <c r="BQ462" i="1"/>
  <c r="BR462" i="1"/>
  <c r="CC462" i="1"/>
  <c r="CW462" i="1"/>
  <c r="G475" i="1"/>
  <c r="V475" i="1"/>
  <c r="AJ475" i="1"/>
  <c r="AX475" i="1"/>
  <c r="BQ475" i="1"/>
  <c r="BR475" i="1"/>
  <c r="CC475" i="1"/>
  <c r="CW475" i="1"/>
  <c r="G504" i="1"/>
  <c r="V504" i="1"/>
  <c r="AJ504" i="1"/>
  <c r="AX504" i="1"/>
  <c r="BQ504" i="1"/>
  <c r="BR504" i="1"/>
  <c r="CC504" i="1"/>
  <c r="CW504" i="1"/>
  <c r="G1480" i="1"/>
  <c r="V1480" i="1"/>
  <c r="AJ1480" i="1"/>
  <c r="AX1480" i="1"/>
  <c r="BQ1480" i="1"/>
  <c r="BR1480" i="1"/>
  <c r="CC1480" i="1"/>
  <c r="CW1480" i="1"/>
  <c r="G1184" i="1"/>
  <c r="V1184" i="1"/>
  <c r="AJ1184" i="1"/>
  <c r="AX1184" i="1"/>
  <c r="BQ1184" i="1"/>
  <c r="BR1184" i="1"/>
  <c r="CC1184" i="1"/>
  <c r="CW1184" i="1"/>
  <c r="G527" i="1"/>
  <c r="V527" i="1"/>
  <c r="AJ527" i="1"/>
  <c r="AX527" i="1"/>
  <c r="BQ527" i="1"/>
  <c r="BR527" i="1"/>
  <c r="CC527" i="1"/>
  <c r="CW527" i="1"/>
  <c r="G1348" i="1"/>
  <c r="V1348" i="1"/>
  <c r="AJ1348" i="1"/>
  <c r="AX1348" i="1"/>
  <c r="BQ1348" i="1"/>
  <c r="BR1348" i="1"/>
  <c r="CC1348" i="1"/>
  <c r="CW1348" i="1"/>
  <c r="G529" i="1"/>
  <c r="V529" i="1"/>
  <c r="AJ529" i="1"/>
  <c r="AX529" i="1"/>
  <c r="BQ529" i="1"/>
  <c r="BR529" i="1"/>
  <c r="CC529" i="1"/>
  <c r="CW529" i="1"/>
  <c r="G1510" i="1"/>
  <c r="V1510" i="1"/>
  <c r="AJ1510" i="1"/>
  <c r="AX1510" i="1"/>
  <c r="BQ1510" i="1"/>
  <c r="BR1510" i="1"/>
  <c r="CC1510" i="1"/>
  <c r="CW1510" i="1"/>
  <c r="G1513" i="1"/>
  <c r="V1513" i="1"/>
  <c r="AJ1513" i="1"/>
  <c r="AX1513" i="1"/>
  <c r="BQ1513" i="1"/>
  <c r="BR1513" i="1"/>
  <c r="CC1513" i="1"/>
  <c r="CW1513" i="1"/>
  <c r="G744" i="1"/>
  <c r="V744" i="1"/>
  <c r="AJ744" i="1"/>
  <c r="AX744" i="1"/>
  <c r="BQ744" i="1"/>
  <c r="BR744" i="1"/>
  <c r="CC744" i="1"/>
  <c r="CW744" i="1"/>
  <c r="G762" i="1"/>
  <c r="V762" i="1"/>
  <c r="AJ762" i="1"/>
  <c r="AX762" i="1"/>
  <c r="BQ762" i="1"/>
  <c r="BR762" i="1"/>
  <c r="CC762" i="1"/>
  <c r="CW762" i="1"/>
  <c r="G971" i="1"/>
  <c r="V971" i="1"/>
  <c r="AJ971" i="1"/>
  <c r="AX971" i="1"/>
  <c r="BQ971" i="1"/>
  <c r="BR971" i="1"/>
  <c r="CC971" i="1"/>
  <c r="CW971" i="1"/>
  <c r="G986" i="1"/>
  <c r="V986" i="1"/>
  <c r="AJ986" i="1"/>
  <c r="AX986" i="1"/>
  <c r="BQ986" i="1"/>
  <c r="BR986" i="1"/>
  <c r="CC986" i="1"/>
  <c r="CW986" i="1"/>
  <c r="G619" i="1"/>
  <c r="V619" i="1"/>
  <c r="AJ619" i="1"/>
  <c r="AX619" i="1"/>
  <c r="BQ619" i="1"/>
  <c r="BR619" i="1"/>
  <c r="CC619" i="1"/>
  <c r="CW619" i="1"/>
  <c r="G673" i="1"/>
  <c r="V673" i="1"/>
  <c r="AJ673" i="1"/>
  <c r="AX673" i="1"/>
  <c r="BQ673" i="1"/>
  <c r="BR673" i="1"/>
  <c r="CC673" i="1"/>
  <c r="CW673" i="1"/>
  <c r="G1487" i="1"/>
  <c r="V1487" i="1"/>
  <c r="AJ1487" i="1"/>
  <c r="AX1487" i="1"/>
  <c r="BQ1487" i="1"/>
  <c r="BR1487" i="1"/>
  <c r="CC1487" i="1"/>
  <c r="CW1487" i="1"/>
  <c r="G1349" i="1"/>
  <c r="V1349" i="1"/>
  <c r="AJ1349" i="1"/>
  <c r="AX1349" i="1"/>
  <c r="BQ1349" i="1"/>
  <c r="BR1349" i="1"/>
  <c r="CC1349" i="1"/>
  <c r="CW1349" i="1"/>
  <c r="G693" i="1"/>
  <c r="V693" i="1"/>
  <c r="AJ693" i="1"/>
  <c r="AX693" i="1"/>
  <c r="BQ693" i="1"/>
  <c r="BR693" i="1"/>
  <c r="CC693" i="1"/>
  <c r="CW693" i="1"/>
  <c r="G1281" i="1"/>
  <c r="V1281" i="1"/>
  <c r="AJ1281" i="1"/>
  <c r="AX1281" i="1"/>
  <c r="BQ1281" i="1"/>
  <c r="BR1281" i="1"/>
  <c r="CC1281" i="1"/>
  <c r="CW1281" i="1"/>
  <c r="G866" i="1"/>
  <c r="V866" i="1"/>
  <c r="AJ866" i="1"/>
  <c r="AX866" i="1"/>
  <c r="BQ866" i="1"/>
  <c r="BR866" i="1"/>
  <c r="CC866" i="1"/>
  <c r="CW866" i="1"/>
  <c r="G1004" i="1"/>
  <c r="V1004" i="1"/>
  <c r="AJ1004" i="1"/>
  <c r="AX1004" i="1"/>
  <c r="BQ1004" i="1"/>
  <c r="BR1004" i="1"/>
  <c r="CC1004" i="1"/>
  <c r="CW1004" i="1"/>
  <c r="G826" i="1"/>
  <c r="V826" i="1"/>
  <c r="AJ826" i="1"/>
  <c r="AX826" i="1"/>
  <c r="BQ826" i="1"/>
  <c r="BR826" i="1"/>
  <c r="CC826" i="1"/>
  <c r="CW826" i="1"/>
  <c r="G1292" i="1"/>
  <c r="V1292" i="1"/>
  <c r="AJ1292" i="1"/>
  <c r="AX1292" i="1"/>
  <c r="BQ1292" i="1"/>
  <c r="BR1292" i="1"/>
  <c r="CC1292" i="1"/>
  <c r="CW1292" i="1"/>
  <c r="G1007" i="1"/>
  <c r="V1007" i="1"/>
  <c r="AJ1007" i="1"/>
  <c r="AX1007" i="1"/>
  <c r="BQ1007" i="1"/>
  <c r="BR1007" i="1"/>
  <c r="CC1007" i="1"/>
  <c r="CW1007" i="1"/>
  <c r="G1323" i="1"/>
  <c r="V1323" i="1"/>
  <c r="AJ1323" i="1"/>
  <c r="AX1323" i="1"/>
  <c r="BQ1323" i="1"/>
  <c r="BR1323" i="1"/>
  <c r="CC1323" i="1"/>
  <c r="CW1323" i="1"/>
  <c r="G932" i="1"/>
  <c r="V932" i="1"/>
  <c r="AJ932" i="1"/>
  <c r="AX932" i="1"/>
  <c r="BQ932" i="1"/>
  <c r="BR932" i="1"/>
  <c r="CC932" i="1"/>
  <c r="CW932" i="1"/>
  <c r="G1063" i="1"/>
  <c r="V1063" i="1"/>
  <c r="AJ1063" i="1"/>
  <c r="AX1063" i="1"/>
  <c r="BQ1063" i="1"/>
  <c r="BR1063" i="1"/>
  <c r="CC1063" i="1"/>
  <c r="CW1063" i="1"/>
  <c r="G882" i="1"/>
  <c r="V882" i="1"/>
  <c r="AJ882" i="1"/>
  <c r="AX882" i="1"/>
  <c r="BQ882" i="1"/>
  <c r="BR882" i="1"/>
  <c r="CC882" i="1"/>
  <c r="CW882" i="1"/>
  <c r="G687" i="1"/>
  <c r="V687" i="1"/>
  <c r="AJ687" i="1"/>
  <c r="AX687" i="1"/>
  <c r="BQ687" i="1"/>
  <c r="BR687" i="1"/>
  <c r="CC687" i="1"/>
  <c r="CW687" i="1"/>
  <c r="G1208" i="1"/>
  <c r="V1208" i="1"/>
  <c r="AJ1208" i="1"/>
  <c r="AX1208" i="1"/>
  <c r="BQ1208" i="1"/>
  <c r="BR1208" i="1"/>
  <c r="CC1208" i="1"/>
  <c r="CW1208" i="1"/>
  <c r="G784" i="1"/>
  <c r="V784" i="1"/>
  <c r="AJ784" i="1"/>
  <c r="AX784" i="1"/>
  <c r="BQ784" i="1"/>
  <c r="BR784" i="1"/>
  <c r="CC784" i="1"/>
  <c r="CW784" i="1"/>
  <c r="G1282" i="1"/>
  <c r="V1282" i="1"/>
  <c r="AJ1282" i="1"/>
  <c r="AX1282" i="1"/>
  <c r="BQ1282" i="1"/>
  <c r="BR1282" i="1"/>
  <c r="CC1282" i="1"/>
  <c r="CW1282" i="1"/>
  <c r="G1021" i="1"/>
  <c r="V1021" i="1"/>
  <c r="AJ1021" i="1"/>
  <c r="AX1021" i="1"/>
  <c r="BQ1021" i="1"/>
  <c r="BR1021" i="1"/>
  <c r="CC1021" i="1"/>
  <c r="CW1021" i="1"/>
  <c r="G658" i="1"/>
  <c r="V658" i="1"/>
  <c r="AJ658" i="1"/>
  <c r="AX658" i="1"/>
  <c r="BQ658" i="1"/>
  <c r="BR658" i="1"/>
  <c r="CC658" i="1"/>
  <c r="CW658" i="1"/>
  <c r="G666" i="1"/>
  <c r="V666" i="1"/>
  <c r="AJ666" i="1"/>
  <c r="AX666" i="1"/>
  <c r="BQ666" i="1"/>
  <c r="BR666" i="1"/>
  <c r="CC666" i="1"/>
  <c r="CW666" i="1"/>
  <c r="G758" i="1"/>
  <c r="V758" i="1"/>
  <c r="AJ758" i="1"/>
  <c r="AX758" i="1"/>
  <c r="BQ758" i="1"/>
  <c r="BR758" i="1"/>
  <c r="CC758" i="1"/>
  <c r="CW758" i="1"/>
  <c r="G1014" i="1"/>
  <c r="V1014" i="1"/>
  <c r="AJ1014" i="1"/>
  <c r="AX1014" i="1"/>
  <c r="BQ1014" i="1"/>
  <c r="BR1014" i="1"/>
  <c r="CC1014" i="1"/>
  <c r="CW1014" i="1"/>
  <c r="G792" i="1"/>
  <c r="V792" i="1"/>
  <c r="AJ792" i="1"/>
  <c r="AX792" i="1"/>
  <c r="BQ792" i="1"/>
  <c r="BR792" i="1"/>
  <c r="CC792" i="1"/>
  <c r="CW792" i="1"/>
  <c r="G1108" i="1"/>
  <c r="V1108" i="1"/>
  <c r="AJ1108" i="1"/>
  <c r="AX1108" i="1"/>
  <c r="BQ1108" i="1"/>
  <c r="BR1108" i="1"/>
  <c r="CC1108" i="1"/>
  <c r="CW1108" i="1"/>
  <c r="G1059" i="1"/>
  <c r="V1059" i="1"/>
  <c r="AJ1059" i="1"/>
  <c r="AX1059" i="1"/>
  <c r="BQ1059" i="1"/>
  <c r="BR1059" i="1"/>
  <c r="CC1059" i="1"/>
  <c r="CW1059" i="1"/>
  <c r="G1210" i="1"/>
  <c r="V1210" i="1"/>
  <c r="AJ1210" i="1"/>
  <c r="AX1210" i="1"/>
  <c r="BQ1210" i="1"/>
  <c r="BR1210" i="1"/>
  <c r="CC1210" i="1"/>
  <c r="CW1210" i="1"/>
  <c r="G944" i="1"/>
  <c r="V944" i="1"/>
  <c r="AJ944" i="1"/>
  <c r="AX944" i="1"/>
  <c r="BQ944" i="1"/>
  <c r="BR944" i="1"/>
  <c r="CC944" i="1"/>
  <c r="CW944" i="1"/>
  <c r="G1492" i="1"/>
  <c r="V1492" i="1"/>
  <c r="AJ1492" i="1"/>
  <c r="AX1492" i="1"/>
  <c r="BQ1492" i="1"/>
  <c r="BR1492" i="1"/>
  <c r="CC1492" i="1"/>
  <c r="CW1492" i="1"/>
  <c r="G949" i="1"/>
  <c r="V949" i="1"/>
  <c r="AJ949" i="1"/>
  <c r="AX949" i="1"/>
  <c r="BQ949" i="1"/>
  <c r="BR949" i="1"/>
  <c r="CC949" i="1"/>
  <c r="CW949" i="1"/>
  <c r="G1113" i="1"/>
  <c r="V1113" i="1"/>
  <c r="AJ1113" i="1"/>
  <c r="AX1113" i="1"/>
  <c r="BQ1113" i="1"/>
  <c r="BR1113" i="1"/>
  <c r="CC1113" i="1"/>
  <c r="CW1113" i="1"/>
  <c r="G1329" i="1"/>
  <c r="V1329" i="1"/>
  <c r="AJ1329" i="1"/>
  <c r="AX1329" i="1"/>
  <c r="BQ1329" i="1"/>
  <c r="BR1329" i="1"/>
  <c r="CC1329" i="1"/>
  <c r="CW1329" i="1"/>
  <c r="G1337" i="1"/>
  <c r="V1337" i="1"/>
  <c r="AJ1337" i="1"/>
  <c r="AX1337" i="1"/>
  <c r="BQ1337" i="1"/>
  <c r="BR1337" i="1"/>
  <c r="CC1337" i="1"/>
  <c r="CW1337" i="1"/>
  <c r="G928" i="1"/>
  <c r="V928" i="1"/>
  <c r="AJ928" i="1"/>
  <c r="AX928" i="1"/>
  <c r="BQ928" i="1"/>
  <c r="BR928" i="1"/>
  <c r="CC928" i="1"/>
  <c r="CW928" i="1"/>
  <c r="G697" i="1"/>
  <c r="V697" i="1"/>
  <c r="AJ697" i="1"/>
  <c r="AX697" i="1"/>
  <c r="BQ697" i="1"/>
  <c r="BR697" i="1"/>
  <c r="CC697" i="1"/>
  <c r="CW697" i="1"/>
  <c r="G1314" i="1"/>
  <c r="V1314" i="1"/>
  <c r="AJ1314" i="1"/>
  <c r="AX1314" i="1"/>
  <c r="BQ1314" i="1"/>
  <c r="BR1314" i="1"/>
  <c r="CC1314" i="1"/>
  <c r="CW1314" i="1"/>
  <c r="G330" i="1"/>
  <c r="V330" i="1"/>
  <c r="AJ330" i="1"/>
  <c r="AX330" i="1"/>
  <c r="BQ330" i="1"/>
  <c r="BR330" i="1"/>
  <c r="CC330" i="1"/>
  <c r="CW330" i="1"/>
  <c r="G289" i="1"/>
  <c r="V289" i="1"/>
  <c r="AJ289" i="1"/>
  <c r="AX289" i="1"/>
  <c r="BQ289" i="1"/>
  <c r="BR289" i="1"/>
  <c r="CC289" i="1"/>
  <c r="CW289" i="1"/>
  <c r="G299" i="1"/>
  <c r="V299" i="1"/>
  <c r="AJ299" i="1"/>
  <c r="AX299" i="1"/>
  <c r="BQ299" i="1"/>
  <c r="BR299" i="1"/>
  <c r="CC299" i="1"/>
  <c r="CW299" i="1"/>
  <c r="G319" i="1"/>
  <c r="V319" i="1"/>
  <c r="AJ319" i="1"/>
  <c r="AX319" i="1"/>
  <c r="BQ319" i="1"/>
  <c r="BR319" i="1"/>
  <c r="CC319" i="1"/>
  <c r="CW319" i="1"/>
  <c r="G310" i="1"/>
  <c r="V310" i="1"/>
  <c r="AJ310" i="1"/>
  <c r="AX310" i="1"/>
  <c r="BQ310" i="1"/>
  <c r="BR310" i="1"/>
  <c r="CC310" i="1"/>
  <c r="CW310" i="1"/>
  <c r="G1134" i="1"/>
  <c r="V1134" i="1"/>
  <c r="AJ1134" i="1"/>
  <c r="AX1134" i="1"/>
  <c r="BQ1134" i="1"/>
  <c r="BR1134" i="1"/>
  <c r="CC1134" i="1"/>
  <c r="CW1134" i="1"/>
  <c r="G308" i="1"/>
  <c r="V308" i="1"/>
  <c r="AJ308" i="1"/>
  <c r="AX308" i="1"/>
  <c r="BQ308" i="1"/>
  <c r="BR308" i="1"/>
  <c r="CC308" i="1"/>
  <c r="CW308" i="1"/>
  <c r="G220" i="1"/>
  <c r="V220" i="1"/>
  <c r="AJ220" i="1"/>
  <c r="AX220" i="1"/>
  <c r="BQ220" i="1"/>
  <c r="BR220" i="1"/>
  <c r="CC220" i="1"/>
  <c r="CW220" i="1"/>
  <c r="G267" i="1"/>
  <c r="V267" i="1"/>
  <c r="AJ267" i="1"/>
  <c r="AX267" i="1"/>
  <c r="BQ267" i="1"/>
  <c r="BR267" i="1"/>
  <c r="CC267" i="1"/>
  <c r="CW267" i="1"/>
  <c r="G18" i="1"/>
  <c r="V18" i="1"/>
  <c r="AJ18" i="1"/>
  <c r="AX18" i="1"/>
  <c r="BQ18" i="1"/>
  <c r="BR18" i="1"/>
  <c r="CC18" i="1"/>
  <c r="CW18" i="1"/>
  <c r="G184" i="1"/>
  <c r="V184" i="1"/>
  <c r="AJ184" i="1"/>
  <c r="AX184" i="1"/>
  <c r="BQ184" i="1"/>
  <c r="BR184" i="1"/>
  <c r="CC184" i="1"/>
  <c r="CW184" i="1"/>
  <c r="G51" i="1"/>
  <c r="V51" i="1"/>
  <c r="AJ51" i="1"/>
  <c r="AX51" i="1"/>
  <c r="BQ51" i="1"/>
  <c r="BR51" i="1"/>
  <c r="CC51" i="1"/>
  <c r="CW51" i="1"/>
  <c r="G272" i="1"/>
  <c r="V272" i="1"/>
  <c r="AJ272" i="1"/>
  <c r="AX272" i="1"/>
  <c r="BQ272" i="1"/>
  <c r="BR272" i="1"/>
  <c r="CC272" i="1"/>
  <c r="CW272" i="1"/>
  <c r="G82" i="1"/>
  <c r="V82" i="1"/>
  <c r="AJ82" i="1"/>
  <c r="AX82" i="1"/>
  <c r="BQ82" i="1"/>
  <c r="BR82" i="1"/>
  <c r="CC82" i="1"/>
  <c r="CW82" i="1"/>
  <c r="G183" i="1"/>
  <c r="V183" i="1"/>
  <c r="AJ183" i="1"/>
  <c r="AX183" i="1"/>
  <c r="BQ183" i="1"/>
  <c r="BR183" i="1"/>
  <c r="CC183" i="1"/>
  <c r="CW183" i="1"/>
  <c r="G228" i="1"/>
  <c r="V228" i="1"/>
  <c r="AJ228" i="1"/>
  <c r="AX228" i="1"/>
  <c r="BQ228" i="1"/>
  <c r="BR228" i="1"/>
  <c r="CC228" i="1"/>
  <c r="CW228" i="1"/>
  <c r="G139" i="1"/>
  <c r="V139" i="1"/>
  <c r="AJ139" i="1"/>
  <c r="AX139" i="1"/>
  <c r="BQ139" i="1"/>
  <c r="BR139" i="1"/>
  <c r="CC139" i="1"/>
  <c r="CW139" i="1"/>
  <c r="G250" i="1"/>
  <c r="V250" i="1"/>
  <c r="AJ250" i="1"/>
  <c r="AX250" i="1"/>
  <c r="BQ250" i="1"/>
  <c r="BR250" i="1"/>
  <c r="CC250" i="1"/>
  <c r="CW250" i="1"/>
  <c r="G259" i="1"/>
  <c r="V259" i="1"/>
  <c r="AJ259" i="1"/>
  <c r="AX259" i="1"/>
  <c r="BQ259" i="1"/>
  <c r="BR259" i="1"/>
  <c r="CC259" i="1"/>
  <c r="CW259" i="1"/>
  <c r="G151" i="1"/>
  <c r="V151" i="1"/>
  <c r="AJ151" i="1"/>
  <c r="AX151" i="1"/>
  <c r="BQ151" i="1"/>
  <c r="BR151" i="1"/>
  <c r="CC151" i="1"/>
  <c r="CW151" i="1"/>
  <c r="G28" i="1"/>
  <c r="V28" i="1"/>
  <c r="AJ28" i="1"/>
  <c r="AX28" i="1"/>
  <c r="BQ28" i="1"/>
  <c r="BR28" i="1"/>
  <c r="CC28" i="1"/>
  <c r="CW28" i="1"/>
  <c r="G132" i="1"/>
  <c r="V132" i="1"/>
  <c r="AJ132" i="1"/>
  <c r="AX132" i="1"/>
  <c r="BQ132" i="1"/>
  <c r="BR132" i="1"/>
  <c r="CC132" i="1"/>
  <c r="CW132" i="1"/>
  <c r="G62" i="1"/>
  <c r="V62" i="1"/>
  <c r="AJ62" i="1"/>
  <c r="AX62" i="1"/>
  <c r="BQ62" i="1"/>
  <c r="BR62" i="1"/>
  <c r="CC62" i="1"/>
  <c r="CW62" i="1"/>
  <c r="G90" i="1"/>
  <c r="V90" i="1"/>
  <c r="AJ90" i="1"/>
  <c r="AX90" i="1"/>
  <c r="BQ90" i="1"/>
  <c r="BR90" i="1"/>
  <c r="CC90" i="1"/>
  <c r="CW90" i="1"/>
  <c r="G241" i="1"/>
  <c r="V241" i="1"/>
  <c r="AJ241" i="1"/>
  <c r="AX241" i="1"/>
  <c r="BQ241" i="1"/>
  <c r="BR241" i="1"/>
  <c r="CC241" i="1"/>
  <c r="CW241" i="1"/>
  <c r="G81" i="1"/>
  <c r="V81" i="1"/>
  <c r="AJ81" i="1"/>
  <c r="AX81" i="1"/>
  <c r="BQ81" i="1"/>
  <c r="BR81" i="1"/>
  <c r="CC81" i="1"/>
  <c r="CW81" i="1"/>
  <c r="G221" i="1"/>
  <c r="V221" i="1"/>
  <c r="AJ221" i="1"/>
  <c r="AX221" i="1"/>
  <c r="BQ221" i="1"/>
  <c r="BR221" i="1"/>
  <c r="CC221" i="1"/>
  <c r="CW221" i="1"/>
  <c r="G254" i="1"/>
  <c r="V254" i="1"/>
  <c r="AJ254" i="1"/>
  <c r="AX254" i="1"/>
  <c r="BQ254" i="1"/>
  <c r="BR254" i="1"/>
  <c r="CC254" i="1"/>
  <c r="CW254" i="1"/>
  <c r="G1150" i="1"/>
  <c r="V1150" i="1"/>
  <c r="AJ1150" i="1"/>
  <c r="AX1150" i="1"/>
  <c r="BQ1150" i="1"/>
  <c r="BR1150" i="1"/>
  <c r="CC1150" i="1"/>
  <c r="CW1150" i="1"/>
  <c r="G1146" i="1"/>
  <c r="V1146" i="1"/>
  <c r="AJ1146" i="1"/>
  <c r="AX1146" i="1"/>
  <c r="BQ1146" i="1"/>
  <c r="BR1146" i="1"/>
  <c r="CC1146" i="1"/>
  <c r="CW1146" i="1"/>
  <c r="G401" i="1"/>
  <c r="V401" i="1"/>
  <c r="AJ401" i="1"/>
  <c r="AX401" i="1"/>
  <c r="BQ401" i="1"/>
  <c r="BR401" i="1"/>
  <c r="CC401" i="1"/>
  <c r="CW401" i="1"/>
  <c r="G420" i="1"/>
  <c r="V420" i="1"/>
  <c r="AJ420" i="1"/>
  <c r="AX420" i="1"/>
  <c r="BQ420" i="1"/>
  <c r="BR420" i="1"/>
  <c r="CC420" i="1"/>
  <c r="CW420" i="1"/>
  <c r="G378" i="1"/>
  <c r="V378" i="1"/>
  <c r="AJ378" i="1"/>
  <c r="AX378" i="1"/>
  <c r="BQ378" i="1"/>
  <c r="BR378" i="1"/>
  <c r="CC378" i="1"/>
  <c r="CW378" i="1"/>
  <c r="G412" i="1"/>
  <c r="V412" i="1"/>
  <c r="AJ412" i="1"/>
  <c r="AX412" i="1"/>
  <c r="BQ412" i="1"/>
  <c r="BR412" i="1"/>
  <c r="CC412" i="1"/>
  <c r="CW412" i="1"/>
  <c r="G402" i="1"/>
  <c r="V402" i="1"/>
  <c r="AJ402" i="1"/>
  <c r="AX402" i="1"/>
  <c r="BQ402" i="1"/>
  <c r="BR402" i="1"/>
  <c r="CC402" i="1"/>
  <c r="CW402" i="1"/>
  <c r="G1368" i="1"/>
  <c r="V1368" i="1"/>
  <c r="AJ1368" i="1"/>
  <c r="AX1368" i="1"/>
  <c r="BQ1368" i="1"/>
  <c r="BR1368" i="1"/>
  <c r="CC1368" i="1"/>
  <c r="CW1368" i="1"/>
  <c r="G1160" i="1"/>
  <c r="V1160" i="1"/>
  <c r="AJ1160" i="1"/>
  <c r="AX1160" i="1"/>
  <c r="BQ1160" i="1"/>
  <c r="BR1160" i="1"/>
  <c r="CC1160" i="1"/>
  <c r="CW1160" i="1"/>
  <c r="G460" i="1"/>
  <c r="V460" i="1"/>
  <c r="AJ460" i="1"/>
  <c r="AX460" i="1"/>
  <c r="BQ460" i="1"/>
  <c r="BR460" i="1"/>
  <c r="CC460" i="1"/>
  <c r="CW460" i="1"/>
  <c r="G1444" i="1"/>
  <c r="V1444" i="1"/>
  <c r="AJ1444" i="1"/>
  <c r="AX1444" i="1"/>
  <c r="BQ1444" i="1"/>
  <c r="BR1444" i="1"/>
  <c r="CC1444" i="1"/>
  <c r="CW1444" i="1"/>
  <c r="G1404" i="1"/>
  <c r="V1404" i="1"/>
  <c r="AJ1404" i="1"/>
  <c r="AX1404" i="1"/>
  <c r="BQ1404" i="1"/>
  <c r="BR1404" i="1"/>
  <c r="CC1404" i="1"/>
  <c r="CW1404" i="1"/>
  <c r="G467" i="1"/>
  <c r="V467" i="1"/>
  <c r="AJ467" i="1"/>
  <c r="AX467" i="1"/>
  <c r="BQ467" i="1"/>
  <c r="BR467" i="1"/>
  <c r="CC467" i="1"/>
  <c r="CW467" i="1"/>
  <c r="G465" i="1"/>
  <c r="V465" i="1"/>
  <c r="AJ465" i="1"/>
  <c r="AX465" i="1"/>
  <c r="BQ465" i="1"/>
  <c r="BR465" i="1"/>
  <c r="CC465" i="1"/>
  <c r="CW465" i="1"/>
  <c r="G1400" i="1"/>
  <c r="V1400" i="1"/>
  <c r="AJ1400" i="1"/>
  <c r="AX1400" i="1"/>
  <c r="BQ1400" i="1"/>
  <c r="BR1400" i="1"/>
  <c r="CC1400" i="1"/>
  <c r="CW1400" i="1"/>
  <c r="G1441" i="1"/>
  <c r="V1441" i="1"/>
  <c r="AJ1441" i="1"/>
  <c r="AX1441" i="1"/>
  <c r="BQ1441" i="1"/>
  <c r="BR1441" i="1"/>
  <c r="CC1441" i="1"/>
  <c r="CW1441" i="1"/>
  <c r="G1452" i="1"/>
  <c r="V1452" i="1"/>
  <c r="AJ1452" i="1"/>
  <c r="AX1452" i="1"/>
  <c r="BQ1452" i="1"/>
  <c r="BR1452" i="1"/>
  <c r="CC1452" i="1"/>
  <c r="CW1452" i="1"/>
  <c r="G464" i="1"/>
  <c r="V464" i="1"/>
  <c r="AJ464" i="1"/>
  <c r="AX464" i="1"/>
  <c r="BQ464" i="1"/>
  <c r="BR464" i="1"/>
  <c r="CC464" i="1"/>
  <c r="CW464" i="1"/>
  <c r="G1185" i="1"/>
  <c r="V1185" i="1"/>
  <c r="AJ1185" i="1"/>
  <c r="AX1185" i="1"/>
  <c r="BQ1185" i="1"/>
  <c r="BR1185" i="1"/>
  <c r="CC1185" i="1"/>
  <c r="CW1185" i="1"/>
  <c r="G508" i="1"/>
  <c r="V508" i="1"/>
  <c r="AJ508" i="1"/>
  <c r="AX508" i="1"/>
  <c r="BQ508" i="1"/>
  <c r="BR508" i="1"/>
  <c r="CC508" i="1"/>
  <c r="CW508" i="1"/>
  <c r="G577" i="1"/>
  <c r="V577" i="1"/>
  <c r="AJ577" i="1"/>
  <c r="AX577" i="1"/>
  <c r="BQ577" i="1"/>
  <c r="BR577" i="1"/>
  <c r="CC577" i="1"/>
  <c r="CW577" i="1"/>
  <c r="G503" i="1"/>
  <c r="V503" i="1"/>
  <c r="AJ503" i="1"/>
  <c r="AX503" i="1"/>
  <c r="BQ503" i="1"/>
  <c r="BR503" i="1"/>
  <c r="CC503" i="1"/>
  <c r="CW503" i="1"/>
  <c r="G574" i="1"/>
  <c r="V574" i="1"/>
  <c r="AJ574" i="1"/>
  <c r="AX574" i="1"/>
  <c r="BQ574" i="1"/>
  <c r="BR574" i="1"/>
  <c r="CC574" i="1"/>
  <c r="CW574" i="1"/>
  <c r="G535" i="1"/>
  <c r="V535" i="1"/>
  <c r="AJ535" i="1"/>
  <c r="AX535" i="1"/>
  <c r="BQ535" i="1"/>
  <c r="BR535" i="1"/>
  <c r="CC535" i="1"/>
  <c r="CW535" i="1"/>
  <c r="G549" i="1"/>
  <c r="V549" i="1"/>
  <c r="AJ549" i="1"/>
  <c r="AX549" i="1"/>
  <c r="BQ549" i="1"/>
  <c r="BR549" i="1"/>
  <c r="CC549" i="1"/>
  <c r="CW549" i="1"/>
  <c r="G522" i="1"/>
  <c r="V522" i="1"/>
  <c r="AJ522" i="1"/>
  <c r="AX522" i="1"/>
  <c r="BQ522" i="1"/>
  <c r="BR522" i="1"/>
  <c r="CC522" i="1"/>
  <c r="CW522" i="1"/>
  <c r="G582" i="1"/>
  <c r="V582" i="1"/>
  <c r="AJ582" i="1"/>
  <c r="AX582" i="1"/>
  <c r="BQ582" i="1"/>
  <c r="BR582" i="1"/>
  <c r="CC582" i="1"/>
  <c r="CW582" i="1"/>
  <c r="G1175" i="1"/>
  <c r="V1175" i="1"/>
  <c r="AJ1175" i="1"/>
  <c r="AX1175" i="1"/>
  <c r="BQ1175" i="1"/>
  <c r="BR1175" i="1"/>
  <c r="CC1175" i="1"/>
  <c r="CW1175" i="1"/>
  <c r="G516" i="1"/>
  <c r="V516" i="1"/>
  <c r="AJ516" i="1"/>
  <c r="AX516" i="1"/>
  <c r="BQ516" i="1"/>
  <c r="BR516" i="1"/>
  <c r="CC516" i="1"/>
  <c r="CW516" i="1"/>
  <c r="G1461" i="1"/>
  <c r="V1461" i="1"/>
  <c r="AJ1461" i="1"/>
  <c r="AX1461" i="1"/>
  <c r="BQ1461" i="1"/>
  <c r="BR1461" i="1"/>
  <c r="CC1461" i="1"/>
  <c r="CW1461" i="1"/>
  <c r="G1503" i="1"/>
  <c r="V1503" i="1"/>
  <c r="AJ1503" i="1"/>
  <c r="AX1503" i="1"/>
  <c r="BQ1503" i="1"/>
  <c r="BR1503" i="1"/>
  <c r="CC1503" i="1"/>
  <c r="CW1503" i="1"/>
  <c r="G1524" i="1"/>
  <c r="V1524" i="1"/>
  <c r="AJ1524" i="1"/>
  <c r="AX1524" i="1"/>
  <c r="BQ1524" i="1"/>
  <c r="BR1524" i="1"/>
  <c r="CC1524" i="1"/>
  <c r="CW1524" i="1"/>
  <c r="G1512" i="1"/>
  <c r="V1512" i="1"/>
  <c r="AJ1512" i="1"/>
  <c r="AX1512" i="1"/>
  <c r="BQ1512" i="1"/>
  <c r="BR1512" i="1"/>
  <c r="CC1512" i="1"/>
  <c r="CW1512" i="1"/>
  <c r="G1521" i="1"/>
  <c r="V1521" i="1"/>
  <c r="AJ1521" i="1"/>
  <c r="AX1521" i="1"/>
  <c r="BQ1521" i="1"/>
  <c r="BR1521" i="1"/>
  <c r="CC1521" i="1"/>
  <c r="CW1521" i="1"/>
  <c r="G757" i="1"/>
  <c r="V757" i="1"/>
  <c r="AJ757" i="1"/>
  <c r="AX757" i="1"/>
  <c r="BQ757" i="1"/>
  <c r="BR757" i="1"/>
  <c r="CC757" i="1"/>
  <c r="CW757" i="1"/>
  <c r="G1236" i="1"/>
  <c r="V1236" i="1"/>
  <c r="AJ1236" i="1"/>
  <c r="AX1236" i="1"/>
  <c r="BQ1236" i="1"/>
  <c r="BR1236" i="1"/>
  <c r="CC1236" i="1"/>
  <c r="CW1236" i="1"/>
  <c r="G889" i="1"/>
  <c r="V889" i="1"/>
  <c r="AJ889" i="1"/>
  <c r="AX889" i="1"/>
  <c r="BQ889" i="1"/>
  <c r="BR889" i="1"/>
  <c r="CC889" i="1"/>
  <c r="CW889" i="1"/>
  <c r="G1067" i="1"/>
  <c r="V1067" i="1"/>
  <c r="AJ1067" i="1"/>
  <c r="AX1067" i="1"/>
  <c r="BQ1067" i="1"/>
  <c r="BR1067" i="1"/>
  <c r="CC1067" i="1"/>
  <c r="CW1067" i="1"/>
  <c r="G864" i="1"/>
  <c r="V864" i="1"/>
  <c r="AJ864" i="1"/>
  <c r="AX864" i="1"/>
  <c r="BQ864" i="1"/>
  <c r="BR864" i="1"/>
  <c r="CC864" i="1"/>
  <c r="CW864" i="1"/>
  <c r="G1489" i="1"/>
  <c r="V1489" i="1"/>
  <c r="AJ1489" i="1"/>
  <c r="AX1489" i="1"/>
  <c r="BQ1489" i="1"/>
  <c r="BR1489" i="1"/>
  <c r="CC1489" i="1"/>
  <c r="CW1489" i="1"/>
  <c r="G1482" i="1"/>
  <c r="V1482" i="1"/>
  <c r="AJ1482" i="1"/>
  <c r="AX1482" i="1"/>
  <c r="BQ1482" i="1"/>
  <c r="BR1482" i="1"/>
  <c r="CC1482" i="1"/>
  <c r="CW1482" i="1"/>
  <c r="G590" i="1"/>
  <c r="V590" i="1"/>
  <c r="AJ590" i="1"/>
  <c r="AX590" i="1"/>
  <c r="BQ590" i="1"/>
  <c r="BR590" i="1"/>
  <c r="CC590" i="1"/>
  <c r="CW590" i="1"/>
  <c r="G1186" i="1"/>
  <c r="V1186" i="1"/>
  <c r="AJ1186" i="1"/>
  <c r="AX1186" i="1"/>
  <c r="BQ1186" i="1"/>
  <c r="BR1186" i="1"/>
  <c r="CC1186" i="1"/>
  <c r="CW1186" i="1"/>
  <c r="G583" i="1"/>
  <c r="V583" i="1"/>
  <c r="AJ583" i="1"/>
  <c r="AX583" i="1"/>
  <c r="BQ583" i="1"/>
  <c r="BR583" i="1"/>
  <c r="CC583" i="1"/>
  <c r="CW583" i="1"/>
  <c r="G618" i="1"/>
  <c r="V618" i="1"/>
  <c r="AJ618" i="1"/>
  <c r="AX618" i="1"/>
  <c r="BQ618" i="1"/>
  <c r="BR618" i="1"/>
  <c r="CC618" i="1"/>
  <c r="CW618" i="1"/>
  <c r="G612" i="1"/>
  <c r="V612" i="1"/>
  <c r="AJ612" i="1"/>
  <c r="AX612" i="1"/>
  <c r="BQ612" i="1"/>
  <c r="BR612" i="1"/>
  <c r="CC612" i="1"/>
  <c r="CW612" i="1"/>
  <c r="G584" i="1"/>
  <c r="V584" i="1"/>
  <c r="AJ584" i="1"/>
  <c r="AX584" i="1"/>
  <c r="BQ584" i="1"/>
  <c r="BR584" i="1"/>
  <c r="CC584" i="1"/>
  <c r="CW584" i="1"/>
  <c r="G1094" i="1"/>
  <c r="V1094" i="1"/>
  <c r="AJ1094" i="1"/>
  <c r="AX1094" i="1"/>
  <c r="BQ1094" i="1"/>
  <c r="BR1094" i="1"/>
  <c r="CC1094" i="1"/>
  <c r="CW1094" i="1"/>
  <c r="G755" i="1"/>
  <c r="V755" i="1"/>
  <c r="AJ755" i="1"/>
  <c r="AX755" i="1"/>
  <c r="BQ755" i="1"/>
  <c r="BR755" i="1"/>
  <c r="CC755" i="1"/>
  <c r="CW755" i="1"/>
  <c r="G1057" i="1"/>
  <c r="V1057" i="1"/>
  <c r="AJ1057" i="1"/>
  <c r="AX1057" i="1"/>
  <c r="BQ1057" i="1"/>
  <c r="BR1057" i="1"/>
  <c r="CC1057" i="1"/>
  <c r="CW1057" i="1"/>
  <c r="G1272" i="1"/>
  <c r="V1272" i="1"/>
  <c r="AJ1272" i="1"/>
  <c r="AX1272" i="1"/>
  <c r="BQ1272" i="1"/>
  <c r="BR1272" i="1"/>
  <c r="CC1272" i="1"/>
  <c r="CW1272" i="1"/>
  <c r="G1222" i="1"/>
  <c r="V1222" i="1"/>
  <c r="AJ1222" i="1"/>
  <c r="AX1222" i="1"/>
  <c r="BQ1222" i="1"/>
  <c r="BR1222" i="1"/>
  <c r="CC1222" i="1"/>
  <c r="CW1222" i="1"/>
  <c r="G749" i="1"/>
  <c r="V749" i="1"/>
  <c r="AJ749" i="1"/>
  <c r="AX749" i="1"/>
  <c r="BQ749" i="1"/>
  <c r="BR749" i="1"/>
  <c r="CC749" i="1"/>
  <c r="CW749" i="1"/>
  <c r="G845" i="1"/>
  <c r="V845" i="1"/>
  <c r="AJ845" i="1"/>
  <c r="AX845" i="1"/>
  <c r="BQ845" i="1"/>
  <c r="BR845" i="1"/>
  <c r="CC845" i="1"/>
  <c r="CW845" i="1"/>
  <c r="G1025" i="1"/>
  <c r="V1025" i="1"/>
  <c r="AJ1025" i="1"/>
  <c r="AX1025" i="1"/>
  <c r="BQ1025" i="1"/>
  <c r="BR1025" i="1"/>
  <c r="CC1025" i="1"/>
  <c r="CW1025" i="1"/>
  <c r="G794" i="1"/>
  <c r="V794" i="1"/>
  <c r="AJ794" i="1"/>
  <c r="AX794" i="1"/>
  <c r="BQ794" i="1"/>
  <c r="BR794" i="1"/>
  <c r="CC794" i="1"/>
  <c r="CW794" i="1"/>
  <c r="G788" i="1"/>
  <c r="V788" i="1"/>
  <c r="AJ788" i="1"/>
  <c r="AX788" i="1"/>
  <c r="BQ788" i="1"/>
  <c r="BR788" i="1"/>
  <c r="CC788" i="1"/>
  <c r="CW788" i="1"/>
  <c r="G1291" i="1"/>
  <c r="V1291" i="1"/>
  <c r="AJ1291" i="1"/>
  <c r="AX1291" i="1"/>
  <c r="BQ1291" i="1"/>
  <c r="BR1291" i="1"/>
  <c r="CC1291" i="1"/>
  <c r="CW1291" i="1"/>
  <c r="G931" i="1"/>
  <c r="V931" i="1"/>
  <c r="AJ931" i="1"/>
  <c r="AX931" i="1"/>
  <c r="BQ931" i="1"/>
  <c r="BR931" i="1"/>
  <c r="CC931" i="1"/>
  <c r="CW931" i="1"/>
  <c r="G1364" i="1"/>
  <c r="V1364" i="1"/>
  <c r="AJ1364" i="1"/>
  <c r="AX1364" i="1"/>
  <c r="BQ1364" i="1"/>
  <c r="BR1364" i="1"/>
  <c r="CC1364" i="1"/>
  <c r="CW1364" i="1"/>
  <c r="G1239" i="1"/>
  <c r="V1239" i="1"/>
  <c r="AJ1239" i="1"/>
  <c r="AX1239" i="1"/>
  <c r="BQ1239" i="1"/>
  <c r="BR1239" i="1"/>
  <c r="CC1239" i="1"/>
  <c r="CW1239" i="1"/>
  <c r="G1199" i="1"/>
  <c r="V1199" i="1"/>
  <c r="AJ1199" i="1"/>
  <c r="AX1199" i="1"/>
  <c r="BQ1199" i="1"/>
  <c r="BR1199" i="1"/>
  <c r="CC1199" i="1"/>
  <c r="CW1199" i="1"/>
  <c r="G754" i="1"/>
  <c r="V754" i="1"/>
  <c r="AJ754" i="1"/>
  <c r="AX754" i="1"/>
  <c r="BQ754" i="1"/>
  <c r="BR754" i="1"/>
  <c r="CC754" i="1"/>
  <c r="CW754" i="1"/>
  <c r="G941" i="1"/>
  <c r="V941" i="1"/>
  <c r="AJ941" i="1"/>
  <c r="AX941" i="1"/>
  <c r="BQ941" i="1"/>
  <c r="BR941" i="1"/>
  <c r="CC941" i="1"/>
  <c r="CW941" i="1"/>
  <c r="G850" i="1"/>
  <c r="V850" i="1"/>
  <c r="AJ850" i="1"/>
  <c r="AX850" i="1"/>
  <c r="BQ850" i="1"/>
  <c r="BR850" i="1"/>
  <c r="CC850" i="1"/>
  <c r="CW850" i="1"/>
  <c r="G1307" i="1"/>
  <c r="V1307" i="1"/>
  <c r="AJ1307" i="1"/>
  <c r="AX1307" i="1"/>
  <c r="BQ1307" i="1"/>
  <c r="BR1307" i="1"/>
  <c r="CC1307" i="1"/>
  <c r="CW1307" i="1"/>
  <c r="G1075" i="1"/>
  <c r="V1075" i="1"/>
  <c r="AJ1075" i="1"/>
  <c r="AX1075" i="1"/>
  <c r="BQ1075" i="1"/>
  <c r="BR1075" i="1"/>
  <c r="CC1075" i="1"/>
  <c r="CW1075" i="1"/>
  <c r="G1320" i="1"/>
  <c r="V1320" i="1"/>
  <c r="AJ1320" i="1"/>
  <c r="AX1320" i="1"/>
  <c r="BQ1320" i="1"/>
  <c r="BR1320" i="1"/>
  <c r="CC1320" i="1"/>
  <c r="CW1320" i="1"/>
  <c r="G1227" i="1"/>
  <c r="V1227" i="1"/>
  <c r="AJ1227" i="1"/>
  <c r="AX1227" i="1"/>
  <c r="BQ1227" i="1"/>
  <c r="BR1227" i="1"/>
  <c r="CC1227" i="1"/>
  <c r="CW1227" i="1"/>
  <c r="G1501" i="1"/>
  <c r="V1501" i="1"/>
  <c r="AJ1501" i="1"/>
  <c r="AX1501" i="1"/>
  <c r="BQ1501" i="1"/>
  <c r="BR1501" i="1"/>
  <c r="CC1501" i="1"/>
  <c r="CW1501" i="1"/>
  <c r="G1074" i="1"/>
  <c r="V1074" i="1"/>
  <c r="AJ1074" i="1"/>
  <c r="AX1074" i="1"/>
  <c r="BQ1074" i="1"/>
  <c r="BR1074" i="1"/>
  <c r="CC1074" i="1"/>
  <c r="CW1074" i="1"/>
  <c r="G782" i="1"/>
  <c r="V782" i="1"/>
  <c r="AJ782" i="1"/>
  <c r="AX782" i="1"/>
  <c r="BQ782" i="1"/>
  <c r="BR782" i="1"/>
  <c r="CC782" i="1"/>
  <c r="CW782" i="1"/>
  <c r="G1258" i="1"/>
  <c r="V1258" i="1"/>
  <c r="AJ1258" i="1"/>
  <c r="AX1258" i="1"/>
  <c r="BQ1258" i="1"/>
  <c r="BR1258" i="1"/>
  <c r="CC1258" i="1"/>
  <c r="CW1258" i="1"/>
  <c r="G1334" i="1"/>
  <c r="V1334" i="1"/>
  <c r="AJ1334" i="1"/>
  <c r="AX1334" i="1"/>
  <c r="BQ1334" i="1"/>
  <c r="BR1334" i="1"/>
  <c r="CC1334" i="1"/>
  <c r="CW1334" i="1"/>
  <c r="G735" i="1"/>
  <c r="V735" i="1"/>
  <c r="AJ735" i="1"/>
  <c r="AX735" i="1"/>
  <c r="BQ735" i="1"/>
  <c r="BR735" i="1"/>
  <c r="CC735" i="1"/>
  <c r="CW735" i="1"/>
  <c r="G331" i="1"/>
  <c r="V331" i="1"/>
  <c r="AJ331" i="1"/>
  <c r="AX331" i="1"/>
  <c r="BQ331" i="1"/>
  <c r="BR331" i="1"/>
  <c r="CC331" i="1"/>
  <c r="CW331" i="1"/>
  <c r="G329" i="1"/>
  <c r="V329" i="1"/>
  <c r="AJ329" i="1"/>
  <c r="AX329" i="1"/>
  <c r="BQ329" i="1"/>
  <c r="BR329" i="1"/>
  <c r="CC329" i="1"/>
  <c r="CW329" i="1"/>
  <c r="G1375" i="1"/>
  <c r="V1375" i="1"/>
  <c r="AJ1375" i="1"/>
  <c r="AX1375" i="1"/>
  <c r="BQ1375" i="1"/>
  <c r="BR1375" i="1"/>
  <c r="CC1375" i="1"/>
  <c r="CW1375" i="1"/>
  <c r="G320" i="1"/>
  <c r="V320" i="1"/>
  <c r="AJ320" i="1"/>
  <c r="AX320" i="1"/>
  <c r="BQ320" i="1"/>
  <c r="BR320" i="1"/>
  <c r="CC320" i="1"/>
  <c r="CW320" i="1"/>
  <c r="G1129" i="1"/>
  <c r="V1129" i="1"/>
  <c r="AJ1129" i="1"/>
  <c r="AX1129" i="1"/>
  <c r="BQ1129" i="1"/>
  <c r="BR1129" i="1"/>
  <c r="CC1129" i="1"/>
  <c r="CW1129" i="1"/>
  <c r="G316" i="1"/>
  <c r="V316" i="1"/>
  <c r="AJ316" i="1"/>
  <c r="AX316" i="1"/>
  <c r="BQ316" i="1"/>
  <c r="BR316" i="1"/>
  <c r="CC316" i="1"/>
  <c r="CW316" i="1"/>
  <c r="G356" i="1"/>
  <c r="V356" i="1"/>
  <c r="AJ356" i="1"/>
  <c r="AX356" i="1"/>
  <c r="BQ356" i="1"/>
  <c r="BR356" i="1"/>
  <c r="CC356" i="1"/>
  <c r="CW356" i="1"/>
  <c r="G6" i="1"/>
  <c r="V6" i="1"/>
  <c r="AJ6" i="1"/>
  <c r="AX6" i="1"/>
  <c r="BQ6" i="1"/>
  <c r="BR6" i="1"/>
  <c r="CC6" i="1"/>
  <c r="CW6" i="1"/>
  <c r="G21" i="1"/>
  <c r="V21" i="1"/>
  <c r="AJ21" i="1"/>
  <c r="AX21" i="1"/>
  <c r="BQ21" i="1"/>
  <c r="BR21" i="1"/>
  <c r="CC21" i="1"/>
  <c r="CW21" i="1"/>
  <c r="G198" i="1"/>
  <c r="V198" i="1"/>
  <c r="AJ198" i="1"/>
  <c r="AX198" i="1"/>
  <c r="BQ198" i="1"/>
  <c r="BR198" i="1"/>
  <c r="CC198" i="1"/>
  <c r="CW198" i="1"/>
  <c r="G50" i="1"/>
  <c r="V50" i="1"/>
  <c r="AJ50" i="1"/>
  <c r="AX50" i="1"/>
  <c r="BQ50" i="1"/>
  <c r="BR50" i="1"/>
  <c r="CC50" i="1"/>
  <c r="CW50" i="1"/>
  <c r="G45" i="1"/>
  <c r="V45" i="1"/>
  <c r="AJ45" i="1"/>
  <c r="AX45" i="1"/>
  <c r="BQ45" i="1"/>
  <c r="BR45" i="1"/>
  <c r="CC45" i="1"/>
  <c r="CW45" i="1"/>
  <c r="G242" i="1"/>
  <c r="V242" i="1"/>
  <c r="AJ242" i="1"/>
  <c r="AX242" i="1"/>
  <c r="BQ242" i="1"/>
  <c r="BR242" i="1"/>
  <c r="CC242" i="1"/>
  <c r="CW242" i="1"/>
  <c r="G138" i="1"/>
  <c r="V138" i="1"/>
  <c r="AJ138" i="1"/>
  <c r="AX138" i="1"/>
  <c r="BQ138" i="1"/>
  <c r="BR138" i="1"/>
  <c r="CC138" i="1"/>
  <c r="CW138" i="1"/>
  <c r="G240" i="1"/>
  <c r="V240" i="1"/>
  <c r="AJ240" i="1"/>
  <c r="AX240" i="1"/>
  <c r="BQ240" i="1"/>
  <c r="BR240" i="1"/>
  <c r="CC240" i="1"/>
  <c r="CW240" i="1"/>
  <c r="G66" i="1"/>
  <c r="V66" i="1"/>
  <c r="AJ66" i="1"/>
  <c r="AX66" i="1"/>
  <c r="BQ66" i="1"/>
  <c r="BR66" i="1"/>
  <c r="CC66" i="1"/>
  <c r="CW66" i="1"/>
  <c r="G44" i="1"/>
  <c r="V44" i="1"/>
  <c r="AJ44" i="1"/>
  <c r="AX44" i="1"/>
  <c r="BQ44" i="1"/>
  <c r="BR44" i="1"/>
  <c r="CC44" i="1"/>
  <c r="CW44" i="1"/>
  <c r="G1122" i="1"/>
  <c r="V1122" i="1"/>
  <c r="AJ1122" i="1"/>
  <c r="AX1122" i="1"/>
  <c r="BQ1122" i="1"/>
  <c r="BR1122" i="1"/>
  <c r="CC1122" i="1"/>
  <c r="CV1122" i="1"/>
  <c r="CW1122" i="1"/>
  <c r="G186" i="1"/>
  <c r="V186" i="1"/>
  <c r="AJ186" i="1"/>
  <c r="AX186" i="1"/>
  <c r="BQ186" i="1"/>
  <c r="BR186" i="1"/>
  <c r="CC186" i="1"/>
  <c r="CW186" i="1"/>
  <c r="G29" i="1"/>
  <c r="V29" i="1"/>
  <c r="AJ29" i="1"/>
  <c r="AX29" i="1"/>
  <c r="BQ29" i="1"/>
  <c r="BR29" i="1"/>
  <c r="CC29" i="1"/>
  <c r="CW29" i="1"/>
  <c r="G237" i="1"/>
  <c r="V237" i="1"/>
  <c r="AJ237" i="1"/>
  <c r="AX237" i="1"/>
  <c r="BQ237" i="1"/>
  <c r="BR237" i="1"/>
  <c r="CC237" i="1"/>
  <c r="CW237" i="1"/>
  <c r="G199" i="1"/>
  <c r="V199" i="1"/>
  <c r="AJ199" i="1"/>
  <c r="AX199" i="1"/>
  <c r="BQ199" i="1"/>
  <c r="BR199" i="1"/>
  <c r="CC199" i="1"/>
  <c r="CW199" i="1"/>
  <c r="G58" i="1"/>
  <c r="V58" i="1"/>
  <c r="AJ58" i="1"/>
  <c r="AX58" i="1"/>
  <c r="BQ58" i="1"/>
  <c r="BR58" i="1"/>
  <c r="CC58" i="1"/>
  <c r="CW58" i="1"/>
  <c r="G75" i="1"/>
  <c r="V75" i="1"/>
  <c r="AJ75" i="1"/>
  <c r="AX75" i="1"/>
  <c r="BQ75" i="1"/>
  <c r="BR75" i="1"/>
  <c r="CC75" i="1"/>
  <c r="CW75" i="1"/>
  <c r="G39" i="1"/>
  <c r="V39" i="1"/>
  <c r="AJ39" i="1"/>
  <c r="AX39" i="1"/>
  <c r="BQ39" i="1"/>
  <c r="BR39" i="1"/>
  <c r="CC39" i="1"/>
  <c r="CW39" i="1"/>
  <c r="G103" i="1"/>
  <c r="V103" i="1"/>
  <c r="AJ103" i="1"/>
  <c r="AX103" i="1"/>
  <c r="BQ103" i="1"/>
  <c r="BR103" i="1"/>
  <c r="CC103" i="1"/>
  <c r="CW103" i="1"/>
  <c r="G173" i="1"/>
  <c r="V173" i="1"/>
  <c r="AJ173" i="1"/>
  <c r="AX173" i="1"/>
  <c r="BQ173" i="1"/>
  <c r="BR173" i="1"/>
  <c r="CC173" i="1"/>
  <c r="CW173" i="1"/>
  <c r="G15" i="1"/>
  <c r="V15" i="1"/>
  <c r="AJ15" i="1"/>
  <c r="AX15" i="1"/>
  <c r="BQ15" i="1"/>
  <c r="BR15" i="1"/>
  <c r="CC15" i="1"/>
  <c r="CW15" i="1"/>
  <c r="G118" i="1"/>
  <c r="V118" i="1"/>
  <c r="AJ118" i="1"/>
  <c r="AX118" i="1"/>
  <c r="BQ118" i="1"/>
  <c r="BR118" i="1"/>
  <c r="CC118" i="1"/>
  <c r="CW118" i="1"/>
  <c r="G33" i="1"/>
  <c r="V33" i="1"/>
  <c r="AJ33" i="1"/>
  <c r="AX33" i="1"/>
  <c r="BQ33" i="1"/>
  <c r="BR33" i="1"/>
  <c r="CC33" i="1"/>
  <c r="CW33" i="1"/>
  <c r="G187" i="1"/>
  <c r="V187" i="1"/>
  <c r="AJ187" i="1"/>
  <c r="AX187" i="1"/>
  <c r="BQ187" i="1"/>
  <c r="BR187" i="1"/>
  <c r="CC187" i="1"/>
  <c r="CW187" i="1"/>
  <c r="G388" i="1"/>
  <c r="V388" i="1"/>
  <c r="AJ388" i="1"/>
  <c r="AX388" i="1"/>
  <c r="BQ388" i="1"/>
  <c r="BR388" i="1"/>
  <c r="CC388" i="1"/>
  <c r="CW388" i="1"/>
  <c r="G1152" i="1"/>
  <c r="V1152" i="1"/>
  <c r="AJ1152" i="1"/>
  <c r="AX1152" i="1"/>
  <c r="BQ1152" i="1"/>
  <c r="BR1152" i="1"/>
  <c r="CC1152" i="1"/>
  <c r="CW1152" i="1"/>
  <c r="G367" i="1"/>
  <c r="V367" i="1"/>
  <c r="AJ367" i="1"/>
  <c r="AX367" i="1"/>
  <c r="BQ367" i="1"/>
  <c r="BR367" i="1"/>
  <c r="CC367" i="1"/>
  <c r="CW367" i="1"/>
  <c r="G385" i="1"/>
  <c r="V385" i="1"/>
  <c r="AJ385" i="1"/>
  <c r="AX385" i="1"/>
  <c r="BQ385" i="1"/>
  <c r="BR385" i="1"/>
  <c r="CC385" i="1"/>
  <c r="CW385" i="1"/>
  <c r="G1110" i="1"/>
  <c r="V1110" i="1"/>
  <c r="AJ1110" i="1"/>
  <c r="AX1110" i="1"/>
  <c r="BQ1110" i="1"/>
  <c r="BR1110" i="1"/>
  <c r="CC1110" i="1"/>
  <c r="CW1110" i="1"/>
  <c r="G387" i="1"/>
  <c r="V387" i="1"/>
  <c r="AJ387" i="1"/>
  <c r="AX387" i="1"/>
  <c r="BQ387" i="1"/>
  <c r="BR387" i="1"/>
  <c r="CC387" i="1"/>
  <c r="CW387" i="1"/>
  <c r="G366" i="1"/>
  <c r="V366" i="1"/>
  <c r="AJ366" i="1"/>
  <c r="AX366" i="1"/>
  <c r="BQ366" i="1"/>
  <c r="BR366" i="1"/>
  <c r="CC366" i="1"/>
  <c r="CW366" i="1"/>
  <c r="G1388" i="1"/>
  <c r="V1388" i="1"/>
  <c r="AJ1388" i="1"/>
  <c r="AX1388" i="1"/>
  <c r="BQ1388" i="1"/>
  <c r="BR1388" i="1"/>
  <c r="CC1388" i="1"/>
  <c r="CW1388" i="1"/>
  <c r="G382" i="1"/>
  <c r="V382" i="1"/>
  <c r="AJ382" i="1"/>
  <c r="AX382" i="1"/>
  <c r="BQ382" i="1"/>
  <c r="BR382" i="1"/>
  <c r="CC382" i="1"/>
  <c r="CW382" i="1"/>
  <c r="G1415" i="1"/>
  <c r="V1415" i="1"/>
  <c r="AJ1415" i="1"/>
  <c r="AX1415" i="1"/>
  <c r="BQ1415" i="1"/>
  <c r="BR1415" i="1"/>
  <c r="CC1415" i="1"/>
  <c r="CW1415" i="1"/>
  <c r="G1317" i="1"/>
  <c r="V1317" i="1"/>
  <c r="AJ1317" i="1"/>
  <c r="AX1317" i="1"/>
  <c r="BQ1317" i="1"/>
  <c r="BR1317" i="1"/>
  <c r="CC1317" i="1"/>
  <c r="CW1317" i="1"/>
  <c r="G1166" i="1"/>
  <c r="V1166" i="1"/>
  <c r="AJ1166" i="1"/>
  <c r="AX1166" i="1"/>
  <c r="BQ1166" i="1"/>
  <c r="BR1166" i="1"/>
  <c r="CC1166" i="1"/>
  <c r="CW1166" i="1"/>
  <c r="G498" i="1"/>
  <c r="V498" i="1"/>
  <c r="AJ498" i="1"/>
  <c r="AX498" i="1"/>
  <c r="BQ498" i="1"/>
  <c r="BR498" i="1"/>
  <c r="CC498" i="1"/>
  <c r="CW498" i="1"/>
  <c r="G458" i="1"/>
  <c r="V458" i="1"/>
  <c r="AJ458" i="1"/>
  <c r="AX458" i="1"/>
  <c r="BQ458" i="1"/>
  <c r="BR458" i="1"/>
  <c r="CC458" i="1"/>
  <c r="CW458" i="1"/>
  <c r="G1435" i="1"/>
  <c r="V1435" i="1"/>
  <c r="AJ1435" i="1"/>
  <c r="AX1435" i="1"/>
  <c r="BQ1435" i="1"/>
  <c r="BR1435" i="1"/>
  <c r="CC1435" i="1"/>
  <c r="CW1435" i="1"/>
  <c r="G558" i="1"/>
  <c r="V558" i="1"/>
  <c r="AJ558" i="1"/>
  <c r="AX558" i="1"/>
  <c r="BQ558" i="1"/>
  <c r="BR558" i="1"/>
  <c r="CC558" i="1"/>
  <c r="CW558" i="1"/>
  <c r="G520" i="1"/>
  <c r="V520" i="1"/>
  <c r="AJ520" i="1"/>
  <c r="AX520" i="1"/>
  <c r="BQ520" i="1"/>
  <c r="BR520" i="1"/>
  <c r="CC520" i="1"/>
  <c r="CW520" i="1"/>
  <c r="G569" i="1"/>
  <c r="V569" i="1"/>
  <c r="AJ569" i="1"/>
  <c r="AX569" i="1"/>
  <c r="BQ569" i="1"/>
  <c r="BR569" i="1"/>
  <c r="CC569" i="1"/>
  <c r="CW569" i="1"/>
  <c r="G561" i="1"/>
  <c r="V561" i="1"/>
  <c r="AJ561" i="1"/>
  <c r="AX561" i="1"/>
  <c r="BQ561" i="1"/>
  <c r="BR561" i="1"/>
  <c r="CC561" i="1"/>
  <c r="CW561" i="1"/>
  <c r="G572" i="1"/>
  <c r="V572" i="1"/>
  <c r="AJ572" i="1"/>
  <c r="AX572" i="1"/>
  <c r="BQ572" i="1"/>
  <c r="BR572" i="1"/>
  <c r="CC572" i="1"/>
  <c r="CW572" i="1"/>
  <c r="G588" i="1"/>
  <c r="V588" i="1"/>
  <c r="AJ588" i="1"/>
  <c r="AX588" i="1"/>
  <c r="BQ588" i="1"/>
  <c r="BR588" i="1"/>
  <c r="CC588" i="1"/>
  <c r="CW588" i="1"/>
  <c r="G1183" i="1"/>
  <c r="V1183" i="1"/>
  <c r="AJ1183" i="1"/>
  <c r="AX1183" i="1"/>
  <c r="BQ1183" i="1"/>
  <c r="BR1183" i="1"/>
  <c r="CC1183" i="1"/>
  <c r="CW1183" i="1"/>
  <c r="G554" i="1"/>
  <c r="V554" i="1"/>
  <c r="AJ554" i="1"/>
  <c r="AX554" i="1"/>
  <c r="BQ554" i="1"/>
  <c r="BR554" i="1"/>
  <c r="CC554" i="1"/>
  <c r="CW554" i="1"/>
  <c r="G562" i="1"/>
  <c r="V562" i="1"/>
  <c r="AJ562" i="1"/>
  <c r="AX562" i="1"/>
  <c r="BQ562" i="1"/>
  <c r="BR562" i="1"/>
  <c r="CC562" i="1"/>
  <c r="CW562" i="1"/>
  <c r="G573" i="1"/>
  <c r="V573" i="1"/>
  <c r="AJ573" i="1"/>
  <c r="AX573" i="1"/>
  <c r="BQ573" i="1"/>
  <c r="BR573" i="1"/>
  <c r="CC573" i="1"/>
  <c r="CW573" i="1"/>
</calcChain>
</file>

<file path=xl/sharedStrings.xml><?xml version="1.0" encoding="utf-8"?>
<sst xmlns="http://schemas.openxmlformats.org/spreadsheetml/2006/main" count="87417" uniqueCount="16878">
  <si>
    <t>CASE_NUMBER</t>
  </si>
  <si>
    <t>CASE_STATUS</t>
  </si>
  <si>
    <t>RECEIVED_DATE</t>
  </si>
  <si>
    <t>DECISION_DATE</t>
  </si>
  <si>
    <t>CAP_EXEMPT</t>
  </si>
  <si>
    <t>JOB_TITLE</t>
  </si>
  <si>
    <t>SOC_CODE</t>
  </si>
  <si>
    <t>SOC_TITLE</t>
  </si>
  <si>
    <t>TOTAL_WORKERS_REQUESTED</t>
  </si>
  <si>
    <t>TOTAL_WORKERS_CERTIFIED</t>
  </si>
  <si>
    <t>REQUESTED_BEGIN_DATE</t>
  </si>
  <si>
    <t>REQUESTED_END_DATE</t>
  </si>
  <si>
    <t>EMPLOYMENT_BEGIN_DATE</t>
  </si>
  <si>
    <t>EMPLOYMENT_END_DATE</t>
  </si>
  <si>
    <t>NATURE_OF_TEMPORARY_NEED</t>
  </si>
  <si>
    <t>EMPLOYER_NAME</t>
  </si>
  <si>
    <t>TRADE_NAME_DBA</t>
  </si>
  <si>
    <t>EMPLOYER_ADDRESS1</t>
  </si>
  <si>
    <t>EMPLOYER_ADDRESS2</t>
  </si>
  <si>
    <t>EMPLOYER_CITY</t>
  </si>
  <si>
    <t>EMPLOYER_STATE</t>
  </si>
  <si>
    <t>EMPLOYER_POSTAL_CODE</t>
  </si>
  <si>
    <t>EMPLOYER_COUNTRY</t>
  </si>
  <si>
    <t>EMPLOYER_PROVINCE</t>
  </si>
  <si>
    <t>EMPLOYER_PHONE</t>
  </si>
  <si>
    <t>EMPLOYER_PHONE_EXT</t>
  </si>
  <si>
    <t>NAICS_CODE</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</si>
  <si>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</si>
  <si>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</si>
  <si>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</si>
  <si>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</si>
  <si>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</si>
  <si>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</si>
  <si>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</si>
  <si>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</si>
  <si>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</si>
  <si>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</si>
  <si>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</si>
  <si>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</si>
  <si>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</si>
  <si>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</si>
  <si>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</si>
  <si>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</si>
  <si>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</si>
  <si>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</si>
  <si>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</si>
  <si>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</si>
  <si>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</si>
  <si>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</si>
  <si>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</si>
  <si>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</si>
  <si>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</si>
  <si>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</si>
  <si>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</si>
  <si>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ATTORNEY_AGENT_EMAIL_ADDRESS</t>
  </si>
  <si>
    <t>LAWFIRM_NAME_BUSINESS_NAME</t>
  </si>
  <si>
    <t>STATE_OF_HIGHEST_COURT</t>
  </si>
  <si>
    <t>NAME_OF_HIGHEST_STATE_COURT</t>
  </si>
  <si>
    <t>SWA_STATE</t>
  </si>
  <si>
    <t>JOB_ORDER_SUBMIT_DATE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</si>
  <si>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</si>
  <si>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</si>
  <si>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</si>
  <si>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</si>
  <si>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</si>
  <si>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</si>
  <si>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</si>
  <si>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</si>
  <si>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</si>
  <si>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</si>
  <si>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</si>
  <si>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</si>
  <si>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WORK_EXPERIENCE_MONTHS</t>
  </si>
  <si>
    <t>SUPERVISE_OTHER_EMP</t>
  </si>
  <si>
    <t>SUPERVISE_HOW_MANY</t>
  </si>
  <si>
    <t>SPECIAL_REQUIREMENTS</t>
  </si>
  <si>
    <t>WORKSITE_ADDRESS1</t>
  </si>
  <si>
    <t>WORKSITE_ADDRESS2</t>
  </si>
  <si>
    <t>WORKSITE_CITY</t>
  </si>
  <si>
    <t>WORKSITE_STATE</t>
  </si>
  <si>
    <t>WORKSITE_POSTAL_CODE</t>
  </si>
  <si>
    <t>WORKSITE_COUNTY</t>
  </si>
  <si>
    <t>MSA_NAME_OES_AREA_TITLE</t>
  </si>
  <si>
    <t>BASIC_WAGE_RATE_FROM</t>
  </si>
  <si>
    <t>BASIC_WAGE_RATE_TO</t>
  </si>
  <si>
    <t>OVERTIME_RATE_FROM</t>
  </si>
  <si>
    <t>OVERTIME_RATE_TO</t>
  </si>
  <si>
    <t>PER</t>
  </si>
  <si>
    <t>ADDITIONAL_WAGE_CONDITIONS</t>
  </si>
  <si>
    <t>1st_PWD_CASE_NUMBER</t>
  </si>
  <si>
    <t>2nd_PWD_CASE_NUMBER</t>
  </si>
  <si>
    <t>3rd_PWD_CASE_NUMBER</t>
  </si>
  <si>
    <t>EMERGENCY_FILING_PWD_ATTACHED</t>
  </si>
  <si>
    <t>OTHER_WORKSITE_LOCATION</t>
  </si>
  <si>
    <t>DAILY_TRANSPORTATION</t>
  </si>
  <si>
    <t>OVERTIME_AVAILABLE</t>
  </si>
  <si>
    <t>ON_THE_JOB_TRAINING_AVAILABLE</t>
  </si>
  <si>
    <t>EMP_PROVIDED_TOOLS_EQUIPMENT</t>
  </si>
  <si>
    <t>BOARD_LODGING_OTHER_FACILITIES</t>
  </si>
  <si>
    <t>DEDUCTIONS_FROM_PAY</t>
  </si>
  <si>
    <t>PHONE_TO_APPLY</t>
  </si>
  <si>
    <t>EMAIL_TO_APPLY</t>
  </si>
  <si>
    <t>WEBSITE_TO_APPLY</t>
  </si>
  <si>
    <t>TYPE_OF_EMPLOYER</t>
  </si>
  <si>
    <t>APPENDIX_D_COMPLETED</t>
  </si>
  <si>
    <t>FOREIGN_LABOR_RECRUITER</t>
  </si>
  <si>
    <t>EMPLOYER_APPENDIX_B_ATTACHED</t>
  </si>
  <si>
    <t>EMP_CLIENT_APPENDIX_B_ATTACHED</t>
  </si>
  <si>
    <t>PREPARER_LAST_NAME</t>
  </si>
  <si>
    <t>PREPARER_FIRST_NAME</t>
  </si>
  <si>
    <t>PREPARER_MIDDLE_NAME</t>
  </si>
  <si>
    <t>PREPARER_BUSINESS_NAME</t>
  </si>
  <si>
    <t>PREPARER_EMAIL</t>
  </si>
  <si>
    <t>Determination Issued - Denied</t>
  </si>
  <si>
    <t>Y</t>
  </si>
  <si>
    <t>Housekeeper</t>
  </si>
  <si>
    <t>Maids and Housekeeping Cleaners</t>
  </si>
  <si>
    <t>Peakload</t>
  </si>
  <si>
    <t>Asheville</t>
  </si>
  <si>
    <t>NC</t>
  </si>
  <si>
    <t>UNITED STATES OF AMERICA</t>
  </si>
  <si>
    <t>Michelle</t>
  </si>
  <si>
    <t>Attorney</t>
  </si>
  <si>
    <t>Yarbrough</t>
  </si>
  <si>
    <t>Cynthia</t>
  </si>
  <si>
    <t>Jean</t>
  </si>
  <si>
    <t>1075 Peachtree Street NE</t>
  </si>
  <si>
    <t>Suite 3500</t>
  </si>
  <si>
    <t>Atlanta</t>
  </si>
  <si>
    <t>GA</t>
  </si>
  <si>
    <t>GEORGIA</t>
  </si>
  <si>
    <t>cyarbrough@fisherphillips.com</t>
  </si>
  <si>
    <t>Fisher &amp; Phillips LLP</t>
  </si>
  <si>
    <t>None</t>
  </si>
  <si>
    <t>N</t>
  </si>
  <si>
    <t>BUNCOMBE</t>
  </si>
  <si>
    <t>Asheville, NC</t>
  </si>
  <si>
    <t>Hour</t>
  </si>
  <si>
    <t>N/A</t>
  </si>
  <si>
    <t>Individual Employer</t>
  </si>
  <si>
    <t>H-400-22257-473068</t>
  </si>
  <si>
    <t>Withdrawn</t>
  </si>
  <si>
    <t>Murphy Family Ventures, LLC</t>
  </si>
  <si>
    <t>5752 US Highway 117 S.</t>
  </si>
  <si>
    <t>Wallace</t>
  </si>
  <si>
    <t>Hulbert</t>
  </si>
  <si>
    <t>David</t>
  </si>
  <si>
    <t>Vice President - Director of Human Resources</t>
  </si>
  <si>
    <t>dhulbert@murfam.com</t>
  </si>
  <si>
    <t>Papagikos</t>
  </si>
  <si>
    <t>Susan</t>
  </si>
  <si>
    <t>1200 N. Federal Highway</t>
  </si>
  <si>
    <t>Suite 200</t>
  </si>
  <si>
    <t>Boca Raton</t>
  </si>
  <si>
    <t>FL</t>
  </si>
  <si>
    <t>susan@papagikoslaw.com</t>
  </si>
  <si>
    <t>Papagikos Law</t>
  </si>
  <si>
    <t>Supreme Court of Florida</t>
  </si>
  <si>
    <t xml:space="preserve">Requires frequent bending, stooping, and stretching. 
Must have the ability to climb.
Requires lifting stacks of linen up to 30 pounds.
Must be able to Read and Write.
</t>
  </si>
  <si>
    <t>110 RIVER VILLAGE PLACE</t>
  </si>
  <si>
    <t>DUPLIN</t>
  </si>
  <si>
    <t>Southeast Coastal North Carolina nonmetropolitan area</t>
  </si>
  <si>
    <t>P-400-22155-244934</t>
  </si>
  <si>
    <t>https://www.murphyfamilyventures.com/careers</t>
  </si>
  <si>
    <t>H-400-22230-424862</t>
  </si>
  <si>
    <t>Determination Issued - Certification</t>
  </si>
  <si>
    <t>Manufacturing Laborer</t>
  </si>
  <si>
    <t>Team Assemblers</t>
  </si>
  <si>
    <t>One-Time Occurrence</t>
  </si>
  <si>
    <t>Ashley Furniture Industries, LLC</t>
  </si>
  <si>
    <t>333 Ashley Furniture Way</t>
  </si>
  <si>
    <t>Advance</t>
  </si>
  <si>
    <t>O’Reilly</t>
  </si>
  <si>
    <t>Timothy</t>
  </si>
  <si>
    <t>Head of Talent Acquisition</t>
  </si>
  <si>
    <t>Tioreilly@Ashleyfurniture.com</t>
  </si>
  <si>
    <t>Wagner</t>
  </si>
  <si>
    <t>J</t>
  </si>
  <si>
    <t>2000 S. Colorado Blvd.</t>
  </si>
  <si>
    <t>Tower 3, Suite 900</t>
  </si>
  <si>
    <t>Denver</t>
  </si>
  <si>
    <t>CO</t>
  </si>
  <si>
    <t>david.wagner@ogletree.com</t>
  </si>
  <si>
    <t>Ogletree, Deakins, Nash, Smoak &amp; Stewart, P.C.</t>
  </si>
  <si>
    <t>IL</t>
  </si>
  <si>
    <t>Illinois Supreme Court</t>
  </si>
  <si>
    <t xml:space="preserve">Must be able to work weekends. </t>
  </si>
  <si>
    <t>DAVIE</t>
  </si>
  <si>
    <t>Winston-Salem, NC</t>
  </si>
  <si>
    <t>Please see F.a.4., "Terms and Conditions of Employment."</t>
  </si>
  <si>
    <t>P-400-22148-222735</t>
  </si>
  <si>
    <t>Optional employee housing available on a first-come, first-serve basis. Cost of approximately $150/week (reasonable cost) deducted from paycheck. Lodging damage deposit ($10/week) deducted from paycheck, refundable at end of contract if room is damage-free.</t>
  </si>
  <si>
    <t>ashleyfurnitureindustriesllc.com</t>
  </si>
  <si>
    <t>Solovyev</t>
  </si>
  <si>
    <t>Ekaterina</t>
  </si>
  <si>
    <t>ekaterina.solovyev@ogletree.com</t>
  </si>
  <si>
    <t>H-400-22235-433600</t>
  </si>
  <si>
    <t>Tree Planters</t>
  </si>
  <si>
    <t>Logging Equipment Operators</t>
  </si>
  <si>
    <t>Seasonal</t>
  </si>
  <si>
    <t>P &amp; K VENTURES, LLC</t>
  </si>
  <si>
    <t>602 HOMESTEAD LANE</t>
  </si>
  <si>
    <t>TUSCALOOSA</t>
  </si>
  <si>
    <t>AL</t>
  </si>
  <si>
    <t>KAMPLAIN</t>
  </si>
  <si>
    <t>THOMAS</t>
  </si>
  <si>
    <t>OWNER/OPERATOR</t>
  </si>
  <si>
    <t>tkamplain9245@charter.net</t>
  </si>
  <si>
    <t>DAVIS</t>
  </si>
  <si>
    <t>BRANDON</t>
  </si>
  <si>
    <t>ERIC</t>
  </si>
  <si>
    <t xml:space="preserve">365 CANAL ST. </t>
  </si>
  <si>
    <t>STE. 2000</t>
  </si>
  <si>
    <t>NEW ORLEANS</t>
  </si>
  <si>
    <t>LA</t>
  </si>
  <si>
    <t>ORLEANS PARISH</t>
  </si>
  <si>
    <t>davisb@phelps.com</t>
  </si>
  <si>
    <t>PHELPS DUNBAR LLP</t>
  </si>
  <si>
    <t>SUPREME COURT</t>
  </si>
  <si>
    <t>NONE</t>
  </si>
  <si>
    <t>1400 Jack Warner Parkway</t>
  </si>
  <si>
    <t>Tuscaloosa</t>
  </si>
  <si>
    <t>Tuscaloosa, AL</t>
  </si>
  <si>
    <t>P-400-22137-181729</t>
  </si>
  <si>
    <t>Optional temporary housing is provided by the employer.  The employer will pay the cost of optional temporary housing with no cost to the worker.  The employer's optional housing is provided at no cost to the worker.</t>
  </si>
  <si>
    <t>H-400-22273-504694</t>
  </si>
  <si>
    <t>Roustabout and CDL Drivers</t>
  </si>
  <si>
    <t>Heavy and Tractor-Trailer Truck Drivers</t>
  </si>
  <si>
    <t>24 7 TRUCKING &amp; HOTSHOT SERVICE INC</t>
  </si>
  <si>
    <t>TRUCKING &amp; HOT SHOT SERVICE</t>
  </si>
  <si>
    <t>3509 EAST HWY 80</t>
  </si>
  <si>
    <t>MIDLAND</t>
  </si>
  <si>
    <t>TX</t>
  </si>
  <si>
    <t>Griego</t>
  </si>
  <si>
    <t>Claudia</t>
  </si>
  <si>
    <t>Account Receivable Clerk</t>
  </si>
  <si>
    <t>admin@24-7truckingllc.com</t>
  </si>
  <si>
    <t xml:space="preserve">Vacuum truck services- drivers will assist in drilling, completions, and productions jobs. Some common job duties of a driver are to dispose of produced water release from batteries, rigs, or pulling units. Drivers must have a CDL, clean driving record, at least 1 year of experience, and medical ca
drug test will be conducted pre hire and it will be employer paid
</t>
  </si>
  <si>
    <t>3509 East Highway 80</t>
  </si>
  <si>
    <t>Midland</t>
  </si>
  <si>
    <t>Midland, TX</t>
  </si>
  <si>
    <t>P-400-22199-358642</t>
  </si>
  <si>
    <t>The employer will provide the costs for lodging and every facility. There is a housing benefit for the foreign candidates or for applicant who comes from another city or state, employer is providing the cost of lodging.</t>
  </si>
  <si>
    <t>H-400-22307-566346</t>
  </si>
  <si>
    <t>Warehouse Laborer</t>
  </si>
  <si>
    <t>Laborers and Freight, Stock, and Material Movers, Hand</t>
  </si>
  <si>
    <t>Three Rivers Farm Supply Inc</t>
  </si>
  <si>
    <t>5340 Hwy 84 E</t>
  </si>
  <si>
    <t>P.O. Box 1570 Ferriday LA 71334 Mailing</t>
  </si>
  <si>
    <t>Vidalia</t>
  </si>
  <si>
    <t>Guillory</t>
  </si>
  <si>
    <t>Terry</t>
  </si>
  <si>
    <t>Manager</t>
  </si>
  <si>
    <t>P.O. Box 1570</t>
  </si>
  <si>
    <t>Ferriday</t>
  </si>
  <si>
    <t>threeriversc@aol.com</t>
  </si>
  <si>
    <t>Agent</t>
  </si>
  <si>
    <t>White</t>
  </si>
  <si>
    <t>Terri</t>
  </si>
  <si>
    <t>L</t>
  </si>
  <si>
    <t>29724 South Magnolia Street</t>
  </si>
  <si>
    <t>Suite#5</t>
  </si>
  <si>
    <t>Livingston</t>
  </si>
  <si>
    <t>LOUISIANA</t>
  </si>
  <si>
    <t>cajunvisa@gmail.com</t>
  </si>
  <si>
    <t xml:space="preserve">Cajun Visa Company Inc </t>
  </si>
  <si>
    <t xml:space="preserve">MUST BE ABLE TO LIFT UP 50 LBS TO 60 LBS, WALK, BEND, STOOP, REACH OVERHEAD OR GROUND LEVEL, KNEEL, STAND FOR PROLONGED PERIODS OF TIME, ABOUT TO WORK IN EXTREME HEAT, COLD OR WET CONDITIONS 3 MONTHS FORKLIFT OPERATIONS
ONCE HIRED MAY BE REQUIRED TO TAKE A RANDOM DRUG TEST AT NO COST TO WORKER, TESTING POSITIVE OR FAILURE TO COMPLY MAY RESULT IN IMMEDIATE TERMINATION FROM EMPLOYMENT.
Anticipated Days and Hours Work Per Week  - The standard work schedule is from 7:00 am until 4:00 pm Monday through Friday; Saturday and Sunday work required, when necessary, Employer will offer 35 Hours per work week- Overtime is offered but not guaranteed - Employer may offer more hours than the stated work hours, depending on weather, business needs and other conditions. Extreme Heat, cold, rain, may affect exact
</t>
  </si>
  <si>
    <t>5340 Hwy 84</t>
  </si>
  <si>
    <t>6062 Hwy 129 Monterey La 71354</t>
  </si>
  <si>
    <t>CONCORDIA</t>
  </si>
  <si>
    <t>Northeast Louisiana nonmetropolitan area</t>
  </si>
  <si>
    <t>Employer may give bonus/raise at discretion of employer based on performance or Worker history in addition hourly wage</t>
  </si>
  <si>
    <t>P-400-22178-313111</t>
  </si>
  <si>
    <t xml:space="preserve">Employer offers Voluntary shared housing available is offered to any worker Living outside a normal commuting area, housing will be deducted from worker.     
Shared housing cost – Voluntary Housing cost – Paid directly to employer or deducted from paycheck Bi-weekly in the amount of $250. No Family housing offered
required by Federal, State and Local Law.
</t>
  </si>
  <si>
    <t>www.laworks.net</t>
  </si>
  <si>
    <t>H-400-22287-530421</t>
  </si>
  <si>
    <t>Utility Person</t>
  </si>
  <si>
    <t>Helpers--Production Workers</t>
  </si>
  <si>
    <t>Belt Technologies, Inc.</t>
  </si>
  <si>
    <t>11 Bowles Road</t>
  </si>
  <si>
    <t>Agawam</t>
  </si>
  <si>
    <t>MA</t>
  </si>
  <si>
    <t>Gagnon</t>
  </si>
  <si>
    <t>Denis</t>
  </si>
  <si>
    <t>Gerard</t>
  </si>
  <si>
    <t>CEO</t>
  </si>
  <si>
    <t>dgagnon@belttechnologies.com</t>
  </si>
  <si>
    <t>Fabbo</t>
  </si>
  <si>
    <t>Marylou</t>
  </si>
  <si>
    <t>One Monarch Place</t>
  </si>
  <si>
    <t>Suite 2000</t>
  </si>
  <si>
    <t>Springfield</t>
  </si>
  <si>
    <t>mfabbo@skoler-abbott.com</t>
  </si>
  <si>
    <t>Skoler, Abbott &amp; Presser, P.C.</t>
  </si>
  <si>
    <t>Massachusetts</t>
  </si>
  <si>
    <t>High School/GED</t>
  </si>
  <si>
    <t>HAMPDEN</t>
  </si>
  <si>
    <t>Springfield, MA-CT</t>
  </si>
  <si>
    <t>P-400-22223-411831</t>
  </si>
  <si>
    <t>State and federal income taxes; FICA taxes; Massachusetts Paid Family and Medical
Leave tax</t>
  </si>
  <si>
    <t>https://www.belttechnologies.com/careers/</t>
  </si>
  <si>
    <t>H-400-22186-333015</t>
  </si>
  <si>
    <t>Welder / Fitter</t>
  </si>
  <si>
    <t>Welders, Cutters, Solderers, and Brazers</t>
  </si>
  <si>
    <t>AG&amp;P Americas Inc.</t>
  </si>
  <si>
    <t>8665 New Trails Drive</t>
  </si>
  <si>
    <t>Suite 125</t>
  </si>
  <si>
    <t>Spring</t>
  </si>
  <si>
    <t>Rodipe</t>
  </si>
  <si>
    <t>Ayodele</t>
  </si>
  <si>
    <t>VP Finance</t>
  </si>
  <si>
    <t>(713)995-2933</t>
  </si>
  <si>
    <t>ayo.rodipe@agpglobal.com</t>
  </si>
  <si>
    <t>Huynh</t>
  </si>
  <si>
    <t>Loan</t>
  </si>
  <si>
    <t>Thi</t>
  </si>
  <si>
    <t>200 South Sixth St.</t>
  </si>
  <si>
    <t>Suite 4000</t>
  </si>
  <si>
    <t>Minneapolis</t>
  </si>
  <si>
    <t>MN</t>
  </si>
  <si>
    <t>lhuynh@fredlaw.com</t>
  </si>
  <si>
    <t>Fredrikson &amp; Byron, P.A.</t>
  </si>
  <si>
    <t>Supreme Court</t>
  </si>
  <si>
    <t>High School diploma / GED or foreign equivalent.  On-the-job training will be provided.
Must be able to:
Read and derive measurements, dimensions, and quantity of material needed to fabricate steel support structures.
Perform SMAW/Stik, SAW (Submerged arc welding), and FCAW (Flux Cored Arc Welding).
Interpret engineering drawings to lay out and assemble metal parts to technical specifications.
Able to structurally fit pipes, beams, decks and plates for offshore drilling jackets, decks, pipe racks and other structures.
Assemble structures to design tolerance levels.
Able to weld flat, horizontal, vertical and overhead.
Read structural drawings, weld symbols, bills of material, etc.
Set-up and operation of oxyacetylene cutting equipment.
Work Environment: Normal work environment will be shop or field requiring exposure to outdoor weather conditions, loud noise, working near mechanical moving parts, electrical energy, fabrication equipment, chemicals and airborne particles.
Communication Skills: Possess ability to effectively communicate verbal directions in English from craft supervisors and respond to questions from supervisor and fellow workers.
Technical Skills: Must be able to submit and pass a burning and blueprint reading test, perform structural layouts and pass as required project/client weld test.
Physical Demands: May be required to lift and/or carry up to 50 pounds of materials, supplies or equipment. May have to work at heights more than 200 feet off the ground and wear full body harness and other required PPE.</t>
  </si>
  <si>
    <t>1982 FM 2725</t>
  </si>
  <si>
    <t>Aransas Pass</t>
  </si>
  <si>
    <t>SAN PATRICIO</t>
  </si>
  <si>
    <t>Corpus Christi, TX</t>
  </si>
  <si>
    <t>Workers will be paid no less than $26.85 per hour.  Continued on Part F.a.4.</t>
  </si>
  <si>
    <t>P-400-22129-151867</t>
  </si>
  <si>
    <t>Workers have the option of employer-provided housing for $400 per month, and, if elected, employer will deduct costs from worker’s paycheck.  Workers also have the option of securing their own lodging.
Employer will provide a debit card (advance) for the first month's rent.
Employer will assist with locating housing for employees who cannot return to their residence within a workday.
Employer will make all deductions from the worker’s paycheck required by law and any non-legally required payroll deductions permitted under the law and requested by Employee.</t>
  </si>
  <si>
    <t>laura.hahn@agpglobal.com</t>
  </si>
  <si>
    <t>https://www.agpglobal.com/</t>
  </si>
  <si>
    <t>H-400-22307-565976</t>
  </si>
  <si>
    <t>Landscape Laborer</t>
  </si>
  <si>
    <t>Landscaping and Groundskeeping Workers</t>
  </si>
  <si>
    <t>Landscape Services, Inc.</t>
  </si>
  <si>
    <t>7802 Biggs Ford Road</t>
  </si>
  <si>
    <t>Frederick</t>
  </si>
  <si>
    <t>MD</t>
  </si>
  <si>
    <t>Poole</t>
  </si>
  <si>
    <t>J. Edward</t>
  </si>
  <si>
    <t>President</t>
  </si>
  <si>
    <t>gwallace@landscapeservicesmd.com</t>
  </si>
  <si>
    <t>Cruz</t>
  </si>
  <si>
    <t>Anita</t>
  </si>
  <si>
    <t>1831 N. Lakewood Dr.</t>
  </si>
  <si>
    <t>Suite B</t>
  </si>
  <si>
    <t>Coeur d’Alene</t>
  </si>
  <si>
    <t>ID</t>
  </si>
  <si>
    <t>anita@laborci.com</t>
  </si>
  <si>
    <t>Labor Consultants International</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</si>
  <si>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</si>
  <si>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7802 Biggs Ford Road (Report to Work)</t>
  </si>
  <si>
    <t>FREDERICK</t>
  </si>
  <si>
    <t>Washington-Arlington-Alexandria, DC-VA-MD-WV</t>
  </si>
  <si>
    <t xml:space="preserve">Wage may vary. Depends on Experience. </t>
  </si>
  <si>
    <t>P-400-22211-386561</t>
  </si>
  <si>
    <t>At Employer’s sole discretion: possible cash advances (if applicable/requested by worker, potential deduction from worker’s paycheck).</t>
  </si>
  <si>
    <t>Isiadmin@landscapeservicesmd.com</t>
  </si>
  <si>
    <t>H-400-22301-556816</t>
  </si>
  <si>
    <t>Carnival Worker</t>
  </si>
  <si>
    <t>Amusement and Recreation Attendants</t>
  </si>
  <si>
    <t>Carnival Americana, Inc.</t>
  </si>
  <si>
    <t>6245 Rufe Snow Dr 28061</t>
  </si>
  <si>
    <t>Watauga</t>
  </si>
  <si>
    <t>Cockerham</t>
  </si>
  <si>
    <t>Alan</t>
  </si>
  <si>
    <t>alan@carnivalamericana.com</t>
  </si>
  <si>
    <t>Pierce</t>
  </si>
  <si>
    <t>Robert</t>
  </si>
  <si>
    <t>W</t>
  </si>
  <si>
    <t>133 Defense Highway</t>
  </si>
  <si>
    <t>Suite 201</t>
  </si>
  <si>
    <t>Annapolis</t>
  </si>
  <si>
    <t>obowp@adventurelaw.com</t>
  </si>
  <si>
    <t>The Pierce Law Firm, LLC</t>
  </si>
  <si>
    <t>Maryland Court of Appeals</t>
  </si>
  <si>
    <t xml:space="preserve">Hours, schedule, and days vary widely.  
Typically Wed-Sun, 4pm  11pm.  
Often 35-45 hours per week.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</si>
  <si>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1700 TX-36</t>
  </si>
  <si>
    <t>Abilene</t>
  </si>
  <si>
    <t>TAYLOR</t>
  </si>
  <si>
    <t>Abilene, TX</t>
  </si>
  <si>
    <t>Employer will make all deductions from the worker's paycheck as required by law. Wage prepayment and merit/bonus/sick/su</t>
  </si>
  <si>
    <t>P-400-22196-355680</t>
  </si>
  <si>
    <t xml:space="preserve">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</si>
  <si>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info@carnivalamericana.com</t>
  </si>
  <si>
    <t>H-400-22307-565956</t>
  </si>
  <si>
    <t>Server</t>
  </si>
  <si>
    <t>Waiters and Waitresses</t>
  </si>
  <si>
    <t>SONESTA INTERNATIONAL HOTELS CORPORATION</t>
  </si>
  <si>
    <t>SONESTA RESORT HILTON HEAD ISLAND</t>
  </si>
  <si>
    <t>130 SHIPYARD DRIVE</t>
  </si>
  <si>
    <t>HILTON HEAD ISLAND</t>
  </si>
  <si>
    <t>SC</t>
  </si>
  <si>
    <t>ETCHBERGER</t>
  </si>
  <si>
    <t>SCOTT</t>
  </si>
  <si>
    <t>T.</t>
  </si>
  <si>
    <t>DIRECTOR OF HUMAN RESOURCES</t>
  </si>
  <si>
    <t>SETCHBERGER@SONESTA.COM</t>
  </si>
  <si>
    <t>Birkenstock</t>
  </si>
  <si>
    <t>Veronica</t>
  </si>
  <si>
    <t>7776 Main Street</t>
  </si>
  <si>
    <t>Frisco</t>
  </si>
  <si>
    <t>bobbi@pesusa.com</t>
  </si>
  <si>
    <t>Practical Employee Solutions</t>
  </si>
  <si>
    <t xml:space="preserve">Must be able to lift 50 lbs.
Applicant must complete an employment application.
Post-employment criminal background check required, cost paid by employer and applied equally to all workers, US &amp; Foreign/H2B. 
Must follow pandemic policy and guidelines which may include daily health assessment and temperature check. 
</t>
  </si>
  <si>
    <t>130 Shipyard Drive</t>
  </si>
  <si>
    <t>Hilton Head Island</t>
  </si>
  <si>
    <t>BEAUFORT</t>
  </si>
  <si>
    <t>Hilton Head Island-Bluffton-Beaufort, SC</t>
  </si>
  <si>
    <t xml:space="preserve">. Employer may increase the base wage based on experience and/or provide additional pay for performance and tenure. </t>
  </si>
  <si>
    <t>P-400-22164-273746</t>
  </si>
  <si>
    <t>Employer will make all deductions from the worker's paycheck required by law and deduct approved cost of housing if worker elects.  Optional employee only shared housing cost $140 per week, including utilities.</t>
  </si>
  <si>
    <t>https://jobs.scworks.org</t>
  </si>
  <si>
    <t>H-400-22252-462903</t>
  </si>
  <si>
    <t>Snow Removal Laborer</t>
  </si>
  <si>
    <t>Green Forest Landscaping, LLC.</t>
  </si>
  <si>
    <t>7944 N 9550 W</t>
  </si>
  <si>
    <t>Lehi</t>
  </si>
  <si>
    <t>UT</t>
  </si>
  <si>
    <t>Arias</t>
  </si>
  <si>
    <t>Jose</t>
  </si>
  <si>
    <t>A</t>
  </si>
  <si>
    <t>Owner</t>
  </si>
  <si>
    <t>greenforestjose@gmail.com</t>
  </si>
  <si>
    <t>Navarrete</t>
  </si>
  <si>
    <t>Maritza</t>
  </si>
  <si>
    <t>79 W Birds Eye Ln</t>
  </si>
  <si>
    <t>Vineyard</t>
  </si>
  <si>
    <t>mv_nav@yahoo.com</t>
  </si>
  <si>
    <t>Maritza Navarrete</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</si>
  <si>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</si>
  <si>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UTAH</t>
  </si>
  <si>
    <t>Provo-Orem, UT</t>
  </si>
  <si>
    <t xml:space="preserve">. Raises and/or bonuses at employer's discretion. </t>
  </si>
  <si>
    <t>P-400-22202-367773</t>
  </si>
  <si>
    <t>Employer will make all deductions required by law from each paycheck</t>
  </si>
  <si>
    <t>H-400-22224-413674</t>
  </si>
  <si>
    <t>Food Concession Attendant</t>
  </si>
  <si>
    <t>Counter Attendants, Cafeteria, Food Concession, and Coffee Shop</t>
  </si>
  <si>
    <t>Euro Snack, Inc.</t>
  </si>
  <si>
    <t>5001 NorthStar Drive</t>
  </si>
  <si>
    <t>Truckee</t>
  </si>
  <si>
    <t>CA</t>
  </si>
  <si>
    <t>Chalon</t>
  </si>
  <si>
    <t>Michel</t>
  </si>
  <si>
    <t>P.O. Box 1150</t>
  </si>
  <si>
    <t>Carnelian Bay</t>
  </si>
  <si>
    <t>mchalon@eurosnack.com</t>
  </si>
  <si>
    <t>Henin-Clark</t>
  </si>
  <si>
    <t>Catherine</t>
  </si>
  <si>
    <t>Renee</t>
  </si>
  <si>
    <t xml:space="preserve">1065 W Morse Blvd </t>
  </si>
  <si>
    <t>Suite 202</t>
  </si>
  <si>
    <t>Winter Park</t>
  </si>
  <si>
    <t>catherine@heninclark.com</t>
  </si>
  <si>
    <t>Catherine R Henin Clark PA</t>
  </si>
  <si>
    <t>Florida Supreme Court</t>
  </si>
  <si>
    <t>NO SPECIAL REQUIREMENTS; THE HOURS SCHEDULE MENTIONED AT FA6A AND B: MONDAY-SUNDAY SHIFT ROTATION 8AM-1PM AND 1PM-6PM FOR A TOTAL OF 35 HOURS PER WEEK</t>
  </si>
  <si>
    <t>Village at Northstar</t>
  </si>
  <si>
    <t>5001 Northstar Drive</t>
  </si>
  <si>
    <t>PLACER</t>
  </si>
  <si>
    <t>Sacramento--Roseville--Arden-Arcade, CA</t>
  </si>
  <si>
    <t xml:space="preserve">Other Benefits: Optional gift card program providing 50% off of Eurosnack Food and Drinks" AND “Pay Comments: Salary + Tips.  </t>
  </si>
  <si>
    <t>P-400-22112-100004</t>
  </si>
  <si>
    <t>H-400-22279-513841</t>
  </si>
  <si>
    <t>Tree Trimmer / Climber</t>
  </si>
  <si>
    <t>Tree Trimmers and Pruners</t>
  </si>
  <si>
    <t>ABC Professional Tree Services, Inc - Gainesville</t>
  </si>
  <si>
    <t>201 Flint Ridge Rd., Ste 201</t>
  </si>
  <si>
    <t>Webster</t>
  </si>
  <si>
    <t>Cerda</t>
  </si>
  <si>
    <t>Angie</t>
  </si>
  <si>
    <t>Human Resources Manager</t>
  </si>
  <si>
    <t>Strong</t>
  </si>
  <si>
    <t>Tristan</t>
  </si>
  <si>
    <t>400 Preston Ave, Suite 300</t>
  </si>
  <si>
    <t>Charlottesville</t>
  </si>
  <si>
    <t>VA</t>
  </si>
  <si>
    <t>corea1131@maslabor.com</t>
  </si>
  <si>
    <t>MAS Labor H2B, LLC</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</si>
  <si>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
</t>
  </si>
  <si>
    <t>426 Spring St SE,</t>
  </si>
  <si>
    <t>Gainesville</t>
  </si>
  <si>
    <t>HALL</t>
  </si>
  <si>
    <t>Gainesville, GA</t>
  </si>
  <si>
    <t>Raises and/or bonuses may be offered based on individual factors including work performance, skill, and tenure.</t>
  </si>
  <si>
    <t>P-400-22234-429017</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</si>
  <si>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</si>
  <si>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H2B@abctree.com</t>
  </si>
  <si>
    <t>http://employgeorgia.com/</t>
  </si>
  <si>
    <t>Corea</t>
  </si>
  <si>
    <t>Kirsten</t>
  </si>
  <si>
    <t>H-400-22236-436327</t>
  </si>
  <si>
    <t>Commercial Fishing Crewman</t>
  </si>
  <si>
    <t>Fishing and Hunting Workers</t>
  </si>
  <si>
    <t xml:space="preserve">Fosmark Fisheries, LLC </t>
  </si>
  <si>
    <t>25910 Canada Drive</t>
  </si>
  <si>
    <t xml:space="preserve">Carmel Drive </t>
  </si>
  <si>
    <t xml:space="preserve">Fosmark </t>
  </si>
  <si>
    <t>Scott</t>
  </si>
  <si>
    <t xml:space="preserve">25910 Canada Drive </t>
  </si>
  <si>
    <t>scott@yaznak.com</t>
  </si>
  <si>
    <t xml:space="preserve">Carl </t>
  </si>
  <si>
    <t xml:space="preserve">Alexander </t>
  </si>
  <si>
    <t xml:space="preserve">5169 W. Washington Blvd </t>
  </si>
  <si>
    <t xml:space="preserve">Los Angeles </t>
  </si>
  <si>
    <t>alex@americanvisas.net</t>
  </si>
  <si>
    <t xml:space="preserve">Bolour/ Carl Immigration Group, APC </t>
  </si>
  <si>
    <t>California Supreme Court</t>
  </si>
  <si>
    <t>OR</t>
  </si>
  <si>
    <t xml:space="preserve">Must have a marine certification issued through a government authority. 
</t>
  </si>
  <si>
    <t xml:space="preserve">16330 Lower Harbor Road </t>
  </si>
  <si>
    <t xml:space="preserve">Brookings </t>
  </si>
  <si>
    <t>CURRY</t>
  </si>
  <si>
    <t>Coast Oregon nonmetropolitan area</t>
  </si>
  <si>
    <t>P-400-22192-343252</t>
  </si>
  <si>
    <t xml:space="preserve">Employer will make all state and federal deductions from the workers’ paycheck as required by law. 
</t>
  </si>
  <si>
    <t>Carl</t>
  </si>
  <si>
    <t>Alexander</t>
  </si>
  <si>
    <t>Bolour Carl Immigration Group, APC</t>
  </si>
  <si>
    <t>H-400-22257-473209</t>
  </si>
  <si>
    <t>Determination Issued - Partial Certification</t>
  </si>
  <si>
    <t>Helpers-Maintenance</t>
  </si>
  <si>
    <t>Helpers--Installation, Maintenance, and Repair Workers</t>
  </si>
  <si>
    <t>Frazier Equipment, LLC</t>
  </si>
  <si>
    <t>Frazier Shows</t>
  </si>
  <si>
    <t>13235 N Verde River Drive</t>
  </si>
  <si>
    <t>Fountain Hills</t>
  </si>
  <si>
    <t>AZ</t>
  </si>
  <si>
    <t>Tobias</t>
  </si>
  <si>
    <t>George</t>
  </si>
  <si>
    <t>Vice - President</t>
  </si>
  <si>
    <t>fefun@icloud.com</t>
  </si>
  <si>
    <t>Judkins</t>
  </si>
  <si>
    <t>James</t>
  </si>
  <si>
    <t>Kendrick</t>
  </si>
  <si>
    <t>806 Morgan Boulevard</t>
  </si>
  <si>
    <t>Suite J</t>
  </si>
  <si>
    <t>Harlingen</t>
  </si>
  <si>
    <t>Not applicable</t>
  </si>
  <si>
    <t>immigration@JKJWorkforce.com</t>
  </si>
  <si>
    <t>JKJ Workforce Agency, Inc.</t>
  </si>
  <si>
    <t>Post-employment random drug testing and background checks may be required, at no cost to the worker. The job requires the applicant to be qualified, ready, willing, able, and available to perform during the entire employment at all the designated worksites; and to follow workplace rules.</t>
  </si>
  <si>
    <t>3136 N. Lear Ave</t>
  </si>
  <si>
    <t>Casa Grande</t>
  </si>
  <si>
    <t>PINAL</t>
  </si>
  <si>
    <t>Phoenix-Mesa-Scottsdale, AZ</t>
  </si>
  <si>
    <t>Merit increases and/or bonuses may be awarded at employer discretion.</t>
  </si>
  <si>
    <t>P-400-22200-362747</t>
  </si>
  <si>
    <t>Employer will make all deductions from the worker’s paycheck required by law.  
Optional mobile housing (valued at $125.00 per week) and local convenience travel (valued at $25.00 per week) are available at no cost to the worker.</t>
  </si>
  <si>
    <t>fsafun@icloud.com</t>
  </si>
  <si>
    <t>H-400-22273-502996</t>
  </si>
  <si>
    <t>Amusement &amp; Recreation Attendant – Mobile Food Concessions</t>
  </si>
  <si>
    <t>Fast Food and Counter Workers</t>
  </si>
  <si>
    <t>Foley's Concessions</t>
  </si>
  <si>
    <t>6120 Muck Pond Rd</t>
  </si>
  <si>
    <t>(Mail: PO Box 6667, Seffner FL 33583)</t>
  </si>
  <si>
    <t>Seffner</t>
  </si>
  <si>
    <t>Foley</t>
  </si>
  <si>
    <t>Martin</t>
  </si>
  <si>
    <t>foleysconcessions@yahoo.com</t>
  </si>
  <si>
    <t>cathy.jkjworkforce@yahoo.com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</si>
  <si>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</si>
  <si>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6120  Muck Pond Road</t>
  </si>
  <si>
    <t>HILLSBOROUGH</t>
  </si>
  <si>
    <t>Tampa-St. Petersburg-Clearwater, FL</t>
  </si>
  <si>
    <t>P-400-22182-328040</t>
  </si>
  <si>
    <t xml:space="preserve">Employer will make all deductions from the worker’s paycheck required by law.  Optional mobile housing (valued at $125.00 per week) and local convenience travel (valued at $25.00 per week) are available at no cost to the worker.  </t>
  </si>
  <si>
    <t>H-400-22290-532592</t>
  </si>
  <si>
    <t>Fast Food and Counter Workers – Mobile Food Concessions</t>
  </si>
  <si>
    <t>JLQ Concessions LLC</t>
  </si>
  <si>
    <t>11719 East Ashlan Ave.</t>
  </si>
  <si>
    <t>Sanger</t>
  </si>
  <si>
    <t>Ramirez</t>
  </si>
  <si>
    <t>Lola</t>
  </si>
  <si>
    <t xml:space="preserve"> 11719 East Ashlan Ave.</t>
  </si>
  <si>
    <t>lola.ramirez@yahoo.com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</si>
  <si>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</si>
  <si>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FRESNO</t>
  </si>
  <si>
    <t>Fresno, CA</t>
  </si>
  <si>
    <t>P-400-22195-353279</t>
  </si>
  <si>
    <t xml:space="preserve">Employer will make all deductions from the worker’s paycheck required by law. Optional mobile housing (valued at $125.00 per week) and local convenience travel (valued at $15.00 per week) are available at no cost to the worker.  </t>
  </si>
  <si>
    <t>H-400-22245-452234</t>
  </si>
  <si>
    <t>JJ &amp; Son's Concessions, LLC</t>
  </si>
  <si>
    <t>3458 E. Illini Street</t>
  </si>
  <si>
    <t>Phoenix</t>
  </si>
  <si>
    <t>Sawyers</t>
  </si>
  <si>
    <t>Craig</t>
  </si>
  <si>
    <t>csawyers1@gmail.com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</si>
  <si>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t>
  </si>
  <si>
    <t>MARICOPA</t>
  </si>
  <si>
    <t>Employer reserves the option to provide additional compensation for performance and tenure or may increase wages based o</t>
  </si>
  <si>
    <t>P-400-22152-230016</t>
  </si>
  <si>
    <t>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
Employer will provide workers at no charge all tools, supplies and equipment required to perform job. On the job training provided.
Travel provided to all events as per itinerary. Must commute from home at prior worksite to next worksite. Optional transportation to worksites provided at no cost to the worker. Work is performed outside in all weather.</t>
  </si>
  <si>
    <t>www.azjobconnection.gov</t>
  </si>
  <si>
    <t>H-400-22257-470998</t>
  </si>
  <si>
    <t>BLOW MOLDED MACHINE OPERATOR</t>
  </si>
  <si>
    <t>Grinding, Lapping, Polishing, and Buffing Machine Tool Setters, Operators, and Tenders, Metal and Plastic</t>
  </si>
  <si>
    <t>BLOW MOLDED PRODUCTS</t>
  </si>
  <si>
    <t>4720 FELPSAR ST</t>
  </si>
  <si>
    <t>RIVERSIDE</t>
  </si>
  <si>
    <t>EASLEY</t>
  </si>
  <si>
    <t>BARBARA</t>
  </si>
  <si>
    <t>OPERATION MANAGER</t>
  </si>
  <si>
    <t>blowmoledproducts@gmail.com</t>
  </si>
  <si>
    <t xml:space="preserve">High school graduated, basic English level is needed. </t>
  </si>
  <si>
    <t>4720 FELPSAR STREET</t>
  </si>
  <si>
    <t>Riverside-San Bernardino-Ontario, CA</t>
  </si>
  <si>
    <t>P-400-22149-223427</t>
  </si>
  <si>
    <t xml:space="preserve">All deductions required by law. </t>
  </si>
  <si>
    <t>https://blowmoldedproducts.com/inquiry/</t>
  </si>
  <si>
    <t>H-400-22277-509504</t>
  </si>
  <si>
    <t>Thoroughbred Racehorse Groom</t>
  </si>
  <si>
    <t>Animal Caretakers</t>
  </si>
  <si>
    <t>Glenn Wismer Racing Stable</t>
  </si>
  <si>
    <t>2933 Lagrange Road</t>
  </si>
  <si>
    <t>Smithfield</t>
  </si>
  <si>
    <t>KY</t>
  </si>
  <si>
    <t>Wismer</t>
  </si>
  <si>
    <t>Glenn</t>
  </si>
  <si>
    <t>Trainer</t>
  </si>
  <si>
    <t>SMITHFIELD</t>
  </si>
  <si>
    <t>icwismer@aol.com</t>
  </si>
  <si>
    <t>Velie</t>
  </si>
  <si>
    <t>William</t>
  </si>
  <si>
    <t>Place</t>
  </si>
  <si>
    <t>225 N Peters Ave</t>
  </si>
  <si>
    <t>Suite 1</t>
  </si>
  <si>
    <t>Norman</t>
  </si>
  <si>
    <t>OK</t>
  </si>
  <si>
    <t>contact@velie.us</t>
  </si>
  <si>
    <t>William Velie, Attorney at Law PLLC</t>
  </si>
  <si>
    <t>Oklahoma Supreme Court</t>
  </si>
  <si>
    <t xml:space="preserve">Must be able to lift 50 Lbs
</t>
  </si>
  <si>
    <t>13750 W. Highway 40</t>
  </si>
  <si>
    <t>Ocala</t>
  </si>
  <si>
    <t>MARION</t>
  </si>
  <si>
    <t>Ocala, FL</t>
  </si>
  <si>
    <t>P-400-22152-231107</t>
  </si>
  <si>
    <t>State and Federal Taxes. Optional employer-offered housing in the backstretch at no cost to the worker.</t>
  </si>
  <si>
    <t>icwismer@gmail.com</t>
  </si>
  <si>
    <t>H-400-22229-421500</t>
  </si>
  <si>
    <t>Housekeeping and Maintenance</t>
  </si>
  <si>
    <t>Fortune Foodz Consultant Inc</t>
  </si>
  <si>
    <t>8154 GERBERA DR</t>
  </si>
  <si>
    <t>#9101</t>
  </si>
  <si>
    <t>Naples</t>
  </si>
  <si>
    <t>Walters</t>
  </si>
  <si>
    <t>Marlon</t>
  </si>
  <si>
    <t xml:space="preserve">8154 Gerbera Dr. </t>
  </si>
  <si>
    <t>shermarly@yahoo.com</t>
  </si>
  <si>
    <t>Williams</t>
  </si>
  <si>
    <t>Trent</t>
  </si>
  <si>
    <t>401 S Mt Juliet Rd</t>
  </si>
  <si>
    <t>Mt Juliet</t>
  </si>
  <si>
    <t>TN</t>
  </si>
  <si>
    <t>trent@trentwilliamslaw.com</t>
  </si>
  <si>
    <t>Williams Law Pllc</t>
  </si>
  <si>
    <t>Supreme Court of Tennessee</t>
  </si>
  <si>
    <t>MT</t>
  </si>
  <si>
    <t xml:space="preserve">Workers must pass a pre-employment background check. Daily work times will vary depending on shift and worker preferences when possible to accommodate. Work will be done on nights, weekends, and holidays as needed.
</t>
  </si>
  <si>
    <t>955 Settlement Trail</t>
  </si>
  <si>
    <t>Big Sky</t>
  </si>
  <si>
    <t>GALLATIN</t>
  </si>
  <si>
    <t>Southwest Montana nonmetropolitan area</t>
  </si>
  <si>
    <t>P-400-22173-305174</t>
  </si>
  <si>
    <t xml:space="preserve">The Employer does not intend to deduct from wages anything except what is required by law. </t>
  </si>
  <si>
    <t>https://fortunefoodz.com/about</t>
  </si>
  <si>
    <t>H-400-22244-451952</t>
  </si>
  <si>
    <t>Snow Shoveler</t>
  </si>
  <si>
    <t>Janitors and Cleaners, Except Maids and Housekeeping Cleaners</t>
  </si>
  <si>
    <t>Aeroscape Park City LLC</t>
  </si>
  <si>
    <t>8488 S State St</t>
  </si>
  <si>
    <t>Midvale</t>
  </si>
  <si>
    <t>Montano</t>
  </si>
  <si>
    <t>Elena</t>
  </si>
  <si>
    <t>Executive Office Administrator</t>
  </si>
  <si>
    <t>elena@aeroscapeutah.com</t>
  </si>
  <si>
    <t>Kershaw</t>
  </si>
  <si>
    <t>Davidson</t>
  </si>
  <si>
    <t>3355 Bee Caves Rd</t>
  </si>
  <si>
    <t>Suite 307</t>
  </si>
  <si>
    <t>Austin</t>
  </si>
  <si>
    <t>Robert.Kershaw@kershawlaw.com</t>
  </si>
  <si>
    <t>The Kershaw Law Firm, PC</t>
  </si>
  <si>
    <t>Supreme Court of Texas</t>
  </si>
  <si>
    <t>SALT LAKE</t>
  </si>
  <si>
    <t>Salt Lake City, UT</t>
  </si>
  <si>
    <t xml:space="preserve">1 hr. for lunch.  some O.T. may be available.  Wage w/in wide ranger based on experience </t>
  </si>
  <si>
    <t>P-400-22175-311373</t>
  </si>
  <si>
    <t>H-400-22258-474189</t>
  </si>
  <si>
    <t>SNOW REMOVAL</t>
  </si>
  <si>
    <t>MIDWEST LAWN LLC</t>
  </si>
  <si>
    <t>2563 VALLEY OAKS ESTATES DR</t>
  </si>
  <si>
    <t>CHESTERFIELD</t>
  </si>
  <si>
    <t>MO</t>
  </si>
  <si>
    <t>HARBIT</t>
  </si>
  <si>
    <t>JON</t>
  </si>
  <si>
    <t>OWNER</t>
  </si>
  <si>
    <t>MIDWESTLAWN@HOTMAIL.COM</t>
  </si>
  <si>
    <t>LASHUS</t>
  </si>
  <si>
    <t>KEVIN</t>
  </si>
  <si>
    <t>ROBERT</t>
  </si>
  <si>
    <t>3355 BEE CAVES RD</t>
  </si>
  <si>
    <t>SUITE 307</t>
  </si>
  <si>
    <t>AUSTIN</t>
  </si>
  <si>
    <t>IMMIGRATION@FISHERBROYLES.COM</t>
  </si>
  <si>
    <t>FISHERBROYLES LLP</t>
  </si>
  <si>
    <t>SUPREME COURT OF TEXAS</t>
  </si>
  <si>
    <t xml:space="preserve">NONE.
</t>
  </si>
  <si>
    <t>ST LOUIS</t>
  </si>
  <si>
    <t>St. Louis, MO-IL</t>
  </si>
  <si>
    <t>P-400-22215-395004</t>
  </si>
  <si>
    <t>Employer will make all deductions required by law from each paycheck as well as for optional advance against pay up to $75/day at end of each work day at no interest for first 2 wks.</t>
  </si>
  <si>
    <t>H-400-22229-422237</t>
  </si>
  <si>
    <t>Food Preparer</t>
  </si>
  <si>
    <t>Food Preparation Workers</t>
  </si>
  <si>
    <t>Bergeron's Red Pig Group, LLC</t>
  </si>
  <si>
    <t>790 Lobdell Highway</t>
  </si>
  <si>
    <t>Port Allen</t>
  </si>
  <si>
    <t>Bergeron</t>
  </si>
  <si>
    <t>12162 Margaret Lane</t>
  </si>
  <si>
    <t>moonie.bergeron@gmail.com</t>
  </si>
  <si>
    <t>Young</t>
  </si>
  <si>
    <t>Danielle</t>
  </si>
  <si>
    <t>Toups</t>
  </si>
  <si>
    <t>251 North Second Street, Suite A</t>
  </si>
  <si>
    <t>Post Office Box 682</t>
  </si>
  <si>
    <t>Eunice</t>
  </si>
  <si>
    <t>danielle@dtyounglaw.com</t>
  </si>
  <si>
    <t>Danielle Toups Young, Attorney at Law, L.L.C.</t>
  </si>
  <si>
    <t>Louisiana Supreme Court</t>
  </si>
  <si>
    <t xml:space="preserve">Repetitive Movements
</t>
  </si>
  <si>
    <t xml:space="preserve">790 Lobdell Highway </t>
  </si>
  <si>
    <t>WEST BATON ROUGE</t>
  </si>
  <si>
    <t>Baton Rouge, LA</t>
  </si>
  <si>
    <t>An employee may earn above hourly wage based on work performance and/or experience</t>
  </si>
  <si>
    <t>P-400-22188-336903</t>
  </si>
  <si>
    <t>Employer will deduct $75.00 per week if the employee chooses to live in the employer provided housing.</t>
  </si>
  <si>
    <t>H-400-22271-500063</t>
  </si>
  <si>
    <t>Busser</t>
  </si>
  <si>
    <t>Dining Room and Cafeteria Attendants and Bartender Helpers</t>
  </si>
  <si>
    <t>Shaner Operating Corp.</t>
  </si>
  <si>
    <t>Faro Blanco Resort &amp; Yacht Club</t>
  </si>
  <si>
    <t>1965 Waddle Road</t>
  </si>
  <si>
    <t>State College</t>
  </si>
  <si>
    <t>PA</t>
  </si>
  <si>
    <t>Anslinger</t>
  </si>
  <si>
    <t>Mary</t>
  </si>
  <si>
    <t>Vice President Corporate Human Resources</t>
  </si>
  <si>
    <t>manslinger@shanercorp.com</t>
  </si>
  <si>
    <t>Pabian</t>
  </si>
  <si>
    <t>Keith</t>
  </si>
  <si>
    <t>Andrew</t>
  </si>
  <si>
    <t>40 Speen Street</t>
  </si>
  <si>
    <t>4th Floor</t>
  </si>
  <si>
    <t>Framingham</t>
  </si>
  <si>
    <t>keith.pabian@pabianlaw.com</t>
  </si>
  <si>
    <t xml:space="preserve">Pabian Law, LLC </t>
  </si>
  <si>
    <t>Supreme Judicial Court</t>
  </si>
  <si>
    <t xml:space="preserve">The Petitioner will consider for employment any person who possesses at least three (3) months of experience in a fine-dining or high-volume environment at a high-end restaurant, resort, or private club.  Applicant must complete pre-employment background check and drug screening.
</t>
  </si>
  <si>
    <t>1996 Overseas Highway</t>
  </si>
  <si>
    <t>Marathon</t>
  </si>
  <si>
    <t>MONROE</t>
  </si>
  <si>
    <t>South Florida nonmetropolitan area</t>
  </si>
  <si>
    <t xml:space="preserve">Tipped position with guaranteed wage of $11.54 per hour, paid bi-weekly. Please see job description. </t>
  </si>
  <si>
    <t>P-400-22220-403448</t>
  </si>
  <si>
    <t xml:space="preserve">Optional housing is offered on a first-come, first-serve basis for workers who are relocating to begin employment.  Cost of housing, if accepted, is up to $400.00 per bi-weekly pay period. If used, total cost of housing and utilities will be deducted from paycheck.  A $200.00 refundable security deposit is required, to be deducted from paycheck in equal $100.00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
</t>
  </si>
  <si>
    <t>DaClark@PlayaLargoResort.com</t>
  </si>
  <si>
    <t>H-400-22188-338327</t>
  </si>
  <si>
    <t>Private Chef</t>
  </si>
  <si>
    <t>Cooks, Private Household</t>
  </si>
  <si>
    <t>CMB Consulting, LLC</t>
  </si>
  <si>
    <t>8-34 Lerkenlund</t>
  </si>
  <si>
    <t xml:space="preserve">North Star Village </t>
  </si>
  <si>
    <t>Charlotte Amalie</t>
  </si>
  <si>
    <t>VI</t>
  </si>
  <si>
    <t>Bishop</t>
  </si>
  <si>
    <t>Marshall</t>
  </si>
  <si>
    <t>Head Chef/Manager</t>
  </si>
  <si>
    <t>8-34  Lerkenlund</t>
  </si>
  <si>
    <t>North Star Village</t>
  </si>
  <si>
    <t xml:space="preserve">Charlote Amalie </t>
  </si>
  <si>
    <t>chefmbishop@gmail.com</t>
  </si>
  <si>
    <t>Kaplan</t>
  </si>
  <si>
    <t>Grant</t>
  </si>
  <si>
    <t xml:space="preserve">7100 W Camino Real </t>
  </si>
  <si>
    <t>Suite 100</t>
  </si>
  <si>
    <t>grant@gkaplanlaw.com</t>
  </si>
  <si>
    <t>Law Offices of Grant Kaplan</t>
  </si>
  <si>
    <t>WA</t>
  </si>
  <si>
    <t>Washington Supreme Court</t>
  </si>
  <si>
    <t xml:space="preserve">8-34 Lerkenlund </t>
  </si>
  <si>
    <t>ST THOMAS</t>
  </si>
  <si>
    <t>U.S. Virgin Islands MSA</t>
  </si>
  <si>
    <t>P-400-22088-018343</t>
  </si>
  <si>
    <t>All required local and federal taxes</t>
  </si>
  <si>
    <t>H-400-22245-454367</t>
  </si>
  <si>
    <t>SNOW REMOVAL LABORER</t>
  </si>
  <si>
    <t>AKS SNOCO LLC</t>
  </si>
  <si>
    <t>2406 E COUNTY ROAD 60</t>
  </si>
  <si>
    <t>WELLINGTON</t>
  </si>
  <si>
    <t>KORBY</t>
  </si>
  <si>
    <t>STEVE</t>
  </si>
  <si>
    <t>MEMBER</t>
  </si>
  <si>
    <t>info@akssnoco.com</t>
  </si>
  <si>
    <t xml:space="preserve">LIFTING REQUIRED UP TO 50 LBS
</t>
  </si>
  <si>
    <t>AREA JOBSITES</t>
  </si>
  <si>
    <t xml:space="preserve">FORT COLLINS </t>
  </si>
  <si>
    <t>LARIMER</t>
  </si>
  <si>
    <t>Fort Collins, CO</t>
  </si>
  <si>
    <t>P-400-22192-343889</t>
  </si>
  <si>
    <t>"Assistance finding and securing lodging is available, if needed."</t>
  </si>
  <si>
    <t>H-400-22259-478597</t>
  </si>
  <si>
    <t>Seafood Processor (Meat, Poultry, Fish Cutters &amp; Trimmers)</t>
  </si>
  <si>
    <t>Meat, Poultry, and Fish Cutters and Trimmers</t>
  </si>
  <si>
    <t xml:space="preserve">North Pacific Seafoods, Inc. </t>
  </si>
  <si>
    <t>627 Shelikof St</t>
  </si>
  <si>
    <t>Kodiak</t>
  </si>
  <si>
    <t>AK</t>
  </si>
  <si>
    <t>Silsbee</t>
  </si>
  <si>
    <t>Kara</t>
  </si>
  <si>
    <t>Talent Acquisition Manager</t>
  </si>
  <si>
    <t>Karasilsbee@npsi.us</t>
  </si>
  <si>
    <t>Sphuler</t>
  </si>
  <si>
    <t>Stacey</t>
  </si>
  <si>
    <t>Coeur d'Alene</t>
  </si>
  <si>
    <t>stacey@laborci.com</t>
  </si>
  <si>
    <t>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Delivery and availability of seafood product from fisherman may result in possible downtimes due to weather conditions.
Overtime possible, but not required or guaranteed.</t>
  </si>
  <si>
    <t>KODIAK ISLAND</t>
  </si>
  <si>
    <t>Alaska nonmetropolitan area</t>
  </si>
  <si>
    <t>P-400-22199-358715</t>
  </si>
  <si>
    <t>Bunk houses are available for a nominal charge of $15/day. At the end of the season, the fees will be reimbursed.  At Employer’s sole discretion: possible cash advances (if applicable/requested by worker, potential deduction from worker’s paycheck).</t>
  </si>
  <si>
    <t>H-400-22259-478095</t>
  </si>
  <si>
    <t>Front Desk Agent</t>
  </si>
  <si>
    <t>Retail Salespersons</t>
  </si>
  <si>
    <t>Spire Hospitality, LLC</t>
  </si>
  <si>
    <t>High Peaks Resort</t>
  </si>
  <si>
    <t>4600 Fuller Drive</t>
  </si>
  <si>
    <t>Suite #100</t>
  </si>
  <si>
    <t>Irving</t>
  </si>
  <si>
    <t>Butler</t>
  </si>
  <si>
    <t>Nancy</t>
  </si>
  <si>
    <t>Human Resources Director</t>
  </si>
  <si>
    <t>2384 Saranac Avenue</t>
  </si>
  <si>
    <t>Lake Placid</t>
  </si>
  <si>
    <t>NY</t>
  </si>
  <si>
    <t>nbutler@highpeaksresort.com</t>
  </si>
  <si>
    <t xml:space="preserve">The Petitioner will consider for employment any person who possesses at least six (6) months of experience in a high-end hotel, resort, or private club.
</t>
  </si>
  <si>
    <t>ESSEX</t>
  </si>
  <si>
    <t>Capital/Northern New York nonmetropolitan area</t>
  </si>
  <si>
    <t xml:space="preserve">Wage: $16.19 - $18.00 per hour, paid weekly.  Overtime may be available, if needed, at $24.29 - $27.00 per hour.  </t>
  </si>
  <si>
    <t>P-400-22181-323707</t>
  </si>
  <si>
    <t>nbutler@highpeaskresort.com</t>
  </si>
  <si>
    <t>H-400-22270-496472</t>
  </si>
  <si>
    <t>laborer</t>
  </si>
  <si>
    <t>Samb3 Services Inc</t>
  </si>
  <si>
    <t>5248 FM 1409</t>
  </si>
  <si>
    <t>Dayton</t>
  </si>
  <si>
    <t>Bracey</t>
  </si>
  <si>
    <t>Jonetta</t>
  </si>
  <si>
    <t xml:space="preserve">Administrator </t>
  </si>
  <si>
    <t>Lashus</t>
  </si>
  <si>
    <t>Kevin</t>
  </si>
  <si>
    <t>11009 Alterra Parkway</t>
  </si>
  <si>
    <t>#1406</t>
  </si>
  <si>
    <t>immigration@fisherbroyles.com</t>
  </si>
  <si>
    <t>FIsherBroyles LLP</t>
  </si>
  <si>
    <t>Texas Supreme Court</t>
  </si>
  <si>
    <t xml:space="preserve"> 3 months experience required. Weekends may be available. </t>
  </si>
  <si>
    <t>LIBERTY</t>
  </si>
  <si>
    <t>Houston-The Woodlands-Sugar Land, TX</t>
  </si>
  <si>
    <t>P-400-22175-311364</t>
  </si>
  <si>
    <t>All deductions required by law</t>
  </si>
  <si>
    <t>txprecisionlawns@gmail.com</t>
  </si>
  <si>
    <t>H-400-22299-551249</t>
  </si>
  <si>
    <t>Production Workers</t>
  </si>
  <si>
    <t>Diamond T Trailer Manufacturing Co</t>
  </si>
  <si>
    <t>429157 State Highway 3</t>
  </si>
  <si>
    <t>Rattan</t>
  </si>
  <si>
    <t>Teague</t>
  </si>
  <si>
    <t>Philip</t>
  </si>
  <si>
    <t>pteague@diamondttrailer.com</t>
  </si>
  <si>
    <t>Watson</t>
  </si>
  <si>
    <t>Anique</t>
  </si>
  <si>
    <t>203 N Jackson Ave</t>
  </si>
  <si>
    <t>Wylie</t>
  </si>
  <si>
    <t>info@actionvisa.com</t>
  </si>
  <si>
    <t>Action International Inc.</t>
  </si>
  <si>
    <t>PUSHMATAHA</t>
  </si>
  <si>
    <t>Southeast Oklahoma nonmetropolitan area</t>
  </si>
  <si>
    <t>P-400-22200-361516</t>
  </si>
  <si>
    <t>Health Insurance, 401K with company, optional housing if available at $50 a week (subject to change based on local market/inflation).  Optional deduction from pay for rent, Deductions will not drop the overall wage below the UDSOL minimum, if the deductions are too great they will not be made.</t>
  </si>
  <si>
    <t>https://okjobmatch.com</t>
  </si>
  <si>
    <t>H-400-22276-507091</t>
  </si>
  <si>
    <t>Barista</t>
  </si>
  <si>
    <t>Baristas</t>
  </si>
  <si>
    <t>TOJV, LLC</t>
  </si>
  <si>
    <t>Omni Hotel at CNN Center</t>
  </si>
  <si>
    <t>100 CNN Center</t>
  </si>
  <si>
    <t>Anittra</t>
  </si>
  <si>
    <t>Human Resource Director</t>
  </si>
  <si>
    <t>H2B@omnihotels.com</t>
  </si>
  <si>
    <t>Aaron@pesusa.com</t>
  </si>
  <si>
    <t xml:space="preserve">Applicant Must Complete Employment Application.
No minimum education or experience required.
Must pass a post-employment criminal background check, paid by employer and applied equally to all workers, U.S. and foreign/H-2B. 
Must be able to work weekends and holidays.
Applicants must complete an employment application. 
</t>
  </si>
  <si>
    <t>FULTON</t>
  </si>
  <si>
    <t>Atlanta-Sandy Springs-Roswell, GA</t>
  </si>
  <si>
    <t>Employer may increase wage based on experience, market conditions, and/or provide additional pay for performance and ten</t>
  </si>
  <si>
    <t>P-400-22159-256745</t>
  </si>
  <si>
    <t xml:space="preserve">Employer will make all deductions from the worker's paycheck required by law. Employer will assist in locating housing. Public transportation within walking distance of resort. One optional meal during shift available for $2, payroll deducted if worker elects.
</t>
  </si>
  <si>
    <t>ww.omnihotels.com</t>
  </si>
  <si>
    <t>H-400-22262-479399</t>
  </si>
  <si>
    <t>LINE COOK</t>
  </si>
  <si>
    <t>Cooks, Restaurant</t>
  </si>
  <si>
    <t>GOLDMINER'S DAUGHTER LODGE</t>
  </si>
  <si>
    <t>10160 EAST HWY 210</t>
  </si>
  <si>
    <t>ALTA</t>
  </si>
  <si>
    <t>GIACOLETTO</t>
  </si>
  <si>
    <t>CHARLES</t>
  </si>
  <si>
    <t>HR MANAGER</t>
  </si>
  <si>
    <t>P O BOX 8055</t>
  </si>
  <si>
    <t>charlie@skigmd.com</t>
  </si>
  <si>
    <t>ANDREW</t>
  </si>
  <si>
    <t>TINA</t>
  </si>
  <si>
    <t>S</t>
  </si>
  <si>
    <t>1770 AVENIDA DEL MUNDO</t>
  </si>
  <si>
    <t>UNIT 1605</t>
  </si>
  <si>
    <t>CORONADO</t>
  </si>
  <si>
    <t>michel@workabroadnetwork.com</t>
  </si>
  <si>
    <t>WORK ABROAD NETWORK LLC</t>
  </si>
  <si>
    <t xml:space="preserve">ABILITY TO OBTAIN A UTAH FOOD HANDLING PERMIT WITHIN 30 DAYS OF HIRE AT EMPLOYERS COST. ABLE TO LIFE 40-100 LBS REPEATEDLY.   Monday  Sunday, 6:30am  2:30pm or 2:30am  10:30pm shifts, with alternating days off, 2 days/week.
</t>
  </si>
  <si>
    <t>10160 EAST HWT 210</t>
  </si>
  <si>
    <t>NONE.</t>
  </si>
  <si>
    <t>P-400-22209-381815</t>
  </si>
  <si>
    <t>ALL FEDERAL AND STATE TAXES AS PER THE H2B REGULATIONS WILL BE DEDUCTED.</t>
  </si>
  <si>
    <t>H-400-22277-508257</t>
  </si>
  <si>
    <t>Yellowstone Landscape - Central, Inc.</t>
  </si>
  <si>
    <t>3204 Rowe Lane</t>
  </si>
  <si>
    <t>Mailing:3235 N. State St, PO Box 849, Bunnell, FL 32110</t>
  </si>
  <si>
    <t>Pflugerville</t>
  </si>
  <si>
    <t>Johnson</t>
  </si>
  <si>
    <t>Elise</t>
  </si>
  <si>
    <t>VP of Human Resources</t>
  </si>
  <si>
    <t>ejohnson@yellowstonelandscape.com</t>
  </si>
  <si>
    <t>felicia@pesusa.com</t>
  </si>
  <si>
    <t>Post-employment criminal background check may be performed in accordance with contractual obligations for US and Foreign workers. Pre-employment, post-injury/incident and reasonable suspicion drug test and e-verify required, cost paid by employer and applied equally to all workers, US and foreign/H2B. Must be able to work a 5 day schedule, may include weekends and holidays. Applicants must complete an employment application.</t>
  </si>
  <si>
    <t>TRAVIS</t>
  </si>
  <si>
    <t>Austin-Round Rock, TX</t>
  </si>
  <si>
    <t>Employer may increase wage based on experience, changes in market conditions, and/or provide additional pay for performa</t>
  </si>
  <si>
    <t>P-400-22152-233648</t>
  </si>
  <si>
    <t xml:space="preserve">Employer will make all deductions from the worker's paycheck required by law and deduct approved cost of Medical/Dental/Vision/Accident/Critical Illness insurance if worker elects. Optional approx. cost of Medical $25.95 - $49.01; Dental $3.39 - $7.85; Vision $2.20; Accident $3.23 - $4.15; Critical Illness $0.87 - $26.12 per paycheck, depending on coverage.
Employer will provide worker at no charge all tools, supplies, and equipment required to perform job. Required uniform provided.
</t>
  </si>
  <si>
    <t>www.workintexas.com</t>
  </si>
  <si>
    <t>H-400-22280-517745</t>
  </si>
  <si>
    <t xml:space="preserve">Bartender </t>
  </si>
  <si>
    <t>Bartenders</t>
  </si>
  <si>
    <t>Morhood LLC</t>
  </si>
  <si>
    <t>Crave Kitchen Bar</t>
  </si>
  <si>
    <t>167 E Colchester Dr</t>
  </si>
  <si>
    <t>Eagle</t>
  </si>
  <si>
    <t>Boyle</t>
  </si>
  <si>
    <t>Ken</t>
  </si>
  <si>
    <t xml:space="preserve">Owner </t>
  </si>
  <si>
    <t>400 W Overland Rd</t>
  </si>
  <si>
    <t xml:space="preserve">Meridian </t>
  </si>
  <si>
    <t>Ken@CraveKitchenBar.com</t>
  </si>
  <si>
    <t>Bachelor's</t>
  </si>
  <si>
    <t xml:space="preserve">Culinary and or Psychology degree along with at least 36 months of experience in the specific restaurant field. </t>
  </si>
  <si>
    <t>ADA</t>
  </si>
  <si>
    <t>Boise City, ID</t>
  </si>
  <si>
    <t>Tipped employee</t>
  </si>
  <si>
    <t>P-400-22170-295705</t>
  </si>
  <si>
    <t xml:space="preserve">All state and federal required deductions </t>
  </si>
  <si>
    <t>Tampa</t>
  </si>
  <si>
    <t>John</t>
  </si>
  <si>
    <t>F</t>
  </si>
  <si>
    <t>Controller</t>
  </si>
  <si>
    <t>H-400-22285-523957</t>
  </si>
  <si>
    <t>Housekeeping Supervisor</t>
  </si>
  <si>
    <t>First-Line Supervisors of Housekeeping and Janitorial Workers</t>
  </si>
  <si>
    <t>Waterloo Hospitality INC</t>
  </si>
  <si>
    <t>9860 S THOMAS DR STE 1712</t>
  </si>
  <si>
    <t>UNIT 1712</t>
  </si>
  <si>
    <t>PANAMA CITY BEACH</t>
  </si>
  <si>
    <t>Burros</t>
  </si>
  <si>
    <t>Aderemi</t>
  </si>
  <si>
    <t>remi@zesteconsultants.com</t>
  </si>
  <si>
    <t>NV</t>
  </si>
  <si>
    <t>Special Requirements  F.a., item 11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Must be 21 years old to apply</t>
  </si>
  <si>
    <t>15 Highway 50</t>
  </si>
  <si>
    <t>Stateline</t>
  </si>
  <si>
    <t>DOUGLAS</t>
  </si>
  <si>
    <t>Nevada nonmetropolitan area</t>
  </si>
  <si>
    <t xml:space="preserve"> •	Raises and/or bonuses may be offered based on individual factors including work performance, skill, and tenure.</t>
  </si>
  <si>
    <t>P-400-22244-449985</t>
  </si>
  <si>
    <t>Deduction From Pay  F.d., item 6 
•	The employer will make all deductions from worker's paycheck required by law. 
Voluntary/Optional, Third-Party Rent/housing: Provided by a third party company
•	Optional &amp; Voluntary 3rd party housing may be available at $125 - $150/ WK and may be voluntarily payroll deducted biweekly or direct deposit into provider's account
•	Waterloo could act as guarantor for timely rent payment however, lease is directly with 3rd party service provider &amp; between employees &amp; housing company as Waterloo has no housing of its own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weeks rent is no</t>
  </si>
  <si>
    <t>h2bhires@gmail.com</t>
  </si>
  <si>
    <t>H-400-22264-487009</t>
  </si>
  <si>
    <t xml:space="preserve">Landscaper laborer  </t>
  </si>
  <si>
    <t xml:space="preserve">Kodiak Landscape and Design Inc. </t>
  </si>
  <si>
    <t xml:space="preserve">2 william st </t>
  </si>
  <si>
    <t>haskell</t>
  </si>
  <si>
    <t>NJ</t>
  </si>
  <si>
    <t>Pedatella</t>
  </si>
  <si>
    <t>2 william st</t>
  </si>
  <si>
    <t>kodiakland20@gmail.com</t>
  </si>
  <si>
    <t xml:space="preserve">Must be able to lift 50 Lbs. must be able to stand for extended periods of time. </t>
  </si>
  <si>
    <t>PASSAIC</t>
  </si>
  <si>
    <t>New York-Newark-Jersey City, NY-NJ-PA</t>
  </si>
  <si>
    <t>P-400-22189-339857</t>
  </si>
  <si>
    <t>no deductions from paycheck for lodging. Dormitory-style shared lodging is available in employer-owned housing at a rate of $100 per person per week.</t>
  </si>
  <si>
    <t>H-400-22276-505969</t>
  </si>
  <si>
    <t>Amusement &amp; Recreation Attendant &amp; Driver – Carnival</t>
  </si>
  <si>
    <t>Butler Amusements, Inc.</t>
  </si>
  <si>
    <t>8035 SW Cirrus Drive</t>
  </si>
  <si>
    <t>Suite #21-E</t>
  </si>
  <si>
    <t>Beaverton</t>
  </si>
  <si>
    <t>Moyer</t>
  </si>
  <si>
    <t>Lance</t>
  </si>
  <si>
    <t>R</t>
  </si>
  <si>
    <t>lrmoyer1@aol.com</t>
  </si>
  <si>
    <t>Cathy.jkjworkforce@yahoo.com</t>
  </si>
  <si>
    <t xml:space="preserve">Must be in possession of a CDL Class A license (or foreign equivalent) valid for USA.
Must be able to pass the US Department of Transportation Drug Screen and Physical.
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</si>
  <si>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 xml:space="preserve">1301 Fair Avenue </t>
  </si>
  <si>
    <t>Yakima</t>
  </si>
  <si>
    <t>YAKIMA</t>
  </si>
  <si>
    <t>Yakima, WA</t>
  </si>
  <si>
    <t>P-400-22182-327989</t>
  </si>
  <si>
    <t xml:space="preserve">Employer will make all deductions from the worker’s paycheck required by law.  Optional mobile housing (valued at $125.00 per week) and local convenience travel (valued at $25.00 per week) are available at no cost to the worker. </t>
  </si>
  <si>
    <t>sally@butleramusements.com</t>
  </si>
  <si>
    <t>www.butleramusements.com</t>
  </si>
  <si>
    <t>H-400-22305-562545</t>
  </si>
  <si>
    <t>Determination Issued - Rejected</t>
  </si>
  <si>
    <t>Landscape laborer</t>
  </si>
  <si>
    <t>Rotolo Consultants, Inc.</t>
  </si>
  <si>
    <t>RCI</t>
  </si>
  <si>
    <t>38001 Brownsvillage Rd</t>
  </si>
  <si>
    <t>Slidell</t>
  </si>
  <si>
    <t>Halstead</t>
  </si>
  <si>
    <t>Angelina</t>
  </si>
  <si>
    <t>ahalstead@rotoloconsultants.com</t>
  </si>
  <si>
    <t>Thurgood</t>
  </si>
  <si>
    <t>Jaime</t>
  </si>
  <si>
    <t>1334 E Chandler Blvd</t>
  </si>
  <si>
    <t>Ste 5 A-33</t>
  </si>
  <si>
    <t>jaime@ceslaborsolutions.com</t>
  </si>
  <si>
    <t>Corporate &amp; Employee Services</t>
  </si>
  <si>
    <t xml:space="preserve">Drug testing. Drug-testing requirement is applied "pre-hire." All drug testing will be carried out equally between the U.S. workers and the H-2B workers.  
Workdays may include wknd/hol.
</t>
  </si>
  <si>
    <t>1067 Lake Sebring Dr</t>
  </si>
  <si>
    <t>Sebring</t>
  </si>
  <si>
    <t>HIGHLANDS</t>
  </si>
  <si>
    <t>Sebring, FL</t>
  </si>
  <si>
    <t xml:space="preserve">Raises, bonuses, or incentives dependent on job performance. </t>
  </si>
  <si>
    <t>P-400-22305-562435</t>
  </si>
  <si>
    <t>The employer will make all deductions from the worker’s paycheck required by law.  Housing optional - $150/week (rent and utilities). $200 housing deposit, refundable based on weekly inspection.</t>
  </si>
  <si>
    <t>H-400-22272-502625</t>
  </si>
  <si>
    <t>General Laborer</t>
  </si>
  <si>
    <t>Telecommunications Line Installers and Repairers</t>
  </si>
  <si>
    <t>Diversified Installations Inc</t>
  </si>
  <si>
    <t>8201 South State St Unit 3A</t>
  </si>
  <si>
    <t>MIDVALE</t>
  </si>
  <si>
    <t>Spaulding</t>
  </si>
  <si>
    <t>Theresa</t>
  </si>
  <si>
    <t>Ruth</t>
  </si>
  <si>
    <t>Human Resources</t>
  </si>
  <si>
    <t>Suite 3A</t>
  </si>
  <si>
    <t>Theresa@divinsta.com</t>
  </si>
  <si>
    <t>Be able to work hard and come to work everyday</t>
  </si>
  <si>
    <t>P-400-22213-388306</t>
  </si>
  <si>
    <t>regulatory requirements</t>
  </si>
  <si>
    <t>theresa@divinsta.com</t>
  </si>
  <si>
    <t>SPAULDING</t>
  </si>
  <si>
    <t>THERESA</t>
  </si>
  <si>
    <t>DIVERSIFIED INSTALLATIONS INC</t>
  </si>
  <si>
    <t>THERESA@DIVINSTA.COM</t>
  </si>
  <si>
    <t>H-400-22276-505797</t>
  </si>
  <si>
    <t>Shawn McKinney Food Services LLC</t>
  </si>
  <si>
    <t>3290 FM 161 N</t>
  </si>
  <si>
    <t>Hughes Springs</t>
  </si>
  <si>
    <t>McKinney</t>
  </si>
  <si>
    <t>Shawn</t>
  </si>
  <si>
    <t>shawnmckinneyfoodservices@gmail.com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</si>
  <si>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t>
  </si>
  <si>
    <t>CASS</t>
  </si>
  <si>
    <t>North Texas Region of Texas nonmetropolitan area</t>
  </si>
  <si>
    <t>P-400-22152-232708</t>
  </si>
  <si>
    <t xml:space="preserve">Pay received weekly, single workweek used for computing wages. Employer will make all deductions from worker’s paycheck required by law. Employer optional shared housing is provided at no cost to the worker ($120/wk), local convenience travel valued at ($20/wk.) and food available for wage credit and/or deduction, or any lesser amount to the maximum extent not prohibited by law. 
</t>
  </si>
  <si>
    <t>H-400-22255-467553</t>
  </si>
  <si>
    <t>THOROUGHBRED RACEHORSE GROOM</t>
  </si>
  <si>
    <t>Nonfarm Animal Caretakers</t>
  </si>
  <si>
    <t>Jamie Ness Racing</t>
  </si>
  <si>
    <t>3820 Augustine Herman Hwy</t>
  </si>
  <si>
    <t>Chesapeake City</t>
  </si>
  <si>
    <t>Ness</t>
  </si>
  <si>
    <t>Jamie</t>
  </si>
  <si>
    <t>15903 Nothlake Village Dr</t>
  </si>
  <si>
    <t>Odessa</t>
  </si>
  <si>
    <t>MMEXJOCK@ICLOUD.COM</t>
  </si>
  <si>
    <t>Laurel Park</t>
  </si>
  <si>
    <t>RT 198 &amp; Racetrack Road</t>
  </si>
  <si>
    <t>Laurel</t>
  </si>
  <si>
    <t>PRINCE GEORGE'S</t>
  </si>
  <si>
    <t>P-400-22130-157281</t>
  </si>
  <si>
    <t>State and Federal Taxes. The employer will make all deductions from the worker’s paycheck required by law but will make no other deductions. Optional employer-offered housing in the backstretch at no cost to the worker.</t>
  </si>
  <si>
    <t>H-400-22250-458494</t>
  </si>
  <si>
    <t>Forestry Worker</t>
  </si>
  <si>
    <t>Forest and Conservation Workers</t>
  </si>
  <si>
    <t xml:space="preserve">MP Forestry, Inc. </t>
  </si>
  <si>
    <t>3621 Table Rock Road</t>
  </si>
  <si>
    <t>Medford</t>
  </si>
  <si>
    <t>Moreno</t>
  </si>
  <si>
    <t>Maclovio</t>
  </si>
  <si>
    <t>mpforest187@hotmail.com</t>
  </si>
  <si>
    <t xml:space="preserve">Must be 18 due to travel. Must show proof of legal authorization to work in the United States. Drug/alcohol/tobacco free work zone. Must walk substantially (up to 15 miles/day), also stoop, bend while carrying a pack (up to 45lbs)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Outdoors, exposed to weather; must be capable of doing physically strenuous labor for long hours, occasionally in extreme heat or cold. Variable weather conditions apply; hours may fluctuate (+/-), possible downtime and/or OT.
</t>
  </si>
  <si>
    <t>3621 Table Rock Road (Report to Work)</t>
  </si>
  <si>
    <t>JACKSON</t>
  </si>
  <si>
    <t>Medford, OR</t>
  </si>
  <si>
    <t xml:space="preserve">H&amp;W Benefits may apply. Optional Housing available at no cost. Wage may vary. </t>
  </si>
  <si>
    <t>P-400-22158-254727</t>
  </si>
  <si>
    <t>H-400-22225-415109</t>
  </si>
  <si>
    <t>Bus and Truck Mechanics and Diesel Engine Specialists</t>
  </si>
  <si>
    <t>OMMA TRUCKING INC.</t>
  </si>
  <si>
    <t>6012 N County Road 1147</t>
  </si>
  <si>
    <t>Medrano</t>
  </si>
  <si>
    <t>Juan</t>
  </si>
  <si>
    <t xml:space="preserve"> 6012 N Country Rd 1147</t>
  </si>
  <si>
    <t>careers@ommatrucking.com</t>
  </si>
  <si>
    <t>Morales</t>
  </si>
  <si>
    <t>Fidel</t>
  </si>
  <si>
    <t xml:space="preserve">3111 N. Central Ave. </t>
  </si>
  <si>
    <t>Suite #A201</t>
  </si>
  <si>
    <t>fidel@moraleslawyer.com</t>
  </si>
  <si>
    <t>Morales Law P.C.</t>
  </si>
  <si>
    <t>Colorado Supreme Court</t>
  </si>
  <si>
    <t xml:space="preserve">12 months of experience required.
</t>
  </si>
  <si>
    <t xml:space="preserve"> 6012 N County Road 1147</t>
  </si>
  <si>
    <t>P-400-22154-242677</t>
  </si>
  <si>
    <t>None.
The Employer will facilitate housing by providing workers with Housing at a fair market rate that Employer is able to secure. Employer will provide housing to employees at the cost that the Employer themselves pays for the housing. This housing is optional, and employees can also find their own housing.</t>
  </si>
  <si>
    <t>www.ommatrucking.com</t>
  </si>
  <si>
    <t>H-400-22277-508682</t>
  </si>
  <si>
    <t>Lifeguards</t>
  </si>
  <si>
    <t>Lifeguards, Ski Patrol, and Other Recreational Protective Service Workers</t>
  </si>
  <si>
    <t>CHULA VISTA, INC.</t>
  </si>
  <si>
    <t>CHULA VISTA RESORT</t>
  </si>
  <si>
    <t>2501 RIVER ROAD</t>
  </si>
  <si>
    <t>WISCONSIN DELLS</t>
  </si>
  <si>
    <t>WI</t>
  </si>
  <si>
    <t>Kaminski</t>
  </si>
  <si>
    <t>Michael</t>
  </si>
  <si>
    <t>MANAGER</t>
  </si>
  <si>
    <t>mikek@chulavistaresort.com</t>
  </si>
  <si>
    <t>MARTINEZ</t>
  </si>
  <si>
    <t>EMILIO</t>
  </si>
  <si>
    <t>FERNANDO</t>
  </si>
  <si>
    <t>12940 SW 128 ST</t>
  </si>
  <si>
    <t>SUITE 201</t>
  </si>
  <si>
    <t>MIAMI</t>
  </si>
  <si>
    <t>emilio@martinezsordolaw.com</t>
  </si>
  <si>
    <t>MARTINEZ &amp; SORDO, P.A.</t>
  </si>
  <si>
    <t xml:space="preserve">No previous experience required. Must complete American Red Cross Lifeguard course including all skills assessments and written exams. Chula Vista will pay for, organize, and scheduled lifeguard course(s) after initial department training. Chula Vista screens all applicants through a pre-employment criminal background checks, including all domestic and H-2B visa employees. This includes seasonal and full-time annual positions. These standards are applied to all applicants regardless of their national origin, race, or gender. We are also a Drug &amp; Alcohol Free employer. We do not require a pre-employment drug test, however we have a reasonable suspicion drug testing policy should we have any suspicion of on the job drug or alcohol use.
</t>
  </si>
  <si>
    <t>2501 River Road</t>
  </si>
  <si>
    <t>Wisconsin Dells</t>
  </si>
  <si>
    <t>ADAMS</t>
  </si>
  <si>
    <t>Northeastern Wisconsin nonmetropolitan area</t>
  </si>
  <si>
    <t>P-400-22196-356616</t>
  </si>
  <si>
    <t>Deductions: The employer will make all deductions from the worker’s paycheck required by law and for optional onsite house payment. Housing:	Optional onsite quad accommodation employee housing may be available at cost of $95 weekly per occupant and is paid via payroll deductions. Daily Transportation: Workers are responsible for their own daily transportation to and from the worksite. Worker who elect to stay in employee housing are provided shuttle services to local grocery stores and/or Walmart based on schedule.</t>
  </si>
  <si>
    <t>karenr@chulavistaresort.com</t>
  </si>
  <si>
    <t>H-400-22231-427743</t>
  </si>
  <si>
    <t xml:space="preserve"> Room Attendant</t>
  </si>
  <si>
    <t>IVI Hotel Management of Washington Inc</t>
  </si>
  <si>
    <t>Residence Inn by Marriott Boise</t>
  </si>
  <si>
    <t>16400 Southcenter Pkwy #100</t>
  </si>
  <si>
    <t>Tukwila</t>
  </si>
  <si>
    <t>Poon</t>
  </si>
  <si>
    <t>Bonnie</t>
  </si>
  <si>
    <t>Director of Payroll, Benefits, and Compliance</t>
  </si>
  <si>
    <t>bpoon@innventures.com</t>
  </si>
  <si>
    <t>1401 S Lusk Pl</t>
  </si>
  <si>
    <t>Boise</t>
  </si>
  <si>
    <t>based upon experience</t>
  </si>
  <si>
    <t>P-400-22104-072831</t>
  </si>
  <si>
    <t>Any health benefits the employee chooses to enroll in</t>
  </si>
  <si>
    <t>srich@innventures.com</t>
  </si>
  <si>
    <t>https://apply.jobappnetwork.com/innventures/en</t>
  </si>
  <si>
    <t>H-400-22250-459874</t>
  </si>
  <si>
    <t xml:space="preserve">Housekeeper </t>
  </si>
  <si>
    <t>Mon-Club Management, Inc.</t>
  </si>
  <si>
    <t>The Mountain Club on Loon</t>
  </si>
  <si>
    <t>90 Loon Mountain Road</t>
  </si>
  <si>
    <t>Lincoln</t>
  </si>
  <si>
    <t>NH</t>
  </si>
  <si>
    <t>McIver</t>
  </si>
  <si>
    <t>Jeffrey</t>
  </si>
  <si>
    <t>President/General Manager</t>
  </si>
  <si>
    <t>jmciver@mtnclub.com</t>
  </si>
  <si>
    <t xml:space="preserve">The Petitioner will consider for employment any person who possesses at least three (3) months of cleaning experience at a high-end hotel, resort, or private club. 
</t>
  </si>
  <si>
    <t>LINCOLN</t>
  </si>
  <si>
    <t>West Central-Southwest New Hampshire nonmetropolitan area</t>
  </si>
  <si>
    <t>Wage: $16.50 - $19.79 per hour, paid weekly.  See job description for additional information</t>
  </si>
  <si>
    <t>P-400-22180-321906</t>
  </si>
  <si>
    <t>Optional housing is offered on a first-come, first-serve basis for workers who are relocating to begin employment.  Cost of housing including utilities, Cable TV, linens, and a kitchen, if accepted, is $85.00 per week.  If used, total cost of housing will be deducted from paycheck.  A $100.00 security deposit is required, to be deducted in equal $25.00 installments from employee’s first four (4) paychecks.  Deposit will be returned to the employee based on the condition of the housing at the employer’s sole discretion, at the end of the employment period.</t>
  </si>
  <si>
    <t>dskidgel@mtnclub.com</t>
  </si>
  <si>
    <t>H-400-22277-510429</t>
  </si>
  <si>
    <t>CONSTRUCTION WORKERS (2YEARS OF EXPERIENCE)</t>
  </si>
  <si>
    <t>CONSTRUCTION LABORERS</t>
  </si>
  <si>
    <t>GRMORALES CONTRACTOR</t>
  </si>
  <si>
    <t>504 INDIAN TRAIL ROAD SUITE 201B</t>
  </si>
  <si>
    <t>LILBUM</t>
  </si>
  <si>
    <t>404-430-8975</t>
  </si>
  <si>
    <t>MORALES</t>
  </si>
  <si>
    <t>GUADLUPE</t>
  </si>
  <si>
    <t>GENERAL MANAGER</t>
  </si>
  <si>
    <t>LILBURN</t>
  </si>
  <si>
    <t>grmoralesconstruction@gmail.com</t>
  </si>
  <si>
    <t>NOT APPLICABLE</t>
  </si>
  <si>
    <t>Atlanta-Sandy Springs-Roswell Georgia</t>
  </si>
  <si>
    <t>P-400-22110-089259</t>
  </si>
  <si>
    <t>Federal Income
Social Security
Medicare
Georgia State Income</t>
  </si>
  <si>
    <t>LANDSCAPE LABORER</t>
  </si>
  <si>
    <t>GISMONDI</t>
  </si>
  <si>
    <t>JOHN</t>
  </si>
  <si>
    <t>888 BALDWIN DRIVE</t>
  </si>
  <si>
    <t>WESTBURY</t>
  </si>
  <si>
    <t>USAMERICANS@AOL.COM</t>
  </si>
  <si>
    <t>US AMERICANS INC</t>
  </si>
  <si>
    <t>CENTER MORICHES</t>
  </si>
  <si>
    <t>SUFFOLK</t>
  </si>
  <si>
    <t>H-400-22328-605695</t>
  </si>
  <si>
    <t>Host/Hostess</t>
  </si>
  <si>
    <t>Hosts and Hostesses, Restaurant, Lounge, and Coffee Shop</t>
  </si>
  <si>
    <t>KIAWAH ISLAND INN CO LLC</t>
  </si>
  <si>
    <t>KIAWAH ISLAND GOLF RESORT</t>
  </si>
  <si>
    <t>1 SANCTUARY BEACH DRIVE</t>
  </si>
  <si>
    <t>KIAWAH ISLAND</t>
  </si>
  <si>
    <t>MORGAN</t>
  </si>
  <si>
    <t>SARAH</t>
  </si>
  <si>
    <t>1 SANCTUARY BEACH DR</t>
  </si>
  <si>
    <t>SARAH_MORGAN@KIAWAHRESORT.COM</t>
  </si>
  <si>
    <t>gloria@pesusa.com</t>
  </si>
  <si>
    <t>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t>
  </si>
  <si>
    <t>1 Sanctuary Beach Drive</t>
  </si>
  <si>
    <t>Kiawah Island</t>
  </si>
  <si>
    <t>CHARLESTON</t>
  </si>
  <si>
    <t>Charleston-North Charleston, SC</t>
  </si>
  <si>
    <t>P-400-22160-264795</t>
  </si>
  <si>
    <t xml:space="preserve">Employer will make all deductions from the worker's paycheck required by law. Optional dormitory style shared housing for employees only, approximate cost $100-200 per week, and includes utilities. $300 deposit payroll deducted if worker elects. $200 of housing deposit is refundable if you complete the full contract and the housing is clean. Housing cost varies with unit size, amenities and number of occupants. Optional daily transportation between employer housing and worksite, approximate cost $25 per week payroll deducted if worker elects. Optional meal tickets available for approximately $3-$6, payroll deducted if worker elects. Cost of additional shoes payroll deducted if worker elects. Optional Medical Insurance available and payroll deducted if the worker elects, cost is $40-$109 biweekly.
Employer will provide worker at no charge all tools, supplies, and equipment required to perform job. Required uniform provided at no charge. 
</t>
  </si>
  <si>
    <t>www.scworks.org</t>
  </si>
  <si>
    <t>LANDSCAPING AND GROUNDSKEEPING WORKERS</t>
  </si>
  <si>
    <t>ATHENS</t>
  </si>
  <si>
    <t>YOUNGBLOOD</t>
  </si>
  <si>
    <t>KARA</t>
  </si>
  <si>
    <t>203 E MORFORD ST</t>
  </si>
  <si>
    <t>MCMINNVILLE</t>
  </si>
  <si>
    <t>H2@YOUNGBLOODASSOCIATES.COM</t>
  </si>
  <si>
    <t>YOUNGBLOOD &amp; ASSOCIATES, PLLC</t>
  </si>
  <si>
    <t>SUPREME COURT OF TENNESSEE</t>
  </si>
  <si>
    <t>Brogan Landscaping, Inc.</t>
  </si>
  <si>
    <t>208 Welsh Pool Rd</t>
  </si>
  <si>
    <t>Exton</t>
  </si>
  <si>
    <t>Brogan</t>
  </si>
  <si>
    <t>Christine</t>
  </si>
  <si>
    <t>Treasurer</t>
  </si>
  <si>
    <t>C.Brogan@BroganLandscaping.com</t>
  </si>
  <si>
    <t>Action International, Inc.</t>
  </si>
  <si>
    <t>CHESTER</t>
  </si>
  <si>
    <t>Philadelphia-Camden-Wilmington, PA-NJ-DE-MD</t>
  </si>
  <si>
    <t>P-400-22255-466587</t>
  </si>
  <si>
    <t>Eligible for medical &amp; dental 1st of month after 60 days, 3 sick days after 90 days on the job. Optional housing, electric, utilities and transportation to/from work for approximately $90 per week depending on availability.  Option to deduct $90 a week from pay. Payback of advance $20 per week for 4 weeks. Deductions will not drop the overall wage below the UDSOL minimum, if the deductions are too great they will not be made.</t>
  </si>
  <si>
    <t>https://www.cwds.pa.gov</t>
  </si>
  <si>
    <t>Crew Member</t>
  </si>
  <si>
    <t>Brian</t>
  </si>
  <si>
    <t>President/CEO</t>
  </si>
  <si>
    <t>Employer may increase wage based on experience and/or provide additional pay for performance and tenure.</t>
  </si>
  <si>
    <t>www.employflorida.com</t>
  </si>
  <si>
    <t>H-400-22335-614392</t>
  </si>
  <si>
    <t>Rooted Landscape, Inc.</t>
  </si>
  <si>
    <t>201 W Dennis Ave.</t>
  </si>
  <si>
    <t>Olathe</t>
  </si>
  <si>
    <t>KS</t>
  </si>
  <si>
    <t>Jon</t>
  </si>
  <si>
    <t>jon@rootedland.com</t>
  </si>
  <si>
    <t>Svec</t>
  </si>
  <si>
    <t>Robin</t>
  </si>
  <si>
    <t>2901 Bucks Bayou Rd</t>
  </si>
  <si>
    <t>Bay City</t>
  </si>
  <si>
    <t>rsvec@fewaglobal.org</t>
  </si>
  <si>
    <t>Federation of Employers and Workers of America</t>
  </si>
  <si>
    <t xml:space="preserve">Monday-Friday, some Saturdays required, schedule varies, overtime varies. Able to lift 50lbs. Pre-hire background check required;Pre-employment drug testing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company.See the additional document attached for further details about the administration of our drug testing policy.
</t>
  </si>
  <si>
    <t>JOHNSON</t>
  </si>
  <si>
    <t>Kansas City, MO-KS</t>
  </si>
  <si>
    <t>Raise and/or bonus at employer's discretion. Opportunity to earn more based on experience, tenure, or job performance.</t>
  </si>
  <si>
    <t>P-400-22237-438818</t>
  </si>
  <si>
    <t xml:space="preserve">Employer may make payroll deductions at employee's request.
Employer facilitates voluntary housing arrangements upon worker request along with corresponding payroll deductions of $80-$90/weekly. </t>
  </si>
  <si>
    <t>info@rootedland.com</t>
  </si>
  <si>
    <t>H-400-22320-590474</t>
  </si>
  <si>
    <t>landscape laborer</t>
  </si>
  <si>
    <t>BAC Landscaping, Inc.</t>
  </si>
  <si>
    <t>3002 Naamans Creek Road</t>
  </si>
  <si>
    <t>Upper Chichester</t>
  </si>
  <si>
    <t>Caruso</t>
  </si>
  <si>
    <t>Bryan</t>
  </si>
  <si>
    <t>baclandscaping@gmail.com</t>
  </si>
  <si>
    <t>Anna</t>
  </si>
  <si>
    <t>Daniel</t>
  </si>
  <si>
    <t>533-A Darlington Road</t>
  </si>
  <si>
    <t>Media</t>
  </si>
  <si>
    <t>anna.law@verizon.net</t>
  </si>
  <si>
    <t>ANNA &amp; ANNA, P.C.</t>
  </si>
  <si>
    <t>Pennsylvania Supreme Court</t>
  </si>
  <si>
    <t xml:space="preserve">Must be able to lift and  carry 50 pounds.
</t>
  </si>
  <si>
    <t>DELAWARE</t>
  </si>
  <si>
    <t>P-400-22271-498105</t>
  </si>
  <si>
    <t>Only as required by law.</t>
  </si>
  <si>
    <t>H-400-22332-608398</t>
  </si>
  <si>
    <t>Amusement &amp; Recreation Attendant – Carnival</t>
  </si>
  <si>
    <t>Robert Cory</t>
  </si>
  <si>
    <t>Heart of America Shows</t>
  </si>
  <si>
    <t>2315 SOUTH 25TH ST.</t>
  </si>
  <si>
    <t>[MAIL:PO Box 747, Pasadena, Texas 77501]</t>
  </si>
  <si>
    <t>HARLINGEN</t>
  </si>
  <si>
    <t>Cory</t>
  </si>
  <si>
    <t>[MAIL: PO BOX 747, PASADENA, TX 77501]</t>
  </si>
  <si>
    <t>heartofamericacarnival@hotmail.com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</si>
  <si>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t>
  </si>
  <si>
    <t>2315 South 25th St.</t>
  </si>
  <si>
    <t>CAMERON</t>
  </si>
  <si>
    <t>Brownsville-Harlingen, TX</t>
  </si>
  <si>
    <t>See addendum.</t>
  </si>
  <si>
    <t>P-400-22283-520734</t>
  </si>
  <si>
    <t xml:space="preserve">Employer will make all deductions from the worker’s paycheck required by law.  Optional housing (valued at $125.00 per week) and local convenience travel (valued at $25.00 per week) are available at no cost to the worker. </t>
  </si>
  <si>
    <t>Cook</t>
  </si>
  <si>
    <t>Holiday Inn Club Vacations Incorporated for Hill Country Resort</t>
  </si>
  <si>
    <t>17545 FM306</t>
  </si>
  <si>
    <t>Canyon Lake</t>
  </si>
  <si>
    <t>Lawrie</t>
  </si>
  <si>
    <t>Jillian</t>
  </si>
  <si>
    <t>Talent Acquisition Director</t>
  </si>
  <si>
    <t>9271 S John Young Parkway</t>
  </si>
  <si>
    <t>Orlando</t>
  </si>
  <si>
    <t>CIRecruitment@holidayinnclub.com</t>
  </si>
  <si>
    <t>COMAL</t>
  </si>
  <si>
    <t>San Antonio-New Braunfels, TX</t>
  </si>
  <si>
    <t>P-400-22213-387993</t>
  </si>
  <si>
    <t>LANDSCAPING &amp; GROUNDSKEEPING WORKERS</t>
  </si>
  <si>
    <t>WASHINGTON</t>
  </si>
  <si>
    <t>Pittsburgh, PA</t>
  </si>
  <si>
    <t>Higher pay and/or other incentives available based on performance.</t>
  </si>
  <si>
    <t>First-Line Supervisors of Landscaping, Lawn Service, and Groundskeeping Workers</t>
  </si>
  <si>
    <t>AR</t>
  </si>
  <si>
    <t>Heather</t>
  </si>
  <si>
    <t>Wall</t>
  </si>
  <si>
    <t>Garcia</t>
  </si>
  <si>
    <t>Vanessa</t>
  </si>
  <si>
    <t>vgarcia@fewaglobal.org</t>
  </si>
  <si>
    <t>MONMOUTH</t>
  </si>
  <si>
    <t>Employer may make payroll deductions at employee's request</t>
  </si>
  <si>
    <t>Amusement &amp; Recreation Attendant – Traveling Carnival</t>
  </si>
  <si>
    <t>New Braunfels</t>
  </si>
  <si>
    <t>731 Engel Road</t>
  </si>
  <si>
    <t xml:space="preserve">Employer will make all deductions from the worker’s paycheck required by law.  Optional mobile housing (valued at $175.00 per week) and local convenience travel (valued at $25.00 per week) are available at no cost to the worker.  </t>
  </si>
  <si>
    <t>MS</t>
  </si>
  <si>
    <t>Mark</t>
  </si>
  <si>
    <t>GREENE</t>
  </si>
  <si>
    <t>Springfield, MO</t>
  </si>
  <si>
    <t>H-400-22335-613788</t>
  </si>
  <si>
    <t>JACKSON DODDS &amp; COMPANY INC</t>
  </si>
  <si>
    <t xml:space="preserve">271 BISHOPS LANE </t>
  </si>
  <si>
    <t>SOUTHAMPTON</t>
  </si>
  <si>
    <t>DODDS</t>
  </si>
  <si>
    <t xml:space="preserve">JACKSON </t>
  </si>
  <si>
    <t>Work days vary Mon-Sat (varies)</t>
  </si>
  <si>
    <t>271 BISHOPS LANE</t>
  </si>
  <si>
    <t xml:space="preserve">SOUTHAMPTON </t>
  </si>
  <si>
    <t>P-400-22195-352385</t>
  </si>
  <si>
    <t>INFO@JACKSONDODDSINC.COM</t>
  </si>
  <si>
    <t>Landscaper</t>
  </si>
  <si>
    <t>Kelsey</t>
  </si>
  <si>
    <t>C.</t>
  </si>
  <si>
    <t>Farmer</t>
  </si>
  <si>
    <t>Kyle</t>
  </si>
  <si>
    <t>14949 FM 1826</t>
  </si>
  <si>
    <t>visas@farmerlawpc.com</t>
  </si>
  <si>
    <t>Farmer Law PC</t>
  </si>
  <si>
    <t>MESA</t>
  </si>
  <si>
    <t>acerda@abctree.com</t>
  </si>
  <si>
    <t>Birmingham</t>
  </si>
  <si>
    <t>JEFFERSON</t>
  </si>
  <si>
    <t>Birmingham-Hoover, AL</t>
  </si>
  <si>
    <t>H2Bprogram@abctree.com</t>
  </si>
  <si>
    <t>https://alabamaworks.alabama.gov</t>
  </si>
  <si>
    <t>Warehouse Worker</t>
  </si>
  <si>
    <t>Montauk</t>
  </si>
  <si>
    <t>HILDESHEIM</t>
  </si>
  <si>
    <t>LISSETTE</t>
  </si>
  <si>
    <t>1939 NE SAN CARLOS CALLE</t>
  </si>
  <si>
    <t>JENSEN BEACH</t>
  </si>
  <si>
    <t>lissette123@comcast.net</t>
  </si>
  <si>
    <t>Immigration USA</t>
  </si>
  <si>
    <t>Maglin</t>
  </si>
  <si>
    <t>Kimberly</t>
  </si>
  <si>
    <t>Sherman</t>
  </si>
  <si>
    <t>Suite 216</t>
  </si>
  <si>
    <t>MECKLENBURG</t>
  </si>
  <si>
    <t>Charlotte-Concord-Gastonia, NC-SC</t>
  </si>
  <si>
    <t xml:space="preserve">Overtime will be paid for working greater than 40 hours in any given week. </t>
  </si>
  <si>
    <t xml:space="preserve">All deductions required by law will be made, and no deductions not required by law will be made. </t>
  </si>
  <si>
    <t>Vice President Human Resources</t>
  </si>
  <si>
    <t>Portland</t>
  </si>
  <si>
    <t>BUTTE</t>
  </si>
  <si>
    <t>Carpenters</t>
  </si>
  <si>
    <t>OH</t>
  </si>
  <si>
    <t>Chad</t>
  </si>
  <si>
    <t>Jessica</t>
  </si>
  <si>
    <t>MI</t>
  </si>
  <si>
    <t>Michigan Supreme Court</t>
  </si>
  <si>
    <t>BUTLER</t>
  </si>
  <si>
    <t>Cincinnati, OH-KY-IN</t>
  </si>
  <si>
    <t>Roanoke</t>
  </si>
  <si>
    <t>Administrator</t>
  </si>
  <si>
    <t>Reinke</t>
  </si>
  <si>
    <t>Hannah</t>
  </si>
  <si>
    <t>1831 N Lakewood Drive</t>
  </si>
  <si>
    <t>hannah@laborci.com</t>
  </si>
  <si>
    <t>Roanoke, VA</t>
  </si>
  <si>
    <t>Victor</t>
  </si>
  <si>
    <t>Bradley</t>
  </si>
  <si>
    <t>N.</t>
  </si>
  <si>
    <t>TETON</t>
  </si>
  <si>
    <t>Southeast-Central Idaho nonmetropolitan area</t>
  </si>
  <si>
    <t>Suite 300</t>
  </si>
  <si>
    <t>Blue Bell</t>
  </si>
  <si>
    <t>COLLIER</t>
  </si>
  <si>
    <t>Naples-Immokalee-Marco Island, FL</t>
  </si>
  <si>
    <t>American Fork</t>
  </si>
  <si>
    <t>Tracy</t>
  </si>
  <si>
    <t>Owner/CEO</t>
  </si>
  <si>
    <t xml:space="preserve">Landscape Laborer </t>
  </si>
  <si>
    <t>Lisa</t>
  </si>
  <si>
    <t>Forrester</t>
  </si>
  <si>
    <t>Dawn</t>
  </si>
  <si>
    <t>Coeur d' Alene</t>
  </si>
  <si>
    <t>Dawn@laborci.com</t>
  </si>
  <si>
    <t>Minneapolis-St. Paul-Bloomington, MN-WI</t>
  </si>
  <si>
    <t xml:space="preserve">H&amp;W Benefits may apply. Wage may vary. Depends on Experience. </t>
  </si>
  <si>
    <t>LANDSCAPING LABORERS</t>
  </si>
  <si>
    <t>HARRISON</t>
  </si>
  <si>
    <t>LEONEL DE CERVANTES</t>
  </si>
  <si>
    <t>SAYDE</t>
  </si>
  <si>
    <t>MARISOL</t>
  </si>
  <si>
    <t>6701 NIEDERWALD STRASSE</t>
  </si>
  <si>
    <t>KYLE</t>
  </si>
  <si>
    <t>ILS-SRANGEL@HOTMAIL.COM</t>
  </si>
  <si>
    <t>Infinity Labor Source, Inc.</t>
  </si>
  <si>
    <t>KOOTENAI</t>
  </si>
  <si>
    <t>Coeur d'Alene, ID</t>
  </si>
  <si>
    <t>ALL DEDUCTIONS REQUIRED BY LAW.</t>
  </si>
  <si>
    <t>Jesus</t>
  </si>
  <si>
    <t>J.</t>
  </si>
  <si>
    <t>SUMMIT</t>
  </si>
  <si>
    <t>Akron, OH</t>
  </si>
  <si>
    <t>Madison</t>
  </si>
  <si>
    <t>Mendez</t>
  </si>
  <si>
    <t>LAKE</t>
  </si>
  <si>
    <t>Cleveland-Elyria, OH</t>
  </si>
  <si>
    <t>Landscapers</t>
  </si>
  <si>
    <t>Imperial</t>
  </si>
  <si>
    <t>Rob</t>
  </si>
  <si>
    <t>Bortnyk</t>
  </si>
  <si>
    <t>Thomas</t>
  </si>
  <si>
    <t>P.</t>
  </si>
  <si>
    <t>400 Front Street</t>
  </si>
  <si>
    <t>P.O. Box 507</t>
  </si>
  <si>
    <t>Lovingston</t>
  </si>
  <si>
    <t>Jamerson1157@maslabor.com</t>
  </si>
  <si>
    <t>ALLEGHENY</t>
  </si>
  <si>
    <t>https://www.pacareerlink.pa.gov</t>
  </si>
  <si>
    <t>Jamerson</t>
  </si>
  <si>
    <t>Sonora</t>
  </si>
  <si>
    <t xml:space="preserve"> </t>
  </si>
  <si>
    <t>Patel</t>
  </si>
  <si>
    <t>Moore</t>
  </si>
  <si>
    <t>DALLAS</t>
  </si>
  <si>
    <t>Louisville/Jefferson County, KY-IN</t>
  </si>
  <si>
    <t>Court of Appeals</t>
  </si>
  <si>
    <t>PUTNAM</t>
  </si>
  <si>
    <t>Maria</t>
  </si>
  <si>
    <t>G</t>
  </si>
  <si>
    <t>H-400-22335-614412</t>
  </si>
  <si>
    <t xml:space="preserve">Window Cleaner Technician </t>
  </si>
  <si>
    <t>Sightline Building Services, LLC</t>
  </si>
  <si>
    <t>3080 McCall Dr.</t>
  </si>
  <si>
    <t>Suite 3</t>
  </si>
  <si>
    <t>Rodefeld</t>
  </si>
  <si>
    <t>Chief Administrative Officer</t>
  </si>
  <si>
    <t>hnorman@sightlineservices.com</t>
  </si>
  <si>
    <t xml:space="preserve">Monday-Friday, some Saturdays required, schedule varies, overtime varies. Able to lift 50lbs. Work at heights up to 500ft (cannot be afraid of heights).  3 months experience required as high rise window cleaner. Pre-hire background check required;Random drug testing during employment;Pre-employment drug testing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</si>
  <si>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DEKALB</t>
  </si>
  <si>
    <t>Potential raise/bonus at employer's discretion. Oppty for higher pay depending on experience, tenure or performance.</t>
  </si>
  <si>
    <t>P-400-22203-370119</t>
  </si>
  <si>
    <t>Employer may make payroll deductions at employee's request.
Employer facilitates corresponding deductions for available health benefits.</t>
  </si>
  <si>
    <t>Jill</t>
  </si>
  <si>
    <t>Vice President of Operations</t>
  </si>
  <si>
    <t>aaron@pesusa.com</t>
  </si>
  <si>
    <t>Fort Myers</t>
  </si>
  <si>
    <t>LEE</t>
  </si>
  <si>
    <t>Cape Coral-Fort Myers, FL</t>
  </si>
  <si>
    <t>Concrete Finisher</t>
  </si>
  <si>
    <t>Cement Masons and Concrete Finishers</t>
  </si>
  <si>
    <t>Mendoza</t>
  </si>
  <si>
    <t>Nicolas</t>
  </si>
  <si>
    <t>Duncan</t>
  </si>
  <si>
    <t>Jeanette</t>
  </si>
  <si>
    <t>Jenny@laborci.com</t>
  </si>
  <si>
    <t>FORESTRY WORKER</t>
  </si>
  <si>
    <t>COEUR D ALENE</t>
  </si>
  <si>
    <t>MANAGING MEMBER</t>
  </si>
  <si>
    <t>Muilenburg</t>
  </si>
  <si>
    <t>Virginia</t>
  </si>
  <si>
    <t>3043 W Dumont Dr</t>
  </si>
  <si>
    <t>GINNYM@DPL.TODAY</t>
  </si>
  <si>
    <t>DIVERSE PERSONNEL LOGISTICS LLC</t>
  </si>
  <si>
    <t>RICHLAND</t>
  </si>
  <si>
    <t>Columbia, SC</t>
  </si>
  <si>
    <t>Wage may vary per location</t>
  </si>
  <si>
    <t>Dallas</t>
  </si>
  <si>
    <t>Vice President</t>
  </si>
  <si>
    <t>stacey@pesusa.com</t>
  </si>
  <si>
    <t>Dallas-Fort Worth-Arlington, TX</t>
  </si>
  <si>
    <t>Please see Section F.a.4</t>
  </si>
  <si>
    <t>STEVEN</t>
  </si>
  <si>
    <t>PAUL</t>
  </si>
  <si>
    <t>Bala Cynwyd</t>
  </si>
  <si>
    <t>BUCKS</t>
  </si>
  <si>
    <t>kathleen@pesusa.com</t>
  </si>
  <si>
    <t>WARREN</t>
  </si>
  <si>
    <t>Glens Falls, NY</t>
  </si>
  <si>
    <t>Suite 101</t>
  </si>
  <si>
    <t>Smyrna</t>
  </si>
  <si>
    <t>Kristin</t>
  </si>
  <si>
    <t>COBB</t>
  </si>
  <si>
    <t>Bend</t>
  </si>
  <si>
    <t>Chief Financial Officer</t>
  </si>
  <si>
    <t>DESCHUTES</t>
  </si>
  <si>
    <t>Bend-Redmond, OR</t>
  </si>
  <si>
    <t>Houston</t>
  </si>
  <si>
    <t>Salinas</t>
  </si>
  <si>
    <t>Diana</t>
  </si>
  <si>
    <t xml:space="preserve">Tristan </t>
  </si>
  <si>
    <t>clarke1165@maslabor.com</t>
  </si>
  <si>
    <t>Hill Country Region of Texas nonmetropolitan area</t>
  </si>
  <si>
    <t>Clarke</t>
  </si>
  <si>
    <t>Ground Person</t>
  </si>
  <si>
    <t>Navasota</t>
  </si>
  <si>
    <t>GRIMES</t>
  </si>
  <si>
    <t>HR Manager</t>
  </si>
  <si>
    <t>Chicago-Naperville-Elgin, IL-IN-WI</t>
  </si>
  <si>
    <t>Paver installers</t>
  </si>
  <si>
    <t>Segmental Pavers</t>
  </si>
  <si>
    <t>The Edgewood Company, Inc.</t>
  </si>
  <si>
    <t>2350 Yellow Springs Road</t>
  </si>
  <si>
    <t>Malvern</t>
  </si>
  <si>
    <t>Fry</t>
  </si>
  <si>
    <t>tim.fry@edgewoodco.com</t>
  </si>
  <si>
    <t xml:space="preserve">Requires three months of paver installer experience. Must lift/carry 50 lbs., when necessary.  Saturday work required, when necessary.  Post-hire random drug testing required of foreign and domestic workers. Post-hire employment eligibility (e-Verify) check required of foreign and domestic workers. Employer may offer more than the stated work hours depending on weather, business needs, and other conditions. Extreme heat, cold, rain, or drought may affect exact working hours.
</t>
  </si>
  <si>
    <t>P-400-22243-448433</t>
  </si>
  <si>
    <t>Sean</t>
  </si>
  <si>
    <t>General Manager</t>
  </si>
  <si>
    <t>Ryan</t>
  </si>
  <si>
    <t>COO</t>
  </si>
  <si>
    <t>Northwest Colorado nonmetropolitan area</t>
  </si>
  <si>
    <t>Fish Processor</t>
  </si>
  <si>
    <t>Cameron</t>
  </si>
  <si>
    <t>Patterson</t>
  </si>
  <si>
    <t>n/a</t>
  </si>
  <si>
    <t>Tucson</t>
  </si>
  <si>
    <t>PIMA</t>
  </si>
  <si>
    <t>Tucson, AZ</t>
  </si>
  <si>
    <t>Smith</t>
  </si>
  <si>
    <t>McKay</t>
  </si>
  <si>
    <t>Steven</t>
  </si>
  <si>
    <t>3007 County Route 20</t>
  </si>
  <si>
    <t>Hudson</t>
  </si>
  <si>
    <t>info@h2expressinc.com</t>
  </si>
  <si>
    <t>CACHE</t>
  </si>
  <si>
    <t>Logan, UT-ID</t>
  </si>
  <si>
    <t>Deborah</t>
  </si>
  <si>
    <t>WRIGHT</t>
  </si>
  <si>
    <t>Mueller</t>
  </si>
  <si>
    <t>Caroline</t>
  </si>
  <si>
    <t>CUYAHOGA</t>
  </si>
  <si>
    <t>HOUSEKEEPER</t>
  </si>
  <si>
    <t>GEORGETOWN</t>
  </si>
  <si>
    <t>ME</t>
  </si>
  <si>
    <t>Southwest Maine nonmetropolitan area</t>
  </si>
  <si>
    <t>COOK</t>
  </si>
  <si>
    <t>ALLEGHENY COUNTRY CLUB</t>
  </si>
  <si>
    <t>250 COUNTRY CLUB ROAD</t>
  </si>
  <si>
    <t>SEWICKLEY</t>
  </si>
  <si>
    <t>CAREY</t>
  </si>
  <si>
    <t>SIMON</t>
  </si>
  <si>
    <t>Mt. Pleasant</t>
  </si>
  <si>
    <t>Novak</t>
  </si>
  <si>
    <t>Amy</t>
  </si>
  <si>
    <t>2077 North Frontage Road West, St 111 (physical)</t>
  </si>
  <si>
    <t>PO Box 3487, Vail, CO, 81658 (mailing)</t>
  </si>
  <si>
    <t>Vail</t>
  </si>
  <si>
    <t>amy@novaklawoffice.com</t>
  </si>
  <si>
    <t>Novak Law Firm</t>
  </si>
  <si>
    <t>Supreme Court of Colorado</t>
  </si>
  <si>
    <t>Denver-Aurora-Lakewood, CO</t>
  </si>
  <si>
    <t>All deductions required by the law will be made.</t>
  </si>
  <si>
    <t>GROUNDSKEEPER</t>
  </si>
  <si>
    <t>MATT</t>
  </si>
  <si>
    <t>Christopher</t>
  </si>
  <si>
    <t>Schindler</t>
  </si>
  <si>
    <t>Karen</t>
  </si>
  <si>
    <t>1345 Park Street</t>
  </si>
  <si>
    <t>Paso Robles</t>
  </si>
  <si>
    <t>California</t>
  </si>
  <si>
    <t>anna@azteclabor.com</t>
  </si>
  <si>
    <t>AZTEC FOREIGN LABOR, INC</t>
  </si>
  <si>
    <t>WESTMORELAND</t>
  </si>
  <si>
    <t xml:space="preserve">"Employer may offer a raise or bonus depending on experience and merit." </t>
  </si>
  <si>
    <t>LABORER</t>
  </si>
  <si>
    <t>Construction Laborers</t>
  </si>
  <si>
    <t>ARNOLD</t>
  </si>
  <si>
    <t>LIVINGSTON</t>
  </si>
  <si>
    <t>Melissa</t>
  </si>
  <si>
    <t>St. Louis</t>
  </si>
  <si>
    <t>Greenville</t>
  </si>
  <si>
    <t>BERKELEY</t>
  </si>
  <si>
    <t>Seattle</t>
  </si>
  <si>
    <t>Lynn</t>
  </si>
  <si>
    <t>TEXAS SUPREME COURT</t>
  </si>
  <si>
    <t>Sitka</t>
  </si>
  <si>
    <t>SITKA</t>
  </si>
  <si>
    <t>Bluffdale</t>
  </si>
  <si>
    <t>Daingerfield</t>
  </si>
  <si>
    <t>Phillips</t>
  </si>
  <si>
    <t>MORRIS</t>
  </si>
  <si>
    <t>Employer reserves the option to provide additional compensation for performance/tenure or may increase wages based on ch</t>
  </si>
  <si>
    <t>El Dorado</t>
  </si>
  <si>
    <t>UNION</t>
  </si>
  <si>
    <t>South Arkansas nonmetropolitan area</t>
  </si>
  <si>
    <t>Massachusetts nonmetropolitan area</t>
  </si>
  <si>
    <t>BOSSIER</t>
  </si>
  <si>
    <t>Shreveport-Bossier City, LA</t>
  </si>
  <si>
    <t>Central New Hampshire nonmetropolitan area</t>
  </si>
  <si>
    <t>Brandon</t>
  </si>
  <si>
    <t>Rockledge</t>
  </si>
  <si>
    <t>BREVARD</t>
  </si>
  <si>
    <t>Palm Bay-Melbourne-Titusville, FL</t>
  </si>
  <si>
    <t>Chesterfield</t>
  </si>
  <si>
    <t>Operations Manager</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</si>
  <si>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Outdoors, exposed to weather; must be capable of doing physically strenuous labor for long hours, occasionally in extreme heat or cold. Variable weather conditions apply; hours may fluctuate (+/-), possible downtime and/or OT.
</t>
  </si>
  <si>
    <t>Drew</t>
  </si>
  <si>
    <t>ohiomeansjobs.com</t>
  </si>
  <si>
    <t>Landscape Worker</t>
  </si>
  <si>
    <t>Matthew</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</si>
  <si>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</si>
  <si>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KANE</t>
  </si>
  <si>
    <t>Landscape Laborers</t>
  </si>
  <si>
    <t>Katie</t>
  </si>
  <si>
    <t>heilmann1139@maslabor.com</t>
  </si>
  <si>
    <t>Nashville</t>
  </si>
  <si>
    <t>DAVIDSON</t>
  </si>
  <si>
    <t>Nashville-Davidson--Murfreesboro--Franklin, TN</t>
  </si>
  <si>
    <t>jobs4tn.gov</t>
  </si>
  <si>
    <t>Heilmann</t>
  </si>
  <si>
    <t>Barbara</t>
  </si>
  <si>
    <t>rkeeth1145@maslabor.com</t>
  </si>
  <si>
    <t>BALTIMORE</t>
  </si>
  <si>
    <t>Baltimore-Columbia-Towson, MD</t>
  </si>
  <si>
    <t>mwejobs.maryland.gov</t>
  </si>
  <si>
    <t>Keeth</t>
  </si>
  <si>
    <t>Richard</t>
  </si>
  <si>
    <t>Mitchell</t>
  </si>
  <si>
    <t>King1176@maslabor.com</t>
  </si>
  <si>
    <t>FRANKLIN</t>
  </si>
  <si>
    <t>www.vawc.virginia.gov</t>
  </si>
  <si>
    <t>King</t>
  </si>
  <si>
    <t>Grace</t>
  </si>
  <si>
    <t>Truck Driver</t>
  </si>
  <si>
    <t>NM</t>
  </si>
  <si>
    <t>M.</t>
  </si>
  <si>
    <t>YORK</t>
  </si>
  <si>
    <t>Virginia Beach-Norfolk-Newport News, VA-NC</t>
  </si>
  <si>
    <t>Door-to-Door Sales Workers, News and Street Vendors, and Related Workers</t>
  </si>
  <si>
    <t>Provo</t>
  </si>
  <si>
    <t>Morris</t>
  </si>
  <si>
    <t>Whitney</t>
  </si>
  <si>
    <t>Bakersfield</t>
  </si>
  <si>
    <t>KERN</t>
  </si>
  <si>
    <t>Bakersfield, CA</t>
  </si>
  <si>
    <t>Mount Pleasant</t>
  </si>
  <si>
    <t>Douglas</t>
  </si>
  <si>
    <t>Restaurant Worker</t>
  </si>
  <si>
    <t>Beaugrand</t>
  </si>
  <si>
    <t>Katelyn</t>
  </si>
  <si>
    <t>Katelyn@laborci.com</t>
  </si>
  <si>
    <t>Lafayette</t>
  </si>
  <si>
    <t>Joshua</t>
  </si>
  <si>
    <t>Carter</t>
  </si>
  <si>
    <t>Line Cooks</t>
  </si>
  <si>
    <t>Chris</t>
  </si>
  <si>
    <t>Lexington</t>
  </si>
  <si>
    <t>FAYETTE</t>
  </si>
  <si>
    <t>Lexington-Fayette, KY</t>
  </si>
  <si>
    <t>Suite 105</t>
  </si>
  <si>
    <t>Office Manager</t>
  </si>
  <si>
    <t>EL PASO</t>
  </si>
  <si>
    <t>Lutz</t>
  </si>
  <si>
    <t>Jones</t>
  </si>
  <si>
    <t>Lynchburg, VA</t>
  </si>
  <si>
    <t>MARK</t>
  </si>
  <si>
    <t>DANIEL</t>
  </si>
  <si>
    <t>SUITE 4</t>
  </si>
  <si>
    <t>YORK TOWN</t>
  </si>
  <si>
    <t>Portsmouth, NH-ME</t>
  </si>
  <si>
    <t>Farm Equipment Mechanics and Service Technicians</t>
  </si>
  <si>
    <t>Malitz</t>
  </si>
  <si>
    <t>Jeanne</t>
  </si>
  <si>
    <t>Marie</t>
  </si>
  <si>
    <t>1295 Scott Street</t>
  </si>
  <si>
    <t xml:space="preserve">San Diego </t>
  </si>
  <si>
    <t>info@malitzlaw.com</t>
  </si>
  <si>
    <t>Malitzlaw, Inc.</t>
  </si>
  <si>
    <t>MONTEREY</t>
  </si>
  <si>
    <t>Salinas, CA</t>
  </si>
  <si>
    <t>A.</t>
  </si>
  <si>
    <t>Wright</t>
  </si>
  <si>
    <t>Evelyn</t>
  </si>
  <si>
    <t>Amanda</t>
  </si>
  <si>
    <t>114 Lexington Turnpike, Suite 200</t>
  </si>
  <si>
    <t>P. O. Box 1226</t>
  </si>
  <si>
    <t>Amherst</t>
  </si>
  <si>
    <t>amanda@phoenixlabor.us</t>
  </si>
  <si>
    <t>Phoenix Labor Consultants LLC</t>
  </si>
  <si>
    <t>See Addendum:  overtime is not guaranteed but if worked rate is paid at time and a half per hour above 40 hours...</t>
  </si>
  <si>
    <t>https://www.ncworks.gov</t>
  </si>
  <si>
    <t>MIAMI-DADE</t>
  </si>
  <si>
    <t>Miami-Fort Lauderdale-West Palm Beach, FL</t>
  </si>
  <si>
    <t>•	Raises and/or bonuses may be offered based on individual factors including work performance, skill, and tenure.</t>
  </si>
  <si>
    <t>Brownsville</t>
  </si>
  <si>
    <t>Antonio</t>
  </si>
  <si>
    <t>H-400-22334-612701</t>
  </si>
  <si>
    <t>Landscape Laborer II</t>
  </si>
  <si>
    <t>Landscapes Unlimited, LLC</t>
  </si>
  <si>
    <t>1201 Aries Drive</t>
  </si>
  <si>
    <t>NE</t>
  </si>
  <si>
    <t>Martinez</t>
  </si>
  <si>
    <t>Cesar</t>
  </si>
  <si>
    <t>VP - Human Resources</t>
  </si>
  <si>
    <t>gramcke@landscapesunlimited.com</t>
  </si>
  <si>
    <t>Kan</t>
  </si>
  <si>
    <t>Sue</t>
  </si>
  <si>
    <t>1750 Valley View Lane</t>
  </si>
  <si>
    <t>Suite 339</t>
  </si>
  <si>
    <t>Farmers Branch</t>
  </si>
  <si>
    <t>gkan@kanlaw.net</t>
  </si>
  <si>
    <t>Kan Law, PC</t>
  </si>
  <si>
    <t xml:space="preserve">6 months experience with basic knowledge of golf course layout; understanding of golf course irrigation systems including ability to install/repair key components; knowledge of golf course building materials and golf course construction tasks including building/repair of greens, tees, and bunkers. Three to six months experience operating any one of the following: tractor, skid loader, plows/trencher.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
</t>
  </si>
  <si>
    <t>1250 Capri Drive</t>
  </si>
  <si>
    <t>&amp; Surrounding Areas in the Same MSA</t>
  </si>
  <si>
    <t>Pacific Palisades</t>
  </si>
  <si>
    <t>LOS ANGELES</t>
  </si>
  <si>
    <t>Los Angeles-Long Beach-Anaheim, CA</t>
  </si>
  <si>
    <t>Please see job duties and item F.d.6. for details.</t>
  </si>
  <si>
    <t>P-400-22218-401008</t>
  </si>
  <si>
    <t>We reimburse employees who travel by bus to the job site. However, those workers that choose to fly instead are paid for the bus fare by LU, and then, LU pays for the plane fare, which is then deducted from their pay. Optional company housing will be provided free of charge for employees outside of commuting distance. Employees who do not require or use company housing will receive a housing reimbursement of $231.00 per pay period.</t>
  </si>
  <si>
    <t>www.landscapesunlimited.com</t>
  </si>
  <si>
    <t>WATER MILL</t>
  </si>
  <si>
    <t>H-400-22329-606080</t>
  </si>
  <si>
    <t>Electricians</t>
  </si>
  <si>
    <t>Task Arquitectos Corp</t>
  </si>
  <si>
    <t>Task Studio PL INC Panaderia Light</t>
  </si>
  <si>
    <t>Condado St 610</t>
  </si>
  <si>
    <t>San Juan</t>
  </si>
  <si>
    <t>PR</t>
  </si>
  <si>
    <t>Arana</t>
  </si>
  <si>
    <t>Torres</t>
  </si>
  <si>
    <t>taskgroup@gmx.es</t>
  </si>
  <si>
    <t xml:space="preserve">***RFI Response***
We are only requiring two electricians, with a minimum experience of 3 years. We had already corrected the request previously, that is, we are not requesting plumbers and marble mason, but only two electricians.
The minimum experience of electricians must be three years.
***Original F.b.5a(iv)***
The worker must be able to demonstrate that he has the capacity and experience to perform his work.
</t>
  </si>
  <si>
    <t>SAN JUAN</t>
  </si>
  <si>
    <t>San Juan-Carolina-Caguas, PR</t>
  </si>
  <si>
    <t>P-400-22280-517072</t>
  </si>
  <si>
    <t>All deductions from the worker’s paycheck required by law will be made</t>
  </si>
  <si>
    <t>Los Angeles</t>
  </si>
  <si>
    <t>SAN BERNARDINO</t>
  </si>
  <si>
    <t>H-400-22336-619316</t>
  </si>
  <si>
    <t>Deckhand/ Header</t>
  </si>
  <si>
    <t>Palacios Fisheries, Inc.</t>
  </si>
  <si>
    <t>Captain Anrulfo</t>
  </si>
  <si>
    <t xml:space="preserve">1819 Perryman </t>
  </si>
  <si>
    <t>Palacios</t>
  </si>
  <si>
    <t>Kenneth</t>
  </si>
  <si>
    <t>kgarciatrawlers@yahoo.com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</si>
  <si>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Delivery and availability of seafood product from fisherman may result in possible downtimes due to weather conditions.
</t>
  </si>
  <si>
    <t xml:space="preserve">111 Friery Road </t>
  </si>
  <si>
    <t>MATAGORDA</t>
  </si>
  <si>
    <t>Coastal Plains Region of Texas nonmetropolitan area</t>
  </si>
  <si>
    <t xml:space="preserve">Optional Housing available at no cost. </t>
  </si>
  <si>
    <t>P-400-22224-414247</t>
  </si>
  <si>
    <t>H-400-22340-625146</t>
  </si>
  <si>
    <t>Deckhand/ Headers</t>
  </si>
  <si>
    <t>Little Ken, Inc.</t>
  </si>
  <si>
    <t>1438 FM 2853</t>
  </si>
  <si>
    <t>Suite A</t>
  </si>
  <si>
    <t>Salvador</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</si>
  <si>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Delivery and availability of seafood product from fisherman may result in possible downtimes due to weather conditions.
</t>
  </si>
  <si>
    <t>P-400-22224-414229</t>
  </si>
  <si>
    <t>CONTROLLER</t>
  </si>
  <si>
    <t>OAKLAND</t>
  </si>
  <si>
    <t>Detroit-Warren-Dearborn, MI</t>
  </si>
  <si>
    <t>Lewis</t>
  </si>
  <si>
    <t>11155 Dolfield Blvd</t>
  </si>
  <si>
    <t>Owings Mills</t>
  </si>
  <si>
    <t>kmaglin@unitedworkandtravel.com</t>
  </si>
  <si>
    <t>United Work and Travel, a div of APEI</t>
  </si>
  <si>
    <t xml:space="preserve">Appellate Div of the Supreme Court, 1st Dept. </t>
  </si>
  <si>
    <t>VERMILION</t>
  </si>
  <si>
    <t>Lafayette, LA</t>
  </si>
  <si>
    <t>Jonathan</t>
  </si>
  <si>
    <t>400 Preston Avenue</t>
  </si>
  <si>
    <t>Bortnyk1142@maslabor.com</t>
  </si>
  <si>
    <t>LANCASTER</t>
  </si>
  <si>
    <t>bortnyk1142@maslabor.com</t>
  </si>
  <si>
    <t>Machine Operator</t>
  </si>
  <si>
    <t>Graham</t>
  </si>
  <si>
    <t>Eric</t>
  </si>
  <si>
    <t>CFO</t>
  </si>
  <si>
    <t>Inners</t>
  </si>
  <si>
    <t>Coraopolis</t>
  </si>
  <si>
    <t>Baker</t>
  </si>
  <si>
    <t>Managing Member</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</si>
  <si>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</si>
  <si>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LINE COOKS</t>
  </si>
  <si>
    <t>CINCINNATI</t>
  </si>
  <si>
    <t>HAMILTON</t>
  </si>
  <si>
    <t>https://jobseeker.ohiomeansjobs.monster.com/Seeker.aspx</t>
  </si>
  <si>
    <t>Joseph</t>
  </si>
  <si>
    <t>Schladitz1144@maslabor.com</t>
  </si>
  <si>
    <t>Schladitz</t>
  </si>
  <si>
    <t>Karlo</t>
  </si>
  <si>
    <t>HR Director</t>
  </si>
  <si>
    <t>VT</t>
  </si>
  <si>
    <t>GRAND</t>
  </si>
  <si>
    <t>GENERAL LABORER</t>
  </si>
  <si>
    <t>PRESIDENT</t>
  </si>
  <si>
    <t>Northeast Maine nonmetropolitan area</t>
  </si>
  <si>
    <t>MADERA</t>
  </si>
  <si>
    <t>Madera, CA</t>
  </si>
  <si>
    <t>Mesquite</t>
  </si>
  <si>
    <t>Barry</t>
  </si>
  <si>
    <t xml:space="preserve">President </t>
  </si>
  <si>
    <t>Jackson</t>
  </si>
  <si>
    <t>M</t>
  </si>
  <si>
    <t>407 College Street</t>
  </si>
  <si>
    <t>PO Box 27</t>
  </si>
  <si>
    <t>Clinton</t>
  </si>
  <si>
    <t>andy@andrewjacksonlaw.com</t>
  </si>
  <si>
    <t>Andrew Jackson Law P.C.</t>
  </si>
  <si>
    <t>Richmond, VA</t>
  </si>
  <si>
    <t xml:space="preserve">The employer will make the following deductions from the worker’s wages:  FICA, Medicare and income taxes as required by law.  The employer may make authorized deductions required by law; made under a court order; that are for the reasonable cost or fair value of board, lodging, and facilities furnished that primarily benefit the employee (if applicable) (board, lodging or other facilities are optional to the workers); that are amounts paid to third parties authorized by the employee or a collective bargaining agreement; repayment of cash advances or loans; repayment of overpayment of wages to the worker; payment for articles which the worker has voluntarily purchased from the employer; recovery of any loss to the employer due to the worker’s damage, beyond normal wear and tear, or loss of equipment where it is shown that the worker is responsible. </t>
  </si>
  <si>
    <t>Housekeepers</t>
  </si>
  <si>
    <t>Kris</t>
  </si>
  <si>
    <t>Contreras</t>
  </si>
  <si>
    <t>Michele</t>
  </si>
  <si>
    <t>Ann</t>
  </si>
  <si>
    <t>1040 North Kings Highway</t>
  </si>
  <si>
    <t>Suite 302</t>
  </si>
  <si>
    <t>Cherry Hill</t>
  </si>
  <si>
    <t>New Jersey</t>
  </si>
  <si>
    <t>office@h-2visas.com</t>
  </si>
  <si>
    <t>Law Office of Michele Contreras, LLC</t>
  </si>
  <si>
    <t>NJ Supreme Court</t>
  </si>
  <si>
    <t>Wilcox</t>
  </si>
  <si>
    <t>Raises/bonuses may be offered to worker @ company's sole discretion based on work performance, skill, tenure</t>
  </si>
  <si>
    <t>H-400-22335-613718</t>
  </si>
  <si>
    <t>HAJEK LAWN CARE LLC</t>
  </si>
  <si>
    <t>25 CAMELOT COURT</t>
  </si>
  <si>
    <t>HIGH RIDGE</t>
  </si>
  <si>
    <t>HAJEK</t>
  </si>
  <si>
    <t>JOSHUA</t>
  </si>
  <si>
    <t>P-400-22195-351269</t>
  </si>
  <si>
    <t>hajeklawncare@yahoo.com</t>
  </si>
  <si>
    <t>H-400-22337-619391</t>
  </si>
  <si>
    <t>Father Mike, Inc.</t>
  </si>
  <si>
    <t xml:space="preserve">110 Turning Basin </t>
  </si>
  <si>
    <t>#2</t>
  </si>
  <si>
    <t>Prihoda</t>
  </si>
  <si>
    <t>Blake</t>
  </si>
  <si>
    <t>111 Friery Road</t>
  </si>
  <si>
    <t xml:space="preserve">Optional Housing available at no cost. Wage may vary. Depends on Experience. </t>
  </si>
  <si>
    <t>P-400-22224-414362</t>
  </si>
  <si>
    <t>Driver/Sales Workers</t>
  </si>
  <si>
    <t>NA</t>
  </si>
  <si>
    <t>Saenz</t>
  </si>
  <si>
    <t>Fernando</t>
  </si>
  <si>
    <t>E.</t>
  </si>
  <si>
    <t>617 1/2 N. 23rd Street</t>
  </si>
  <si>
    <t>RICHMOND</t>
  </si>
  <si>
    <t>fernando@workforce-advantage.com</t>
  </si>
  <si>
    <t>Workforce Advantage</t>
  </si>
  <si>
    <t>E</t>
  </si>
  <si>
    <t>Kissel</t>
  </si>
  <si>
    <t>Linda</t>
  </si>
  <si>
    <t>Bobbi@pesusa.com</t>
  </si>
  <si>
    <t>Steward</t>
  </si>
  <si>
    <t>Dishwashers</t>
  </si>
  <si>
    <t>H2B@OmniHotels.com</t>
  </si>
  <si>
    <t>Southern Pennsylvania nonmetropolitan area</t>
  </si>
  <si>
    <t>www.omnihotels.com/careers</t>
  </si>
  <si>
    <t>Staples</t>
  </si>
  <si>
    <t>Director of Human Resources</t>
  </si>
  <si>
    <t xml:space="preserve">Appellate Div. of the Supreme Court, 1st Dept. </t>
  </si>
  <si>
    <t>RICK</t>
  </si>
  <si>
    <t>WILL</t>
  </si>
  <si>
    <t>Administrative Assistant</t>
  </si>
  <si>
    <t>HENNEPIN</t>
  </si>
  <si>
    <t>Ruppert Landscape Inc.</t>
  </si>
  <si>
    <t>23601 Laytonsville Road</t>
  </si>
  <si>
    <t>Laytonsville</t>
  </si>
  <si>
    <t>Pohlit</t>
  </si>
  <si>
    <t>Courtney</t>
  </si>
  <si>
    <t>Director of People &amp; Recruiting</t>
  </si>
  <si>
    <t>cpohlit@ruppertcompanies.com</t>
  </si>
  <si>
    <t>HODGSON</t>
  </si>
  <si>
    <t>AMBER</t>
  </si>
  <si>
    <t>1831 N. LAKEWOOD DR.</t>
  </si>
  <si>
    <t>SUITE B.</t>
  </si>
  <si>
    <t>COEUR D'ALENE</t>
  </si>
  <si>
    <t>amber@laborci.com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</si>
  <si>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</si>
  <si>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Roofers</t>
  </si>
  <si>
    <t>Vasquez</t>
  </si>
  <si>
    <t>Leesburg</t>
  </si>
  <si>
    <t>LOUDOUN</t>
  </si>
  <si>
    <t>https://www.vawc.virginia.gov</t>
  </si>
  <si>
    <t>CHRISTIAN</t>
  </si>
  <si>
    <t>Downs</t>
  </si>
  <si>
    <t>Lesli</t>
  </si>
  <si>
    <t>7335 S Lewis Ave</t>
  </si>
  <si>
    <t>Ste 209</t>
  </si>
  <si>
    <t>Tulsa</t>
  </si>
  <si>
    <t>ldowns@southernimpact.com</t>
  </si>
  <si>
    <t>Southern Impact</t>
  </si>
  <si>
    <t>At a minimum, both domestic and foreign workers will earn the prevailing hourly wage; however, the employer SEE ADDENDUM</t>
  </si>
  <si>
    <t>Employer will make all deductions required by law.  Other deductions may be taken at employee's written request, i.e. internet, cable, cash advances, medical expenses, etc. See addendum.
Optional housing provided at no cost.</t>
  </si>
  <si>
    <t>Shawnee</t>
  </si>
  <si>
    <t>Ron</t>
  </si>
  <si>
    <t>kansasworks.com</t>
  </si>
  <si>
    <t>COCONINO</t>
  </si>
  <si>
    <t>Flagstaff, AZ</t>
  </si>
  <si>
    <t>H-400-22335-613838</t>
  </si>
  <si>
    <t>NELSON COUNTY LAND MAINTENANCE LLC</t>
  </si>
  <si>
    <t>1414 BRYAN RD</t>
  </si>
  <si>
    <t>OFALLON</t>
  </si>
  <si>
    <t>CHOATE</t>
  </si>
  <si>
    <t>LIZ</t>
  </si>
  <si>
    <t>OFFICE MANAGER</t>
  </si>
  <si>
    <t>ST CHARLES</t>
  </si>
  <si>
    <t>P-400-22291-536123</t>
  </si>
  <si>
    <t>sanelson4@yahoo.com</t>
  </si>
  <si>
    <t>Taylor</t>
  </si>
  <si>
    <t>Tony</t>
  </si>
  <si>
    <t>Lia</t>
  </si>
  <si>
    <t>Milner</t>
  </si>
  <si>
    <t>4100 Executive Park Drive</t>
  </si>
  <si>
    <t>Cincinnati</t>
  </si>
  <si>
    <t>lmilner@groupmgmt.com</t>
  </si>
  <si>
    <t>Incline Village</t>
  </si>
  <si>
    <t>Stephen</t>
  </si>
  <si>
    <t>WASHOE</t>
  </si>
  <si>
    <t>Reno, NV</t>
  </si>
  <si>
    <t>Rite-A-Way Lawn Care, LLC</t>
  </si>
  <si>
    <t>1036 David Meadows Ln.</t>
  </si>
  <si>
    <t>St. Charles</t>
  </si>
  <si>
    <t>Alagna</t>
  </si>
  <si>
    <t>Mike</t>
  </si>
  <si>
    <t>Business Manager</t>
  </si>
  <si>
    <t>Mike@riteawaylawncare.com</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</si>
  <si>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</si>
  <si>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1036 David Meadows Lane (Report to Work)</t>
  </si>
  <si>
    <t>St Charles</t>
  </si>
  <si>
    <t>P-400-22181-327407</t>
  </si>
  <si>
    <t>https://app-jobs.mo.gov</t>
  </si>
  <si>
    <t>Helpers--Painters, Paperhangers, Plasterers, and Stucco Masons</t>
  </si>
  <si>
    <t>Gonzalez</t>
  </si>
  <si>
    <t>Suzanne</t>
  </si>
  <si>
    <t>Maryland nonmetropolitan area</t>
  </si>
  <si>
    <t>https://mwejobs.maryland.gov</t>
  </si>
  <si>
    <t>Miller</t>
  </si>
  <si>
    <t>Construction Laborer</t>
  </si>
  <si>
    <t>ND</t>
  </si>
  <si>
    <t>Fargo, ND-MN</t>
  </si>
  <si>
    <t>Edward</t>
  </si>
  <si>
    <t>11155 Dolfield Blvd.</t>
  </si>
  <si>
    <t>SEVIER</t>
  </si>
  <si>
    <t>Anne</t>
  </si>
  <si>
    <t>2600 Beaumont Street</t>
  </si>
  <si>
    <t>Green Bay</t>
  </si>
  <si>
    <t>Wyngaard Law Firm LLC</t>
  </si>
  <si>
    <t>Chicago</t>
  </si>
  <si>
    <t>Beavercreek</t>
  </si>
  <si>
    <t>Roach1141@maslabor.com</t>
  </si>
  <si>
    <t>MONTGOMERY</t>
  </si>
  <si>
    <t>Dayton, OH</t>
  </si>
  <si>
    <t>Roach</t>
  </si>
  <si>
    <t>Dana</t>
  </si>
  <si>
    <t>6 months experience with basic knowledge of golf course layout; understanding of golf course irrigation systems including ability to install/repair key components; knowledge of golf course building materials and golf course construction tasks including building/repair of greens, tees, and bunkers. Three to six months experience operating any one of the following: tractor, skid loader, plows/trencher.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t>
  </si>
  <si>
    <t>New York</t>
  </si>
  <si>
    <t>Suite 590</t>
  </si>
  <si>
    <t>Miami</t>
  </si>
  <si>
    <t>Laborer, Landscape</t>
  </si>
  <si>
    <t>Grand Rapids</t>
  </si>
  <si>
    <t>Lansing</t>
  </si>
  <si>
    <t>CLINTON</t>
  </si>
  <si>
    <t>Cooks, Short Order</t>
  </si>
  <si>
    <t>JOSEPH</t>
  </si>
  <si>
    <t>MANHATTAN WOODS GOLF CLUB LLC</t>
  </si>
  <si>
    <t>1 AHLMEYER DRIVE</t>
  </si>
  <si>
    <t>WEST NYACK</t>
  </si>
  <si>
    <t>KOH</t>
  </si>
  <si>
    <t>CHOONG</t>
  </si>
  <si>
    <t>H</t>
  </si>
  <si>
    <t>ROCKLAND</t>
  </si>
  <si>
    <t>P-400-22207-375498</t>
  </si>
  <si>
    <t>J.SHANNON@MWGCONLINE.COM</t>
  </si>
  <si>
    <t xml:space="preserve">SOUTHAMPTON GOLF CLUB </t>
  </si>
  <si>
    <t xml:space="preserve">1005 COUNTY ROAD 39 </t>
  </si>
  <si>
    <t>RUHLING</t>
  </si>
  <si>
    <t>CRAIG</t>
  </si>
  <si>
    <t>1005 COUNTY ROAD 39</t>
  </si>
  <si>
    <t xml:space="preserve">US AMERICANS INC </t>
  </si>
  <si>
    <t>P-400-22206-372875</t>
  </si>
  <si>
    <t>SOUTHAMPTONGM@AOL.COM</t>
  </si>
  <si>
    <t>Clint</t>
  </si>
  <si>
    <t xml:space="preserve">Employer paid post hire drug test required. 
Employer paid post hire background check. 
</t>
  </si>
  <si>
    <t>https://app-jobs.mo.gov/vosnet/Default.aspx</t>
  </si>
  <si>
    <t>James Landscaping, Inc.</t>
  </si>
  <si>
    <t>111 Killdeer Ct.</t>
  </si>
  <si>
    <t>Mailing: P.O. Box 92216, Southlake, TX 76092</t>
  </si>
  <si>
    <t>Southlake</t>
  </si>
  <si>
    <t>Rhonda</t>
  </si>
  <si>
    <t>Z.</t>
  </si>
  <si>
    <t>office@jameslandscaping.com</t>
  </si>
  <si>
    <t>Cowan</t>
  </si>
  <si>
    <t>Brandi</t>
  </si>
  <si>
    <t>2901 Bucks Bayou Road</t>
  </si>
  <si>
    <t>bcowan@fewaglobal.org</t>
  </si>
  <si>
    <t>604 Katy Road</t>
  </si>
  <si>
    <t>Keller</t>
  </si>
  <si>
    <t>TARRANT</t>
  </si>
  <si>
    <t>P-400-22237-438648</t>
  </si>
  <si>
    <t>Employer may make payroll deductions at employee's request.</t>
  </si>
  <si>
    <t>SD</t>
  </si>
  <si>
    <t>JEFF</t>
  </si>
  <si>
    <t>MCCUBBIN</t>
  </si>
  <si>
    <t>19365 FM 2252</t>
  </si>
  <si>
    <t>SUITE 9</t>
  </si>
  <si>
    <t>GARDEN RIDGE</t>
  </si>
  <si>
    <t>process@h2visaconsultants.com</t>
  </si>
  <si>
    <t>H2 VISA CONSULTANTS, LLC</t>
  </si>
  <si>
    <t>BROWN</t>
  </si>
  <si>
    <t>East South Dakota nonmetropolitan area</t>
  </si>
  <si>
    <t>Overtime may be available. Applicants may be offered higher than the advertised wage rate due to experience or merit.</t>
  </si>
  <si>
    <t>Dishwasher</t>
  </si>
  <si>
    <t>Denton</t>
  </si>
  <si>
    <t>Sloan</t>
  </si>
  <si>
    <t>DENTON</t>
  </si>
  <si>
    <t>https://www.workintexas.com/vosnet/Default.aspx</t>
  </si>
  <si>
    <t>Paradise landscaping, LLC</t>
  </si>
  <si>
    <t>9 Westview Way</t>
  </si>
  <si>
    <t>West Grove</t>
  </si>
  <si>
    <t>Diaz</t>
  </si>
  <si>
    <t>Luis</t>
  </si>
  <si>
    <t>paradiselandscaping@outlook.com</t>
  </si>
  <si>
    <t>200 Chatham Road</t>
  </si>
  <si>
    <t>P-400-22271-498088</t>
  </si>
  <si>
    <t>IA</t>
  </si>
  <si>
    <t>Member</t>
  </si>
  <si>
    <t xml:space="preserve">Watson </t>
  </si>
  <si>
    <t>WEBSTER</t>
  </si>
  <si>
    <t>Northwest Iowa nonmetropolitan area</t>
  </si>
  <si>
    <t>Possibility of performance based raise, Saturday work &amp; overtime; hours vary between hours listed, 1 hr non paid lunch</t>
  </si>
  <si>
    <t>https://www.iowaworks.gov/vosnet/Default.aspx</t>
  </si>
  <si>
    <t>Sylvester</t>
  </si>
  <si>
    <t>Allen</t>
  </si>
  <si>
    <t>Ian</t>
  </si>
  <si>
    <t>Francisco</t>
  </si>
  <si>
    <t>Ford</t>
  </si>
  <si>
    <t>Elizabeth</t>
  </si>
  <si>
    <t>h2b@omnihotels.com</t>
  </si>
  <si>
    <t>Employer may increase wage based on experience, market conditions and/or provide additional pay for performance and tenu</t>
  </si>
  <si>
    <t>H-400-22340-623402</t>
  </si>
  <si>
    <t>Fun N Games, LLC</t>
  </si>
  <si>
    <t>179 N Lincoln Ave.</t>
  </si>
  <si>
    <t xml:space="preserve">(Mail to: 11705 Boyette Road, Ste 213, Riverview, FL 33569) </t>
  </si>
  <si>
    <t>Fond Du Lac</t>
  </si>
  <si>
    <t>Rucobo</t>
  </si>
  <si>
    <t>(Mail to: 11705 Boyette Road, Ste 213, Riverview, FL 33569)</t>
  </si>
  <si>
    <t>Rucobo1966@gmail.com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</si>
  <si>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Work schedule varies widely, typically 40 H/W Wed-Sun, 1:00PM to 10:00PM.
</t>
  </si>
  <si>
    <t>8803 Nundy Ave.</t>
  </si>
  <si>
    <t>Gibsonton</t>
  </si>
  <si>
    <t>P-400-22270-497214</t>
  </si>
  <si>
    <t>San Antonio</t>
  </si>
  <si>
    <t>9118 Golden Leaf Dr</t>
  </si>
  <si>
    <t>amanda.delarosa@fisherbroyles.com</t>
  </si>
  <si>
    <t>FisherBroyles, LLP</t>
  </si>
  <si>
    <t>BEXAR</t>
  </si>
  <si>
    <t>Employer will use a single workweek for computing wages due. Pay will be weekly.</t>
  </si>
  <si>
    <t>VIRGINIA</t>
  </si>
  <si>
    <t>Ureno</t>
  </si>
  <si>
    <t>Sarah</t>
  </si>
  <si>
    <t>sarah@laborci.com</t>
  </si>
  <si>
    <t>Shared housing may be available – if used, up to $80/wk will be deducted from paycheck. At Employer’s sole discretion: possible cash advances (if applicable/requested by worker, potential deduction from worker’s paycheck).</t>
  </si>
  <si>
    <t>Central Point</t>
  </si>
  <si>
    <t>Lopez</t>
  </si>
  <si>
    <t>Green</t>
  </si>
  <si>
    <t>Annika</t>
  </si>
  <si>
    <t>annika@laborci.com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</si>
  <si>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</si>
  <si>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 xml:space="preserve">H&amp;W Benefits may apply. Optional Housing available at no cost. Wage may vary. Based on Experience and/or location. </t>
  </si>
  <si>
    <t>OCEAN</t>
  </si>
  <si>
    <t>Industrial Truck and Tractor Operators</t>
  </si>
  <si>
    <t>Duck3127@maslabor.com</t>
  </si>
  <si>
    <t>Duck</t>
  </si>
  <si>
    <t>Megan</t>
  </si>
  <si>
    <t>Boyne Falls</t>
  </si>
  <si>
    <t>Paul</t>
  </si>
  <si>
    <t>CHARLEVOIX</t>
  </si>
  <si>
    <t>Northwest Lower Peninsula of Michigan nonmetropolitan area</t>
  </si>
  <si>
    <t>Mover</t>
  </si>
  <si>
    <t>Ronald</t>
  </si>
  <si>
    <t>Portland-Vancouver-Hillsboro, OR-WA</t>
  </si>
  <si>
    <t>President/Owner</t>
  </si>
  <si>
    <t>Luna</t>
  </si>
  <si>
    <t>Victoria</t>
  </si>
  <si>
    <t>Myrtle Beach-Conway-North Myrtle Beach, SC-NC</t>
  </si>
  <si>
    <t>ncworks.gov</t>
  </si>
  <si>
    <t>Silver Spring</t>
  </si>
  <si>
    <t>Kitchen Helper</t>
  </si>
  <si>
    <t>Hester</t>
  </si>
  <si>
    <t>Alison</t>
  </si>
  <si>
    <t>DAVID</t>
  </si>
  <si>
    <t>The employer will make all deductions from workers’ paychecks that are required by law. No deductions not required by law will be made.</t>
  </si>
  <si>
    <t>C</t>
  </si>
  <si>
    <t>Elk River</t>
  </si>
  <si>
    <t>Suite 206</t>
  </si>
  <si>
    <t>MN Supreme Court</t>
  </si>
  <si>
    <t>SHERBURNE</t>
  </si>
  <si>
    <t>None.</t>
  </si>
  <si>
    <t>Distribution Center Laborer</t>
  </si>
  <si>
    <t xml:space="preserve">Must be able to work weekends. Must be able to lift up to 100lbs (with assistance). Must be able to manipulate up to 250lbs (with assistance).
</t>
  </si>
  <si>
    <t>Quiring</t>
  </si>
  <si>
    <t>Kaitlyn</t>
  </si>
  <si>
    <t>HOUSEKEEPING</t>
  </si>
  <si>
    <t>WAINSCOTT</t>
  </si>
  <si>
    <t>BEAVER</t>
  </si>
  <si>
    <t>CHARACTER LIMIT: Overtime is not guaranteed but if worked rate is paid at time and a half per hour above 40 hours per we</t>
  </si>
  <si>
    <t>First-Line Supervisors of Retail Sales Workers</t>
  </si>
  <si>
    <t>WY</t>
  </si>
  <si>
    <t>Eastern Wyoming nonmetropolitan area</t>
  </si>
  <si>
    <t>Helpers--Brickmasons, Blockmasons, Stonemasons, and Tile and Marble Setters</t>
  </si>
  <si>
    <t>Vincent</t>
  </si>
  <si>
    <t>Albany-Schenectady-Troy, NY</t>
  </si>
  <si>
    <t>Santa Rosa Beach</t>
  </si>
  <si>
    <t>Tania</t>
  </si>
  <si>
    <t>Panama City Beach</t>
  </si>
  <si>
    <t>BAY</t>
  </si>
  <si>
    <t>Panama City, FL</t>
  </si>
  <si>
    <t>Adam</t>
  </si>
  <si>
    <t>Bernard</t>
  </si>
  <si>
    <t>Aaron</t>
  </si>
  <si>
    <t>226 South 3rd Street</t>
  </si>
  <si>
    <t>Ames</t>
  </si>
  <si>
    <t>attorney@bernardfirm.com</t>
  </si>
  <si>
    <t>The Bernard Firm PLC</t>
  </si>
  <si>
    <t>Green Bay, WI</t>
  </si>
  <si>
    <t>STABLE ATTENDANT</t>
  </si>
  <si>
    <t>47 Manning Cove Road</t>
  </si>
  <si>
    <t>Malta</t>
  </si>
  <si>
    <t>Mott</t>
  </si>
  <si>
    <t>wimottrace@gmail.com</t>
  </si>
  <si>
    <t>Katiraei</t>
  </si>
  <si>
    <t>60 East 42nd Street</t>
  </si>
  <si>
    <t>Suite 4600</t>
  </si>
  <si>
    <t>katirlaw@aol.com</t>
  </si>
  <si>
    <t>Law Offices of Ron Katiraei</t>
  </si>
  <si>
    <t>Supreme Court - Third Department</t>
  </si>
  <si>
    <t xml:space="preserve">None. </t>
  </si>
  <si>
    <t>NASSAU</t>
  </si>
  <si>
    <t>Standard deductions required as by law.</t>
  </si>
  <si>
    <t>West Yellowstone</t>
  </si>
  <si>
    <t>H-400-22335-613929</t>
  </si>
  <si>
    <t>WAYNE WOOD INC</t>
  </si>
  <si>
    <t>54-2 MARINER DRIVE</t>
  </si>
  <si>
    <t>SWIATOCHA</t>
  </si>
  <si>
    <t>WAYNE</t>
  </si>
  <si>
    <t>P-400-22207-376155</t>
  </si>
  <si>
    <t>WAYNE@WAYNEWOODINC.COM</t>
  </si>
  <si>
    <t>Sanchez</t>
  </si>
  <si>
    <t>Vice President, HR</t>
  </si>
  <si>
    <t>Fort Worth</t>
  </si>
  <si>
    <t>The Supreme Court of Texas</t>
  </si>
  <si>
    <t>Anthony</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</si>
  <si>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</si>
  <si>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Jordan</t>
  </si>
  <si>
    <t>Wilson</t>
  </si>
  <si>
    <t>Hughes</t>
  </si>
  <si>
    <t>Portsmouth</t>
  </si>
  <si>
    <t>RI</t>
  </si>
  <si>
    <t>Dean</t>
  </si>
  <si>
    <t>Robinson</t>
  </si>
  <si>
    <t>P</t>
  </si>
  <si>
    <t>Providence-Warwick, RI-MA</t>
  </si>
  <si>
    <t>Landscape Labor</t>
  </si>
  <si>
    <t>CARROLL</t>
  </si>
  <si>
    <t>Min wage may be higher based on tenure, skills/abilities and/or work performance</t>
  </si>
  <si>
    <t>Only those required by law</t>
  </si>
  <si>
    <t>Zavaletta</t>
  </si>
  <si>
    <t>9726 Darnell Ln</t>
  </si>
  <si>
    <t>P.O.Box 85</t>
  </si>
  <si>
    <t>Sweet</t>
  </si>
  <si>
    <t>joseph@issacharlaw.com</t>
  </si>
  <si>
    <t>Issachar Law</t>
  </si>
  <si>
    <t>Zamora</t>
  </si>
  <si>
    <t>Johns Island</t>
  </si>
  <si>
    <t>Lyon</t>
  </si>
  <si>
    <t xml:space="preserve">1831 N Lakewood Drive </t>
  </si>
  <si>
    <t>barb@laborci.com</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</si>
  <si>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</si>
  <si>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HUMAN RESOURCES</t>
  </si>
  <si>
    <t>SEHEULT</t>
  </si>
  <si>
    <t>MALCOLM</t>
  </si>
  <si>
    <t>7601 EAST TREASURE DR</t>
  </si>
  <si>
    <t>NORTH BAY VILLAGE</t>
  </si>
  <si>
    <t>ges-america@outlook.com</t>
  </si>
  <si>
    <t>GLOBAL EMPLOYMENT SERVICES</t>
  </si>
  <si>
    <t>DIRECTOR OF OPERATIONS</t>
  </si>
  <si>
    <t>LAUNDRY ATTENDANT</t>
  </si>
  <si>
    <t>Laundry and Dry-Cleaning Workers</t>
  </si>
  <si>
    <t>Landscaping Laborer</t>
  </si>
  <si>
    <t>Suite#2</t>
  </si>
  <si>
    <t>EAST BATON ROUGE</t>
  </si>
  <si>
    <t>www.louisianaworks.net</t>
  </si>
  <si>
    <t>Lee</t>
  </si>
  <si>
    <t>BREWSTER</t>
  </si>
  <si>
    <t>Food Preparation Worker</t>
  </si>
  <si>
    <t>Baton Rouge</t>
  </si>
  <si>
    <t>K</t>
  </si>
  <si>
    <t xml:space="preserve">Baton Rouge </t>
  </si>
  <si>
    <t>Norfolk</t>
  </si>
  <si>
    <t>VP</t>
  </si>
  <si>
    <t>NORFOLK</t>
  </si>
  <si>
    <t>MADISON</t>
  </si>
  <si>
    <t>Northeast Nebraska nonmetropolitan area</t>
  </si>
  <si>
    <t>Coeur d Alene</t>
  </si>
  <si>
    <t>Vice-President</t>
  </si>
  <si>
    <t>PASCO</t>
  </si>
  <si>
    <t>MCCARTHY</t>
  </si>
  <si>
    <t>MICHELE</t>
  </si>
  <si>
    <t>TAMPA</t>
  </si>
  <si>
    <t>mmccarthyimmigrationlawyer1@outlook.com</t>
  </si>
  <si>
    <t>NEW YORK APPELLATE COURT AND WASHINGTON STATE SUPREME C</t>
  </si>
  <si>
    <t>West Valley City</t>
  </si>
  <si>
    <t>Dining Room Attendant</t>
  </si>
  <si>
    <t>MARCUS</t>
  </si>
  <si>
    <t>W.</t>
  </si>
  <si>
    <t>GM</t>
  </si>
  <si>
    <t>Arlington</t>
  </si>
  <si>
    <t>Jim</t>
  </si>
  <si>
    <t>East North Dakota nonmetropolitan area</t>
  </si>
  <si>
    <t>Highway Maintenance Worker</t>
  </si>
  <si>
    <t>Berscheid</t>
  </si>
  <si>
    <t>1831 N Lakewood Dr</t>
  </si>
  <si>
    <t>Bonnie@laborci.com</t>
  </si>
  <si>
    <t>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t>
  </si>
  <si>
    <t>121 Nixon Street SE</t>
  </si>
  <si>
    <t>Cascade</t>
  </si>
  <si>
    <t>Demmer</t>
  </si>
  <si>
    <t>office@easterniowaexcavating.com</t>
  </si>
  <si>
    <t>Solon</t>
  </si>
  <si>
    <t>Iowa City, IA</t>
  </si>
  <si>
    <t>High Ridge</t>
  </si>
  <si>
    <t xml:space="preserve">H&amp;W Benefits may apply. </t>
  </si>
  <si>
    <t>New Orleans-Metairie, LA</t>
  </si>
  <si>
    <t>TULSA</t>
  </si>
  <si>
    <t>Tulsa, OK</t>
  </si>
  <si>
    <t>Herrera</t>
  </si>
  <si>
    <t>Hector</t>
  </si>
  <si>
    <t>Bailey</t>
  </si>
  <si>
    <t>www.ohiomeansjobs.ohio.gov</t>
  </si>
  <si>
    <t>L.</t>
  </si>
  <si>
    <t>PETRINA</t>
  </si>
  <si>
    <t>PETER</t>
  </si>
  <si>
    <t>21 SUN PATH RD</t>
  </si>
  <si>
    <t>ITHACA</t>
  </si>
  <si>
    <t>INFO@PETRINAGROUP.COM</t>
  </si>
  <si>
    <t>ORANGE</t>
  </si>
  <si>
    <t>WESTCHESTER</t>
  </si>
  <si>
    <t>CHATHAM</t>
  </si>
  <si>
    <t>Patricia</t>
  </si>
  <si>
    <t>POLK</t>
  </si>
  <si>
    <t>Lakeland-Winter Haven, FL</t>
  </si>
  <si>
    <t xml:space="preserve"> Amusement &amp; Recreation Attendant – Traveling Carnival</t>
  </si>
  <si>
    <t>Hollywood</t>
  </si>
  <si>
    <t>Mason</t>
  </si>
  <si>
    <t>Harry</t>
  </si>
  <si>
    <t>brassringamuse@aol.com</t>
  </si>
  <si>
    <t>BROWARD</t>
  </si>
  <si>
    <t>none</t>
  </si>
  <si>
    <t>Kirchner</t>
  </si>
  <si>
    <t>Meagan</t>
  </si>
  <si>
    <t>Ashley</t>
  </si>
  <si>
    <t>meagan@wyngaardlaw.com</t>
  </si>
  <si>
    <t>Virginia Supreme Court</t>
  </si>
  <si>
    <t>Laborer</t>
  </si>
  <si>
    <t>Pamlico Pool Company Inc.</t>
  </si>
  <si>
    <t>2585 N. Columbia St.</t>
  </si>
  <si>
    <t>Milledgeville</t>
  </si>
  <si>
    <t>Cox</t>
  </si>
  <si>
    <t>Curtis</t>
  </si>
  <si>
    <t>office@pamlicopools.com</t>
  </si>
  <si>
    <t>Luchak</t>
  </si>
  <si>
    <t>tluchak@fewaglobal.org</t>
  </si>
  <si>
    <t>Random drug testing during employment; Pre-employment drug testing required, Able to lift 50lbs, No smoking in company vehicles, Monday-Friday, Schedule Varies, Some weekends may be required, End times vary,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</si>
  <si>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BALDWIN</t>
  </si>
  <si>
    <t>Middle Georgia nonmetropolitan area</t>
  </si>
  <si>
    <t>Raises at employer's discretion</t>
  </si>
  <si>
    <t>P-400-22214-391641</t>
  </si>
  <si>
    <t>MEDINA</t>
  </si>
  <si>
    <t>all state and federal taxes required by law</t>
  </si>
  <si>
    <t>Brent</t>
  </si>
  <si>
    <t>Fragomen, Del Rey, Bernsen &amp; Loewy, LLP</t>
  </si>
  <si>
    <t>Monmouth</t>
  </si>
  <si>
    <t>West Central Illinois nonmetropolitan area</t>
  </si>
  <si>
    <t xml:space="preserve">P. </t>
  </si>
  <si>
    <t>Kansas City</t>
  </si>
  <si>
    <t>Landscape Technician</t>
  </si>
  <si>
    <t>Wyscape, LLC</t>
  </si>
  <si>
    <t>Wyscape Landscape Contractors</t>
  </si>
  <si>
    <t>312 Ellis Ave.</t>
  </si>
  <si>
    <t>Mailing: P.O. Box 1681, Niceville, FL 32588</t>
  </si>
  <si>
    <t>Niceville</t>
  </si>
  <si>
    <t>Wise</t>
  </si>
  <si>
    <t>Landon</t>
  </si>
  <si>
    <t>landon@wyscape.com</t>
  </si>
  <si>
    <t>Ryman</t>
  </si>
  <si>
    <t>2901 Bucks Bayou Rd.</t>
  </si>
  <si>
    <t>vryman@fewaglobal.org</t>
  </si>
  <si>
    <t>312 Ellis Avenue</t>
  </si>
  <si>
    <t>OKALOOSA</t>
  </si>
  <si>
    <t>Crestview-Fort Walton Beach-Destin, FL</t>
  </si>
  <si>
    <t>Raises and bonuses at employer's discretion.</t>
  </si>
  <si>
    <t>P-400-22215-395023</t>
  </si>
  <si>
    <t>info@wyscape.com</t>
  </si>
  <si>
    <t>Employer may make payroll deductions at employee's request. Employer facilitates corresponding deductions for available health benefits.</t>
  </si>
  <si>
    <t>Margaret</t>
  </si>
  <si>
    <t>Seals</t>
  </si>
  <si>
    <t>lseals@fewaglobal.org</t>
  </si>
  <si>
    <t>Collegeville</t>
  </si>
  <si>
    <t>Raise at employer's discretion</t>
  </si>
  <si>
    <t>P.O. Box 137</t>
  </si>
  <si>
    <t>Joe</t>
  </si>
  <si>
    <t>Vice President of Human Resources</t>
  </si>
  <si>
    <t>Helpers--Roofers</t>
  </si>
  <si>
    <t>Indianapolis</t>
  </si>
  <si>
    <t>IN</t>
  </si>
  <si>
    <t>Indianapolis-Carmel-Anderson, IN</t>
  </si>
  <si>
    <t xml:space="preserve">Employer may make payroll deductions at employee's request.
Employer facilitates corresponding deductions for available health benefits. </t>
  </si>
  <si>
    <t>ST CLAIR</t>
  </si>
  <si>
    <t>Maintenance and Repair Workers, General</t>
  </si>
  <si>
    <t>Justin</t>
  </si>
  <si>
    <t>Coral Springs</t>
  </si>
  <si>
    <t xml:space="preserve">Supreme Court </t>
  </si>
  <si>
    <t>Suite 102</t>
  </si>
  <si>
    <t>Tom</t>
  </si>
  <si>
    <t>Employer may make payroll deductions at employee's request. Employer facilitates voluntary housing arrangements</t>
  </si>
  <si>
    <t>First-Line Supervisors of Food Preparation and Serving Workers</t>
  </si>
  <si>
    <t>Front Desk Clerk</t>
  </si>
  <si>
    <t>Owner/President</t>
  </si>
  <si>
    <t>Stonemasons</t>
  </si>
  <si>
    <t>Raises/bonuses at employer's discretion.</t>
  </si>
  <si>
    <t xml:space="preserve">Server </t>
  </si>
  <si>
    <t>Hilton Head</t>
  </si>
  <si>
    <t>Avery</t>
  </si>
  <si>
    <t>Gary</t>
  </si>
  <si>
    <t>WAKE</t>
  </si>
  <si>
    <t>Raleigh, NC</t>
  </si>
  <si>
    <t>Line Cook</t>
  </si>
  <si>
    <t>Dealer</t>
  </si>
  <si>
    <t>Gambling Dealers</t>
  </si>
  <si>
    <t>Casino Vicksburg LLC</t>
  </si>
  <si>
    <t>3990 Washington Street</t>
  </si>
  <si>
    <t>Vicksburg</t>
  </si>
  <si>
    <t>Rosia</t>
  </si>
  <si>
    <t>rwilson@waterviewcasino.com</t>
  </si>
  <si>
    <t xml:space="preserve">3990 Washington Street </t>
  </si>
  <si>
    <t>Southwest Mississippi nonmetropolitan area</t>
  </si>
  <si>
    <t>P-400-22251-461933</t>
  </si>
  <si>
    <t>H-400-22335-614649</t>
  </si>
  <si>
    <t>B. Koth Landscape Contractors, LLC</t>
  </si>
  <si>
    <t>786 Ridgewood Ave.</t>
  </si>
  <si>
    <t>Mailing: PO Box 21, Oradell, NJ 07649</t>
  </si>
  <si>
    <t>Oradell</t>
  </si>
  <si>
    <t>Koth</t>
  </si>
  <si>
    <t>Brendan</t>
  </si>
  <si>
    <t>bckoth@gmail.com</t>
  </si>
  <si>
    <t xml:space="preserve">Able to lift 70lbs. Monday-Friday, some Saturdays as needed, schedule varies, overtime varies. 3 months experience required as landscape laborer.
</t>
  </si>
  <si>
    <t>103 Woodland Avenue</t>
  </si>
  <si>
    <t>Westwood</t>
  </si>
  <si>
    <t>BERGEN</t>
  </si>
  <si>
    <t>Raise/bonuses at employer's discretion. Opportunity for higher pay and bonuses based on employee performance.</t>
  </si>
  <si>
    <t>P-400-22209-381446</t>
  </si>
  <si>
    <t>bkothlandscape@gmail.com</t>
  </si>
  <si>
    <t>H-400-22335-616397</t>
  </si>
  <si>
    <t>Driver &amp; Tent Installer</t>
  </si>
  <si>
    <t>Peerless Events &amp; Tents Operations, LLC</t>
  </si>
  <si>
    <t>Peerless Events &amp; Tents</t>
  </si>
  <si>
    <t>10717 I-35</t>
  </si>
  <si>
    <t>Aragon</t>
  </si>
  <si>
    <t>Alicia</t>
  </si>
  <si>
    <t>Director of HR</t>
  </si>
  <si>
    <t>4101 Smith School Rd Building 3 Suite 200</t>
  </si>
  <si>
    <t>will@peerlesseventsandtents.com</t>
  </si>
  <si>
    <t>P-400-22270-496513</t>
  </si>
  <si>
    <t>Healthcare options available Healthcare $79.33, Vision/dental $23.08 and Colonial term life $3-14.00 (subject to change).  Option to deduct healthcare costs from pay. Deductions will not drop the overall wage below the UDSOL minimum, if the deductions are too great they will not be made.  Employer may assist with finding and/or securing housing, employer is NOT providing housing.</t>
  </si>
  <si>
    <t>Lifeguard</t>
  </si>
  <si>
    <t>https://jobs.mo.gov</t>
  </si>
  <si>
    <t>Seafood Processor</t>
  </si>
  <si>
    <t>Canonsburg</t>
  </si>
  <si>
    <t>Ibarra</t>
  </si>
  <si>
    <t>Chelsea</t>
  </si>
  <si>
    <t>duck3127@maslabor.com</t>
  </si>
  <si>
    <t>Savannah, GA</t>
  </si>
  <si>
    <t>Pittsburgh</t>
  </si>
  <si>
    <t>www.pacareerlink.pa.gov</t>
  </si>
  <si>
    <t>Hagie</t>
  </si>
  <si>
    <t>Centennial</t>
  </si>
  <si>
    <t>ARAPAHOE</t>
  </si>
  <si>
    <t>Brighton</t>
  </si>
  <si>
    <t>Roofer</t>
  </si>
  <si>
    <t>Marco</t>
  </si>
  <si>
    <t>Omaha</t>
  </si>
  <si>
    <t>MACOMB</t>
  </si>
  <si>
    <t>Denise</t>
  </si>
  <si>
    <t>Cleveland</t>
  </si>
  <si>
    <t>Natural Lawn and Landscape LLC</t>
  </si>
  <si>
    <t>113 Shortleaf Pine Dr.</t>
  </si>
  <si>
    <t>Mailing: P.O. Box 108, O'Fallon, MO 63366</t>
  </si>
  <si>
    <t>Henry</t>
  </si>
  <si>
    <t>naturallawnandlandscape@live.com</t>
  </si>
  <si>
    <t>Pre-hire background check required; Random drug testing during employment, Able to lift 50lbs, Monday-Saturday, Schedule Varies, Some Sundays may be required, Additional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</si>
  <si>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533 Peruque Creek Road</t>
  </si>
  <si>
    <t>O'Fallon</t>
  </si>
  <si>
    <t>P-400-22220-401873</t>
  </si>
  <si>
    <t>Carrollton</t>
  </si>
  <si>
    <t>Raise/bonus at employer's discretion</t>
  </si>
  <si>
    <t>Employer may make payroll deductions at employee's request. Employer facilitates corresponding deductions for available health benefits</t>
  </si>
  <si>
    <t>Hotel, Motel, and Resort Desk Clerks</t>
  </si>
  <si>
    <t>Suite 203</t>
  </si>
  <si>
    <t>Grimes</t>
  </si>
  <si>
    <t>Blood</t>
  </si>
  <si>
    <t>Authorized Signatory</t>
  </si>
  <si>
    <t>29 Main Street</t>
  </si>
  <si>
    <t>Amesbury</t>
  </si>
  <si>
    <t>Room Attendant</t>
  </si>
  <si>
    <t>Bozeman</t>
  </si>
  <si>
    <t xml:space="preserve">Miller </t>
  </si>
  <si>
    <t>HAYWOOD</t>
  </si>
  <si>
    <t>WALTON</t>
  </si>
  <si>
    <t>OWNER/MANAGER</t>
  </si>
  <si>
    <t>Elgin</t>
  </si>
  <si>
    <t>Eduardo</t>
  </si>
  <si>
    <t>Mullinax</t>
  </si>
  <si>
    <t>4622 Boring Pond Rd</t>
  </si>
  <si>
    <t>Valdosta</t>
  </si>
  <si>
    <t>h2visas@aol.com</t>
  </si>
  <si>
    <t>USA Works Inc</t>
  </si>
  <si>
    <t xml:space="preserve">All deductions as required by law. Advanced wages, if any. </t>
  </si>
  <si>
    <t>Walter</t>
  </si>
  <si>
    <t>Greg</t>
  </si>
  <si>
    <t>President / CEO</t>
  </si>
  <si>
    <t>yelena.vilk@pabianlaw.com</t>
  </si>
  <si>
    <t>Hendersonville</t>
  </si>
  <si>
    <t>Gray</t>
  </si>
  <si>
    <t>SUMNER</t>
  </si>
  <si>
    <t>Employer may make payroll deductions at employee's request; Employer facilitates voluntary housing arrangements</t>
  </si>
  <si>
    <t>DINING ROOM ATTENDANTS</t>
  </si>
  <si>
    <t>CLARK</t>
  </si>
  <si>
    <t>OPERATIONS MANAGER</t>
  </si>
  <si>
    <t>De Los Santos</t>
  </si>
  <si>
    <t>Joanly</t>
  </si>
  <si>
    <t xml:space="preserve">6155 Park Square Dr. </t>
  </si>
  <si>
    <t>Suite 2</t>
  </si>
  <si>
    <t>Lorain</t>
  </si>
  <si>
    <t>joanly@navyfinancial.com</t>
  </si>
  <si>
    <t>Navy Financial</t>
  </si>
  <si>
    <t>American Lawn Sprinkler Co. Inc</t>
  </si>
  <si>
    <t>31 Park Avenue</t>
  </si>
  <si>
    <t>Englishtown</t>
  </si>
  <si>
    <t>Rogers</t>
  </si>
  <si>
    <t>Steve</t>
  </si>
  <si>
    <t>ianm@americanlawnandsprinkler.com</t>
  </si>
  <si>
    <t>P-400-22287-529957</t>
  </si>
  <si>
    <t>Employer may make payroll deductions at employee's request. Employer facilitates corresponding deductions for available health benefits. Employer facilitates voluntary housing arrangements upon request</t>
  </si>
  <si>
    <t>www.americanlawnandsprinkler.com</t>
  </si>
  <si>
    <t>Hurley</t>
  </si>
  <si>
    <t>SOMERSET</t>
  </si>
  <si>
    <t>HUMAN RESOURCES MANAGER</t>
  </si>
  <si>
    <t>Shelby</t>
  </si>
  <si>
    <t>Fisher</t>
  </si>
  <si>
    <t>H-400-22335-614646</t>
  </si>
  <si>
    <t>Haynie's Lawn and Landscape LLC</t>
  </si>
  <si>
    <t>1426 East Shipley Ferry Road</t>
  </si>
  <si>
    <t>Mailing: P.O. Box 5622, Kingsport, TN 37663</t>
  </si>
  <si>
    <t>Kingsport</t>
  </si>
  <si>
    <t>Haynie</t>
  </si>
  <si>
    <t>info@haynieslandscape.com</t>
  </si>
  <si>
    <t xml:space="preserve">Able to lift 50lbs. Monday-Friday, some Saturdays required, schedule varies, start/end times vary, overtime varies.
</t>
  </si>
  <si>
    <t>SULLIVAN</t>
  </si>
  <si>
    <t>Kingsport-Bristol-Bristol, TN-VA</t>
  </si>
  <si>
    <t>Raise/Bonuses at employer's discretion.</t>
  </si>
  <si>
    <t>P-400-22255-466102</t>
  </si>
  <si>
    <t>H-400-22335-614515</t>
  </si>
  <si>
    <t>Landscape Crew Member</t>
  </si>
  <si>
    <t>Mullin Landscape Associates, LLC</t>
  </si>
  <si>
    <t>10356 River Road</t>
  </si>
  <si>
    <t>St. Rose</t>
  </si>
  <si>
    <t>Mullin, Jr.</t>
  </si>
  <si>
    <t>Charles</t>
  </si>
  <si>
    <t>nubia@mullinlandscape.com</t>
  </si>
  <si>
    <t xml:space="preserve">Must be physically able to stand, walk, crouch, stoop,  kneel, reach, lift and/or move up to 80 pounds and tolerate occasional exposure to homeowner's pets. Smoke free workplace. Drug free workplace. Pre-employment, upon suspicion, and post- accident drug testing and background  checks will be carried out equally between U.S. workers and H-2B workers at employers expense. Negative results required prior to starting work. Background checks are conducted at the employers expense. Generally we do not employ persons convicted of sex related crimes, theft, violent crimes or drug related crimes. Individual circumstances are taken into consideration.  Must possess a working knowledge of standard horticultural practices, including but not limited to planting, pruning, corrective pruning, and fertilization. Employer may offer more than the stated work hours depending on weather, business needs, and other conditions. Extreme heat, cold, rain, or drought may affect exact working hours.
</t>
  </si>
  <si>
    <t>P-400-22255-467321</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</si>
  <si>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Voluntary advances and/or loans made to workers, if any, may be repaid by pre-authorized payroll deductions. Uniform provided at no cost. Employer may deduct cost for voluntary purchase of additional uniforms for worker's benefit. No daily transportation to/from work provided. Employer provides incidental transportation between worksites as necessary. Such transportation complies with all applicable Federal, State, and local laws/regulations.</t>
  </si>
  <si>
    <t>https://www.laworks.net/</t>
  </si>
  <si>
    <t>V</t>
  </si>
  <si>
    <t>H-400-22335-613728</t>
  </si>
  <si>
    <t>Atlantic Resort Managers</t>
  </si>
  <si>
    <t>Omni Hilton Head Oceanfront Resort</t>
  </si>
  <si>
    <t>23 Ocean Lane</t>
  </si>
  <si>
    <t>Beek</t>
  </si>
  <si>
    <t>Dorothy</t>
  </si>
  <si>
    <t>Director of Associate Services</t>
  </si>
  <si>
    <t>dbeek@omnihotels.com</t>
  </si>
  <si>
    <t xml:space="preserve">No minimum education or experience required. Must be able to lift, push, and pull 50 lbs. Must be able to work weekends and holidays. Applicants must complete an employment application. Employer will offer 40 hours of work per week. Resort is open 7 days a week, workdays vary Sunday-Saturday. Rotating schedule, shift times 7am-4pm, 9am-6pm, 12pm-9pm, 3pm-12am, and 11pm-8am (includes 1-hour unpaid break).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</si>
  <si>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 xml:space="preserve">. Employer may increase wage based on experience and/or provide additional pay for performance and tenure. </t>
  </si>
  <si>
    <t>P-400-22152-230533</t>
  </si>
  <si>
    <t xml:space="preserve">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t>
  </si>
  <si>
    <t>Seneca</t>
  </si>
  <si>
    <t>CLINTAR LANDSCAPE MANAGEMENT</t>
  </si>
  <si>
    <t>204 SWEETMANS LANE</t>
  </si>
  <si>
    <t>MILLSTONE</t>
  </si>
  <si>
    <t>MURPHY</t>
  </si>
  <si>
    <t>BURLINGTON</t>
  </si>
  <si>
    <t>DMURPHY@ONSITELM.COM</t>
  </si>
  <si>
    <t>GWINNETT</t>
  </si>
  <si>
    <t>Harrisburg</t>
  </si>
  <si>
    <t>Sioux Falls, SD</t>
  </si>
  <si>
    <t>Helpers--Carpenters</t>
  </si>
  <si>
    <t>Dennis</t>
  </si>
  <si>
    <t>DUBUQUE</t>
  </si>
  <si>
    <t>Dubuque, IA</t>
  </si>
  <si>
    <t>Raleigh</t>
  </si>
  <si>
    <t>jobs.scworks.org/vosnet/Default.aspx</t>
  </si>
  <si>
    <t>ASCENSION</t>
  </si>
  <si>
    <t>louisianaworks.net/hire/vosnet/Default.aspx</t>
  </si>
  <si>
    <t>Mincin</t>
  </si>
  <si>
    <t>Lakewood</t>
  </si>
  <si>
    <t>Jason</t>
  </si>
  <si>
    <t>Burlingame</t>
  </si>
  <si>
    <t>San Francisco-Oakland-Hayward, CA</t>
  </si>
  <si>
    <t>Cooks, Institution and Cafeteria</t>
  </si>
  <si>
    <t>Myrtle Beach</t>
  </si>
  <si>
    <t>Velasquez</t>
  </si>
  <si>
    <t>Paula</t>
  </si>
  <si>
    <t>HORRY</t>
  </si>
  <si>
    <t>Pensacola</t>
  </si>
  <si>
    <t>ESCAMBIA</t>
  </si>
  <si>
    <t>Pensacola-Ferry Pass-Brent, FL</t>
  </si>
  <si>
    <t>Nantucket</t>
  </si>
  <si>
    <t>NANTUCKET</t>
  </si>
  <si>
    <t>DUPAGE</t>
  </si>
  <si>
    <t>GREGO</t>
  </si>
  <si>
    <t>SERVER</t>
  </si>
  <si>
    <t>McDougal</t>
  </si>
  <si>
    <t xml:space="preserve">Must be able to lift 50 lbs
</t>
  </si>
  <si>
    <t>State and Federal Taxes</t>
  </si>
  <si>
    <t>Northrop</t>
  </si>
  <si>
    <t>Lawrence</t>
  </si>
  <si>
    <t>Frank</t>
  </si>
  <si>
    <t>LAFAYETTE</t>
  </si>
  <si>
    <t>Chesterland</t>
  </si>
  <si>
    <t>GEAUGA</t>
  </si>
  <si>
    <t>employgeorgia.com</t>
  </si>
  <si>
    <t>Southeast Iowa nonmetropolitan area</t>
  </si>
  <si>
    <t xml:space="preserve">King Cut Landscaping, Inc. </t>
  </si>
  <si>
    <t>146 Station Rd</t>
  </si>
  <si>
    <t>Glen Mills</t>
  </si>
  <si>
    <t>Monaco</t>
  </si>
  <si>
    <t>kingcut2000@yahoo.com</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</si>
  <si>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</si>
  <si>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146 Station Rd (Report to Work)</t>
  </si>
  <si>
    <t>P-400-22221-404102</t>
  </si>
  <si>
    <t>Cashiers</t>
  </si>
  <si>
    <t>Alstede Farms, LLC</t>
  </si>
  <si>
    <t>Alstede Farms</t>
  </si>
  <si>
    <t>1 Alstede Farms Lane</t>
  </si>
  <si>
    <t>Mailing: P.O. Box 278, Chester, NJ 07930</t>
  </si>
  <si>
    <t>Chester</t>
  </si>
  <si>
    <t>Alstede</t>
  </si>
  <si>
    <t>Kurt</t>
  </si>
  <si>
    <t>kurt@alstedefarms.com</t>
  </si>
  <si>
    <t>Raise/bonus at employer's discretion.</t>
  </si>
  <si>
    <t>Employer may make payroll deductions at employee's request. Employer facilitates voluntary housing arrangements upon worker request along with corresponding payroll deductions of $300/pay period.</t>
  </si>
  <si>
    <t>info@alstedefarms.com</t>
  </si>
  <si>
    <t>PORTSMOUTH CITY</t>
  </si>
  <si>
    <t>DICKINSON</t>
  </si>
  <si>
    <t>Alexandra</t>
  </si>
  <si>
    <t>Secretary</t>
  </si>
  <si>
    <t>Raises/bonuses may be offered to worker @ company's sole discretion based on work performance, skill, tenure </t>
  </si>
  <si>
    <t>Bi-Weekly</t>
  </si>
  <si>
    <t>Rapid City, SD</t>
  </si>
  <si>
    <t>Cooling and Freezing Equipment Operators and Tenders</t>
  </si>
  <si>
    <t>RICHARD</t>
  </si>
  <si>
    <t>EVERETT CITY</t>
  </si>
  <si>
    <t>Boston-Cambridge-Nashua, MA-NH</t>
  </si>
  <si>
    <t>FAIRFAX</t>
  </si>
  <si>
    <t>Alvarez</t>
  </si>
  <si>
    <t>Bedell</t>
  </si>
  <si>
    <t>john@hvisasolutions.com</t>
  </si>
  <si>
    <t>Wilmington</t>
  </si>
  <si>
    <t>DE</t>
  </si>
  <si>
    <t>NEW CASTLE</t>
  </si>
  <si>
    <t>VISIT TUSCANY LLC</t>
  </si>
  <si>
    <t>GUSTO ITALIAN CAFE</t>
  </si>
  <si>
    <t>23 MAIN STREET</t>
  </si>
  <si>
    <t>CENTER HARBOR</t>
  </si>
  <si>
    <t>GAGLIARDI</t>
  </si>
  <si>
    <t>NICK</t>
  </si>
  <si>
    <t>gustoitaliancafe@gmail.com</t>
  </si>
  <si>
    <t>Ward</t>
  </si>
  <si>
    <t>Angela</t>
  </si>
  <si>
    <t>717 SE 12th Court</t>
  </si>
  <si>
    <t>Apt #6</t>
  </si>
  <si>
    <t>FORT LAUDERDALE</t>
  </si>
  <si>
    <t>Award@angelawardlaw.com</t>
  </si>
  <si>
    <t>L'Avant Business Solutions</t>
  </si>
  <si>
    <t>Westbury</t>
  </si>
  <si>
    <t>Donna</t>
  </si>
  <si>
    <t>Milwaukee</t>
  </si>
  <si>
    <t>MILWAUKEE</t>
  </si>
  <si>
    <t>Milwaukee-Waukesha-West Allis, WI</t>
  </si>
  <si>
    <t>Country Acres Landscaping, LLC</t>
  </si>
  <si>
    <t>71 Britton Road</t>
  </si>
  <si>
    <t>Mailing: P.O. Box 727, Flemington, NJ 08822</t>
  </si>
  <si>
    <t>Stockton</t>
  </si>
  <si>
    <t>Scollo</t>
  </si>
  <si>
    <t>craig@countryacreslandscaping.com</t>
  </si>
  <si>
    <t xml:space="preserve">M-F, Overtime varies. Able to lift 50lbs. Non-smoking position.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</si>
  <si>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HUNTERDON</t>
  </si>
  <si>
    <t>Raise at employer's discretion. Opportunity for higher pay depending on experience.</t>
  </si>
  <si>
    <t>P-400-22234-429205</t>
  </si>
  <si>
    <t>Andrews</t>
  </si>
  <si>
    <t>Claremore</t>
  </si>
  <si>
    <t>FisherBroyles LLP</t>
  </si>
  <si>
    <t>ROGERS</t>
  </si>
  <si>
    <t>Radio, Cellular, and Tower Equipment Installers and Repairers</t>
  </si>
  <si>
    <t>Jennifer</t>
  </si>
  <si>
    <t>Supreme Court of Illinois</t>
  </si>
  <si>
    <t>HINDS</t>
  </si>
  <si>
    <t>Jackson, MS</t>
  </si>
  <si>
    <t>Nanny</t>
  </si>
  <si>
    <t>Childcare Workers</t>
  </si>
  <si>
    <t>Corey</t>
  </si>
  <si>
    <t>KING</t>
  </si>
  <si>
    <t>Seattle-Tacoma-Bellevue, WA</t>
  </si>
  <si>
    <t>Omaha-Council Bluffs, NE-IA</t>
  </si>
  <si>
    <t>CLAY</t>
  </si>
  <si>
    <t>Jacksonville, FL</t>
  </si>
  <si>
    <t>Plano</t>
  </si>
  <si>
    <t>Davis</t>
  </si>
  <si>
    <t>Valerie</t>
  </si>
  <si>
    <t>Supreme Court of Pennsylvania</t>
  </si>
  <si>
    <t>Fishing Creek</t>
  </si>
  <si>
    <t>Patrick</t>
  </si>
  <si>
    <t>Baltimore</t>
  </si>
  <si>
    <t>DORCHESTER</t>
  </si>
  <si>
    <t>GARDINER'S BAY COUNTRY CLUB</t>
  </si>
  <si>
    <t>12 DINAH ROCK ROAD</t>
  </si>
  <si>
    <t>SHELTER ISLAND HEIGHTS</t>
  </si>
  <si>
    <t xml:space="preserve">12 DINAH ROCK ROAD </t>
  </si>
  <si>
    <t>CMARCUS@GARDINERSBAY.ORG</t>
  </si>
  <si>
    <t>The Ohio Valley Group, Inc.</t>
  </si>
  <si>
    <t>16965 Park Circle Drive</t>
  </si>
  <si>
    <t>Chagrin Falls</t>
  </si>
  <si>
    <t>Dangelo</t>
  </si>
  <si>
    <t>Kathleen</t>
  </si>
  <si>
    <t>B.</t>
  </si>
  <si>
    <t>Dangelo@ohiovalleygroup.com</t>
  </si>
  <si>
    <t>16965 Park Circle Dr.</t>
  </si>
  <si>
    <t>P-400-22235-432736</t>
  </si>
  <si>
    <t>Caseyville</t>
  </si>
  <si>
    <t>Raises and/or bonuses may be offered based on individual factors or due to contract requirements.</t>
  </si>
  <si>
    <t>www.okjobmatch.com</t>
  </si>
  <si>
    <t>Suite 400</t>
  </si>
  <si>
    <t>PARTNER</t>
  </si>
  <si>
    <t>Grand Forks, ND-MN</t>
  </si>
  <si>
    <t>HUNT</t>
  </si>
  <si>
    <t>Food Cooking Machine Operators and Tenders</t>
  </si>
  <si>
    <t>CONSTRUCTION LABORER</t>
  </si>
  <si>
    <t>JUDITH</t>
  </si>
  <si>
    <t>H-400-22335-614435</t>
  </si>
  <si>
    <t>PRATT'S LAWN &amp; LANDSCAPE, INC.</t>
  </si>
  <si>
    <t>1839 LEXINGTON RD</t>
  </si>
  <si>
    <t>PRATT</t>
  </si>
  <si>
    <t>PHILLIP</t>
  </si>
  <si>
    <t>phillip@prattslandscape.com</t>
  </si>
  <si>
    <t>POST-HIRE DRUG SCREEN AT EMPLOYERS EXPENSE. MUST BE ABLE TO LIFT 25 LBS. EXTENSIVE PUSHING , PULLING AND WALKING. FREQUENT STOOPING. EXPOSURE TO EXTREME TEMPERATURES.
SCHEDULE VARIES, OVERTIME AVAILABLE AS NEEDED.</t>
  </si>
  <si>
    <t>1839 LEXINGTON ROAD</t>
  </si>
  <si>
    <t>P-400-22199-359287</t>
  </si>
  <si>
    <t>info@prattslandscape.com</t>
  </si>
  <si>
    <t>Daphne-Fairhope-Foley, AL</t>
  </si>
  <si>
    <t>WWW.WORKINTEXAS.COM</t>
  </si>
  <si>
    <t>Marion</t>
  </si>
  <si>
    <t>Bronx</t>
  </si>
  <si>
    <t>Devon</t>
  </si>
  <si>
    <t>BRONX</t>
  </si>
  <si>
    <t>CLEVELAND</t>
  </si>
  <si>
    <t>EDWARD</t>
  </si>
  <si>
    <t>Cindy</t>
  </si>
  <si>
    <t>1303 ROBINHOOD LN N</t>
  </si>
  <si>
    <t>Lakeland</t>
  </si>
  <si>
    <t>LABORER, GENERAL</t>
  </si>
  <si>
    <t>Southwest Colorado nonmetropolitan area</t>
  </si>
  <si>
    <t>POOL CLEANER</t>
  </si>
  <si>
    <t>AQUACADE SWIMMING POOL INC</t>
  </si>
  <si>
    <t>109 STEWART AVENUE</t>
  </si>
  <si>
    <t>HICKSVILLE</t>
  </si>
  <si>
    <t>VEVANTE</t>
  </si>
  <si>
    <t>109 STEWART AVE</t>
  </si>
  <si>
    <t>P-400-22192-342278</t>
  </si>
  <si>
    <t>KEVIN@AQUACADEPOOLS.COM</t>
  </si>
  <si>
    <t>NEWPORT</t>
  </si>
  <si>
    <t>Salt Lake City</t>
  </si>
  <si>
    <t xml:space="preserve">Landscaper </t>
  </si>
  <si>
    <t>Grass Works Lawn Care, LLC</t>
  </si>
  <si>
    <t>11318 Trails End Road</t>
  </si>
  <si>
    <t>Leander</t>
  </si>
  <si>
    <t>MyCue</t>
  </si>
  <si>
    <t>Ferris</t>
  </si>
  <si>
    <t>fmycue@yahoo.com</t>
  </si>
  <si>
    <t>109 The Hills Road</t>
  </si>
  <si>
    <t>Horseshoe Bay</t>
  </si>
  <si>
    <t>BURNET</t>
  </si>
  <si>
    <t>P-400-22224-414720</t>
  </si>
  <si>
    <t>info@grassworksaustin.com</t>
  </si>
  <si>
    <t>Jeremy</t>
  </si>
  <si>
    <t>Fenton</t>
  </si>
  <si>
    <t xml:space="preserve">2901 Bucks Bayou Rd	</t>
  </si>
  <si>
    <t>RUIDOSO</t>
  </si>
  <si>
    <t>Eastern New Mexico nonmetropolitan area</t>
  </si>
  <si>
    <t>DESK CLERKS</t>
  </si>
  <si>
    <t>Watertown</t>
  </si>
  <si>
    <t>WATERTOWN CITY</t>
  </si>
  <si>
    <t>PO BOX 1140</t>
  </si>
  <si>
    <t>Roger</t>
  </si>
  <si>
    <t>Chief Operating Officer</t>
  </si>
  <si>
    <t>South Nebraska nonmetropolitan area</t>
  </si>
  <si>
    <t>Carpenter</t>
  </si>
  <si>
    <t xml:space="preserve">Cook </t>
  </si>
  <si>
    <t>Boston</t>
  </si>
  <si>
    <t>Riverview</t>
  </si>
  <si>
    <t>Anderson Jr</t>
  </si>
  <si>
    <t>Terrance</t>
  </si>
  <si>
    <t>1905 NW Corporate Boulevard</t>
  </si>
  <si>
    <t>Suite 310</t>
  </si>
  <si>
    <t>tw.anderson@nelsonmullins.com</t>
  </si>
  <si>
    <t>Nelson Mullins</t>
  </si>
  <si>
    <t>Supreme Court of the State of Florida</t>
  </si>
  <si>
    <t>No special skills, licenses or certifications are needed for this employment.  The employees will come into contact with children at our entertainment events and our company.  Prevailing practice and state/local regulations may require post-employment, scheduled and/or random drug testing and/or criminal background checks, which are Employer-paid.</t>
  </si>
  <si>
    <t>Min wage may be higher based on tenure, skills/abilities, and/or work performance</t>
  </si>
  <si>
    <t>Qualified Landscape Laborer</t>
  </si>
  <si>
    <t>3355 Bee Caves Rd.</t>
  </si>
  <si>
    <t>H-400-22335-614844</t>
  </si>
  <si>
    <t>Stroech Enterprise, LLC</t>
  </si>
  <si>
    <t>Washington County Landscapes</t>
  </si>
  <si>
    <t>4579 Highway 290 West</t>
  </si>
  <si>
    <t>Brenham</t>
  </si>
  <si>
    <t>Stroech</t>
  </si>
  <si>
    <t>Lucas</t>
  </si>
  <si>
    <t>D</t>
  </si>
  <si>
    <t>chrisann@washingtoncountylandscapes.com</t>
  </si>
  <si>
    <t xml:space="preserve">Must pass employer paid post hire drug test.
Post hire employer paid background check.
</t>
  </si>
  <si>
    <t>P-400-22189-340013</t>
  </si>
  <si>
    <t>NONE. Employer may assist with finding and/or securing housing, employer is NOT providing housing.</t>
  </si>
  <si>
    <t>H-400-22335-614902</t>
  </si>
  <si>
    <t>Land Care Solutions LLC</t>
  </si>
  <si>
    <t>2565 Blackburn Street</t>
  </si>
  <si>
    <t>Clearwater</t>
  </si>
  <si>
    <t>landcare2006@gmail.com</t>
  </si>
  <si>
    <t xml:space="preserve">Monday-Friday, some Saturdays required, schedule varies, end time varies, overtime varies. Able to lift 50lbs. Drug testing during employment for cause; Post accident drug testing. 
All drug testing is performed without regard to an employees citizenship or immigration status, and all testing is paid for by the company. See the additional document attached for further details about the administration of our drug testing policy.
</t>
  </si>
  <si>
    <t>PINELLAS</t>
  </si>
  <si>
    <t>Potential for raise/bonus at employer's discretion. Percentage of 401K offered.</t>
  </si>
  <si>
    <t>P-400-22241-443688</t>
  </si>
  <si>
    <t>Auburn-Opelika, AL</t>
  </si>
  <si>
    <t>Brad</t>
  </si>
  <si>
    <t>HARFORD</t>
  </si>
  <si>
    <t>Employer may increase wage based on experience, changes in market conditions, and/or provide additional pay for perfor</t>
  </si>
  <si>
    <t>PATRICIA</t>
  </si>
  <si>
    <t>The employer will make all deductions from the worker's paycheck required by law.</t>
  </si>
  <si>
    <t>Wellington</t>
  </si>
  <si>
    <t>Food Batchmakers</t>
  </si>
  <si>
    <t>Alex</t>
  </si>
  <si>
    <t>Oakland</t>
  </si>
  <si>
    <t>SAN LUIS OBISPO</t>
  </si>
  <si>
    <t>San Luis Obispo-Paso Robles-Arroyo Grande, CA</t>
  </si>
  <si>
    <t>MARTIN</t>
  </si>
  <si>
    <t xml:space="preserve">The job will require the worker to perform physical activities that require considerable use of arms and legs and moving the whole body, such as lifting, balancing, walking, extensive bending, stooping, reaching, pushing, and pulling required. Must be able to lift 50 pounds.
</t>
  </si>
  <si>
    <t>Northwest Oklahoma nonmetropolitan area</t>
  </si>
  <si>
    <t>MARINE VILLAGE RESORT</t>
  </si>
  <si>
    <t>370 CANADA STREET</t>
  </si>
  <si>
    <t>LAKE GEORGE</t>
  </si>
  <si>
    <t>DITTRICH</t>
  </si>
  <si>
    <t>KATHLEAN</t>
  </si>
  <si>
    <t>P-400-22258-474637</t>
  </si>
  <si>
    <t>DITTRICHKTD@YAHOO.COM</t>
  </si>
  <si>
    <t>Annandale</t>
  </si>
  <si>
    <t>Gregory</t>
  </si>
  <si>
    <t>robert.kershaw@kershawlaw.com</t>
  </si>
  <si>
    <t>WILLIAMSON</t>
  </si>
  <si>
    <t>Not Applicable</t>
  </si>
  <si>
    <t>Denoble</t>
  </si>
  <si>
    <t>Damjan</t>
  </si>
  <si>
    <t>Petar</t>
  </si>
  <si>
    <t>51 Elm Street</t>
  </si>
  <si>
    <t>Suite 408</t>
  </si>
  <si>
    <t>New Haven</t>
  </si>
  <si>
    <t>CT</t>
  </si>
  <si>
    <t>info@fronteratech.com</t>
  </si>
  <si>
    <t>Denoble Law PLLC</t>
  </si>
  <si>
    <t>North Carolina Supreme Court</t>
  </si>
  <si>
    <t>Food Service Worker</t>
  </si>
  <si>
    <t>Burlington</t>
  </si>
  <si>
    <t>CHITTENDEN</t>
  </si>
  <si>
    <t>Southern Vermont nonmetropolitan area</t>
  </si>
  <si>
    <t>Oaklawn Racing &amp; Gaming</t>
  </si>
  <si>
    <t>2705 Central Avenue</t>
  </si>
  <si>
    <t>Hot Springs</t>
  </si>
  <si>
    <t>GARLAND</t>
  </si>
  <si>
    <t>Hot Springs, AR</t>
  </si>
  <si>
    <t>Stamford</t>
  </si>
  <si>
    <t>G.</t>
  </si>
  <si>
    <t>Charlotte</t>
  </si>
  <si>
    <t>Chevy Chase</t>
  </si>
  <si>
    <t>No special requirements.</t>
  </si>
  <si>
    <t>Hartford-West Hartford-East Hartford, CT</t>
  </si>
  <si>
    <t>WILLIAMS</t>
  </si>
  <si>
    <t>Averett</t>
  </si>
  <si>
    <t>Recruiting Manager</t>
  </si>
  <si>
    <t>caverett@gentlegiant.com</t>
  </si>
  <si>
    <t>375 DAVID WHITES LANE</t>
  </si>
  <si>
    <t xml:space="preserve">LYNCH </t>
  </si>
  <si>
    <t>JAMES</t>
  </si>
  <si>
    <t>JHL375@OPTONLINE.NET</t>
  </si>
  <si>
    <t>Environmental Management Services Inc.</t>
  </si>
  <si>
    <t>EMI</t>
  </si>
  <si>
    <t>8220 Industrial Parkway</t>
  </si>
  <si>
    <t>Mailing: P.O. Box 175 Dublin, OH 43017</t>
  </si>
  <si>
    <t>Plain City</t>
  </si>
  <si>
    <t>Clark</t>
  </si>
  <si>
    <t>GCLARK@LANDSCAPEPROS.COM</t>
  </si>
  <si>
    <t>Columbus, OH</t>
  </si>
  <si>
    <t>P-400-22152-233216</t>
  </si>
  <si>
    <t>FLORISSANT</t>
  </si>
  <si>
    <t>H-400-22335-614474</t>
  </si>
  <si>
    <t>Lewis Landscaping and Nursery Inc</t>
  </si>
  <si>
    <t>3606 Minor Rd</t>
  </si>
  <si>
    <t>Copley</t>
  </si>
  <si>
    <t>lewislandoffice@aol.com</t>
  </si>
  <si>
    <t xml:space="preserve">Monday-Friday, some Saturdays required, schedule varies, additional overtime varies. Able to lift 50lbs. Work in inclement weather. Pre-hire background check required;Random drug testing during employment;Pre-employment drug testing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</si>
  <si>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3513 1/2 Minor Rd</t>
  </si>
  <si>
    <t>P-400-22207-375845</t>
  </si>
  <si>
    <t>Employer may make payroll deductions at employee's request.
Employer may provide optional housing upon request and corresponding payments, $40-$60 dollars a week for rent and utilities, dependent on the number of people living in the unit.</t>
  </si>
  <si>
    <t>H-400-22335-614707</t>
  </si>
  <si>
    <t>Palmetto Green Landscape &amp; Design, LLC</t>
  </si>
  <si>
    <t>1128 Lanterns Rest</t>
  </si>
  <si>
    <t>Mailing: P.O. Box 568, Isle of Palms, SC 29451</t>
  </si>
  <si>
    <t>Russell</t>
  </si>
  <si>
    <t>palmettogreensc@yahoo.com</t>
  </si>
  <si>
    <t xml:space="preserve">Pre-hire background check required; Random drug testing during employment. Able to lift 50lbs. Monday-Friday, schedule varies, end times vary, some Saturdays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</si>
  <si>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1129 Cainhoy Road, Unit E</t>
  </si>
  <si>
    <t>Wando</t>
  </si>
  <si>
    <t>Raises at employer's discretion.</t>
  </si>
  <si>
    <t>P-400-22223-411889</t>
  </si>
  <si>
    <t>Employer may make payroll deductions at employee's request. Employer facilitates voluntary housing arrangements upon worker request along with corresponding payroll deductions, $13.50-$15.00/day.</t>
  </si>
  <si>
    <t>Temporary Housekeeping Service Attendant</t>
  </si>
  <si>
    <t>MasterCorp Inc</t>
  </si>
  <si>
    <t>3505 N. Main Street</t>
  </si>
  <si>
    <t>Crossville</t>
  </si>
  <si>
    <t>Corporate General Counsel</t>
  </si>
  <si>
    <t xml:space="preserve">THE PETITIONER WILL CONSIDER FOR EMPLOYMENT ANY PERSON WHO POSSESSES AT LEAST THREE (3) MONTHS OF EXPERIENCE AT A HOTEL, RESORT, OR PRIVATE CLUB.
</t>
  </si>
  <si>
    <t>South Central Wisconsin nonmetropolitan area</t>
  </si>
  <si>
    <t>Piece Rate</t>
  </si>
  <si>
    <t>Cost of housing if accepted, is up to $140 per week payable to third party housing provider via voluntary payroll deduction.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All deductions from paycheck will be made in accordance with and as required by law including but not limited proper deduction to ensure wages do not improperly fall below prevailing wage.</t>
  </si>
  <si>
    <t>H2B@mastercorp.com</t>
  </si>
  <si>
    <t>carpenter1161@maslabor.com</t>
  </si>
  <si>
    <t>Rodriguez</t>
  </si>
  <si>
    <t>PIERCE</t>
  </si>
  <si>
    <t>Ivy</t>
  </si>
  <si>
    <t>Stahl</t>
  </si>
  <si>
    <t>Saratoga Springs</t>
  </si>
  <si>
    <t>SARATOGA</t>
  </si>
  <si>
    <t>Herringswell Stables</t>
  </si>
  <si>
    <t>719 Training Center Drive</t>
  </si>
  <si>
    <t>ELKTON</t>
  </si>
  <si>
    <t>ian@herringswellstables.com</t>
  </si>
  <si>
    <t xml:space="preserve">MUST BE ABLE TO LIFT 50 LBS
</t>
  </si>
  <si>
    <t>Elkton</t>
  </si>
  <si>
    <t>CECIL</t>
  </si>
  <si>
    <t>Oklahoma City</t>
  </si>
  <si>
    <t>OKLAHOMA</t>
  </si>
  <si>
    <t>Oklahoma City, OK</t>
  </si>
  <si>
    <t>Chattanooga, TN-GA</t>
  </si>
  <si>
    <t>Thoroughbred Horse Groom</t>
  </si>
  <si>
    <t>WV</t>
  </si>
  <si>
    <t xml:space="preserve">Must be able to lift 50 lbs.
</t>
  </si>
  <si>
    <t>Stockers and Order Fillers</t>
  </si>
  <si>
    <t>Shelley</t>
  </si>
  <si>
    <t>Independence</t>
  </si>
  <si>
    <t>Ohio Supreme Court</t>
  </si>
  <si>
    <t>Jane</t>
  </si>
  <si>
    <t>Nathan</t>
  </si>
  <si>
    <t>1 hr. for lunch.  Some O.T. may be available but not guaranteed.</t>
  </si>
  <si>
    <t>Estrella</t>
  </si>
  <si>
    <t>Holt</t>
  </si>
  <si>
    <t>800 NW 62nd Avenue</t>
  </si>
  <si>
    <t>jestrella@fragomen.com</t>
  </si>
  <si>
    <t>Fragomen Del Rey Bernsen &amp; Loewy LLP</t>
  </si>
  <si>
    <t>Parker</t>
  </si>
  <si>
    <t>Benjamin</t>
  </si>
  <si>
    <t>H-400-22335-614555</t>
  </si>
  <si>
    <t>Concrete Laborer</t>
  </si>
  <si>
    <t>Mastercraft Concrete Contracting LLC</t>
  </si>
  <si>
    <t>595 Cloman Blvd</t>
  </si>
  <si>
    <t>Mailing: See Attached</t>
  </si>
  <si>
    <t>Pagosa Springs</t>
  </si>
  <si>
    <t>Pereyra</t>
  </si>
  <si>
    <t>Omar</t>
  </si>
  <si>
    <t>mastercraftconcretellc@gmail.com</t>
  </si>
  <si>
    <t xml:space="preserve">Monday-Friday, Schedule Varies, Some Saturdays may be required, Additional overtime varies
</t>
  </si>
  <si>
    <t>595 Cloman Blvd.</t>
  </si>
  <si>
    <t>ARCHULETA</t>
  </si>
  <si>
    <t>Raises and bonuses at the employer's discretion. Opportunity for higher pay depending on experience</t>
  </si>
  <si>
    <t>P-400-22234-429014</t>
  </si>
  <si>
    <t>H-400-22325-598479</t>
  </si>
  <si>
    <t>Paladina Landscaping &amp; Lawn Care, Inc. (Feb)</t>
  </si>
  <si>
    <t>324 Forest Grove Road</t>
  </si>
  <si>
    <t>Paladina</t>
  </si>
  <si>
    <t>CEO / President</t>
  </si>
  <si>
    <t>paladinalandscaping@yahoo.com</t>
  </si>
  <si>
    <t>N/A____</t>
  </si>
  <si>
    <t xml:space="preserve">Lift/carry up to 50 pounds. Random (post-employment) employer paid drug testing required.
</t>
  </si>
  <si>
    <t>P-400-22250-459421</t>
  </si>
  <si>
    <t>CHARACTER LIMIT: Shared housing available to only seasonal full-time employees, not offered to non-employees. Employees may make their own arrangements at their own expense. If they opt to live in employer provided housing rent (utilities included) charged at $50.00/week.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t>
  </si>
  <si>
    <t>Alexandria</t>
  </si>
  <si>
    <t>DC</t>
  </si>
  <si>
    <t>COLUMBUS</t>
  </si>
  <si>
    <t>JIM</t>
  </si>
  <si>
    <t xml:space="preserve">The employer will make all deductions from worker's paycheck required by law. The employer will deduct for the reasonable fair market value cost of rent and/or utilities based on number of occupants for those employees who voluntarily elect to live in employer offered housing. The employer does not envision other workforce-wide payroll deductions. </t>
  </si>
  <si>
    <t>H-400-22321-592703</t>
  </si>
  <si>
    <t>Davis Landscape LTD  (SC)</t>
  </si>
  <si>
    <t>8 Hunter Road</t>
  </si>
  <si>
    <t>60 Rupert Rd., Raleigh, NC 27603 (mailing)</t>
  </si>
  <si>
    <t>Salts</t>
  </si>
  <si>
    <t>Allyson</t>
  </si>
  <si>
    <t>D.</t>
  </si>
  <si>
    <t>60 Rupert Road</t>
  </si>
  <si>
    <t>adavis@davislandscapeltd.com</t>
  </si>
  <si>
    <t>N/A_____</t>
  </si>
  <si>
    <t xml:space="preserve">Lift/ carry up to 50 pounds. Pre-Employment, Random (post-employment), Post Accident, Upon Suspicion (Post Employment) employer paid drug testing required. Employer paid post hire criminal background check required.
</t>
  </si>
  <si>
    <t>P-400-22230-425117</t>
  </si>
  <si>
    <t>CHARACTER LIMIT: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If employee elects to purchase additional uniforms, there will be a weekly deduction for the employer to recover those costs only. Company provides 6 shirts and a hat.</t>
  </si>
  <si>
    <t>Jackson, TN</t>
  </si>
  <si>
    <t>CASTANEDA</t>
  </si>
  <si>
    <t>H-400-22321-593075</t>
  </si>
  <si>
    <t>Green Up Lawncare LLC</t>
  </si>
  <si>
    <t>14141 Airline Hwy Building 4 - Suite A</t>
  </si>
  <si>
    <t>LeJeune</t>
  </si>
  <si>
    <t>greenuplawncare@bellsouth.net</t>
  </si>
  <si>
    <t>P-400-22189-339941</t>
  </si>
  <si>
    <t>Optional housing, utilities and transportation for work and personal use provided if available at $80 per week (subject to change based on local market/inflation).  Option to deduct from pay.  Deductions will not drop the overall wage below the UDSOL minimum, if the deductions are too great they will not be made.</t>
  </si>
  <si>
    <t>https://www.louisianaworks.net</t>
  </si>
  <si>
    <t>H-400-22321-592186</t>
  </si>
  <si>
    <t>Wells Landscaping &amp; Lawn Care, Inc.</t>
  </si>
  <si>
    <t>15848 Willow Point Ct.</t>
  </si>
  <si>
    <t>Wells</t>
  </si>
  <si>
    <t>wellslandscaping@charter.net</t>
  </si>
  <si>
    <t>16625 Old Chesterfield Rd. (Report to Work)</t>
  </si>
  <si>
    <t>P-400-22222-408490</t>
  </si>
  <si>
    <t>Optional shared housing available at $195.00 bi-weekly to be deducted from employee's paycheck. At Employer’s sole discretion: possible cash advances (if applicable/requested by worker, potential deduction from worker’s paycheck).</t>
  </si>
  <si>
    <t>H-400-22320-589432</t>
  </si>
  <si>
    <t>construction laborer</t>
  </si>
  <si>
    <t>BP Cullen Construction, Inc.</t>
  </si>
  <si>
    <t>114 Ridgefield Road</t>
  </si>
  <si>
    <t>Newtown Square</t>
  </si>
  <si>
    <t>Cullen</t>
  </si>
  <si>
    <t>Maura</t>
  </si>
  <si>
    <t>bpcullenconstruction@gmail.com</t>
  </si>
  <si>
    <t>4224 West Chester Pike</t>
  </si>
  <si>
    <t>P-400-22271-498082</t>
  </si>
  <si>
    <t>H-400-22321-592638</t>
  </si>
  <si>
    <t>L. F. Mahoney, Inc.</t>
  </si>
  <si>
    <t>4721 Harford Road</t>
  </si>
  <si>
    <t>P. O. Box 3687</t>
  </si>
  <si>
    <t>Mahoney</t>
  </si>
  <si>
    <t>--</t>
  </si>
  <si>
    <t>williammahoney@lfmahoney.com</t>
  </si>
  <si>
    <t xml:space="preserve">Lift/carry up to 50 pounds.
Post Accident, Random (post-employment) employer paid drug testing required. </t>
  </si>
  <si>
    <t xml:space="preserve">CHARACTER LIMIT: Overtime is not guaranteed but if worked rate is paid at time and a half per hour above 40 hours per </t>
  </si>
  <si>
    <t>P-400-22234-429298</t>
  </si>
  <si>
    <t xml:space="preserve">CHARACTER LIMIT: Shared housing available to only seasonal full-time employees, not offered to non-employees. Employees may make their own arrangements at their own expense. If they opt to live in employer provided housing rent(utilities included) charged at $50.00/week.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t>
  </si>
  <si>
    <t>STEPHEN CARR PROPERTY SERVICES LLC</t>
  </si>
  <si>
    <t>12 CARWIN DRIVE</t>
  </si>
  <si>
    <t>CARR</t>
  </si>
  <si>
    <t>STEPHEN</t>
  </si>
  <si>
    <t>scarr@maine.rr.com</t>
  </si>
  <si>
    <t>H-400-22291-536692</t>
  </si>
  <si>
    <t>Dominusdomi LLC</t>
  </si>
  <si>
    <t>Kiskeya Cocktails &amp; Eats</t>
  </si>
  <si>
    <t>4705 Ashford Dunwoody Road</t>
  </si>
  <si>
    <t>Suite C</t>
  </si>
  <si>
    <t>Georgia</t>
  </si>
  <si>
    <t>Dominique</t>
  </si>
  <si>
    <t>Yves</t>
  </si>
  <si>
    <t>Dunwoody</t>
  </si>
  <si>
    <t>yvd360@gmail.com</t>
  </si>
  <si>
    <t xml:space="preserve">4705 Ashford Dunwoody Road, </t>
  </si>
  <si>
    <t>P-400-22249-455284</t>
  </si>
  <si>
    <t>Optional housing will be at a cost of $400 per month</t>
  </si>
  <si>
    <t>info@kiskeyaatl.com</t>
  </si>
  <si>
    <t>kiskeyaatl.com</t>
  </si>
  <si>
    <t>H-400-22308-571048</t>
  </si>
  <si>
    <t>Foreman</t>
  </si>
  <si>
    <t>Requires certification as a Certified Pipe Fuser by a recognized vendor i.e. ISCO, Ewing Irrigation, ADS Hancor. 12 months of experience in golf course construction and renovation.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t>
  </si>
  <si>
    <t>2544 Willow Point Road</t>
  </si>
  <si>
    <t>Alexander City</t>
  </si>
  <si>
    <t>TALLAPOOSA</t>
  </si>
  <si>
    <t>Northeast Alabama nonmetropolitan area</t>
  </si>
  <si>
    <t>P-400-22244-449447</t>
  </si>
  <si>
    <t>H-400-22337-619517</t>
  </si>
  <si>
    <t>Botanico of the Ozarks</t>
  </si>
  <si>
    <t>1205 R N Farm Road 123</t>
  </si>
  <si>
    <t>Simmerman</t>
  </si>
  <si>
    <t>jim.botanico@gmail.com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</si>
  <si>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</si>
  <si>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1205 R North Farm Road 123 (Report to Work)</t>
  </si>
  <si>
    <t>P-400-22236-434015</t>
  </si>
  <si>
    <t>Optional housing available at $300 per month. If any employee elects to utilize optional housing, the cost will be deducted from biweekly paycheck. Utilities included.  At Employer’s sole discretion: possible cash advances (if applicable/requested by worker, potential deduction from worker’s paycheck).</t>
  </si>
  <si>
    <t>lana.botanico@gmail.com</t>
  </si>
  <si>
    <t>H-400-22312-574749</t>
  </si>
  <si>
    <t>JDK ASSOCIATES, INC.</t>
  </si>
  <si>
    <t>2425 W. AMMANN RD.</t>
  </si>
  <si>
    <t>BULVERDE</t>
  </si>
  <si>
    <t>KENNEY</t>
  </si>
  <si>
    <t>STEVE@JDKINC.COM</t>
  </si>
  <si>
    <t>MUST BE ABLE TO LIFT 60 POUNDS.
SCHEDULE VARIES, OVERTIME AVAILABLE AS NEEDED.</t>
  </si>
  <si>
    <t>P-400-22199-359121</t>
  </si>
  <si>
    <t>H-400-22313-576510</t>
  </si>
  <si>
    <t>Priority Services, LLC</t>
  </si>
  <si>
    <t>70 Albe Drive</t>
  </si>
  <si>
    <t>Newark</t>
  </si>
  <si>
    <t>Cunane</t>
  </si>
  <si>
    <t>jcunane@gesoncall.com</t>
  </si>
  <si>
    <t>P-400-22246-454488</t>
  </si>
  <si>
    <t>H-400-22335-613663</t>
  </si>
  <si>
    <t>Elite Synthetic Surfaces Inc</t>
  </si>
  <si>
    <t>486 Willis Ave</t>
  </si>
  <si>
    <t>Williston Park</t>
  </si>
  <si>
    <t>MICHAEL</t>
  </si>
  <si>
    <t>486 Willis Avenue</t>
  </si>
  <si>
    <t>P-400-22194-348320</t>
  </si>
  <si>
    <t>MIKEGIZ48@AOL.COM</t>
  </si>
  <si>
    <t>H-400-22335-613913</t>
  </si>
  <si>
    <t>NURSERY WORKER</t>
  </si>
  <si>
    <t>Farmworkers and Laborers, Crop, Nursery, and Greenhouse</t>
  </si>
  <si>
    <t>WARRENS NURSERY INC</t>
  </si>
  <si>
    <t>779 MONTAUK HIGHWAY</t>
  </si>
  <si>
    <t>BUSTAMANTE</t>
  </si>
  <si>
    <t>P-400-22207-376096</t>
  </si>
  <si>
    <t>SERVICE@WARRENSNURSERY.COM</t>
  </si>
  <si>
    <t>H-400-22321-592980</t>
  </si>
  <si>
    <t>Junior Construction Company, Inc.</t>
  </si>
  <si>
    <t>6501 County Road 1205</t>
  </si>
  <si>
    <t>Cleburne</t>
  </si>
  <si>
    <t>Cuellar</t>
  </si>
  <si>
    <t>Rogelio</t>
  </si>
  <si>
    <t>juniorconstruction@aol.com</t>
  </si>
  <si>
    <t>6501 County Road 1205 (Report to Work)</t>
  </si>
  <si>
    <t>P-400-22269-494746</t>
  </si>
  <si>
    <t>H-400-22321-592293</t>
  </si>
  <si>
    <t>Tracy's Concessions Inc.</t>
  </si>
  <si>
    <t xml:space="preserve">11585 E. Hwy 11 </t>
  </si>
  <si>
    <t>(Mail to: P.O. Box 25, Hughes Springs, TX 75656)</t>
  </si>
  <si>
    <t xml:space="preserve">Hughes Springs </t>
  </si>
  <si>
    <t>Scudday Duck</t>
  </si>
  <si>
    <t>Owner/ President</t>
  </si>
  <si>
    <t>11585 E. Hwy 11</t>
  </si>
  <si>
    <t>duckfood4u@yahoo.com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</si>
  <si>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</si>
  <si>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P-400-22251-461530</t>
  </si>
  <si>
    <t>Employer will make all deductions from the worker’s paycheck required by law.  Optional mobile housing (valued at $125.00 per week) and local convenience travel (valued at $25.00 per week) are available at no cost to the worker.</t>
  </si>
  <si>
    <t>H-400-22321-592407</t>
  </si>
  <si>
    <t>Kesten Poured Wall, Inc.</t>
  </si>
  <si>
    <t>26 Revo Rd</t>
  </si>
  <si>
    <t>Kesten, Jr.</t>
  </si>
  <si>
    <t>formsetter@verizon.net</t>
  </si>
  <si>
    <t xml:space="preserve">Requires twelve months of concrete foundation experience. Must lift/carry 80 lbs., when necessary. Saturday work required, when necessary.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</si>
  <si>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441 Becks Run Rd,</t>
  </si>
  <si>
    <t>Raises and/or bonuses may be offered based on individual factors including work performance, skill, and tenure</t>
  </si>
  <si>
    <t>P-400-22255-466425</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</si>
  <si>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Employer offers free daily transportation to/from worksite from designated pick-up location. Use of transportation is voluntary. Employer provides incidental transportation between worksites as necessary.</t>
  </si>
  <si>
    <t>VICTOR</t>
  </si>
  <si>
    <t>MENDOCINO</t>
  </si>
  <si>
    <t>North Coast Region of California nonmetropolitan area</t>
  </si>
  <si>
    <t>Pesticide Handlers, Sprayers, and Applicators, Vegetation</t>
  </si>
  <si>
    <t>Intermittent</t>
  </si>
  <si>
    <t>H-400-22335-613725</t>
  </si>
  <si>
    <t>BINDER POOLS, INC</t>
  </si>
  <si>
    <t>30 S CARTWRIGHT ROAD</t>
  </si>
  <si>
    <t>PO BOX 1960</t>
  </si>
  <si>
    <t>SHELTER ISLAND</t>
  </si>
  <si>
    <t>BINDER</t>
  </si>
  <si>
    <t>DARRIN</t>
  </si>
  <si>
    <t>30 S CARTWRIGHT RD</t>
  </si>
  <si>
    <t>P-400-22192-344418</t>
  </si>
  <si>
    <t>KAREN@BINDERPOOLS.COM</t>
  </si>
  <si>
    <t>H-400-22291-537436</t>
  </si>
  <si>
    <t>F &amp; F Farm and Reforestation LLC</t>
  </si>
  <si>
    <t>6561 Brush Creek Dr NE</t>
  </si>
  <si>
    <t>Silverton</t>
  </si>
  <si>
    <t>Franco</t>
  </si>
  <si>
    <t>FFReforestation@hotmail.com</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</si>
  <si>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</si>
  <si>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6561 Brush Creek Dr. NE (Report to Work)</t>
  </si>
  <si>
    <t>Salem, OR</t>
  </si>
  <si>
    <t>P-400-22243-447076</t>
  </si>
  <si>
    <t>At Employer’s sole discretion: possible cash advances (if applicable/requested by worker, potential deduction from worker’s paycheck). Optional Housing is available at no cost.</t>
  </si>
  <si>
    <t>H-400-22335-613697</t>
  </si>
  <si>
    <t xml:space="preserve">Guest Engagement Associate </t>
  </si>
  <si>
    <t>Holiday Inn Club Vacations Incorporated for Orange Lake Resort</t>
  </si>
  <si>
    <t>8505 W Irlo Bronson Memorial Hwy</t>
  </si>
  <si>
    <t>Kissimmee</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</si>
  <si>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Public transportation is located in front of worksite. Employee is responsible for their own transportation to and from the worksite. 
Employer will provide on-the-job training. 
</t>
  </si>
  <si>
    <t>OSCEOLA</t>
  </si>
  <si>
    <t>Orlando-Kissimmee-Sanford, FL</t>
  </si>
  <si>
    <t>P-400-22218-401176</t>
  </si>
  <si>
    <t>Employer will make all deductions from the worker's paycheck required by law. Optional employee only shared housing available onsite, including utilities, at approximately $110 per week. Housing cost payroll deducted if worker elects.
A single workweek will be used in computing wages due. Workers will be paid weekly.</t>
  </si>
  <si>
    <t>https://www.employflorida.com/vosnet/Default.aspx</t>
  </si>
  <si>
    <t>THE DECO KRAFT</t>
  </si>
  <si>
    <t>LAWRENCEVILLE</t>
  </si>
  <si>
    <t>KELLY</t>
  </si>
  <si>
    <t>KRYSTAL</t>
  </si>
  <si>
    <t>thedecokraft@yahoo.com</t>
  </si>
  <si>
    <t>261 CULVER STREET</t>
  </si>
  <si>
    <t>la-bela-lunna@hotmail.com</t>
  </si>
  <si>
    <t>H-400-22262-479491</t>
  </si>
  <si>
    <t xml:space="preserve">ABILITY TO LIFT 40-100LBS REPEATEDLY. </t>
  </si>
  <si>
    <t xml:space="preserve">ALTA </t>
  </si>
  <si>
    <t>P-400-22209-381764</t>
  </si>
  <si>
    <t xml:space="preserve">ALL FEDERAL AND STATE TAXES WILL BE DEDUCTED PER H2B REGULATIONS. </t>
  </si>
  <si>
    <t>H-400-22307-565985</t>
  </si>
  <si>
    <t>Natural Art Landscaping, Inc.</t>
  </si>
  <si>
    <t>2601 W. Medical Hall Rd.</t>
  </si>
  <si>
    <t>Bel Air</t>
  </si>
  <si>
    <t>Hart</t>
  </si>
  <si>
    <t>naturalart@gmail.com</t>
  </si>
  <si>
    <t>Hawkins</t>
  </si>
  <si>
    <t>Margie</t>
  </si>
  <si>
    <t>margie@laborci.com</t>
  </si>
  <si>
    <t>2601 W. Medical Hall Rd. (Report to Work)</t>
  </si>
  <si>
    <t>P-400-22215-392542</t>
  </si>
  <si>
    <t>naturalart@hotmail.com</t>
  </si>
  <si>
    <t>H-400-22307-567218</t>
  </si>
  <si>
    <t>Worman Forest Management, LLC</t>
  </si>
  <si>
    <t xml:space="preserve">2055 E. Grandview Dr. </t>
  </si>
  <si>
    <t>Worman</t>
  </si>
  <si>
    <t>Co-Owner</t>
  </si>
  <si>
    <t>info@Wormanforestry.com</t>
  </si>
  <si>
    <t xml:space="preserve">Must be 18 due to travel. Must show proof of legal authorization to work in the United States. Drug/alcohol/tobacco free work zone. Must walk substantially (up to 15 miles/day), also stoop, bend while carrying a pack (up to 60lbs)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</si>
  <si>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2055 E Grandview Dr. (Report to Work)</t>
  </si>
  <si>
    <t xml:space="preserve">Optional Housing available at no cost. Wage may vary. Based on Experience and/or location. </t>
  </si>
  <si>
    <t>P-400-22221-405441</t>
  </si>
  <si>
    <t>info@wormanforestry.com</t>
  </si>
  <si>
    <t>H-400-22336-619291</t>
  </si>
  <si>
    <t>Georgetown</t>
  </si>
  <si>
    <t>H-400-22003-804231</t>
  </si>
  <si>
    <t>Sous Chef (Peruvian)</t>
  </si>
  <si>
    <t>Chefs and Head Cooks</t>
  </si>
  <si>
    <t>Panka, LLC</t>
  </si>
  <si>
    <t>2708 Ingersoll Ave.</t>
  </si>
  <si>
    <t>Des Moines</t>
  </si>
  <si>
    <t>Maya</t>
  </si>
  <si>
    <t>Mariela</t>
  </si>
  <si>
    <t>2708 Ingersoll Ave</t>
  </si>
  <si>
    <t>Des Moine</t>
  </si>
  <si>
    <t>Mayamariella@gmail.com</t>
  </si>
  <si>
    <t>Strand</t>
  </si>
  <si>
    <t>Brett</t>
  </si>
  <si>
    <t>1235 N. Mulford Rd.</t>
  </si>
  <si>
    <t>Suite 208</t>
  </si>
  <si>
    <t>Rockford</t>
  </si>
  <si>
    <t>bas@lechtenberglawfirm.com</t>
  </si>
  <si>
    <t>Lechtenberg &amp; Associates LLC</t>
  </si>
  <si>
    <t xml:space="preserve">2 years work experience involving Peruvian cuisine and Peruvian ingredients, spices and bases, and application.  2 years experience in management of kitchen and kitchen inventory.  Qualifying experience may have been gained concurrently.
</t>
  </si>
  <si>
    <t>Des Moines-West Des Moines, IA</t>
  </si>
  <si>
    <t>P-400-21334-733974</t>
  </si>
  <si>
    <t>"The employer will assist the worker in securing lodging during the period of employment covered by the job order."</t>
  </si>
  <si>
    <t>H-400-22255-467773</t>
  </si>
  <si>
    <t>Bakers</t>
  </si>
  <si>
    <t>Herrejon's Bakery, Inc.</t>
  </si>
  <si>
    <t>Herrejon's Bakery</t>
  </si>
  <si>
    <t>3829 Crosstown Expressway</t>
  </si>
  <si>
    <t>Corpus Christi</t>
  </si>
  <si>
    <t>Herrejon</t>
  </si>
  <si>
    <t>cherrejon@yahoo.com</t>
  </si>
  <si>
    <t>3355 Bee caves Road</t>
  </si>
  <si>
    <t>NUECES</t>
  </si>
  <si>
    <t>With Paid lunch. Some overtime may be available but is not guaranteed.</t>
  </si>
  <si>
    <t>P-400-22207-377528</t>
  </si>
  <si>
    <t>H-400-22199-358225</t>
  </si>
  <si>
    <t>Landscaping, Groundkeepers and Snow removal</t>
  </si>
  <si>
    <t>Warner Brothers Services</t>
  </si>
  <si>
    <t>5443 Perry Dr</t>
  </si>
  <si>
    <t>Waterford</t>
  </si>
  <si>
    <t>Warner</t>
  </si>
  <si>
    <t xml:space="preserve"> 5443 Perry Dr</t>
  </si>
  <si>
    <t xml:space="preserve"> Waterford</t>
  </si>
  <si>
    <t>office@wbser.com</t>
  </si>
  <si>
    <t>1303 Robinhood lane N</t>
  </si>
  <si>
    <t>H Visa Solutions Inc</t>
  </si>
  <si>
    <t>Must be able to lift push-pull and carry at least 50 lbs. Must have at least 3 months experience in landscaping and snow removal</t>
  </si>
  <si>
    <t>5443 Perry Drive</t>
  </si>
  <si>
    <t>P-400-22115-103627</t>
  </si>
  <si>
    <t>All federal, state and local taxes will be deducted from the workers checks</t>
  </si>
  <si>
    <t>H-400-22249-456959</t>
  </si>
  <si>
    <t>Stonemason Helpers</t>
  </si>
  <si>
    <t>Gallegos Masonry, Inc.</t>
  </si>
  <si>
    <t>The Gallegos Corporation</t>
  </si>
  <si>
    <t>0100 Yacht Club Drive (physical)</t>
  </si>
  <si>
    <t>P.O. Box 821, Vail, CO 81658 (mailing)</t>
  </si>
  <si>
    <t>Wolcott</t>
  </si>
  <si>
    <t>Rippeth</t>
  </si>
  <si>
    <t>Tanya</t>
  </si>
  <si>
    <t>tanya.rippeth@gallegoscorp.com</t>
  </si>
  <si>
    <t>2077 North Frontage Road West, Suite 111 (physical)</t>
  </si>
  <si>
    <t>P.O. Box 3487, Vail, CO 81658 (mailing)</t>
  </si>
  <si>
    <t xml:space="preserve">Novak Law Office </t>
  </si>
  <si>
    <t xml:space="preserve">Must be able to lift/carry 65 pounds when necessary and infrequently lift/carry up to 100 pounds with assistance.  Saturday and Sunday work may be required when necessary.   Drug testing as follows: post hire at random, post accident and upon suspicion of use.  Background check required. 
</t>
  </si>
  <si>
    <t>47 Town Center Avenue</t>
  </si>
  <si>
    <t>Workers will be paid $18.95 hourly or higher depending on experience.</t>
  </si>
  <si>
    <t>P-400-22179-317030</t>
  </si>
  <si>
    <t xml:space="preserve">All deductions required by law will be made. Potential elective deductions to be pre-authorized in writing if applicable are as follows:  voluntary advances and/or loans made to workers, if any, may be repaid by pre-authorized payroll deductions. The employer will deduct for the reasonable fair market value cost of rent and/or utilities based on number of occupants for those employees who voluntarily elect to live in employer offered housing.  The employer offers voluntarily health insurance to its workers and participation in such plan is voluntary. </t>
  </si>
  <si>
    <t>H-400-22262-479736</t>
  </si>
  <si>
    <t>LIPA MANAGEMENT CONSULTING INC</t>
  </si>
  <si>
    <t>4521 PGA BLVD</t>
  </si>
  <si>
    <t>#221</t>
  </si>
  <si>
    <t>Palm Beach Gardens</t>
  </si>
  <si>
    <t>PALM BEACH GARDENS</t>
  </si>
  <si>
    <t>PREVRATSKY</t>
  </si>
  <si>
    <t xml:space="preserve">4521 PGA BLVD </t>
  </si>
  <si>
    <t>PALM BEACH GARDEN</t>
  </si>
  <si>
    <t>PALM BECH GARDEN</t>
  </si>
  <si>
    <t>martin.p@lipamanagement.com</t>
  </si>
  <si>
    <t>LAW OFFICE OF MICHELE C MCCARTHY ESQ</t>
  </si>
  <si>
    <t>8905 REGENTS PARK DRIVE SUITE 230-01</t>
  </si>
  <si>
    <t>The work schedule is 8:00am to 4:pm. Employer will make all deductions from workers' paycheck required by law &amp; deduct approved (cost of housing optional.
 Employer will provide workers at no charge all tools, supplies, &amp; equipment required to perform the job. Uniforms pants/shirts provided at no charge to wear at the worksite</t>
  </si>
  <si>
    <t>Margaritaville Hollywood Beach Resort</t>
  </si>
  <si>
    <t>1111 NORTH OCEAN DRIVE</t>
  </si>
  <si>
    <t>HOLLYWOOD</t>
  </si>
  <si>
    <t>P-400-22161-266749</t>
  </si>
  <si>
    <t>Weekly cost of rent is $140.00, including utilities. If employee chooses to accept LIPA MANAGEMENT CONSULTING INC  lodging, $140.00 will be deducted from the employee's paycheck weekly to cover the cost of rent All applicable payroll deductions by law will be deducted from the employee's paycheck.Transportation will be provided to and from the worksite at a cost of $20. per week. (optional)</t>
  </si>
  <si>
    <t>H-400-22277-508256</t>
  </si>
  <si>
    <t>10892 Shadow Wood</t>
  </si>
  <si>
    <t>10892 Shadow Wood Drive</t>
  </si>
  <si>
    <t xml:space="preserve">Post-employment criminal background check may be performed in accordance with contractual obligations for US and Foreign workers. Pre-employment, post-injury/incident and reasonable suspicion drug test and e-verify required, cost paid by employer and applied equally to all workers, US and foreign/H2B. Must be able to work a 5 day schedule, may include weekends and holidays. Applicants must complete an employment application.
</t>
  </si>
  <si>
    <t>HARRIS</t>
  </si>
  <si>
    <t>P-400-22152-233580</t>
  </si>
  <si>
    <t xml:space="preserve">Employer will make all deductions from the worker's paycheck required by law and deduct approved cost of  Medical/Dental/Vision/Accident/Critical Illness insurance if worker elects. Optional approx. cost of Medical $25.95 - $49.01; Dental $3.39 - $7.85; Vision $2.20; Accident $3.23 - $4.15; Critical Illness $0.87 - $26.12 per paycheck, depending on coverage.
Employer will provide worker at no charge all tools, supplies, and equipment required to perform job. Required uniform provided. </t>
  </si>
  <si>
    <t>H-400-22237-438458</t>
  </si>
  <si>
    <t>Paul's Landscape and Design</t>
  </si>
  <si>
    <t>160 Willow</t>
  </si>
  <si>
    <t>Levittown</t>
  </si>
  <si>
    <t>Astorga</t>
  </si>
  <si>
    <t>Raul</t>
  </si>
  <si>
    <t>3303 Harris Park</t>
  </si>
  <si>
    <t>Suite 30</t>
  </si>
  <si>
    <t>kevin.lashus@fisherbroyles.com</t>
  </si>
  <si>
    <t>TExas Supreme Court</t>
  </si>
  <si>
    <t>1141 Elkins</t>
  </si>
  <si>
    <t>P-400-22145-211247</t>
  </si>
  <si>
    <t>As Employer will make all deductions required by law from each paycheck.  At the employee’s election (option), employer will advance against pay up to $75/day at the end of each work day for room and board at no interest for the first two weeks.</t>
  </si>
  <si>
    <t>www.pawork.com</t>
  </si>
  <si>
    <t>H-400-22258-476086</t>
  </si>
  <si>
    <t>Rey Hernandez Racing Stable LLC</t>
  </si>
  <si>
    <t>2220 Wilmington Ln</t>
  </si>
  <si>
    <t>Hernandez</t>
  </si>
  <si>
    <t>Rey</t>
  </si>
  <si>
    <t>hernandezrey337@gmail.com</t>
  </si>
  <si>
    <t>Must be able to lift up to 50 lbs.
Mon-Sun; 40 hrs/wk; day off rotates; split shifts 5am-11am, 3pm-5pm</t>
  </si>
  <si>
    <t>Gulfstream Park</t>
  </si>
  <si>
    <t>901 S Federal Highway</t>
  </si>
  <si>
    <t>Hallandale</t>
  </si>
  <si>
    <t>P-400-22152-232973</t>
  </si>
  <si>
    <t xml:space="preserve">State an federal taxes.  Optional employer-offered housing in the backstretch at no cost to the worker.
</t>
  </si>
  <si>
    <t>H-400-22270-497274</t>
  </si>
  <si>
    <t>Forestry and Conservation Workers</t>
  </si>
  <si>
    <t>Sprout Forestry Inc</t>
  </si>
  <si>
    <t>576 Maverick St</t>
  </si>
  <si>
    <t>Alvaro</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</si>
  <si>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</si>
  <si>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576 Maverick St (Report to Work)</t>
  </si>
  <si>
    <t>P-400-22158-254725</t>
  </si>
  <si>
    <t>P-400-22220-403075</t>
  </si>
  <si>
    <t>sproutforestry16@gmail.com</t>
  </si>
  <si>
    <t>H-400-22278-511285</t>
  </si>
  <si>
    <t>COMMERCIAL TRUCK DRIVER</t>
  </si>
  <si>
    <t>ATP AGRI-SERVICES INC</t>
  </si>
  <si>
    <t>1894 FL 64</t>
  </si>
  <si>
    <t>ZOLFO SPRINGS</t>
  </si>
  <si>
    <t>EASTMAN</t>
  </si>
  <si>
    <t>ACCOUNTING@ATPLOGISTICS.COM</t>
  </si>
  <si>
    <t xml:space="preserve">COMMERCIAL DRIVERS LICENSE
</t>
  </si>
  <si>
    <t xml:space="preserve">ZOLFO SPRINGS </t>
  </si>
  <si>
    <t>HARDEE</t>
  </si>
  <si>
    <t>The Motor Carrier Exemption under the Fair Labor Standards Act (FLSA)</t>
  </si>
  <si>
    <t>P-400-22181-326004</t>
  </si>
  <si>
    <t xml:space="preserve">THE EMPLOYER WILL MAKE ALL DEDUCTIONS FROM WORKER’S PAYCHECK REQUIRED BY LAW. THE EMPLOYER DOES NOT ENVISION OTHER WORKFORCE-WIDE
PAYROLL DEDUCTIONS. POTENTIAL ELECTIVE DEDUCTIONS TO BE PRE-AUTHORIZED IN WRITING IF APPLICABLE ARE AS FOLLOWS: THE EMPLOYER WILL DEDUCT FOR
THE REASONABLE FAIR MARKET VALUE COST OF RENT AND/OR UTILITIES BASED ON NUMBER OF OCCUPANTS FOR THOSE EMPLOYEES WHO VOLUNTARILY ELECT TO
LIVE IN EMPLOYER-OFFERED HOUSING.
</t>
  </si>
  <si>
    <t>H-400-22293-543000</t>
  </si>
  <si>
    <t>Fair Ride Entertainment, LLC</t>
  </si>
  <si>
    <t>9912 PENINSULAR DR</t>
  </si>
  <si>
    <t>[PO BOX 1931. GIBSONTON, FL 33534]</t>
  </si>
  <si>
    <t>GIBSONTON</t>
  </si>
  <si>
    <t>Weaver</t>
  </si>
  <si>
    <t>Joeyweaver08@gmail.com</t>
  </si>
  <si>
    <t>P-400-22249-457120</t>
  </si>
  <si>
    <t>Employer will make all deductions from the worker’s paycheck required by law. Optional housing (valued at $125.00 per week) and local convenience travel (valued at $25.00 per week) are available at no cost to the worker.</t>
  </si>
  <si>
    <t>myersmidways@yahoo.com</t>
  </si>
  <si>
    <t>H-400-22321-593003</t>
  </si>
  <si>
    <t>Angelotta Landscaping, Inc. (FEB)</t>
  </si>
  <si>
    <t>28975 Cannon Rd</t>
  </si>
  <si>
    <t>P. O. Box 22042, Beachwood, OH 44122</t>
  </si>
  <si>
    <t>Angelotta</t>
  </si>
  <si>
    <t>Thomas (Tom)</t>
  </si>
  <si>
    <t>28975 Cannon Road</t>
  </si>
  <si>
    <t>thomas.angelotta@outlook.com</t>
  </si>
  <si>
    <t xml:space="preserve">Lift/carry up to 50 pounds.  Employer paid random drug testing.
</t>
  </si>
  <si>
    <t>P-400-22230-424636</t>
  </si>
  <si>
    <t xml:space="preserve">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</si>
  <si>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info@geaugajfs.org</t>
  </si>
  <si>
    <t>H-400-22307-568262</t>
  </si>
  <si>
    <t>GroundSystems, Inc. - Montgomery</t>
  </si>
  <si>
    <t>11315 Williamson Road</t>
  </si>
  <si>
    <t>Hayes</t>
  </si>
  <si>
    <t>VP Operations</t>
  </si>
  <si>
    <t>chayes@groundsystems.net</t>
  </si>
  <si>
    <t xml:space="preserve">Must lift/carry 50 lbs., when necessary.  Saturday and Sunday work required, when necessary.  Employer-paid drug testing required of foreign and domestic workers prior to commencing work and post-hire post-accident. Post-hire background check required of foreign and domestic workers. Employer may offer more than the stated work hours depending on weather, business needs, and other conditions. Extreme heat, cold, rain, or drought may affect exact working hours.
</t>
  </si>
  <si>
    <t>2929 Northlawn Avenue</t>
  </si>
  <si>
    <t>P-400-22239-441803</t>
  </si>
  <si>
    <t>Employer makes all payroll deductions required by law. Employer does not envision other workforce-wide payroll deductions. If requested, employer helps non-local workers secure worker-paid lodging (not to exceed fair market value, based on number of occupants). Housing costs paid directly to landlord and are not payroll deducted.   Employer may deduct health insurance premiums for workers voluntarily participating in plan.    No daily transportation to/from work provided. Employer provides incidental transportation between worksites as necessary. Such transportation complies with all applicable Federal, State, and local laws/regulations.</t>
  </si>
  <si>
    <t>H-400-22272-502325</t>
  </si>
  <si>
    <t>Grays Ent., LLC.</t>
  </si>
  <si>
    <t>947 S 500 E #200</t>
  </si>
  <si>
    <t>947 S 500 E</t>
  </si>
  <si>
    <t>graysentllc@gmail.com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</si>
  <si>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</si>
  <si>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5141 W 6400 N</t>
  </si>
  <si>
    <t>Raises and/or bonuses at employer's discretion.  Returning workers and workers with more experience may be paid higher wage rates. Opportunity for higher pay dependent upon experience.</t>
  </si>
  <si>
    <t>P-400-22210-386067</t>
  </si>
  <si>
    <t>Employer will make all deductions required by law from each paycheck.</t>
  </si>
  <si>
    <t>H-400-22298-550267</t>
  </si>
  <si>
    <t>Prairie Berry LLC</t>
  </si>
  <si>
    <t>23837 HWY 385</t>
  </si>
  <si>
    <t>Hill City</t>
  </si>
  <si>
    <t>Burleson</t>
  </si>
  <si>
    <t>HR Business Partner I</t>
  </si>
  <si>
    <t>amandab@prairieberry.com</t>
  </si>
  <si>
    <t>No experience required</t>
  </si>
  <si>
    <t>PENNINGTON</t>
  </si>
  <si>
    <t>P-400-22255-466648</t>
  </si>
  <si>
    <t>Unknown</t>
  </si>
  <si>
    <t>evelyn.villalobos@prairieberry.com</t>
  </si>
  <si>
    <t>https://prairieberryfamily.com/careers/</t>
  </si>
  <si>
    <t>H-400-22233-428475</t>
  </si>
  <si>
    <t xml:space="preserve">Christmas Light Installer </t>
  </si>
  <si>
    <t>Lighting Technicians</t>
  </si>
  <si>
    <t>B Clean</t>
  </si>
  <si>
    <t>230 Cosby Drive</t>
  </si>
  <si>
    <t>LaGrange</t>
  </si>
  <si>
    <t>Busuulwa</t>
  </si>
  <si>
    <t>161 Alton Drive</t>
  </si>
  <si>
    <t>tim.bclean@gmail.com</t>
  </si>
  <si>
    <t>Work experience is not required, we will train the employee accordingly. 
The candidate needs to be comfortable climbing ladders and general physical labor.</t>
  </si>
  <si>
    <t>TROUP</t>
  </si>
  <si>
    <t>Transportation and Housing will be provided to the worker</t>
  </si>
  <si>
    <t>P-400-22167-285643</t>
  </si>
  <si>
    <t>H-400-22232-428347</t>
  </si>
  <si>
    <t>Receiving Forklift Operator</t>
  </si>
  <si>
    <t>Bud Antle, Inc.</t>
  </si>
  <si>
    <t>2959 Monterey-Salinas Hwy</t>
  </si>
  <si>
    <t>Monterey</t>
  </si>
  <si>
    <t>Cortez</t>
  </si>
  <si>
    <t>Nora</t>
  </si>
  <si>
    <t>nora.cortez@dole.com</t>
  </si>
  <si>
    <t xml:space="preserve">12 months Forklift Operator, preferably in a fast-paced production environment. Ability to bend, stoop, and lift up to 50 pounds. Able to work in a cold environment (34-35 degrees on Plant floor). Must pass independently administered drug screen post offer. 
</t>
  </si>
  <si>
    <t>600 Benjamin Drive</t>
  </si>
  <si>
    <t>Springfield, OH</t>
  </si>
  <si>
    <t xml:space="preserve">Workers will be paid bi-weekly by pay card or direct deposit. </t>
  </si>
  <si>
    <t>P-400-22181-323017</t>
  </si>
  <si>
    <t xml:space="preserve">A higher rate may apply based on experience, productivity and/or market conditions. Workers will be paid bi-weekly by pay card or direct deposit. Overtime: For work performed in Ohio, an overtime premium will be paid when required by Federal, State, or local law, including at time-and-a-half after 40 hours in a workweek. Thus, non-exempt overtime hours will be paid at $26.75. Overtime hours may vary. Deductions from Pay: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     </t>
  </si>
  <si>
    <t>Lisa.cole@dole.com</t>
  </si>
  <si>
    <t>H-400-22245-454285</t>
  </si>
  <si>
    <t>Crawfish Hole #2, Inc.</t>
  </si>
  <si>
    <t xml:space="preserve">12903 Highway 371 </t>
  </si>
  <si>
    <t>Minden</t>
  </si>
  <si>
    <t>Carnahan</t>
  </si>
  <si>
    <t>244 Chris Drive</t>
  </si>
  <si>
    <t>jmfc62@yahoo.com</t>
  </si>
  <si>
    <t xml:space="preserve">Must be able to lift 50 pounds (crawfish sack/crawfish boiling pot)
</t>
  </si>
  <si>
    <t>12903 Highway 371</t>
  </si>
  <si>
    <t>Employee may make above hourly wage rate based on work experience and/or performance.</t>
  </si>
  <si>
    <t>P-400-22172-301820</t>
  </si>
  <si>
    <t xml:space="preserve">Employer will make all deductions from pay as required by the law. Employer will deduct $50.00 per week if the employee chooses to live in the employer provided housing. 
</t>
  </si>
  <si>
    <t>H-400-22278-512948</t>
  </si>
  <si>
    <t>HHS Exceptional Hospitality, LLC</t>
  </si>
  <si>
    <t>12495 SILVER CREEK RD</t>
  </si>
  <si>
    <t>DRIPPING SPRINGS</t>
  </si>
  <si>
    <t>Wilsey</t>
  </si>
  <si>
    <t>DRIPPINGS SPRINGS</t>
  </si>
  <si>
    <t>SHENLINE@HHS1.COM</t>
  </si>
  <si>
    <t>aaron@PESUSA.COM</t>
  </si>
  <si>
    <t xml:space="preserve">No minimum education required.
Workers are subject to post-accident/injury or reasonable suspesion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t>
  </si>
  <si>
    <t>400 RIDGE CLUB DRIVE</t>
  </si>
  <si>
    <t>STATELINE</t>
  </si>
  <si>
    <t>P-400-22215-394623</t>
  </si>
  <si>
    <t xml:space="preserve">Employer will make all deductions from the worker's paycheck required by law. Optional employee shared housing available, including utilities, approx. $200 per week, plus $100 refundable deposit required. Transportation provided between employer’s housing and worksite at approx. $25 per week. Housing and transportation payroll deducted if employee elects. Employer will provide worker at no charge all tools, supplies, and equipment required to perform job. Required uniform provided at no cost to employee. 
</t>
  </si>
  <si>
    <t xml:space="preserve"> www.nevadajobconnect.com</t>
  </si>
  <si>
    <t>H-400-22232-428333</t>
  </si>
  <si>
    <t>Shipping Forklift-Pick Line Operator</t>
  </si>
  <si>
    <t xml:space="preserve">12 months forklift driving in warehouse. Must be able to pass forklift certification.
Good oral communications skills. Knowledge in warehouse procedures. Must have known or demonstrated ability to perform all lift operations, including battery changes. Hands-on ability to work in a fast-paced, team-oriented food processing environment. Required to work independently and with limited supervision. Must be able to maintain regular and acceptable attendance, follow directions, interact well with co-workers, understand and follow posted work rules and procedures. Must be able to successfully complete required Work Keys. 
</t>
  </si>
  <si>
    <t>220 Southridge Parkway</t>
  </si>
  <si>
    <t>Bessemer City</t>
  </si>
  <si>
    <t>GASTON</t>
  </si>
  <si>
    <t xml:space="preserve">The Employer will use a single workweek as its standard for computing wages due. </t>
  </si>
  <si>
    <t>P-400-22181-323028</t>
  </si>
  <si>
    <t>A higher rate may apply based on experience, productivity and/or market conditions. Workers will be paid bi-weekly by pay card or direct deposit. Overtime: For work performed in North Carolina, an overtime premium will be paid when required by Federal, State, or local law, including at time-and-a-half after 40 hours in a workweek. Thus, non-exempt overtime hours will be paid at $27.93. Overtime hours may vary. Deductions from Pay: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t>
  </si>
  <si>
    <t>donna.wagner@dole.com</t>
  </si>
  <si>
    <t>H-400-22271-500474</t>
  </si>
  <si>
    <t>Earth Industries, LLC</t>
  </si>
  <si>
    <t>1017 Steamboat Dr.</t>
  </si>
  <si>
    <t>BAUTISTA</t>
  </si>
  <si>
    <t>JAIME (JIM)</t>
  </si>
  <si>
    <t>SOLE MEMBER</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</si>
  <si>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***Must have 3 months Commercial Brushsaw/Chainsaw Experience. ***
</t>
  </si>
  <si>
    <t>5041 Upton Road (Report to Work)</t>
  </si>
  <si>
    <t>P-400-22187-334322</t>
  </si>
  <si>
    <t>earthindustriesllc@gmail.com</t>
  </si>
  <si>
    <t>https://empportal.emp.state.or.us</t>
  </si>
  <si>
    <t>H-400-22278-512529</t>
  </si>
  <si>
    <t>Maids and Housekeping Cleaners</t>
  </si>
  <si>
    <t>Full Cleaning Vail Services LLC</t>
  </si>
  <si>
    <t>140 Steamboat Drive (physical)</t>
  </si>
  <si>
    <t>PO Box 774, Edwards, CO 81632 (mailing)</t>
  </si>
  <si>
    <t>Gypsum</t>
  </si>
  <si>
    <t>Romero Sanchez</t>
  </si>
  <si>
    <t>Lucia</t>
  </si>
  <si>
    <t>fullcleaningvailservices@outlook.com</t>
  </si>
  <si>
    <t xml:space="preserve">Must be able to stand, bend, kneel and reach high areas to clean, move up and down stairs and regularly lift and/or move up to 10 pounds.  Must be able to withstand exposure to chemicals used in cleaning products.  Team player with good attitude.
Workweek is Monday - Friday. May require some weekends.  
</t>
  </si>
  <si>
    <t>140 Steamboat Drive</t>
  </si>
  <si>
    <t>EAGLE</t>
  </si>
  <si>
    <t>Eagle County bus pass reimbursement. End of season bonus possible depending on performance.</t>
  </si>
  <si>
    <t>P-400-22234-430129</t>
  </si>
  <si>
    <t>H-400-22257-472937</t>
  </si>
  <si>
    <t>CDL Class A Regional Truck Driver</t>
  </si>
  <si>
    <t>KBS Transportation Services, LLC</t>
  </si>
  <si>
    <t>3421 Gateshead Manor Way</t>
  </si>
  <si>
    <t>Unit 303</t>
  </si>
  <si>
    <t>Lattiboudeair</t>
  </si>
  <si>
    <t>Milton</t>
  </si>
  <si>
    <t>Lloyd</t>
  </si>
  <si>
    <t>kbstransportationservices@gmail.com</t>
  </si>
  <si>
    <t>Stupak</t>
  </si>
  <si>
    <t>Bart</t>
  </si>
  <si>
    <t>600 Massachusetts Ave NW</t>
  </si>
  <si>
    <t>Washington</t>
  </si>
  <si>
    <t>bstupak@venable.com</t>
  </si>
  <si>
    <t>Venable LLP</t>
  </si>
  <si>
    <t>U.S. District Court for the District of Columbia</t>
  </si>
  <si>
    <t xml:space="preserve">No education is required, but a high school diploma or GED equivalent is preferred. Must have a clean driving record with no moving violations, a valid Class A commercial drivers license, and 2+ years of prior experience in Regional or Over-the-Road commercial truck driving. Must be physically and mentally fit, as well as pass a background check and a drug test. Must be proficient using Electronic Logging Device (ELD), Global Positioning System (GPS), and other routing systems. </t>
  </si>
  <si>
    <t>Week</t>
  </si>
  <si>
    <t>P-400-22168-291433</t>
  </si>
  <si>
    <t>O'Kelly</t>
  </si>
  <si>
    <t>Sheridan</t>
  </si>
  <si>
    <t>spo'kelly@venable.com</t>
  </si>
  <si>
    <t>H-400-22231-427725</t>
  </si>
  <si>
    <t>Houseperson/Janitor/Custodian</t>
  </si>
  <si>
    <t>SpringHill Suites by Marriott Boise</t>
  </si>
  <si>
    <t>PO Box 58990</t>
  </si>
  <si>
    <t>424 East Parkcenter Blvd</t>
  </si>
  <si>
    <t>P-400-22104-072872</t>
  </si>
  <si>
    <t>Any health benefits the employee decides to enroll in</t>
  </si>
  <si>
    <t>lvincent@innventures.com</t>
  </si>
  <si>
    <t>H-400-22229-422310</t>
  </si>
  <si>
    <t xml:space="preserve">Dishwashers </t>
  </si>
  <si>
    <t xml:space="preserve">Anita's Enterprises Inc. </t>
  </si>
  <si>
    <t xml:space="preserve">Parrott Island </t>
  </si>
  <si>
    <t>1001 S. Parrott Ave.</t>
  </si>
  <si>
    <t>Okeechobee</t>
  </si>
  <si>
    <t>Nunez</t>
  </si>
  <si>
    <t>anunez974@yahoo.com</t>
  </si>
  <si>
    <t>WHITE</t>
  </si>
  <si>
    <t>R.</t>
  </si>
  <si>
    <t>6 BEACON STREET</t>
  </si>
  <si>
    <t>SUITE 900</t>
  </si>
  <si>
    <t>BOSTON</t>
  </si>
  <si>
    <t>ewhite@immigrationed.com</t>
  </si>
  <si>
    <t>Law Office of Ed R White, P.C.</t>
  </si>
  <si>
    <t>SUPREME JUDICIAL COURT</t>
  </si>
  <si>
    <t>There are no requirements.</t>
  </si>
  <si>
    <t>OKEECHOBEE</t>
  </si>
  <si>
    <t xml:space="preserve">Possible overtime but not guaranteed. </t>
  </si>
  <si>
    <t>P-400-22165-278842</t>
  </si>
  <si>
    <t>Employer provides workers lodging and charges $95 per weekly pay period for rent and utilities to be deducted from weekly paycheck plus deductions required by law.</t>
  </si>
  <si>
    <t>anunez74@yahoo.com</t>
  </si>
  <si>
    <t>H-400-22245-454158</t>
  </si>
  <si>
    <t>Micronics Filtration Holdings, Inc</t>
  </si>
  <si>
    <t>1201 Riverfront Parkway</t>
  </si>
  <si>
    <t>Chattanooga</t>
  </si>
  <si>
    <t>Westphal</t>
  </si>
  <si>
    <t>Brenda</t>
  </si>
  <si>
    <t>Director Human Resources</t>
  </si>
  <si>
    <t>1201 Riverfront Pkwy</t>
  </si>
  <si>
    <t>brenda.westphal@micronicsinc.com</t>
  </si>
  <si>
    <t>Faith</t>
  </si>
  <si>
    <t>Brittany</t>
  </si>
  <si>
    <t>633 Chestnut St</t>
  </si>
  <si>
    <t>Ninth Floor</t>
  </si>
  <si>
    <t>bfaith@gkhpc.com</t>
  </si>
  <si>
    <t>Grant, Konvalinka &amp; Harrison, P.C.</t>
  </si>
  <si>
    <t xml:space="preserve">Must pass respirator fit test. Must be able to lift up to 50 pounds. 
</t>
  </si>
  <si>
    <t xml:space="preserve">143 Roy Davis </t>
  </si>
  <si>
    <t>Suite 3B</t>
  </si>
  <si>
    <t>BASTROP</t>
  </si>
  <si>
    <t>P-400-22145-211018</t>
  </si>
  <si>
    <t xml:space="preserve">Housing is optional. Travel is frequent with overnight lodging paid for by company.
</t>
  </si>
  <si>
    <t>T</t>
  </si>
  <si>
    <t>Grant, Konvalinka &amp; Harrison, PC</t>
  </si>
  <si>
    <t>H-400-22215-394996</t>
  </si>
  <si>
    <t xml:space="preserve">Sugarbush Mountain Resort </t>
  </si>
  <si>
    <t xml:space="preserve">1840 Sugarbush Access Road </t>
  </si>
  <si>
    <t xml:space="preserve">Warren </t>
  </si>
  <si>
    <t>Todd</t>
  </si>
  <si>
    <t xml:space="preserve">Annemarie </t>
  </si>
  <si>
    <t>Warren</t>
  </si>
  <si>
    <t>atodd@sugarbush.com</t>
  </si>
  <si>
    <t>Northern Vermont nonmetropolitan area</t>
  </si>
  <si>
    <t>P-400-22165-278378</t>
  </si>
  <si>
    <t>hr@sugarbush.com</t>
  </si>
  <si>
    <t>H-400-22270-496572</t>
  </si>
  <si>
    <t>John J Robb Public Racing Stable</t>
  </si>
  <si>
    <t>830 Morgan Station Road</t>
  </si>
  <si>
    <t>WOODBINE</t>
  </si>
  <si>
    <t>Robb</t>
  </si>
  <si>
    <t>lbjrobb@aol.com</t>
  </si>
  <si>
    <t xml:space="preserve">Must be able to lift 50 pounds.
</t>
  </si>
  <si>
    <t>P-400-22152-231382</t>
  </si>
  <si>
    <t>State and Federal Taxes
“Optional employer-offered housing in the backstretch at no cost to the worker.”</t>
  </si>
  <si>
    <t>H-400-22265-488395</t>
  </si>
  <si>
    <t>Direct Care Support Worker</t>
  </si>
  <si>
    <t>Personal Care Aides</t>
  </si>
  <si>
    <t>Pelican Home Care, LLC</t>
  </si>
  <si>
    <t>2733 Oak Ridge Ct</t>
  </si>
  <si>
    <t>Suite # 103</t>
  </si>
  <si>
    <t>Julmeus</t>
  </si>
  <si>
    <t>Yvonne</t>
  </si>
  <si>
    <t>Director of Services</t>
  </si>
  <si>
    <t xml:space="preserve">Lee County </t>
  </si>
  <si>
    <t>pelicancare@gmail.com</t>
  </si>
  <si>
    <t>2933 18th Street SW</t>
  </si>
  <si>
    <t>LEHIGH ACRES</t>
  </si>
  <si>
    <t>P-400-22206-374059</t>
  </si>
  <si>
    <t>Medicare and Social Security, and Federal withholding employment.</t>
  </si>
  <si>
    <t>H-400-22207-376618</t>
  </si>
  <si>
    <t>Fiesta 1407, LLC</t>
  </si>
  <si>
    <t>Fiesta Cafe</t>
  </si>
  <si>
    <t>1407 S 1st St</t>
  </si>
  <si>
    <t>Real-Perez</t>
  </si>
  <si>
    <t xml:space="preserve">Rosela Isela </t>
  </si>
  <si>
    <t>rosaiselarp@hotmail.com</t>
  </si>
  <si>
    <t>Cui</t>
  </si>
  <si>
    <t>4901 W Irving Park Rd</t>
  </si>
  <si>
    <t>Second Floor Rear</t>
  </si>
  <si>
    <t>info@immig-lawyer.com</t>
  </si>
  <si>
    <t>Immigration Lawyers, P.C.</t>
  </si>
  <si>
    <t xml:space="preserve">Michigan Supreme Court </t>
  </si>
  <si>
    <t>P-400-22165-279787</t>
  </si>
  <si>
    <t>All deductions from pay required by law will be made.</t>
  </si>
  <si>
    <t>H-400-22265-489304</t>
  </si>
  <si>
    <t>Wickenburg Landscape &amp; Irrigation, Inc.</t>
  </si>
  <si>
    <t>Wickenburg Landscape</t>
  </si>
  <si>
    <t>51020 U.S. Hwy 60 89</t>
  </si>
  <si>
    <t>Wickenburg</t>
  </si>
  <si>
    <t>Wolfe</t>
  </si>
  <si>
    <t>51020 US Hwy 60 89</t>
  </si>
  <si>
    <t>aaron@wickenburglandscape.com</t>
  </si>
  <si>
    <t>Wang</t>
  </si>
  <si>
    <t>750 Lawrence St</t>
  </si>
  <si>
    <t>Eugene</t>
  </si>
  <si>
    <t>bwang@bwanglaw.com</t>
  </si>
  <si>
    <t>Benjamin Beijing Wang, P.C.</t>
  </si>
  <si>
    <t>Oregon Supreme Court</t>
  </si>
  <si>
    <t xml:space="preserve">Applicants must be at least 18 years old to travel.  Show proof of legal authority to work in the U.S.  All applicants must be able, willing, qualified to perform the work described and must be available for the entire period specified.  The position requires lifting/carrying items up to 50LBS. Drug/alcohol free work zone.  Pre-hire drug/alcohol testing will be conducted at the employers expense. </t>
  </si>
  <si>
    <t>P-400-22181-324207</t>
  </si>
  <si>
    <t>All usual deductions will be made from payroll in compliance with state and federal regulations.</t>
  </si>
  <si>
    <t>office@wickenburglandscape.com</t>
  </si>
  <si>
    <t>H-400-22259-478571</t>
  </si>
  <si>
    <t>R &amp; E Forestry, Inc.</t>
  </si>
  <si>
    <t>1701 N. Church St.</t>
  </si>
  <si>
    <t>Atkins</t>
  </si>
  <si>
    <t>Wong</t>
  </si>
  <si>
    <t>Ramon</t>
  </si>
  <si>
    <t>erframon@yahoo.com</t>
  </si>
  <si>
    <t xml:space="preserve">Must show proof of legal authorization to work in the United States. Drug/alcohol/tobacco free work zone. Must walk substantially (up to 15 miles/day), also stoop, bend while carrying a pack (up to 40lbs)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Outdoors, exposed to weather; must be capable of doing physically strenuous labor for long hours, occasionally in extreme heat or cold. Variable weather conditions apply; hours may fluctuate (+/-), possible downtime and/or OT.
</t>
  </si>
  <si>
    <t>111 N. Lakeside Drive (Report to Work)</t>
  </si>
  <si>
    <t>De Queen</t>
  </si>
  <si>
    <t>P-400-22158-254715</t>
  </si>
  <si>
    <t>H-400-22235-431264</t>
  </si>
  <si>
    <t xml:space="preserve">Property Inspector </t>
  </si>
  <si>
    <t xml:space="preserve">Big Sky Vacation Rentals </t>
  </si>
  <si>
    <t xml:space="preserve">1569 Lone Mountain Trail </t>
  </si>
  <si>
    <t xml:space="preserve">Big Sky </t>
  </si>
  <si>
    <t>Baldwin</t>
  </si>
  <si>
    <t>LaRell</t>
  </si>
  <si>
    <t xml:space="preserve">General Manager </t>
  </si>
  <si>
    <t>lbaldwin@bookbigsky.com</t>
  </si>
  <si>
    <t>none required</t>
  </si>
  <si>
    <t>This position is eligible for a performance based seasonal bonus payable at a rate of $2 per hour worked in season</t>
  </si>
  <si>
    <t>P-400-22165-280096</t>
  </si>
  <si>
    <t xml:space="preserve">All appropriate federal and state tax </t>
  </si>
  <si>
    <t>employment@bookbigsky.com</t>
  </si>
  <si>
    <t>https://docs.google.com/spreadsheets/d/19LBLyjJLtV7zzsETEY79ztrAEnxGAk</t>
  </si>
  <si>
    <t>H-400-22265-488154</t>
  </si>
  <si>
    <t>SHOP HAND</t>
  </si>
  <si>
    <t>SILVER LOGISTICS LLC</t>
  </si>
  <si>
    <t>4508 E COUNTY ROAD 45</t>
  </si>
  <si>
    <t>ZAPATA</t>
  </si>
  <si>
    <t>LIONEL</t>
  </si>
  <si>
    <t>DISTRICT MANAGER</t>
  </si>
  <si>
    <t>4913 WOODHOLLOW</t>
  </si>
  <si>
    <t>silverlogsllc@gmail.com</t>
  </si>
  <si>
    <t>P-400-22168-292738</t>
  </si>
  <si>
    <t>All state, local and federal taxes (if applicable)</t>
  </si>
  <si>
    <t>H-400-22284-523288</t>
  </si>
  <si>
    <t>Lujan Concessions, LLC</t>
  </si>
  <si>
    <t>824 Co. Rd. 1400</t>
  </si>
  <si>
    <t>Chickasha</t>
  </si>
  <si>
    <t>Lujan</t>
  </si>
  <si>
    <t>robertrlujan@yahoo.com</t>
  </si>
  <si>
    <t xml:space="preserve"> Post-employment random drug testing and background checks may be required, at no cost to the worker. The job requires the applicant to be qualified, ready, willing, able, and available to perform during the entire employment at the designated worksites; and to follow workplace rules.</t>
  </si>
  <si>
    <t>GRADY</t>
  </si>
  <si>
    <t>P-400-22145-212261</t>
  </si>
  <si>
    <t xml:space="preserve">Employer will make all deductions from the worker’s paycheck required by law.  Optional housing (valued at $150.00 per week) and local convenience travel (valued at $25.00 per week) are available at no cost to the worker. </t>
  </si>
  <si>
    <t>H-400-22238-441569</t>
  </si>
  <si>
    <t>Cook 2</t>
  </si>
  <si>
    <t>Steamboat Ski &amp; Resort Corporation</t>
  </si>
  <si>
    <t>Steamboat Resort</t>
  </si>
  <si>
    <t>2305 Mt. Werner Circle</t>
  </si>
  <si>
    <t>Steamboat Springs</t>
  </si>
  <si>
    <t>Howind</t>
  </si>
  <si>
    <t>Jörn</t>
  </si>
  <si>
    <t>jhowind@steamboat.com</t>
  </si>
  <si>
    <t>Trainor</t>
  </si>
  <si>
    <t>Tulley</t>
  </si>
  <si>
    <t>2945 Townsgate Road</t>
  </si>
  <si>
    <t>Westlake Village</t>
  </si>
  <si>
    <t>clark@ailc.com</t>
  </si>
  <si>
    <t>Law Office of Clark T Trainor</t>
  </si>
  <si>
    <t xml:space="preserve">	One year of relevant professional cooking experience  
	Ability to work at a high pace and be comfortable working with a variety of kitchen equipment 
	Must be minimum 18 years of age 
	Must be able to stand for long periods of time 
	Must be able to lift and carry up to 50 lbs
	Must read, write, and speak fluently in English
35 hours per week.  Shifts available 7 days a week including weekends and holidays. 7:00am - 11pm, 7 days a week including weekends and holidays. (7am-3pm, 2pm-11pm) Hours may vary between outlet. 
Wage Per Hour: $17.51 - $23.00. Overtime Possible Per Hour at $26.27 - $34.50.
</t>
  </si>
  <si>
    <t>ROUTT</t>
  </si>
  <si>
    <t>may receive increases based on culinary experrience</t>
  </si>
  <si>
    <t>P-400-22158-252174</t>
  </si>
  <si>
    <t>All deductions required by law will be made. Optional housing is offered on a first-come, first-serve basis for workers who are relocating to begin employment. Cost of housing, if accepted, is up to$530.00 per month. If used, monthly cost of housing may be deducted from paycheck. A partially refundable security deposit of $550.00 is required, to be paid directly to employer upon acceptance of housing (security deposit, plus a non-refundable administrative fee of $50.00). Employee shuttle transportation as well as public bus service available from employee housing to ski area base. Gondola transportation from base to restaurant locations also provided. Criminal background check pre-hire required when residing in employee housing only.  Benefits: Free ski lift season passes for Alterra Mountain Company resorts, $25 ski lift season passes for Alterra Mountain Company resorts for dependents, 25%-50% F &amp; B discounts(based on location), hotel discounts,  ... Pls. see attached Job Order.</t>
  </si>
  <si>
    <t>H-400-22270-495340</t>
  </si>
  <si>
    <t>LABOR AGENCIES HOUSEKEEPING,HOUSEMAN, WAREHOUSES..</t>
  </si>
  <si>
    <t>DYP AGENCY LLC</t>
  </si>
  <si>
    <t>4451 old winter garden rd</t>
  </si>
  <si>
    <t>orlando</t>
  </si>
  <si>
    <t>DORMEVIL</t>
  </si>
  <si>
    <t>PIERRE</t>
  </si>
  <si>
    <t>C.E.O</t>
  </si>
  <si>
    <t>ORLANDO</t>
  </si>
  <si>
    <t>steever208@gmail.com</t>
  </si>
  <si>
    <t xml:space="preserve">BEING ABLE TO ARTICULATED IN ENGLISH 
</t>
  </si>
  <si>
    <t>P-400-22157-247690</t>
  </si>
  <si>
    <t>WE CHARGE A FEE OF 150 WEEKLY FOR TRANPORTATION AND HOUSING.</t>
  </si>
  <si>
    <t>SALEM.DYP@GMAIL.COM</t>
  </si>
  <si>
    <t>WWW.DYPAGENCYONLINE.COM</t>
  </si>
  <si>
    <t>H-400-22230-425743</t>
  </si>
  <si>
    <t>Production Worker</t>
  </si>
  <si>
    <t>Slaughterers and Meat Packers</t>
  </si>
  <si>
    <t>Seaboard Foods LLC</t>
  </si>
  <si>
    <t>2801 Hurliman Road</t>
  </si>
  <si>
    <t>Guymon</t>
  </si>
  <si>
    <t>Stinson</t>
  </si>
  <si>
    <t>Kay</t>
  </si>
  <si>
    <t>Vice President Human Resources and Employee Communications</t>
  </si>
  <si>
    <t>kay.stinson@seaboardfoods.com</t>
  </si>
  <si>
    <t>McCrummen</t>
  </si>
  <si>
    <t>2005 Swift Ave</t>
  </si>
  <si>
    <t>North Kansas City</t>
  </si>
  <si>
    <t>elisa@kcimmigrationlaw.com</t>
  </si>
  <si>
    <t>McCrummen Immigration Law Group, LLC</t>
  </si>
  <si>
    <t>The State of Missouri Supreme Court</t>
  </si>
  <si>
    <t>The physical demands described here are representative of those that must be met by an employee to successfully perform the essential functions of this job. While performing the job, the employee will stand through the entire shift. The employee will regularly use repetitious upper body, hand and arm motion and grasping actions. The employee will regularly reach and twist with the upper body, grasp, and push/pull and lift 50 to 100 pounds.
Before workers are hired, applicants are required to undergo a drug screen (paid for by the employer) and successfully pass a physical exam to ensure the applicant is physically capable of performing the job duties prior to hire.</t>
  </si>
  <si>
    <t>2700 Cactus Drive</t>
  </si>
  <si>
    <t>TEXAS</t>
  </si>
  <si>
    <t>Benefits available pursuant to company policy.  Beginning January 2, 2023, workers will be paid no less than $20.25 per hour. Actual wage may range between $20.00-$24.05 per hour depending on job station and shift assignment.</t>
  </si>
  <si>
    <t>P-400-22097-047085</t>
  </si>
  <si>
    <t xml:space="preserve">Employer will make all deductions from the worker’s paycheck required by law.  If the worker lives in employer-provided shared housing, reasonable rent and utilities for the housing (not to exceed $90 per week) will be deducted from the worker’s weekly paycheck. All other deductions from the paycheck will be voluntary and will be at the worker’s request. Employer will first obtain written permission for voluntary deductions. Voluntary deductions may include, but are not limited to, cafeteria meals, uniforms, meat sales, insurance, and union dues. Workers will be eligible to participate in the Company’s benefit plans (medical, vision, dental, prescription drugs and life insurance) after 90 days 401k retirement program Vacation time and holidays Earned paid time off program for perfect attendance. Referral bonus - $1,000. All benefits are pursuant to company policies. Workers relocating to the job site from a distance of more than 100 miles will be offered relocation assistance consisting of either direct payment for transportation or travel reimbursement which is equal to the most economical and reasonable common carrier for the distances involved.  See addendum. </t>
  </si>
  <si>
    <t>careers@seaboardfoods.com</t>
  </si>
  <si>
    <t>https://seaboardfoods.com/Careers/Pages/Career_Center.aspx</t>
  </si>
  <si>
    <t>H-400-22290-532608</t>
  </si>
  <si>
    <t>C.W.M. Independent Rides, LLC</t>
  </si>
  <si>
    <t>1083 FM 491</t>
  </si>
  <si>
    <t>Lyford</t>
  </si>
  <si>
    <t>Wayne</t>
  </si>
  <si>
    <t>txjanie@hotmail.com</t>
  </si>
  <si>
    <t>1083  FM 491</t>
  </si>
  <si>
    <t>WILLACY</t>
  </si>
  <si>
    <t>P-400-22221-404873</t>
  </si>
  <si>
    <t>yardnote100@gmail.com</t>
  </si>
  <si>
    <t>H-400-22217-400853</t>
  </si>
  <si>
    <t xml:space="preserve">Barber &amp; Hair Stylist </t>
  </si>
  <si>
    <t>Barbers</t>
  </si>
  <si>
    <t xml:space="preserve">Belleza Latina Beauty Salon </t>
  </si>
  <si>
    <t>Salon &amp; Peluquería Belleza Latina</t>
  </si>
  <si>
    <t>1129 N Fayetteville Street</t>
  </si>
  <si>
    <t>Asheboro</t>
  </si>
  <si>
    <t>Reynoso</t>
  </si>
  <si>
    <t>Franklyn</t>
  </si>
  <si>
    <t>franqlincabrera@gmail.com</t>
  </si>
  <si>
    <t>Tapias</t>
  </si>
  <si>
    <t>40 SW 13th Street</t>
  </si>
  <si>
    <t>hvisas@loigica.com</t>
  </si>
  <si>
    <t>LOIGICA, P.A.</t>
  </si>
  <si>
    <t xml:space="preserve">Ability to receive FL Barber License.
</t>
  </si>
  <si>
    <t>RANDOLPH</t>
  </si>
  <si>
    <t>Greensboro-High Point, NC</t>
  </si>
  <si>
    <t>P-400-22143-202659</t>
  </si>
  <si>
    <t>All applicable by law.</t>
  </si>
  <si>
    <t>H-400-22217-400094</t>
  </si>
  <si>
    <t>The Third Synthesis Inc</t>
  </si>
  <si>
    <t>Chicago Sweet Connection Bakery</t>
  </si>
  <si>
    <t>5569 N Northwest Hwy</t>
  </si>
  <si>
    <t>Kailis</t>
  </si>
  <si>
    <t>chicagosweetconnectionbakery@gmail.com</t>
  </si>
  <si>
    <t xml:space="preserve">4901 W.  Irving Park Road </t>
  </si>
  <si>
    <t>Floor 2</t>
  </si>
  <si>
    <t>Info@immig-lawyer.com</t>
  </si>
  <si>
    <t>P-400-22174-308921</t>
  </si>
  <si>
    <t xml:space="preserve">All deductions required by law will be made. </t>
  </si>
  <si>
    <t>tkailis@sweetconnectionbakery.com</t>
  </si>
  <si>
    <t>H-400-22231-427560</t>
  </si>
  <si>
    <t>UNIT 11</t>
  </si>
  <si>
    <t>Ability to coordinate activities of junior housekeeping staff
Ability to coordinate paperwork
Ability to guide and perform disciplinary actions as needed
Must lift/carry 50 lbs., when necessary.  Work schedule is at least 5 days/week with shifts varying by day and work days varying by week to include Saturday and Sunday. Rotating day and evening shifts may be offered. Must be available to work any shift: 8:00am - 4:00pm; 4:00pm - 10:00pm and 11pm - 7am (when needed)
Overtime if available occurs after/over 40hrs/WK.</t>
  </si>
  <si>
    <t>500 Mandalay Ave</t>
  </si>
  <si>
    <t xml:space="preserve">Clearwater </t>
  </si>
  <si>
    <t>P-400-22189-338755</t>
  </si>
  <si>
    <t xml:space="preserve">The employer will make all deductions from worker's paycheck required by law. 
•	Optional voluntary 3rd party housing may be available at $125/week-$150/week and may be voluntarily payroll deducted biweekly, plus all deductions required by law.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 rent is non-refundable"
“Waterloo could act as guarantor for timely rent payment, however, lease is directly with 3rd party &amp; between employee &amp; housing company as Waterloo has no housing of its own.”
“Optional voluntary 3rd party housing may be available at $125/week $150/week and may be voluntarily payroll deducted biweekly or direct deposit into providers account".
</t>
  </si>
  <si>
    <t>H-400-22215-393203</t>
  </si>
  <si>
    <t>MILLER MADE, LLC</t>
  </si>
  <si>
    <t>1545 Eastern Sunrise Ln</t>
  </si>
  <si>
    <t>Decature</t>
  </si>
  <si>
    <t>3112 Cool Spring Dr.</t>
  </si>
  <si>
    <t>Chapel Hill</t>
  </si>
  <si>
    <t>eric.eptraining@gmail.com</t>
  </si>
  <si>
    <t>Eligible applicants will have experience preparing healthy vegan meals and familiarity with Hindu religious practices to incorporate into educational and recreational activities</t>
  </si>
  <si>
    <t>Durham-Chapel Hill, NC</t>
  </si>
  <si>
    <t>P-400-22176-312358</t>
  </si>
  <si>
    <t xml:space="preserve">Lodging and board is available for $100/week. No fringe benefits will be provided. Deductions from paycheck will be made as required by law. If selected, costs for lodging and board will be deducted from each weekly paycheck. </t>
  </si>
  <si>
    <t>H-400-22318-585124</t>
  </si>
  <si>
    <t>Focal Pointe Outdoor Solutions, Inc.</t>
  </si>
  <si>
    <t>1921 Ravinia Drive</t>
  </si>
  <si>
    <t>Stoner</t>
  </si>
  <si>
    <t>Business Admin</t>
  </si>
  <si>
    <t>lstoner@yourfocalpointe.com</t>
  </si>
  <si>
    <t>Action International Inc</t>
  </si>
  <si>
    <t xml:space="preserve">Employer paid post hire drug test required.
Employer paid post hire background check. </t>
  </si>
  <si>
    <t>P-400-22192-342673</t>
  </si>
  <si>
    <t>Optional elective uniform Cleaning deduction $18.50 per pay period. Deductions will not drop the overall wage below the UDSOL minimum, if the deductions are too great they will not be made.</t>
  </si>
  <si>
    <t>https://illinoisjoblink.illinois.gov</t>
  </si>
  <si>
    <t>H-400-22259-478582</t>
  </si>
  <si>
    <t xml:space="preserve">Laborer </t>
  </si>
  <si>
    <t>SUSTAINABLE LANDSCAPE SOLUTIONS LLC</t>
  </si>
  <si>
    <t>17 E BENTON STREET</t>
  </si>
  <si>
    <t>Iowa City</t>
  </si>
  <si>
    <t>Pearl</t>
  </si>
  <si>
    <t>IOWA CITY</t>
  </si>
  <si>
    <t>sean@sustainablelandscapesolutions.org</t>
  </si>
  <si>
    <t>Mealy</t>
  </si>
  <si>
    <t>Irina</t>
  </si>
  <si>
    <t>2301 Stonebrook Drive</t>
  </si>
  <si>
    <t>Muscatine</t>
  </si>
  <si>
    <t>Irina.Engel@iWorkMarket.com</t>
  </si>
  <si>
    <t>iWorkMarket</t>
  </si>
  <si>
    <t>P-400-22214-391011</t>
  </si>
  <si>
    <t>ALL DEDUCTIONS FROM THE WORKERS PAYCHECK WILL BE MADE AS REQUIRED BY LAW. THE EMPLOYER WILL
USE A SINGLE WORK WEEK AS ITS STANDARD FOR COMPUTING WAGES AND PAY by-WEEKLY BY CHECK.</t>
  </si>
  <si>
    <t>FLORENCE</t>
  </si>
  <si>
    <t>BOONE</t>
  </si>
  <si>
    <t>H-400-22315-582507</t>
  </si>
  <si>
    <t>Bumgardners Landscape Management Inc.</t>
  </si>
  <si>
    <t>1750 Delta Waters Road</t>
  </si>
  <si>
    <t>Suite 102, PMB380</t>
  </si>
  <si>
    <t>Oregon</t>
  </si>
  <si>
    <t>Bumgardner</t>
  </si>
  <si>
    <t>Suite 102, PMB 380</t>
  </si>
  <si>
    <t>bill@bumgardnerslandscape.com</t>
  </si>
  <si>
    <t>Must complete and pass post-hire background &amp; drug test paid by employer. The job requires the applicant to be qualified, ready, willing, able, and available to perform during the entire employment at the designated worksite under adverse weather; to enter into and comply with employment contract and any housing lease; to follow workplace and housing rules and any lawful obligations; and to meet job performance standards. Must cooperate with and complete job application and interview, and any supplied information must be truthful and complete. Must comply with grooming requirements and dress code. Must be able to lift 50 pounds. Subject to discharge for cause.  Hours, schedule, and days vary widely. Occasional Saturdays, often 35-40 hours a week, may go up to 45 hours per week.</t>
  </si>
  <si>
    <t>7878 Blackwell Rd</t>
  </si>
  <si>
    <t>Wage prepayment and merit/bonus/sick/supplemental/recruiting pay at employer's discretion.</t>
  </si>
  <si>
    <t>P-400-22207-376057</t>
  </si>
  <si>
    <t xml:space="preserve">Optional shared housing ($400/month) and local convenience travel ($30/week) are available for wage credit and/or deduction, or any lesser amount to the maximum extent not prohibited by law. </t>
  </si>
  <si>
    <t>office@bumgardenerslandscape.com</t>
  </si>
  <si>
    <t>CAMDEN</t>
  </si>
  <si>
    <t>Huntington-Ashland, WV-KY-OH</t>
  </si>
  <si>
    <t xml:space="preserve">Must be able to lift 50 lbs. 
</t>
  </si>
  <si>
    <t>H-400-22293-541768</t>
  </si>
  <si>
    <t>African Hair Braider Designer</t>
  </si>
  <si>
    <t>Hairdressers, Hairstylists, and Cosmetologists</t>
  </si>
  <si>
    <t>AHB By Tchap, LLC</t>
  </si>
  <si>
    <t>3606 14th Street</t>
  </si>
  <si>
    <t>Pascagoula</t>
  </si>
  <si>
    <t>Carine</t>
  </si>
  <si>
    <t>africlush@yahoo.com</t>
  </si>
  <si>
    <t xml:space="preserve"> ability to stand for extended period of times , extensive usage of fingers.</t>
  </si>
  <si>
    <t xml:space="preserve">360614th street </t>
  </si>
  <si>
    <t>Gulfport-Biloxi-Pascagoula, MS</t>
  </si>
  <si>
    <t>P-400-22243-448450</t>
  </si>
  <si>
    <t xml:space="preserve">All deductions as per state and federal laws
Optional housing is available to workers in shared dormitory lodging at $50/week
deductible on worker paycheck or can assist worker to secure such lodging. 
</t>
  </si>
  <si>
    <t>H-400-22321-592745</t>
  </si>
  <si>
    <t>Hector's Mowing</t>
  </si>
  <si>
    <t>2817 Quarter Horse Ln.</t>
  </si>
  <si>
    <t>Celina</t>
  </si>
  <si>
    <t>Esquivel</t>
  </si>
  <si>
    <t xml:space="preserve">Hector </t>
  </si>
  <si>
    <t>hectoresquivelmows@yahoo.com</t>
  </si>
  <si>
    <t>COLLIN</t>
  </si>
  <si>
    <t>P-400-22255-466426</t>
  </si>
  <si>
    <t>H-400-22328-605848</t>
  </si>
  <si>
    <t>Sunrise of Nashville, Inc.</t>
  </si>
  <si>
    <t>2707 Larmon Drive</t>
  </si>
  <si>
    <t>Wellerding</t>
  </si>
  <si>
    <t>bob@sunriseofnashville.com</t>
  </si>
  <si>
    <t xml:space="preserve">Requires three months of previous landscape experience. Must lift/carry 50 lbs., when necessary.  Saturday work required, when necessary.  Post-hire upon suspicion of use and post-accident drug testing required of foreign and domestic workers. Post-hire employment eligibility (e-Verify) check required of foreign and domestic workers. Driver's license check required for workers who drive company vehicles. Employer may offer more than the stated work hours depending on weather, business needs, and other conditions. Extreme heat, cold, rain, or drought may affect exact working hours.
</t>
  </si>
  <si>
    <t>2707 Larmon Dr,</t>
  </si>
  <si>
    <t>P-400-22249-456300</t>
  </si>
  <si>
    <t>Emplyr makes all payroll deductions req’d by law. Emplyr doesn’t envision other workforce-wide payroll deductions. If requested emplyr helps non-local wrkrs secure wrkr-paid lodging. Emplyr deducts reasonable fair market value cost of rent/utilities based on # of occupants for wrkrs electing to reside in emplyr-provided housing. Voluntary advances/loans made to wrkrs, if any, may be repaid by pre-authorized payroll deductions. Emplyr may deduct retirement/savings plan contributions/health insurance premiums for wrkrs voluntarily participating in plans. Uniform provided at no cost. Emplyr may deduct cost for voluntary purchase of add’l uniforms for wrkr's benefit. Wrkrs may voluntarily authorize deductions for snacks &amp; drinks. Such purchases are optional &amp; are for the wrkr’s benefit. No daily transport to/from work provided. Emplyr provides incidental transport between worksites as necessary. Such transport complies with all applicable Federal, State, and local laws/regulations.</t>
  </si>
  <si>
    <t>hjobs@sunriseofnashville.com</t>
  </si>
  <si>
    <t>H-400-22321-592118</t>
  </si>
  <si>
    <t>FILING CLERK</t>
  </si>
  <si>
    <t>Secretaries and Administrative Assistants, Except Legal, Medical, and Executive</t>
  </si>
  <si>
    <t>IMMIGRATION EXPERTS AND SERVICES INC</t>
  </si>
  <si>
    <t>900 OSCEOLA DR SUITE 201</t>
  </si>
  <si>
    <t>WEST PALM BEACH</t>
  </si>
  <si>
    <t>JN BAPTISTE</t>
  </si>
  <si>
    <t>FREYNEL</t>
  </si>
  <si>
    <t>immigration@freynel.com</t>
  </si>
  <si>
    <t>high school diploma</t>
  </si>
  <si>
    <t>PALM BEACH</t>
  </si>
  <si>
    <t>P-400-22194-347906</t>
  </si>
  <si>
    <t>FICA, Medicare tax, Federal tax Withheld</t>
  </si>
  <si>
    <t>immigration@gmail.com</t>
  </si>
  <si>
    <t>freynel.com</t>
  </si>
  <si>
    <t>H-400-22332-606681</t>
  </si>
  <si>
    <t>LIFESCAPE ASSOCIATES, INC.</t>
  </si>
  <si>
    <t>LIFESCAPE COLORADO</t>
  </si>
  <si>
    <t>455 SOUTH PLATTE RIVER DRIVE</t>
  </si>
  <si>
    <t>DENVER</t>
  </si>
  <si>
    <t>HUPF</t>
  </si>
  <si>
    <t>455 S PLATTE RIVER DR</t>
  </si>
  <si>
    <t>MICHAELH@LIFESCAPECOLORADO.COM</t>
  </si>
  <si>
    <t xml:space="preserve">Post-employment criminal background check and post-incident/injury and reasonable suspicion drug test required, cost paid by employer and applied equally to all workers, U.S. and foreign/H-2B. Must be able to work a 6-day schedule, may include weekends and holidays. Applicants must complete an employment application. </t>
  </si>
  <si>
    <t>455 South Platte River Drive</t>
  </si>
  <si>
    <t>P-400-22161-267851</t>
  </si>
  <si>
    <t xml:space="preserve">Employer will make all deductions required by law. Employer will assist worker in finding appropriate and affordable housing. Public transit 3 blocks from central worksite.
Employer will provide worker at no charge all tools, supplies, equipment, uniform and personal protection equipment (PPE) required to perform job. </t>
  </si>
  <si>
    <t>www.connectingcolorado.com</t>
  </si>
  <si>
    <t>Worksource Staffing LLC</t>
  </si>
  <si>
    <t>1642 Union Blvd</t>
  </si>
  <si>
    <t>Allentown</t>
  </si>
  <si>
    <t>Zapata</t>
  </si>
  <si>
    <t>Omaly</t>
  </si>
  <si>
    <t>contact_us@worksourcestaffingpa.com</t>
  </si>
  <si>
    <t>LEHIGH</t>
  </si>
  <si>
    <t>Allentown-Bethlehem-Easton, PA-NJ</t>
  </si>
  <si>
    <t>3303 Harris Park Ave.</t>
  </si>
  <si>
    <t>FISHERBROYLES, LLP</t>
  </si>
  <si>
    <t>Crawfish Processor</t>
  </si>
  <si>
    <t>251 North Second Street</t>
  </si>
  <si>
    <t xml:space="preserve">Louisiana Supreme Court </t>
  </si>
  <si>
    <t>H-400-22335-614647</t>
  </si>
  <si>
    <t>HYDE PARK LANDSCAPING, INC.</t>
  </si>
  <si>
    <t>5055 WOOSTER ROAD</t>
  </si>
  <si>
    <t>SEITER</t>
  </si>
  <si>
    <t>VICTORIA</t>
  </si>
  <si>
    <t>vicki@hydeparklandscaping.com</t>
  </si>
  <si>
    <t>P-400-22241-443487</t>
  </si>
  <si>
    <t>Amusement &amp; Recreation Attendant – Food Concessions</t>
  </si>
  <si>
    <t>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t>
  </si>
  <si>
    <t>See addendum</t>
  </si>
  <si>
    <t>Cooks, Fast Food</t>
  </si>
  <si>
    <t>JASPER</t>
  </si>
  <si>
    <t>Bartender</t>
  </si>
  <si>
    <t>Brooks</t>
  </si>
  <si>
    <t>VP of HR</t>
  </si>
  <si>
    <t>Managing Partner</t>
  </si>
  <si>
    <t>Joy</t>
  </si>
  <si>
    <t>COLUMBIA</t>
  </si>
  <si>
    <t>Central East New York nonmetropolitan area</t>
  </si>
  <si>
    <t>Addison</t>
  </si>
  <si>
    <t>Salazar</t>
  </si>
  <si>
    <t>Employer makes all payroll deductions required by law. Employer does not envision other workforce-wide payroll deductions. No daily transportation to/from work provided. Employer provides incidental transport between job sites. Such transportation complies with all applicable Federal, State, and local laws/regulations.</t>
  </si>
  <si>
    <t>VICE PRESIDENT</t>
  </si>
  <si>
    <t>Huntsville, AL</t>
  </si>
  <si>
    <t>Corp: 5295 Westview Drive, Ste 100, Frederick, MD 21703</t>
  </si>
  <si>
    <t>Christenson</t>
  </si>
  <si>
    <t>Human Resources Director - Employee Development</t>
  </si>
  <si>
    <t>5295 Westview Drive, Ste 100</t>
  </si>
  <si>
    <t>dana.christenson@landcare.com</t>
  </si>
  <si>
    <t>Sarasota</t>
  </si>
  <si>
    <t>SARASOTA</t>
  </si>
  <si>
    <t>North Port-Sarasota-Bradenton, FL</t>
  </si>
  <si>
    <t>Nice &amp; Neat Lawncare LLC</t>
  </si>
  <si>
    <t>1055 Duke Ln.</t>
  </si>
  <si>
    <t>Lynchburg</t>
  </si>
  <si>
    <t>Rucker</t>
  </si>
  <si>
    <t>ronrucker2@aol.com</t>
  </si>
  <si>
    <t>1055 Duke Lane (Report to Work)</t>
  </si>
  <si>
    <t>LYNCHBURG CITY</t>
  </si>
  <si>
    <t>P-400-22194-349397</t>
  </si>
  <si>
    <t>Optional housing available at cost of $125 per pay period to be deducted if worker chooses to use housing option. At Employer’s sole discretion: possible cash advances (if applicable/requested by worker, potential deduction from worker’s paycheck).</t>
  </si>
  <si>
    <t>Runyon</t>
  </si>
  <si>
    <t>Laura</t>
  </si>
  <si>
    <t>H-400-22335-613750</t>
  </si>
  <si>
    <t>GARDENS BY ROMI</t>
  </si>
  <si>
    <t>23 CEDAR LANE</t>
  </si>
  <si>
    <t>SLOAN</t>
  </si>
  <si>
    <t>ROMI</t>
  </si>
  <si>
    <t>P-400-22194-348666</t>
  </si>
  <si>
    <t>ROMI@GARDENBYROMI.COM</t>
  </si>
  <si>
    <t>H-400-22335-615111</t>
  </si>
  <si>
    <t>Yellowstone Landscape - Southeast, LLC_Port St. Lucie</t>
  </si>
  <si>
    <t>2665 SW Domina Road</t>
  </si>
  <si>
    <t>Mailing: P.O. Box 849 , Bunnell, FL 32110</t>
  </si>
  <si>
    <t>Port St. Lucie</t>
  </si>
  <si>
    <t>Vice President HR</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</si>
  <si>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</si>
  <si>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ST LUCIE</t>
  </si>
  <si>
    <t>Port St. Lucie, FL</t>
  </si>
  <si>
    <t>P-400-22284-521226</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</si>
  <si>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 is voluntary.  Emplyr will deduct for reasonable cost of negligent damage to lodging facilities. Emplyr may deduct retirement/savings plan contributions and/or health insurance premiums for workers vol participating in plan(s). Uniform provided at no cost. Employer may deduct cost for vol purchase of additional uniforms for wrkr's benefit.  Emplyr may also deduct for vol boot purchase program. Employer provides incidental transportation between worksites as necessary.</t>
  </si>
  <si>
    <t>H-400-22335-613661</t>
  </si>
  <si>
    <t xml:space="preserve">Employer will make all deductions from the worker's paycheck required by law and deduct approved cost of Medical/Dental/Vision/Accident/Critical Illness insurance if worker elects. Optional approx. cost of Medical $35.57 - $46.51; Dental $3.39 - $7.85; Vision $2.20; Accident $3.23 - $4.15; Critical Illness $0.87 - $26.12 per paycheck, depending on coverage.
Employer will provide worker at no charge all tools, supplies, and equipment required to perform job. Required uniform provided. </t>
  </si>
  <si>
    <t>H-400-22335-614473</t>
  </si>
  <si>
    <t>Seven Oaks Landscapes-Hardscapes Inc</t>
  </si>
  <si>
    <t>529 Redwood Road</t>
  </si>
  <si>
    <t>Mailing: PO Box 49, Redwood, VA 24146</t>
  </si>
  <si>
    <t>Glade Hill</t>
  </si>
  <si>
    <t>Bower</t>
  </si>
  <si>
    <t>sales@7oakslandscape.com</t>
  </si>
  <si>
    <t>Random drug testing during employment; Pre-employment drug testing required, Able to lift 50lbs, Work outside, High pace level and in extreme temperature; Stand for long periods of time, Monday-Friday, Schedule Varies, Some Saturdays may be required,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</si>
  <si>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Raises at employer's discretion. Opportunity for higher pay depending on experience</t>
  </si>
  <si>
    <t>P-400-22196-355536</t>
  </si>
  <si>
    <t>Employer may make payroll deductions at employee's request. Employer facilitates voluntary housing arrangements upon worker request along with corresponding payroll deductions and corresponding payments of approximately $35-$200. Housing expense will vary and be contingent on frequency of deduction/payment being made (i.e. weekly, bi-weekly or monthly – frequency is at employee's discretion).</t>
  </si>
  <si>
    <t>McStay</t>
  </si>
  <si>
    <t>sarah.mcstay@wyn.com</t>
  </si>
  <si>
    <t>Employer may increase wage based on experience, market conditions and/or provide additional pay for performance and te</t>
  </si>
  <si>
    <t>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t>
  </si>
  <si>
    <t>Professional Touch Gardens &amp; Landscaping Inc.</t>
  </si>
  <si>
    <t>P.O. Box 756</t>
  </si>
  <si>
    <t>37 Shore Road</t>
  </si>
  <si>
    <t>Hampton Bays</t>
  </si>
  <si>
    <t>Golyski</t>
  </si>
  <si>
    <t>Zbigniew</t>
  </si>
  <si>
    <t>P-400-22193-345373</t>
  </si>
  <si>
    <t>protouchgardens.com</t>
  </si>
  <si>
    <t>West Tennessee nonmetropolitan area</t>
  </si>
  <si>
    <t>Pineda Post &amp; Poles, Inc</t>
  </si>
  <si>
    <t>81 Old Highway 7</t>
  </si>
  <si>
    <t>Grangeville</t>
  </si>
  <si>
    <t>Pineda</t>
  </si>
  <si>
    <t>Eloy</t>
  </si>
  <si>
    <t>Pinedapoles@live.com</t>
  </si>
  <si>
    <t>81 Old Highway 7 (Report to Work)</t>
  </si>
  <si>
    <t>IDAHO</t>
  </si>
  <si>
    <t>Northwestern Idaho nonmetropolitan area</t>
  </si>
  <si>
    <t>pinedapoles@live.com</t>
  </si>
  <si>
    <t>Columbus</t>
  </si>
  <si>
    <t>MUSCOGEE</t>
  </si>
  <si>
    <t>Columbus, GA-AL</t>
  </si>
  <si>
    <t>Production Worker Helper</t>
  </si>
  <si>
    <t>Louisville</t>
  </si>
  <si>
    <t>Jeff</t>
  </si>
  <si>
    <t>Shelbyville</t>
  </si>
  <si>
    <t>SHELBY</t>
  </si>
  <si>
    <t>Terra Green Landscapes, Inc.</t>
  </si>
  <si>
    <t>dba Terra Green Precision Landscapes</t>
  </si>
  <si>
    <t>4754 Poplar Tent Road</t>
  </si>
  <si>
    <t>Mailing: 1044 Lyerly Ridge Road NW, Concord, NC 28027</t>
  </si>
  <si>
    <t>Concord</t>
  </si>
  <si>
    <t>Faust</t>
  </si>
  <si>
    <t>P.J.</t>
  </si>
  <si>
    <t>pj@terragreenlandscapes.com</t>
  </si>
  <si>
    <t xml:space="preserve">Must lift/carry 50 lbs., when necessary.  Saturday work required, when necessary.  Post-hire random, post-accident and upon suspicion of use drug testing required of foreign and domestic workers. Employer may offer more than the stated work hours depending on weather, business needs, and other conditions. Extreme heat, cold, rain, or drought may affect exact working hours.
</t>
  </si>
  <si>
    <t>CABARRUS</t>
  </si>
  <si>
    <t>P-400-22228-418155</t>
  </si>
  <si>
    <t>hr@terragreenlandscapes.com</t>
  </si>
  <si>
    <t>Housekeepers/Cleaners</t>
  </si>
  <si>
    <t>Lewisville</t>
  </si>
  <si>
    <t>Riverton</t>
  </si>
  <si>
    <t>The Kershaw Law Firm PC</t>
  </si>
  <si>
    <t>BRIAN MCDONALD CONSTRUCTION INC</t>
  </si>
  <si>
    <t>104 MCGREGOR DRIVE</t>
  </si>
  <si>
    <t>MCDONALD</t>
  </si>
  <si>
    <t>MARGARET</t>
  </si>
  <si>
    <t>P-400-22192-344496</t>
  </si>
  <si>
    <t>MCDONALDCRICKET@AOL.COM</t>
  </si>
  <si>
    <t>Novak Law Office</t>
  </si>
  <si>
    <t>West Jefferson</t>
  </si>
  <si>
    <t>ASHE</t>
  </si>
  <si>
    <t>Mountain North Carolina nonmetropolitan area</t>
  </si>
  <si>
    <t>B</t>
  </si>
  <si>
    <t>H-400-22335-613672</t>
  </si>
  <si>
    <t>S &amp; S NELSON LAND SERVICE INC</t>
  </si>
  <si>
    <t>35 JAMIE LANE</t>
  </si>
  <si>
    <t>LAKE OZARK</t>
  </si>
  <si>
    <t>NELSON</t>
  </si>
  <si>
    <t>MILLER</t>
  </si>
  <si>
    <t>Central Missouri nonmetropolitan area</t>
  </si>
  <si>
    <t>P-400-22202-367143</t>
  </si>
  <si>
    <t>Scott@nelsonland.org</t>
  </si>
  <si>
    <t>NORTHPORT</t>
  </si>
  <si>
    <t>JASON</t>
  </si>
  <si>
    <t>Ruby</t>
  </si>
  <si>
    <t>Jay</t>
  </si>
  <si>
    <t>3333 Piedmont Rd. NE</t>
  </si>
  <si>
    <t>Suite 2500</t>
  </si>
  <si>
    <t>rubyj@gtlaw.com</t>
  </si>
  <si>
    <t>Greenberg Traurig LLP</t>
  </si>
  <si>
    <t>Ana</t>
  </si>
  <si>
    <t>Tiffany</t>
  </si>
  <si>
    <t>Chalfont</t>
  </si>
  <si>
    <t>Northeast South Carolina nonmetropolitan area</t>
  </si>
  <si>
    <t>Perez</t>
  </si>
  <si>
    <t>ULSTER</t>
  </si>
  <si>
    <t>Kingston, NY</t>
  </si>
  <si>
    <t xml:space="preserve">Jason </t>
  </si>
  <si>
    <t>Groundskeeper</t>
  </si>
  <si>
    <t>Raises/bonuses may be offered to worker @ company's sole discretion based on work performance, skill, tenure.</t>
  </si>
  <si>
    <t>MOTT THOROUGHBRED RACING LLC</t>
  </si>
  <si>
    <t>914 Minoma Ave</t>
  </si>
  <si>
    <t>Riley</t>
  </si>
  <si>
    <t>rileytmott@gmail.com</t>
  </si>
  <si>
    <t>Anderson</t>
  </si>
  <si>
    <t>Gustavo</t>
  </si>
  <si>
    <t>Suite 3300</t>
  </si>
  <si>
    <t>Cherokee</t>
  </si>
  <si>
    <t>SWAIN</t>
  </si>
  <si>
    <t xml:space="preserve">Dining Room Attendant </t>
  </si>
  <si>
    <t>Parkville</t>
  </si>
  <si>
    <t>FORSYTH</t>
  </si>
  <si>
    <t>Grout Scouts, Inc.</t>
  </si>
  <si>
    <t>2336 259th Ave</t>
  </si>
  <si>
    <t>Ft. Madison</t>
  </si>
  <si>
    <t>Lovett</t>
  </si>
  <si>
    <t>2336 259th Ave.</t>
  </si>
  <si>
    <t>rlovett@groutscouts.com</t>
  </si>
  <si>
    <t>Floyd Nielsen</t>
  </si>
  <si>
    <t>Trisha</t>
  </si>
  <si>
    <t xml:space="preserve">Any advances will be deducted with the consent of the employee. The employer will offer optional housing to employees living outside the regular commuting distance. If the worker elects to use the housing, the employer will deduct $170.00 from each bi-weekly paycheck for rent and utilities. </t>
  </si>
  <si>
    <t>BUCHANAN</t>
  </si>
  <si>
    <t>ashley@laborci.com</t>
  </si>
  <si>
    <t>Kelley</t>
  </si>
  <si>
    <t>Richardson</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</si>
  <si>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</si>
  <si>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Augusta</t>
  </si>
  <si>
    <t>Augusta-Richmond County, GA-SC</t>
  </si>
  <si>
    <t>Southampton</t>
  </si>
  <si>
    <t>Beaumont</t>
  </si>
  <si>
    <t>Beaumont-Port Arthur, TX</t>
  </si>
  <si>
    <t>Philadelphia</t>
  </si>
  <si>
    <t>Klein</t>
  </si>
  <si>
    <t>Hurst</t>
  </si>
  <si>
    <t>Massage Therapist</t>
  </si>
  <si>
    <t>Massage Therapists</t>
  </si>
  <si>
    <t>North Georgia nonmetropolitan area</t>
  </si>
  <si>
    <t>Concrete Polish/Flooring</t>
  </si>
  <si>
    <t>B&amp;C Inc.</t>
  </si>
  <si>
    <t>B&amp;C Flooring Inc</t>
  </si>
  <si>
    <t>2350 North Main Ste 301</t>
  </si>
  <si>
    <t>North Logan</t>
  </si>
  <si>
    <t>Wood Jr</t>
  </si>
  <si>
    <t>2997 Luke Dr</t>
  </si>
  <si>
    <t>Farmersville</t>
  </si>
  <si>
    <t>dani@h2labor.com</t>
  </si>
  <si>
    <t>H2A Labor Assistance, Inc.</t>
  </si>
  <si>
    <t>Possibility of performance based raise, Saturday work and overtime.</t>
  </si>
  <si>
    <t>P-400-22251-461923</t>
  </si>
  <si>
    <t xml:space="preserve">Any advances that are made to workers will be deducted from their checks. </t>
  </si>
  <si>
    <t>http://jobs.utah.gov/employer/business/alien.html</t>
  </si>
  <si>
    <t>Shreveport</t>
  </si>
  <si>
    <t>CADDO</t>
  </si>
  <si>
    <t>Katy</t>
  </si>
  <si>
    <t>BRAZORIA</t>
  </si>
  <si>
    <t>Longtin</t>
  </si>
  <si>
    <t>Sherry</t>
  </si>
  <si>
    <t>9053 State Route 4</t>
  </si>
  <si>
    <t>Whitehall</t>
  </si>
  <si>
    <t>sherrylongtin@mayanlaborconnection.com</t>
  </si>
  <si>
    <t>Manufacturing Laborer, Line</t>
  </si>
  <si>
    <t>Upholsterers</t>
  </si>
  <si>
    <t xml:space="preserve">Must be able to work weekends. Must be able to lift up to 50lbs.
</t>
  </si>
  <si>
    <t>H-400-22335-614338</t>
  </si>
  <si>
    <t xml:space="preserve">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Employer will offer 40 hours per week. Resorts open 7 days a week, workdays vary Sunday through Saturday. Normal shift time: 9:00am-5:30pm (includes 30-minute unpaid break). Workdays and shift times may vary with occupancy, events, and business demands. Basic rate of pay: $15.00 per hour. Employer may increase wage based on experience, market conditions, and/or provide additional pay for performance and tenure. Overtime may be available at $22.50 per hour. An overtime premium will be paid when required by Federal, State, or local law, including at time-and-a-half after 40 hours per workweek. Piece Rate Housekeeper: Payable by piece rate with a guaranteed base rate of $15.00 per hour. Allowed piece rate applied per FLSA guidelines to meet offered wage. Rooms are individually priced out based on size, square footage, and property. The piece rate ranges from a Studio at $12 to a Presidential Suite at $36. Workers are required to clock-in and clock-out at the beginning and end of each shift. This allows for the tracking of hours to ensure that worker is paid at or above the guaranteed base rate of $15.00 per hour and overtime rate of pay is $22.50 per hour. Employer will provide on the job training. A single workweek will be used to compute wages due. Pay received bi-weekly.  Employer will make all deductions from the worker's paycheck required by law. Optional employee shared onsite housing available, including utilities, approx. $100 per week, plus $100 refundable deposit required, available for payroll deduction if employee elects. Housing is onsite, transportation will be provided during inclement weather at no cost to employee.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</si>
  <si>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2558 N 3650rd Rd</t>
  </si>
  <si>
    <t>LA SALLE</t>
  </si>
  <si>
    <t>Northwest Illinois nonmetropolitan area</t>
  </si>
  <si>
    <t>P-400-22284-522937</t>
  </si>
  <si>
    <t xml:space="preserve">Employer will make all deductions from the worker's paycheck required by law. Optional employee shared onsite housing available, including utilities, approx. $100 per week, plus $100 refundable deposit required, available for payroll deduction if employee elects. Housing is onsite, transportation will be provided during inclement weather at no cost to employee.
</t>
  </si>
  <si>
    <t>www.hhs1.com/careers</t>
  </si>
  <si>
    <t>LEXINGTON</t>
  </si>
  <si>
    <t>COMPLETE LANDSCULPTURE OF TEXAS, L.P.</t>
  </si>
  <si>
    <t>2000 SANDY LANE</t>
  </si>
  <si>
    <t>Urizar</t>
  </si>
  <si>
    <t>Nelly</t>
  </si>
  <si>
    <t>Senior Human Resource Manager</t>
  </si>
  <si>
    <t>nellyu@completelandsculpture.com</t>
  </si>
  <si>
    <t xml:space="preserve">Must pass a post-employment criminal background check, post-employment random and project specific testing, paid by employer and applied equally to all workers, U.S. and foreign/H-2B. Applicants must complete an employment application.
</t>
  </si>
  <si>
    <t>Employer will make all deductions from the worker's paycheck required by law. Optional health, dental, and vision insurance available, approximate cost $1-$17 per week, payroll deducted if worker elects. Pay advance possible with management approval, paid back through payroll deductions if worker elects.  Employer will assist in finding housing.
Employer will provide worker at no charge all tools, supplies, equipment and uniform required to perform job.</t>
  </si>
  <si>
    <t>Suite H</t>
  </si>
  <si>
    <t xml:space="preserve">Melissa </t>
  </si>
  <si>
    <t>Central Louisiana nonmetropolitan area</t>
  </si>
  <si>
    <t>Richmond</t>
  </si>
  <si>
    <t>All deductions required by law.</t>
  </si>
  <si>
    <t>Thornblade Club</t>
  </si>
  <si>
    <t>1275 Thornblade Club</t>
  </si>
  <si>
    <t>Greer</t>
  </si>
  <si>
    <t>1275 THORNDALE CLUB</t>
  </si>
  <si>
    <t>GREER</t>
  </si>
  <si>
    <t>KCALLAHAN@THORNBLADECLUB.COM</t>
  </si>
  <si>
    <t>1275 THORNBLADE BOULEVARD</t>
  </si>
  <si>
    <t>GREENVILLE</t>
  </si>
  <si>
    <t>Greenville-Anderson-Mauldin, SC</t>
  </si>
  <si>
    <t>https://jobs.scworks.org/vosnet/Default.aspx</t>
  </si>
  <si>
    <t>Wheelwright</t>
  </si>
  <si>
    <t>111 South Main Street</t>
  </si>
  <si>
    <t>Suite 2400</t>
  </si>
  <si>
    <t>tim.wheelwright@dentons.com</t>
  </si>
  <si>
    <t>Dentons Durham Jones Pinegar P.C.</t>
  </si>
  <si>
    <t>U.S. Supreme Court</t>
  </si>
  <si>
    <t>Rolfe</t>
  </si>
  <si>
    <t>McDuffie</t>
  </si>
  <si>
    <t>517 Broad Street</t>
  </si>
  <si>
    <t>Lake Charles</t>
  </si>
  <si>
    <t>Berry Appleman &amp; Leiden LLP</t>
  </si>
  <si>
    <t>Fernandez</t>
  </si>
  <si>
    <t>Gloria</t>
  </si>
  <si>
    <t>Berry Appleman &amp; Leiden, LLP</t>
  </si>
  <si>
    <t>glfernandez@bal.com</t>
  </si>
  <si>
    <t xml:space="preserve">111 Fiery Road </t>
  </si>
  <si>
    <t>Altoona</t>
  </si>
  <si>
    <t>Bastrop</t>
  </si>
  <si>
    <t>ABC Professional Tree Services, Inc - Beaumont</t>
  </si>
  <si>
    <t>I-10 &amp; Walden</t>
  </si>
  <si>
    <t>Moab</t>
  </si>
  <si>
    <t>Erin</t>
  </si>
  <si>
    <t>Human Resource Manager</t>
  </si>
  <si>
    <t>Jesse</t>
  </si>
  <si>
    <t>Singh</t>
  </si>
  <si>
    <t>Utah Supreme Court</t>
  </si>
  <si>
    <t>Eastern Utah nonmetropolitan area</t>
  </si>
  <si>
    <t xml:space="preserve">Line Cook </t>
  </si>
  <si>
    <t>Rachel</t>
  </si>
  <si>
    <t>Fairview</t>
  </si>
  <si>
    <t>Herndon</t>
  </si>
  <si>
    <t>Adams1117@maslabor.com</t>
  </si>
  <si>
    <t>Adams</t>
  </si>
  <si>
    <t>seasonaljobs.dol.gov</t>
  </si>
  <si>
    <t>Travis</t>
  </si>
  <si>
    <t>West South Dakota nonmetropolitan area</t>
  </si>
  <si>
    <t>BROOKS</t>
  </si>
  <si>
    <t>Project Manager</t>
  </si>
  <si>
    <t>SARPY</t>
  </si>
  <si>
    <t>Carlos</t>
  </si>
  <si>
    <t>Fort Lauderdale</t>
  </si>
  <si>
    <t>Hunter</t>
  </si>
  <si>
    <t>Kansas nonmetropolitan area</t>
  </si>
  <si>
    <t>ROGER</t>
  </si>
  <si>
    <t>Doyle</t>
  </si>
  <si>
    <t>North Central Tennessee nonmetropolitan area</t>
  </si>
  <si>
    <t xml:space="preserve">Wage may vary. </t>
  </si>
  <si>
    <t>Maintenance Helper</t>
  </si>
  <si>
    <t>Wichita</t>
  </si>
  <si>
    <t>SEDGWICK</t>
  </si>
  <si>
    <t>Wichita, KS</t>
  </si>
  <si>
    <t>Carpentry Contractors Company</t>
  </si>
  <si>
    <t>520 3rd Street</t>
  </si>
  <si>
    <t>Excelsior</t>
  </si>
  <si>
    <t>Bixby</t>
  </si>
  <si>
    <t>Manufacturing Manager</t>
  </si>
  <si>
    <t>520 3rd St</t>
  </si>
  <si>
    <t xml:space="preserve">Excelsior </t>
  </si>
  <si>
    <t>eric_bixby@carpentrycontractors.com</t>
  </si>
  <si>
    <t xml:space="preserve">100 Zephyr Avenue </t>
  </si>
  <si>
    <t>Montrose</t>
  </si>
  <si>
    <t>Tami</t>
  </si>
  <si>
    <t>MD Property Services, Inc.</t>
  </si>
  <si>
    <t>947 S 500 E Ste 100</t>
  </si>
  <si>
    <t>HR</t>
  </si>
  <si>
    <t>maritzan@mdpropertyinc.com</t>
  </si>
  <si>
    <t>6800 N 5400 W</t>
  </si>
  <si>
    <t>United Landscape Construction &amp; Supply, Inc</t>
  </si>
  <si>
    <t>2141 Thomas Arnold Rd</t>
  </si>
  <si>
    <t>Mailing: P.O. Box 93, Salado, TX 76571</t>
  </si>
  <si>
    <t>Salado</t>
  </si>
  <si>
    <t>sharish@unitedls.com</t>
  </si>
  <si>
    <t xml:space="preserve">Random drug testing during employment; Drug testing during employment for cause; Post-Accident Drug Testing, Able to lift 50lbs, Must be able to work in inclement weather, Monday-Friday, Some Saturdays required, schedule varies, start/end times may vary, overtime varies. All drug testing is performed without regard to an employees citizenship or immigration status, and all testing is paid for by the company. See the additional document attached for further details about the administration of our drug testing policy.
</t>
  </si>
  <si>
    <t>BELL</t>
  </si>
  <si>
    <t>Killeen-Temple, TX</t>
  </si>
  <si>
    <t>raises at employer's discretion depending on performance.</t>
  </si>
  <si>
    <t>P-400-22215-395057</t>
  </si>
  <si>
    <t>Food Preparation and Serving Related Workers, All Other</t>
  </si>
  <si>
    <t>AVERY</t>
  </si>
  <si>
    <t>Downingtown</t>
  </si>
  <si>
    <t>Aubrey</t>
  </si>
  <si>
    <t>Phillip</t>
  </si>
  <si>
    <t>Schmitt</t>
  </si>
  <si>
    <t>Columbia, MO</t>
  </si>
  <si>
    <t>Fisherbroyles, LLP</t>
  </si>
  <si>
    <t>Scottsdale</t>
  </si>
  <si>
    <t>S.</t>
  </si>
  <si>
    <t>Chandler</t>
  </si>
  <si>
    <t>Hamilton</t>
  </si>
  <si>
    <t>Ray</t>
  </si>
  <si>
    <t>H-400-22335-615129</t>
  </si>
  <si>
    <t>Drivers</t>
  </si>
  <si>
    <t>Light Truck Drivers</t>
  </si>
  <si>
    <t>Spike Inc</t>
  </si>
  <si>
    <t>Olympia Moving &amp; Storage</t>
  </si>
  <si>
    <t>17 Bridge Street</t>
  </si>
  <si>
    <t>Gilmartin</t>
  </si>
  <si>
    <t>CEO/Owner</t>
  </si>
  <si>
    <t>adorsey@olympiamoving.com</t>
  </si>
  <si>
    <t xml:space="preserve">Pre-hire background check required; Random drug testing during employment. Able to lift 50-75lbs up &amp; down stairs. Monday-Sunday, 40 hour workweek, rotating schedule,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</si>
  <si>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Raise/bonus at employer's discr. Opp. for higher pay depending on exper.</t>
  </si>
  <si>
    <t>P-400-22244-450892</t>
  </si>
  <si>
    <t>Roman</t>
  </si>
  <si>
    <t>Lorton</t>
  </si>
  <si>
    <t>Orr</t>
  </si>
  <si>
    <t>ON-SITE LANDSCAPE MANAGEMENT INC</t>
  </si>
  <si>
    <t>38 CARRIAGE WAY</t>
  </si>
  <si>
    <t>P-400-22201-363797</t>
  </si>
  <si>
    <t>dmurphy@onsitelm.com</t>
  </si>
  <si>
    <t>Billings</t>
  </si>
  <si>
    <t>https://jobs.mt.gov/</t>
  </si>
  <si>
    <t>Debra</t>
  </si>
  <si>
    <t>East Stroudsburg, PA</t>
  </si>
  <si>
    <t>FLORES</t>
  </si>
  <si>
    <t>HIDALGO</t>
  </si>
  <si>
    <t>McAllen-Edinburg-Mission, TX</t>
  </si>
  <si>
    <t>NIRO</t>
  </si>
  <si>
    <t>NEW BRITAIN</t>
  </si>
  <si>
    <t>Carol</t>
  </si>
  <si>
    <t>Destin</t>
  </si>
  <si>
    <t>Recreation Workers</t>
  </si>
  <si>
    <t>GARFIELD</t>
  </si>
  <si>
    <t>Peter</t>
  </si>
  <si>
    <t>Katherine</t>
  </si>
  <si>
    <t>Breaux Bridge</t>
  </si>
  <si>
    <t>Gerald</t>
  </si>
  <si>
    <t>ST MARTIN</t>
  </si>
  <si>
    <t>Employer will make all deductions required by law.</t>
  </si>
  <si>
    <t>Sanders</t>
  </si>
  <si>
    <t>Plumbers, Pipefitters, and Steamfitters</t>
  </si>
  <si>
    <t>CAPE NEDDICK</t>
  </si>
  <si>
    <t>Baggage Porters and Bellhops</t>
  </si>
  <si>
    <t>Waiter/Waitress</t>
  </si>
  <si>
    <t>KINGS</t>
  </si>
  <si>
    <t>Hall</t>
  </si>
  <si>
    <t>Palm City</t>
  </si>
  <si>
    <t>2907 TV Road</t>
  </si>
  <si>
    <t>Florence</t>
  </si>
  <si>
    <t>Florence, SC</t>
  </si>
  <si>
    <t>McFall &amp; Berry Landscape Management, Inc</t>
  </si>
  <si>
    <t>5037B Backlick Rd</t>
  </si>
  <si>
    <t>Mailing: PO Box 1680, Annandale, VA 22003</t>
  </si>
  <si>
    <t>Berry</t>
  </si>
  <si>
    <t>Mailing: P.O. Box 1680, Annandale, VA 22003</t>
  </si>
  <si>
    <t>kristin.berry@mcfallandberry.com</t>
  </si>
  <si>
    <t>Romero</t>
  </si>
  <si>
    <t>Rita</t>
  </si>
  <si>
    <t>rromero@fewaglobal.org</t>
  </si>
  <si>
    <t>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</si>
  <si>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7700 Bakers Dr.</t>
  </si>
  <si>
    <t>Raise at employer's discretion.</t>
  </si>
  <si>
    <t>P-400-22242-446572</t>
  </si>
  <si>
    <t>Employer may make payroll deductions at employee's request. Employer facilitates voluntary housing arrangements upon worker request along with corresponding payroll deductions $130.00/bi-weekly for rent and utilities.</t>
  </si>
  <si>
    <t>christopher.jones@mcfallandberry.com</t>
  </si>
  <si>
    <t>MERCER</t>
  </si>
  <si>
    <t>Suite 5</t>
  </si>
  <si>
    <t>H-400-22335-613925</t>
  </si>
  <si>
    <t>Cooper</t>
  </si>
  <si>
    <t>West Chester</t>
  </si>
  <si>
    <t>Machinist</t>
  </si>
  <si>
    <t>Packaging and Filling Machine Operators and Tenders</t>
  </si>
  <si>
    <t>OBI Seafoods</t>
  </si>
  <si>
    <t>1100 West Ewing Street</t>
  </si>
  <si>
    <t>Mullins</t>
  </si>
  <si>
    <t>justin.mullins@obiseafoods.com</t>
  </si>
  <si>
    <t>Mile One Half AK Peninsula</t>
  </si>
  <si>
    <t>Naknek</t>
  </si>
  <si>
    <t>BRISTOL BAY</t>
  </si>
  <si>
    <t>P-400-22174-308382</t>
  </si>
  <si>
    <t>careers@obiseafoods.com</t>
  </si>
  <si>
    <t>https://obiseafoods.com/careers</t>
  </si>
  <si>
    <t>LARA</t>
  </si>
  <si>
    <t>SECRETARY</t>
  </si>
  <si>
    <t>Gretel</t>
  </si>
  <si>
    <t>1200 NW Naito Parkway</t>
  </si>
  <si>
    <t>gmn@pbl.net</t>
  </si>
  <si>
    <t>Parker Butte &amp; Lane PC</t>
  </si>
  <si>
    <t>Company President</t>
  </si>
  <si>
    <t>Dan</t>
  </si>
  <si>
    <t>Golf Course Superintendent</t>
  </si>
  <si>
    <t>JUAN</t>
  </si>
  <si>
    <t>Victoria, TX</t>
  </si>
  <si>
    <t>Highway Maintenance Workers</t>
  </si>
  <si>
    <t>CLAYTON</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</si>
  <si>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</si>
  <si>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HOWARD</t>
  </si>
  <si>
    <t>DISHWASHER</t>
  </si>
  <si>
    <t>Bookkeeper</t>
  </si>
  <si>
    <t>PHILADELPHIA</t>
  </si>
  <si>
    <t>Edison</t>
  </si>
  <si>
    <t>MIDDLESEX</t>
  </si>
  <si>
    <t>Gardener</t>
  </si>
  <si>
    <t>Eastman</t>
  </si>
  <si>
    <t>Danalu Inc</t>
  </si>
  <si>
    <t>Nicolai Landscaping</t>
  </si>
  <si>
    <t>1217 Butler Pike</t>
  </si>
  <si>
    <t>Mailing: 700 Penllyn-Blue Bell Pike, Blue Bell, PA 19422</t>
  </si>
  <si>
    <t>Nicolai</t>
  </si>
  <si>
    <t>Louis</t>
  </si>
  <si>
    <t>nicolailandscape@gmail.com</t>
  </si>
  <si>
    <t xml:space="preserve">Able to lift 50lbs. Monday-Friday, some Saturdays as needed, overtime varies.
</t>
  </si>
  <si>
    <t>P-400-22222-407432</t>
  </si>
  <si>
    <t>PREP COOK</t>
  </si>
  <si>
    <t>RAPID CITY</t>
  </si>
  <si>
    <t>Closter</t>
  </si>
  <si>
    <t>Tim</t>
  </si>
  <si>
    <t xml:space="preserve">Monday-Friday, Some Saturdays may be required, schedule varies, overtime varies
</t>
  </si>
  <si>
    <t>ECTOR</t>
  </si>
  <si>
    <t>Odessa, TX</t>
  </si>
  <si>
    <t>Driver</t>
  </si>
  <si>
    <t>JORGE</t>
  </si>
  <si>
    <t>West Texas Region of Texas nonmetropolitan area</t>
  </si>
  <si>
    <t>Raise/bonus at employer's discretion. Opportunity for higher pay depending on experience.</t>
  </si>
  <si>
    <t>Northwest Virginia nonmetropolitan area</t>
  </si>
  <si>
    <t xml:space="preserve">No formal education, training or experience required.  On-the-job training will be provided.
</t>
  </si>
  <si>
    <t>Hilton Resorts Corporation</t>
  </si>
  <si>
    <t>5323 Millenia Lakes Blvd</t>
  </si>
  <si>
    <t>Edghill</t>
  </si>
  <si>
    <t>Human Resources Department</t>
  </si>
  <si>
    <t>denise.edghill@hgv.com</t>
  </si>
  <si>
    <t>Las Vegas</t>
  </si>
  <si>
    <t>Las Vegas-Henderson-Paradise, NV</t>
  </si>
  <si>
    <t>Dario</t>
  </si>
  <si>
    <t>Durham</t>
  </si>
  <si>
    <t>DURHAM</t>
  </si>
  <si>
    <t>Grounds Maintenance Specialist</t>
  </si>
  <si>
    <t>Hatboro</t>
  </si>
  <si>
    <t>Canty</t>
  </si>
  <si>
    <t>Nelson</t>
  </si>
  <si>
    <t>https://joblink.maine.gov/ada/r/</t>
  </si>
  <si>
    <t>Crew Members</t>
  </si>
  <si>
    <t>Waynesboro</t>
  </si>
  <si>
    <t>Staunton-Waynesboro, VA</t>
  </si>
  <si>
    <t>Knoxville</t>
  </si>
  <si>
    <t>KNOX</t>
  </si>
  <si>
    <t>Central Utah nonmetropolitan area</t>
  </si>
  <si>
    <t>CODINGTON</t>
  </si>
  <si>
    <t>MERRIMACK</t>
  </si>
  <si>
    <t>DENNIS</t>
  </si>
  <si>
    <t>KIMBERLY</t>
  </si>
  <si>
    <t>HOUSEKEEPERS</t>
  </si>
  <si>
    <t>Employer may make payroll deductions at employee's request. Employer facilitates corresponding deductions for available health benefits. Employer facilitates voluntary housing arrangements</t>
  </si>
  <si>
    <t>Northwest Minnesota nonmetropolitan area</t>
  </si>
  <si>
    <t>Little Rock</t>
  </si>
  <si>
    <t>Ralph</t>
  </si>
  <si>
    <t>PULASKI</t>
  </si>
  <si>
    <t>Little Rock-North Little Rock-Conway, AR</t>
  </si>
  <si>
    <t>Raises and bonuses at employer's discretion &amp; Opportunity for higher pay depending on experience</t>
  </si>
  <si>
    <t>ellen@larkhotels.com</t>
  </si>
  <si>
    <t>RKling Associates, Inc.</t>
  </si>
  <si>
    <t>York Landscaping</t>
  </si>
  <si>
    <t>5815 East Berry Street</t>
  </si>
  <si>
    <t>Mailing: P.O. Box 1167, Kennedale, TX 76060</t>
  </si>
  <si>
    <t>Kling</t>
  </si>
  <si>
    <t>linda@yorklandscaping.com</t>
  </si>
  <si>
    <t>Able to lift 50lbs, Random drug testing during employment, Monday-Friday, Some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t>
  </si>
  <si>
    <t>P-400-22215-393236</t>
  </si>
  <si>
    <t>Upon employee's request, payroll deductions may be made, at employer's discretion.</t>
  </si>
  <si>
    <t>Lenexa</t>
  </si>
  <si>
    <t>The Good Earth Garden Center &amp; Nurseries, LLC</t>
  </si>
  <si>
    <t>15601 Cantrell Rd</t>
  </si>
  <si>
    <t>Gregg</t>
  </si>
  <si>
    <t>randi@thegoodearthgarden.com</t>
  </si>
  <si>
    <t>Potential raise at employer's discretion.</t>
  </si>
  <si>
    <t>P-400-22202-366800</t>
  </si>
  <si>
    <t>zak@thegoodearthgarden.com</t>
  </si>
  <si>
    <t>H-400-22335-613700</t>
  </si>
  <si>
    <t>Bell Person</t>
  </si>
  <si>
    <t>Director Associate Services</t>
  </si>
  <si>
    <t xml:space="preserve">No minimum education or experience required. Must be able to lift, push, and pull 50 lbs. Must be able to work weekends and holidays.
Valid Drivers License required. Applicants must complete an employment application. Employer will offer 40 hours of work per week. Resort is open 7 days a week, workdays vary Sunday-Saturday. Rotating schedule, shift times 6am-3pm, 9am-6pm, 11am-8pm, and 3pm-11pm (includes 1-hour unpaid break). Workdays and shift times may vary with occupancy. Basic wage rate: $13.50 per hour. Employer may increase wage based on experience and/or provide additional pay for performance and tenure. Overtime hours may be available at $20.25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</si>
  <si>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 xml:space="preserve">Employer may increase wage based on experience and/or provide additional pay for performance and tenure. </t>
  </si>
  <si>
    <t>P-400-22159-256859</t>
  </si>
  <si>
    <t>GroundSystems, Inc. - Hamilton</t>
  </si>
  <si>
    <t>11315 Williamson Rd,</t>
  </si>
  <si>
    <t>P-400-22239-441800</t>
  </si>
  <si>
    <t>Supervisor</t>
  </si>
  <si>
    <t>Kelly</t>
  </si>
  <si>
    <t>Overland Park</t>
  </si>
  <si>
    <t>Western Wyoming nonmetropolitan area</t>
  </si>
  <si>
    <t>www.wyomingatwork.com/</t>
  </si>
  <si>
    <t>Cook II</t>
  </si>
  <si>
    <t>Evans</t>
  </si>
  <si>
    <t>RUTHERFORD</t>
  </si>
  <si>
    <t>Alvarado</t>
  </si>
  <si>
    <t>HANCOCK</t>
  </si>
  <si>
    <t>FLA Landscapes &amp; Lawns</t>
  </si>
  <si>
    <t xml:space="preserve"> 3223 County Line Road East</t>
  </si>
  <si>
    <t>Mailing: PO Box 4688, Clearwater, FL 33758</t>
  </si>
  <si>
    <t>Sciandra</t>
  </si>
  <si>
    <t xml:space="preserve">James </t>
  </si>
  <si>
    <t>3223 County Line Road East</t>
  </si>
  <si>
    <t>info@yourlawnteam.com</t>
  </si>
  <si>
    <t>3223 County Line Rd East</t>
  </si>
  <si>
    <t>Potential raise and bonus at employer's discretion</t>
  </si>
  <si>
    <t>P-400-22243-448487</t>
  </si>
  <si>
    <t>Employer may make payroll deductions at employee's request. Employer facilitates voluntary housing arrangements upon worker request along with corresponding payroll deductions, $160.00/Bi-Weekly</t>
  </si>
  <si>
    <t>Cary</t>
  </si>
  <si>
    <t>Hubbard</t>
  </si>
  <si>
    <t>Patino</t>
  </si>
  <si>
    <t>PEREZ</t>
  </si>
  <si>
    <t>NANCY</t>
  </si>
  <si>
    <t>QUEENS</t>
  </si>
  <si>
    <t>Construction laborer</t>
  </si>
  <si>
    <t>Sioux Falls</t>
  </si>
  <si>
    <t xml:space="preserve">John </t>
  </si>
  <si>
    <t>MINNEHAHA</t>
  </si>
  <si>
    <t>Employer will make all deductions from the worker’s paycheck required by law and any non-legally required payroll deductions permitted under the law and requested by Employee.</t>
  </si>
  <si>
    <t>Casey</t>
  </si>
  <si>
    <t>Ogden-Clearfield, UT</t>
  </si>
  <si>
    <t>Brush Clearer for Utility Rights of Way</t>
  </si>
  <si>
    <t>Northeast Mississippi nonmetropolitan area</t>
  </si>
  <si>
    <t xml:space="preserve">Wage may vary. Based on Experience and/or location. </t>
  </si>
  <si>
    <t>Mario</t>
  </si>
  <si>
    <t>Columbia</t>
  </si>
  <si>
    <t>Prep Cook</t>
  </si>
  <si>
    <t>Beth's Farm Kitchen, LLC</t>
  </si>
  <si>
    <t>155 Shaker Museum Road</t>
  </si>
  <si>
    <t>Old Chatham</t>
  </si>
  <si>
    <t>Maciel</t>
  </si>
  <si>
    <t>Guillermo</t>
  </si>
  <si>
    <t>Maciel@bethsfarmkitchen.com</t>
  </si>
  <si>
    <t>MCKAY</t>
  </si>
  <si>
    <t>ALAN</t>
  </si>
  <si>
    <t>3007 COUNTY ROUTE 20</t>
  </si>
  <si>
    <t>HUDSON</t>
  </si>
  <si>
    <t>H2 Express, Inc</t>
  </si>
  <si>
    <t xml:space="preserve">Lifting Requirement 60 pounds
</t>
  </si>
  <si>
    <t>J &amp; L Lawns and Landscaping LLC</t>
  </si>
  <si>
    <t>7149 Millville Mays Landing Rd.</t>
  </si>
  <si>
    <t>Milmay</t>
  </si>
  <si>
    <t>Reed</t>
  </si>
  <si>
    <t>Sole Member</t>
  </si>
  <si>
    <t>hattysburg@aol.com</t>
  </si>
  <si>
    <t xml:space="preserve">Monday-Friday, Possible Saturdays, schedule varies, overtime varies
</t>
  </si>
  <si>
    <t>7149 Millville Mays Landing Rd</t>
  </si>
  <si>
    <t>ATLANTIC</t>
  </si>
  <si>
    <t>Atlantic City-Hammonton, NJ</t>
  </si>
  <si>
    <t>Opportunity for additional pay depending on experience.</t>
  </si>
  <si>
    <t>P-400-22249-456405</t>
  </si>
  <si>
    <t>Lawncare Applicator</t>
  </si>
  <si>
    <t>Lang's Lawn Care, Inc</t>
  </si>
  <si>
    <t>130 Pennsylvania Ave.</t>
  </si>
  <si>
    <t>Critchley</t>
  </si>
  <si>
    <t>langslawncare@aol.com</t>
  </si>
  <si>
    <t>Raise/bonus at employer's discretion with opportunity to earn more with experience.</t>
  </si>
  <si>
    <t>P-400-22222-407867</t>
  </si>
  <si>
    <t>Employer may make payroll deductions at employee's request.
Employer facilitates voluntary housing arrangements upon worker request along with corresponding payroll deductions, $75.00/week.</t>
  </si>
  <si>
    <t>Supreme</t>
  </si>
  <si>
    <t xml:space="preserve">Freeport </t>
  </si>
  <si>
    <t>Charlottesville, VA</t>
  </si>
  <si>
    <t>Bergenfield</t>
  </si>
  <si>
    <t>JONATHAN</t>
  </si>
  <si>
    <t>Georgia Supreme Court</t>
  </si>
  <si>
    <t>P-400-22194-348755</t>
  </si>
  <si>
    <t>Enid</t>
  </si>
  <si>
    <t>Brown</t>
  </si>
  <si>
    <t>Enid, OK</t>
  </si>
  <si>
    <t>Tallahassee</t>
  </si>
  <si>
    <t>Carlsbad</t>
  </si>
  <si>
    <t xml:space="preserve">LANDSCAPE LABORER </t>
  </si>
  <si>
    <t>ELITE GREEN LANDSCAPE &amp; DESIGN INC</t>
  </si>
  <si>
    <t>36 MIDTOWN ROAD</t>
  </si>
  <si>
    <t>CARLE PLACE</t>
  </si>
  <si>
    <t>PEREA</t>
  </si>
  <si>
    <t>EDDIE</t>
  </si>
  <si>
    <t>P-400-22194-348305</t>
  </si>
  <si>
    <t>elitegreenlandscapes@yahoo.com</t>
  </si>
  <si>
    <t>Avon</t>
  </si>
  <si>
    <t xml:space="preserve">OWNER </t>
  </si>
  <si>
    <t>Rochester, NY</t>
  </si>
  <si>
    <t>3478 Westminster Avenue</t>
  </si>
  <si>
    <t>Round, III</t>
  </si>
  <si>
    <t>aburleson@kdrounds.com</t>
  </si>
  <si>
    <t>NORFOLK CITY</t>
  </si>
  <si>
    <t>P-400-22158-253661</t>
  </si>
  <si>
    <t>DISHWASHERS</t>
  </si>
  <si>
    <t>WESTHAMPTON BEACH</t>
  </si>
  <si>
    <t>ARLINGTON</t>
  </si>
  <si>
    <t>Zachary</t>
  </si>
  <si>
    <t>Wasatch Area Grounds Specialists, LLC.</t>
  </si>
  <si>
    <t>12936 Cayman Dr.</t>
  </si>
  <si>
    <t>Wagstaff</t>
  </si>
  <si>
    <t>12936 Cayman Dr</t>
  </si>
  <si>
    <t>wagslandscape@msn.com</t>
  </si>
  <si>
    <t>8334 S 700 E</t>
  </si>
  <si>
    <t>Sandy</t>
  </si>
  <si>
    <t>Wildwood</t>
  </si>
  <si>
    <t xml:space="preserve">10314 LINCOLN TRAIL </t>
  </si>
  <si>
    <t>STE 102</t>
  </si>
  <si>
    <t>Fairview Heights</t>
  </si>
  <si>
    <t>tiffany@compassimmigrationlaw.com</t>
  </si>
  <si>
    <t>Compass Immigration Law</t>
  </si>
  <si>
    <t>Criminal background check (post hire, pre-employment) Must be able to perform all listed job duties.</t>
  </si>
  <si>
    <t>Knox</t>
  </si>
  <si>
    <t>www.indianacareerconnect.com</t>
  </si>
  <si>
    <t>Virginia Beach</t>
  </si>
  <si>
    <t>Sutton</t>
  </si>
  <si>
    <t>Shane</t>
  </si>
  <si>
    <t xml:space="preserve">Lift/carry up to 50 pounds.
</t>
  </si>
  <si>
    <t>VIRGINIA BEACH CITY</t>
  </si>
  <si>
    <t>TANGIPAHOA</t>
  </si>
  <si>
    <t>Hammond, LA</t>
  </si>
  <si>
    <t>Bradbury</t>
  </si>
  <si>
    <t>Maricopa</t>
  </si>
  <si>
    <t>Laborer, Landscape &amp; Irrigation</t>
  </si>
  <si>
    <t>Heaven and Earth Landscaping, LLC</t>
  </si>
  <si>
    <t>3102 Sun Valley Place</t>
  </si>
  <si>
    <t>Indian Trail</t>
  </si>
  <si>
    <t>Henderson</t>
  </si>
  <si>
    <t>Sheri</t>
  </si>
  <si>
    <t>sheri.henderson@heavenandearthlandscaping.com</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</si>
  <si>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</si>
  <si>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3102 Sun Valley Place (Report to Work)</t>
  </si>
  <si>
    <t>Optional housing available at $76 a week to be deducted from paycheck. At Employer’s sole discretion: possible cash advances (if applicable/requested by worker, potential deduction from worker’s paycheck).</t>
  </si>
  <si>
    <t>Grand Prairie</t>
  </si>
  <si>
    <t>Spears</t>
  </si>
  <si>
    <t>VINEYARD</t>
  </si>
  <si>
    <t>Angelotta Landscaping, Inc.</t>
  </si>
  <si>
    <t>Andrade</t>
  </si>
  <si>
    <t>O'Hara</t>
  </si>
  <si>
    <t>Evansville, IN-KY</t>
  </si>
  <si>
    <t>Castillo</t>
  </si>
  <si>
    <t>ST TAMMANY</t>
  </si>
  <si>
    <t>Ben</t>
  </si>
  <si>
    <t>Gardner</t>
  </si>
  <si>
    <t>Arnold</t>
  </si>
  <si>
    <t>Director</t>
  </si>
  <si>
    <t>ANNE ARUNDEL</t>
  </si>
  <si>
    <t xml:space="preserve">Manager </t>
  </si>
  <si>
    <t>Edmond</t>
  </si>
  <si>
    <t>Lincoln University</t>
  </si>
  <si>
    <t>Orem</t>
  </si>
  <si>
    <t>Towle</t>
  </si>
  <si>
    <t>Tanner</t>
  </si>
  <si>
    <t>Garner</t>
  </si>
  <si>
    <t>Cleaners of Vehicles and Equipment</t>
  </si>
  <si>
    <t>IRRIGATION HELPER</t>
  </si>
  <si>
    <t>IRRIGATION SOLUTIONS</t>
  </si>
  <si>
    <t>PO BOX 696</t>
  </si>
  <si>
    <t>SGANGA</t>
  </si>
  <si>
    <t>730 MONTAUK HIGHWAY</t>
  </si>
  <si>
    <t>P-400-22195-352096</t>
  </si>
  <si>
    <t>JOE@IRRIGATIONSOLUTIONS.COM</t>
  </si>
  <si>
    <t>Fairdealing</t>
  </si>
  <si>
    <t>Payne</t>
  </si>
  <si>
    <t>RIPLEY</t>
  </si>
  <si>
    <t>Southeast Missouri nonmetropolitan area</t>
  </si>
  <si>
    <t>Jeffery</t>
  </si>
  <si>
    <t>Judith</t>
  </si>
  <si>
    <t>Robbinsville</t>
  </si>
  <si>
    <t>GRAHAM</t>
  </si>
  <si>
    <t>Rose</t>
  </si>
  <si>
    <t>Walsh</t>
  </si>
  <si>
    <t>Churchill Downs</t>
  </si>
  <si>
    <t>700 Central Ave</t>
  </si>
  <si>
    <t xml:space="preserve">203 N Jackson Ave. </t>
  </si>
  <si>
    <t xml:space="preserve">Employer paid post hire background check. 
</t>
  </si>
  <si>
    <t>Liliana</t>
  </si>
  <si>
    <t>754 West 700 South</t>
  </si>
  <si>
    <t>Pleasant Grove</t>
  </si>
  <si>
    <t>Stratton</t>
  </si>
  <si>
    <t>Keven</t>
  </si>
  <si>
    <t>kj@strattonlawgroup.com</t>
  </si>
  <si>
    <t>Stratton Law Group PLLC</t>
  </si>
  <si>
    <t>Peggy</t>
  </si>
  <si>
    <t>KENNETH</t>
  </si>
  <si>
    <t>H-400-22335-614285</t>
  </si>
  <si>
    <t>Yellowstone Landscape - Southeast, LLC_Charleston</t>
  </si>
  <si>
    <t>7325 Peppermill Parkway</t>
  </si>
  <si>
    <t>Mailing: P.O. Box 849, Bunnell, FL 32110</t>
  </si>
  <si>
    <t>North Charleston</t>
  </si>
  <si>
    <t>2819 Industrial Ave, Building 200,</t>
  </si>
  <si>
    <t>P-400-22284-521209</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</si>
  <si>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and/or health insurance premiums for wrkrs voluntarily participating in plan(s). Uniform provided at no cost. Emplyr may deduct cost for vol purchase of additional uniforms for wrkr's benefit.  Emplyr may also deduct for vol boot purchase program. Emplyr provides incidental transportation between worksites as necessary.</t>
  </si>
  <si>
    <t>H-400-22322-597361</t>
  </si>
  <si>
    <t>Maids</t>
  </si>
  <si>
    <t>Level 5 LLC</t>
  </si>
  <si>
    <t>1105 Central Ave</t>
  </si>
  <si>
    <t>PO Box 1150</t>
  </si>
  <si>
    <t>Kearney</t>
  </si>
  <si>
    <t>Maaske</t>
  </si>
  <si>
    <t xml:space="preserve">Employment reference, lift 15 lbs
40+ hours per week, 9:00am  3:00pm, M  Sun, 15 min lunch break.  Workdays/hours vary depending on hotel capacity.
</t>
  </si>
  <si>
    <t xml:space="preserve">111 Talmadge </t>
  </si>
  <si>
    <t>BUFFALO</t>
  </si>
  <si>
    <t>P-400-22242-445956</t>
  </si>
  <si>
    <t xml:space="preserve">Employer will make all deductions required by law.  Other deductions may be taken at employee's written request, i.e. internet, cable, cash advances, medical expenses, etc. See addendum.
Employer will provide optional housing.  Rent, utilities, and trash will be paid by the employer.  Any additional expenses, i.e. cable, internet, cell phone, etc. are not covered.  </t>
  </si>
  <si>
    <t>H-400-22295-545843</t>
  </si>
  <si>
    <t>Road Compact Construction Helper</t>
  </si>
  <si>
    <t>CV3 CONSTRUCTION SERVICES AND MACHINERY, INC</t>
  </si>
  <si>
    <t>662 QUARRY ST</t>
  </si>
  <si>
    <t>Administration Office owned and operated by Employer</t>
  </si>
  <si>
    <t>Eagle Pass</t>
  </si>
  <si>
    <t>Garcia Castells Alanis</t>
  </si>
  <si>
    <t>Manuel</t>
  </si>
  <si>
    <t>slrlaborworksgloria232@gmail.com</t>
  </si>
  <si>
    <t>476 S Bibb Ave 402</t>
  </si>
  <si>
    <t>210-548-7516</t>
  </si>
  <si>
    <t>slrlaborworks.gloria1@yahoo.com</t>
  </si>
  <si>
    <t>SLR Labor Works</t>
  </si>
  <si>
    <t>Must be able to lift 50 lbs maximum without help and work under extreme weather, cold and under the hot sun of south Texas.</t>
  </si>
  <si>
    <t>HWY 83 FM RD 1867</t>
  </si>
  <si>
    <t>Batesville</t>
  </si>
  <si>
    <t>ZAVALA</t>
  </si>
  <si>
    <t>Border Region of Texas nonmetropolitan area</t>
  </si>
  <si>
    <t>P-400-22242-446329</t>
  </si>
  <si>
    <t xml:space="preserve">FICA Withholdings
State Taxes
Local Taxes 
</t>
  </si>
  <si>
    <t>RODRIGUEZ</t>
  </si>
  <si>
    <t>GLORIA</t>
  </si>
  <si>
    <t>SLR Foreign Workers</t>
  </si>
  <si>
    <t>H-400-22307-566901</t>
  </si>
  <si>
    <t>KC Sprinkler Pro</t>
  </si>
  <si>
    <t>6812 Holmes Road</t>
  </si>
  <si>
    <t>Boots</t>
  </si>
  <si>
    <t>Matt</t>
  </si>
  <si>
    <t>kcsprinklerpros@gmail.com</t>
  </si>
  <si>
    <t>6812 Homes Road (Report to Work)</t>
  </si>
  <si>
    <t>P-400-22217-400790</t>
  </si>
  <si>
    <t>Optional shared housing available at up to $200.00 bi-weekly to be deducted from employee's paycheck.  At Employer’s sole discretion: possible cash advances (if applicable/requested by worker, potential deduction from worker’s paycheck).</t>
  </si>
  <si>
    <t>kcsprinklerspros@gmail.com</t>
  </si>
  <si>
    <t>H-400-22321-592189</t>
  </si>
  <si>
    <t>M.S. Lawncare, Inc.</t>
  </si>
  <si>
    <t>4842 Laketon Ct.</t>
  </si>
  <si>
    <t>mslawncareinc@hotmail.com</t>
  </si>
  <si>
    <t>149 Laredo Ave. (Report to Work)</t>
  </si>
  <si>
    <t>P-400-22211-386586</t>
  </si>
  <si>
    <t>Optional shared housing available at up to $230.00 bi-weekly to be deducted from employee’s paycheck. At Employer’s sole discretion: possible cash advances (if applicable/requested by worker, potential deduction from worker’s paycheck).</t>
  </si>
  <si>
    <t>H-400-22342-630398</t>
  </si>
  <si>
    <t>H-400-22307-568281</t>
  </si>
  <si>
    <t xml:space="preserve">Amusement &amp; Recreation Attendant – Carnival </t>
  </si>
  <si>
    <t>TAS, Inc.</t>
  </si>
  <si>
    <t>DBA Todd Armstrong Shows</t>
  </si>
  <si>
    <t>5348 VEGAS DR #269</t>
  </si>
  <si>
    <t>LAS VEGAS</t>
  </si>
  <si>
    <t>Armstrong</t>
  </si>
  <si>
    <t>Lara</t>
  </si>
  <si>
    <t>18470 GARY PLAYER DR</t>
  </si>
  <si>
    <t>armstrongshows@aol.com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</si>
  <si>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Work days: Wed - Sun.  Varies 
Hours per week: 40
Work Schedule: 1pm - 10pm.  Varies
Itinerary starts in Clark county. Work will be performed at various locations (see list of all counties included in itinerary for reference). 
Basic Hourly Wage:  $9.80/hr - $15.47/hr and $392.00 - $618.80/week, depending on location
Overtime Hourly Wage: Overtime pay is subject to Section 13(a)(3) of the FLSA.
Pay Frequency: Weekly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Deductions: Housing provided free of charge. Optional.
</t>
  </si>
  <si>
    <t>12300 North Freeway</t>
  </si>
  <si>
    <t>Employer may offer a raise or bonus depending on experience and merit.</t>
  </si>
  <si>
    <t>P-400-22263-483739</t>
  </si>
  <si>
    <t xml:space="preserve">Optional housing provided free of charge. </t>
  </si>
  <si>
    <t>H-400-22321-592182</t>
  </si>
  <si>
    <t>Turf Plus, LLC</t>
  </si>
  <si>
    <t>4315 E. Morgan Avenue, Suite D</t>
  </si>
  <si>
    <t>Evansville</t>
  </si>
  <si>
    <t>Titzer</t>
  </si>
  <si>
    <t>mtitzer@turf-plus.com</t>
  </si>
  <si>
    <t>943 Stewart Ave. (Report to Work)</t>
  </si>
  <si>
    <t>VANDERBURGH</t>
  </si>
  <si>
    <t>P-400-22211-386626</t>
  </si>
  <si>
    <t xml:space="preserve">Optional shared housing available at up to $150.00 bi-weekly to be deducted from employee’s paycheck. </t>
  </si>
  <si>
    <t>SUSSEX</t>
  </si>
  <si>
    <t>H-400-22319-589180</t>
  </si>
  <si>
    <t>Installation, Maintenance, and Repair Workers, All Other</t>
  </si>
  <si>
    <t>HBLT,  LLC</t>
  </si>
  <si>
    <t>11402 Pradera Dr.</t>
  </si>
  <si>
    <t>Hess</t>
  </si>
  <si>
    <t>mhess5@austin.rr.com</t>
  </si>
  <si>
    <t>1/2 hr. lunch. Some O.T. may be available but is not guaranteed. Wage w/in wage range based on experience &amp; performance.</t>
  </si>
  <si>
    <t>P-400-22172-300483</t>
  </si>
  <si>
    <t>H-400-22315-581758</t>
  </si>
  <si>
    <t>Custodian</t>
  </si>
  <si>
    <t>Cruz Penuelas</t>
  </si>
  <si>
    <t>Arctic Janitorial Service</t>
  </si>
  <si>
    <t>6355 A Avenue</t>
  </si>
  <si>
    <t>Barrow</t>
  </si>
  <si>
    <t>Alcantara</t>
  </si>
  <si>
    <t>Cornelio</t>
  </si>
  <si>
    <t>Casas</t>
  </si>
  <si>
    <t>Accountant</t>
  </si>
  <si>
    <t>9960 Javelin Way</t>
  </si>
  <si>
    <t>Spring Valley</t>
  </si>
  <si>
    <t>traderall@hotmail.com</t>
  </si>
  <si>
    <t>Dependable, interest in learning and doing the job, matured/family oriented individual</t>
  </si>
  <si>
    <t>North Slope Borough</t>
  </si>
  <si>
    <t>1274 Aqvik St</t>
  </si>
  <si>
    <t>NORTH SLOPE</t>
  </si>
  <si>
    <t>P-400-22266-489950</t>
  </si>
  <si>
    <t>All federal, state and local mandatory payroll deductions, possible advance transportation cost and immigration fees</t>
  </si>
  <si>
    <t>H-400-22333-610008</t>
  </si>
  <si>
    <t>Production Line Associate</t>
  </si>
  <si>
    <t>Packers and Packagers, Hand</t>
  </si>
  <si>
    <t>E &amp; H, LLC</t>
  </si>
  <si>
    <t>Oakhouse Bakery</t>
  </si>
  <si>
    <t>2221 Mustang Way</t>
  </si>
  <si>
    <t>EHLEN</t>
  </si>
  <si>
    <t>2221 MUSTANG WAY</t>
  </si>
  <si>
    <t>Kehlen@oakhousebakery.com</t>
  </si>
  <si>
    <t xml:space="preserve">The job will require the worker to perform physical activities that require considerable use of arms and legs and moving the whole body, such as lifting, balancing, walking, extensive bending, stooping, reaching, climbing, pushing, and pulling required. Must be able to lift 50 pounds.  
</t>
  </si>
  <si>
    <t>DANE</t>
  </si>
  <si>
    <t>Madison, WI</t>
  </si>
  <si>
    <t>Overtime hours are available as needed and vary from 1-14 hours. Saturday work may be required when necessary.</t>
  </si>
  <si>
    <t>P-400-22145-208898</t>
  </si>
  <si>
    <t>Employer intends to assist foreign/non-local US workers hired pursuant to this job order to secure worker-paid lodging not to exceed reasonable fair market value cost based on the number of occupants. The employer will deduct for the reasonable fair market value cost of rent and/or utilities for employees who voluntarily elect offered housing. No other workforce-wide payroll deductions envisioned by employer.</t>
  </si>
  <si>
    <t>kehlen@oakhousebakery.com</t>
  </si>
  <si>
    <t>H-400-22313-577298</t>
  </si>
  <si>
    <t>Tracy Henderson</t>
  </si>
  <si>
    <t>Henderson Farm</t>
  </si>
  <si>
    <t>4191 FM 1504</t>
  </si>
  <si>
    <t>Edgewood</t>
  </si>
  <si>
    <t>tracy@hendersonconcrete.net</t>
  </si>
  <si>
    <t>VAN ZANDT</t>
  </si>
  <si>
    <t>P-400-22256-469731</t>
  </si>
  <si>
    <t>H-400-22335-613932</t>
  </si>
  <si>
    <t>Z POOL BOY INC</t>
  </si>
  <si>
    <t>37 N. HOWELL AVENUE CENTEREACH NY 11720</t>
  </si>
  <si>
    <t>PO BOX 532</t>
  </si>
  <si>
    <t>SETAUKET</t>
  </si>
  <si>
    <t>ZALINGER</t>
  </si>
  <si>
    <t>37 N. HOWELL AVENUE, CENTEREACH NY 11720</t>
  </si>
  <si>
    <t xml:space="preserve">PO BOX 532 </t>
  </si>
  <si>
    <t>37 N. HOWELL AVENUE</t>
  </si>
  <si>
    <t>CENTEREACH</t>
  </si>
  <si>
    <t>P-400-22207-376463</t>
  </si>
  <si>
    <t>ZPOOLBOY@YAHOO.COM</t>
  </si>
  <si>
    <t>H-400-22315-582082</t>
  </si>
  <si>
    <t>Truckload and Less than Truckload Delivery Driver</t>
  </si>
  <si>
    <t>Excell Food Distributors, LLC</t>
  </si>
  <si>
    <t>8176 Mccauley Way</t>
  </si>
  <si>
    <t>Quinteros</t>
  </si>
  <si>
    <t>hquinteros@excelldistributors.com</t>
  </si>
  <si>
    <t>Prospecting of new costumers. Make presentations of the products to new costumers. Verify
sanitation of trucks used to deliver goods.
Prepare goods to be delivered. Deliver goods to costumers.
Bilingual Spanish/Basic English.
Certification and Knowledge of Preventive Controls for Human Food (PCQI certified).</t>
  </si>
  <si>
    <t>5004 Jackson St</t>
  </si>
  <si>
    <t>Hyattsville</t>
  </si>
  <si>
    <t>P-400-22229-421524</t>
  </si>
  <si>
    <t>Federal income tax
State income tax
Social Security and Medicare tax</t>
  </si>
  <si>
    <t>www.excelldistributors.com</t>
  </si>
  <si>
    <t>H-400-22307-565959</t>
  </si>
  <si>
    <t>Earthworks, Inc.</t>
  </si>
  <si>
    <t>12105 E FM 917</t>
  </si>
  <si>
    <t>chris@earth.works</t>
  </si>
  <si>
    <t xml:space="preserve">
Must be able to lift 50 lbs. 
Must pass a post-employment criminal background check, paid by employer and applied equally to all workers, U.S. and foreign/H-2B.
Applicants must complete an employment application. 
Applicants must be able to work holidays and weekends as required.
</t>
  </si>
  <si>
    <t>Increased wage possible with experience. Additional pay possible for performance and tenure.</t>
  </si>
  <si>
    <t>P-400-22209-381491</t>
  </si>
  <si>
    <t xml:space="preserve">The employer will make all deductions from the worker's paycheck required by law. 
Optional medical, dental and vision insurance available. Cost of insurance payroll deducted if worker chooses to enroll, approximately $5-$35 per paycheck depending on coverage elected. 
</t>
  </si>
  <si>
    <t>H-400-22318-585167</t>
  </si>
  <si>
    <t>1235 E Cherokee St</t>
  </si>
  <si>
    <t>P-400-22192-342699</t>
  </si>
  <si>
    <t>H-400-22335-613810</t>
  </si>
  <si>
    <t>PROFESSIONAL ESTATE CARE INC</t>
  </si>
  <si>
    <t>4 ASHWOOD COURT</t>
  </si>
  <si>
    <t>HOLZMAN</t>
  </si>
  <si>
    <t>P-400-22201-364185</t>
  </si>
  <si>
    <t>PROFESSIONALESTATE@HOTMAIL.COM</t>
  </si>
  <si>
    <t>H-400-22335-613854</t>
  </si>
  <si>
    <t>MAHONEY ASSOCIATES INC</t>
  </si>
  <si>
    <t>321 COUNTY ROAD 39A</t>
  </si>
  <si>
    <t>PO BOX 1049</t>
  </si>
  <si>
    <t>MAHONEY</t>
  </si>
  <si>
    <t>DONALD</t>
  </si>
  <si>
    <t>P-400-22200-360612</t>
  </si>
  <si>
    <t>KGARCIA@MAHONEYASSOCIATES.NET</t>
  </si>
  <si>
    <t>Raises and bonuses at employer's discretion</t>
  </si>
  <si>
    <t>H-400-22310-571489</t>
  </si>
  <si>
    <t xml:space="preserve">PRODUCTION HELPER </t>
  </si>
  <si>
    <t>GALVOTEC ALLOYS INC</t>
  </si>
  <si>
    <t>6712 S 36TH ST</t>
  </si>
  <si>
    <t>MCALLEN</t>
  </si>
  <si>
    <t>PENA</t>
  </si>
  <si>
    <t>ELIZABETH</t>
  </si>
  <si>
    <t>epena@galvotec.com</t>
  </si>
  <si>
    <t xml:space="preserve">THREE MONTHS OF PREVIOUS EXPERIENCE IS REQUIRED AS A PRODUCTION HELPER. NO TRAVEL OR EDUCATION REQUIRED, NO ON-THE-JOB TRAINING OR DAILY TRANSPORTATION TO WORK SITE AVAILABLE. ABLE TO BEND AND LIFT HEAVY OBJECTS UP TO 50LB. FOR OBJECTS MORE THAN 50LB FORKLIFT AND HOOKS PROVIDED. POST-HIRE DRUG TEST REQUIRED PAID BY THE EMPLOYER, ALL US AND GUEST WORKERS WILL BE SCREENED EQUALLY.
</t>
  </si>
  <si>
    <t>if overtime needed it will be paid at 20.09</t>
  </si>
  <si>
    <t>P-400-22146-212845</t>
  </si>
  <si>
    <t>Deductions by the law. May include shared group rental housing of $70 to $75 per week depending on housing location, and a refundable security deposit of $75; $30 per week company-provided transportation to and from housing if workers want company housing and/or transport and it is available. Housing, if provided, will be in the McAllen Metropolitan area.</t>
  </si>
  <si>
    <t>Hilton Grand Vacations</t>
  </si>
  <si>
    <t xml:space="preserve">No minimum education or experience required. Workers are subject to post-employment criminal background checks, paid by employer and applied equally to all workers, U.S. and foreign/H-2B. Applicant must complete an employment application.  Must be able to work at least 5-day work schedule, including weekends and holidays as required. Employer will offer 40 hours per week. Resort open 7 days a week. Rotating schedule Sunday through Saturday, shifts vary: 8am-5pm, 4pm-12am, 11am-7pm (includes 1-hour unpaid break).  Hours and shifts may vary with occupancy and events. Basic wage rate of pay $14.00 per hour. Employer may increase wage based on experience, market conditions and/or provide additional pay for performance and tenure. Overtime may be available at wage rate $21.00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Employer will assist worker to find housing. Public transportation available less than a mile from worksites. Employer will provide worker at no charge all tools, supplies, and equipment required to perform job.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t>
  </si>
  <si>
    <t>1600 N. Ocean Blvd</t>
  </si>
  <si>
    <t>https://careers.hgv.com/</t>
  </si>
  <si>
    <t>H-400-22307-566366</t>
  </si>
  <si>
    <t>Pool Construction Laborer</t>
  </si>
  <si>
    <t>Moonlight Pool and Spa</t>
  </si>
  <si>
    <t>1422 Berger Rd</t>
  </si>
  <si>
    <t>Temple</t>
  </si>
  <si>
    <t>Rem</t>
  </si>
  <si>
    <t>Mikeal</t>
  </si>
  <si>
    <t>amber@txmoonlight.com</t>
  </si>
  <si>
    <t xml:space="preserve">Drug testing during employment for cause, Able to lift 50lbs, Must be able to work in inclement weather, Monday-Friday, Some Saturdays as needed, schedule varies, start/end time varies, Additional overtime varies. All drug testing is performed without regard to an employees citizenship or immigration status, and all testing is paid for by the company. See the additional document attached for further details about the administration of our drug testing policy.
</t>
  </si>
  <si>
    <t>raise/bonus at employer's discretion</t>
  </si>
  <si>
    <t>P-400-22214-391562</t>
  </si>
  <si>
    <t>Employer may make payroll deductions at employee's request; Employer may provide optional housing upon request and corresponding payroll deduction, at 300/month for rent and utilities.</t>
  </si>
  <si>
    <t>info@txmoonlight.com</t>
  </si>
  <si>
    <t>H-400-22318-584867</t>
  </si>
  <si>
    <t>Vizmeg Landscape Inc</t>
  </si>
  <si>
    <t>778 McCauley Rd.</t>
  </si>
  <si>
    <t>#100</t>
  </si>
  <si>
    <t>Stow</t>
  </si>
  <si>
    <t>Vizmeg</t>
  </si>
  <si>
    <t xml:space="preserve">778 McCauley Rd. </t>
  </si>
  <si>
    <t>anna@vizmeg.com</t>
  </si>
  <si>
    <t>Able to lift 50lbs. Pre-hire background check required; Random drug testing during employment; Pre-employment drug testing required; Drug testing during employment for cause; Post-Accident Drug Testing. Monday-Friday, some weekends may be required,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t>
  </si>
  <si>
    <t>778 McCauley Road</t>
  </si>
  <si>
    <t>P-400-22235-433166</t>
  </si>
  <si>
    <t>Employer may make payroll deductions at employee's request. Employer facilitates voluntary housing arrangements along with corresponding payroll deduction , $50/week.</t>
  </si>
  <si>
    <t>hr@vizmeg.com</t>
  </si>
  <si>
    <t>H-400-22321-593664</t>
  </si>
  <si>
    <t>H-400-22335-613957</t>
  </si>
  <si>
    <t>PHIL GAMBLE &amp; SONS</t>
  </si>
  <si>
    <t>30 GANSETT LANE</t>
  </si>
  <si>
    <t>PO BOX 762</t>
  </si>
  <si>
    <t>AMAGANSETT</t>
  </si>
  <si>
    <t>GAMBLE</t>
  </si>
  <si>
    <t>P-400-22201-363929</t>
  </si>
  <si>
    <t>PHILGAMBLEPH@GMAIL.COM</t>
  </si>
  <si>
    <t>H-400-22335-613681</t>
  </si>
  <si>
    <t>Front House Food &amp; Beverage Associate/Dining Room Attendant</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</si>
  <si>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t>
  </si>
  <si>
    <t>P-400-22218-401164</t>
  </si>
  <si>
    <t xml:space="preserve">Employer will make all deductions from the worker's paycheck required by law. Optional employee only shared housing available onsite, including utilities, at approximately $100 per week. Housing cost payroll deducted if worker elects.
A single workweek will be used in computing wages due. Workers will be paid weekly.
</t>
  </si>
  <si>
    <t>H-400-22335-613694</t>
  </si>
  <si>
    <t>Front Desk</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</si>
  <si>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Public transportation is located in front of worksite. Employee is responsible for their own transportation to and from the worksite. 
Employer will provide on-the-job training. 
</t>
  </si>
  <si>
    <t>P-400-22216-397779</t>
  </si>
  <si>
    <t xml:space="preserve">Employer will make all deductions from the worker's paycheck required by law. Optional employee only shared housing available onsite, including utilities, at approximately $110 per week. Housing cost payroll deducted if worker elects.
A single workweek will be used in computing wages due. Workers will be paid weekly.
</t>
  </si>
  <si>
    <t>H-400-22335-613705</t>
  </si>
  <si>
    <t>Facility Maintenance</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</si>
  <si>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stand, sit, and reach with hands and arms. 
Must be able to walk and stoop, kneel, crouch, or crawl.
Must be able to lift 20 lbs and move up to 75 lbs.
Must be able to be exposed to severe weather conditions such as rain, wind and other harsh climatic conditions. 
Must be able to work in environment where noise level may exceed the moderate threshold. 
Must be able to be exposed to various industrial chemicals, cleaning agents, etc. 
Must be able to be exposed to strong odors.
The employer will provide worker at no charge all tools, supplies, and equipment required to perform job. Uniform pieces provided at no cost to employee.
Public transportation is located in front of worksite. Employee is responsible for their own transportation to and from the worksite. 
Employer will provide on-the-job training. </t>
  </si>
  <si>
    <t>P-400-22213-388945</t>
  </si>
  <si>
    <t>H-400-22307-566008</t>
  </si>
  <si>
    <t>Russek Outdoors, LLC</t>
  </si>
  <si>
    <t>Andy's Sprinkler &amp; Drainage</t>
  </si>
  <si>
    <t>4825 McCullough Ave.</t>
  </si>
  <si>
    <t>Runte</t>
  </si>
  <si>
    <t>Carmen</t>
  </si>
  <si>
    <t>hr@sprinklerdrainage.com</t>
  </si>
  <si>
    <t>4825 McCullough Ave (Report to Work)</t>
  </si>
  <si>
    <t>P-400-22259-476497</t>
  </si>
  <si>
    <t>Optional shared housing available at up to $180.60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</si>
  <si>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asdljobs@sprinklerdrainage.com</t>
  </si>
  <si>
    <t>H-400-22336-619295</t>
  </si>
  <si>
    <t>Deckhand/ header</t>
  </si>
  <si>
    <t>Master Ken, Inc.</t>
  </si>
  <si>
    <t>1489 Hart Road</t>
  </si>
  <si>
    <t xml:space="preserve">Palacios </t>
  </si>
  <si>
    <t>P-400-22224-414200</t>
  </si>
  <si>
    <t>H-400-22308-569402</t>
  </si>
  <si>
    <t>Big G´s Food Service LLC.</t>
  </si>
  <si>
    <t>2327 S. Aragon Ave.</t>
  </si>
  <si>
    <t>[MAIL: P.O. Box 292983, Dayton, OH 45429]</t>
  </si>
  <si>
    <t>Kettering</t>
  </si>
  <si>
    <t>gmorris311@gmail.com</t>
  </si>
  <si>
    <t>820 Distribution Dr.</t>
  </si>
  <si>
    <t>[MAIL: P.O. Box 2327 S. Aragon Ave. Kettering, OH 45420]</t>
  </si>
  <si>
    <t>P-400-22249-456360</t>
  </si>
  <si>
    <t xml:space="preserve">Employer will make all deductions from the worker’s paycheck required by law. Optional housing (valued at $125.00 per week) and local convenience travel (valued at $25.00 per week) are available at no cost to the worker. </t>
  </si>
  <si>
    <t>Gmorris311@gmail.com</t>
  </si>
  <si>
    <t>H-400-22307-567463</t>
  </si>
  <si>
    <t>Aimbridge Employee Service Corp</t>
  </si>
  <si>
    <t>The Island</t>
  </si>
  <si>
    <t>1500 Miracle Strip Parkway</t>
  </si>
  <si>
    <t>Fort Walton Beach</t>
  </si>
  <si>
    <t>Swaim</t>
  </si>
  <si>
    <t>General Manger</t>
  </si>
  <si>
    <t>connection01@hotmail.com</t>
  </si>
  <si>
    <t>P-400-22224-414541</t>
  </si>
  <si>
    <t>$85 per week for lodging and utilities only if worker elects to live in
provided shared housing</t>
  </si>
  <si>
    <t>WWW.CAREERSOURCEOKALOOSAWALTON.COM</t>
  </si>
  <si>
    <t>H-400-22307-565980</t>
  </si>
  <si>
    <t>The Greenwood Group, LLC</t>
  </si>
  <si>
    <t>4577 Hwy Z</t>
  </si>
  <si>
    <t>Wentzville</t>
  </si>
  <si>
    <t xml:space="preserve">Schepis </t>
  </si>
  <si>
    <t>Joan</t>
  </si>
  <si>
    <t>joan@thegreenwoodgroup.net</t>
  </si>
  <si>
    <t>4577 Hwy Z (Report to Work)</t>
  </si>
  <si>
    <t>P-400-22220-402029</t>
  </si>
  <si>
    <t>Optional shared housing available at up to $160.00 bi-weekly to be deducted from employee's paycheck. At Employer’s sole discretion: possible cash advances (if applicable/requested by worker, potential deduction from worker’s paycheck).</t>
  </si>
  <si>
    <t>info@thegreenwoodgroup.net</t>
  </si>
  <si>
    <t>H-400-22003-802214</t>
  </si>
  <si>
    <t>BARISTA</t>
  </si>
  <si>
    <t xml:space="preserve">See job description.  Employer will consider all applicants with 3 months relevant experience at a hotel, resort, restaurant or private club. </t>
  </si>
  <si>
    <t>Center Harbor</t>
  </si>
  <si>
    <t>State Tip Wage Rate plus tips with gurantee of $11.26 per hour per  prevailing wage determination</t>
  </si>
  <si>
    <t>P-400-21287-644013</t>
  </si>
  <si>
    <t>All required local state and federal deductions will be made by Employer. If hired, Company is willing to facilitate housing accommodations through a third party. Housing is limited to the period of time of temporary employment which is no more than nine (9) months and is on first come first serve basis. Cost of housing, if accepted, is between $75 and $125 per week    payable to third party housing provider.  If housing is utilized, an agreement for housing will be required with the third-party provider.  A security deposit of $0.00 is required, which is refundable if housing is left in good condition. Deposit it due prior to moving in and if refunded will be refunded to employee in the same method as paid.</t>
  </si>
  <si>
    <t>gustoialiancafe@gmail.com</t>
  </si>
  <si>
    <t>www.gustocafenh.com</t>
  </si>
  <si>
    <t>H-400-22245-453222</t>
  </si>
  <si>
    <t xml:space="preserve">MAID AND HOUSEKEEPING CLEANERS </t>
  </si>
  <si>
    <t xml:space="preserve">SDA HOSPITALITY SERVICES LLC </t>
  </si>
  <si>
    <t xml:space="preserve">7543 HOLLEY CIR </t>
  </si>
  <si>
    <t xml:space="preserve">PANAMA CITY BEACH </t>
  </si>
  <si>
    <t>ELLIS</t>
  </si>
  <si>
    <t xml:space="preserve">CATHY </t>
  </si>
  <si>
    <t xml:space="preserve">7543 HOLLEY CIRCLE </t>
  </si>
  <si>
    <t>INFO@SDASERVICESLLC.COM</t>
  </si>
  <si>
    <t xml:space="preserve">9900 S THOMAS DRIVE </t>
  </si>
  <si>
    <t>P-400-22195-350743</t>
  </si>
  <si>
    <t>all taxes that are required by law . amount not known</t>
  </si>
  <si>
    <t>info@sdaservicesllc.com</t>
  </si>
  <si>
    <t>H-400-22259-478255</t>
  </si>
  <si>
    <t>Stowe Country Rentals, Inc.</t>
  </si>
  <si>
    <t>Stowe Country Homes</t>
  </si>
  <si>
    <t>541 S. Main Street</t>
  </si>
  <si>
    <t>Stowe</t>
  </si>
  <si>
    <t>Karosas</t>
  </si>
  <si>
    <t>alison@stowecountryhomes.com</t>
  </si>
  <si>
    <t>The petitioner will consider any person for employment who possesses at least three (3) months of experience in a fine-dining or high-volume environment at a high-end restaurant, resort, or private club. 
Work schedule can vary and can include evening, weekend, and holiday hours.  Work may be performed on any day of the week from Monday through Sunday. Shift hours may vary. Shift: 9:00am  4:30pm</t>
  </si>
  <si>
    <t>STOWE</t>
  </si>
  <si>
    <t>P-400-22178-313819</t>
  </si>
  <si>
    <t>Housing available and optional. Cost of housing, if accepted, is $500.00 per month. If used, total cost of housing will be paid directly to employer by employee. A $250.00 refundable security deposit is required to be paid directly to employer. Daily transportation to and from worksite is provided.</t>
  </si>
  <si>
    <t>H-400-22186-332870</t>
  </si>
  <si>
    <t>Helper - Dental Technicans</t>
  </si>
  <si>
    <t>Dental Assistants</t>
  </si>
  <si>
    <t>Nuvia Dental Lab, LLC</t>
  </si>
  <si>
    <t>7884 S Highland Dr.</t>
  </si>
  <si>
    <t>Cottonwood Heights</t>
  </si>
  <si>
    <t>Barros</t>
  </si>
  <si>
    <t>Katherin</t>
  </si>
  <si>
    <t>7884 S. HIghland Dr.</t>
  </si>
  <si>
    <t>kathy@nuviasmiles.com</t>
  </si>
  <si>
    <t>Pascual</t>
  </si>
  <si>
    <t>P.O. Box 17414</t>
  </si>
  <si>
    <t>margaret@pascuallaw.com</t>
  </si>
  <si>
    <t>Pascual Law, PLLC</t>
  </si>
  <si>
    <t>78845 S Highland Dr.</t>
  </si>
  <si>
    <t>P-400-22122-126277</t>
  </si>
  <si>
    <t>All required federl and state deductions including Withholding and FICA.</t>
  </si>
  <si>
    <t>H-400-22257-472500</t>
  </si>
  <si>
    <t>Ski Instructor - Level 2</t>
  </si>
  <si>
    <t>Self-Enrichment Teachers</t>
  </si>
  <si>
    <t>Crystal Mountain, Inc.</t>
  </si>
  <si>
    <t>Crystal Mountain Resort</t>
  </si>
  <si>
    <t>33914 Crystal Mountain Blvd.</t>
  </si>
  <si>
    <t>Enumclaw</t>
  </si>
  <si>
    <t>Jachim</t>
  </si>
  <si>
    <t>jjachim@skicrystal.com</t>
  </si>
  <si>
    <t xml:space="preserve">Level 2 (or higher) PSIA/AASI or equivalent certification or equivalent certification required.
One year teaching and/or coaching required.
Able to lift, carry, or otherwise move and position a minimum of 50 pounds on an occasional basis.
Able to spend long periods outside without breaks. (Minimum 2 hours).
Ability to work for extended periods of time on skis/snowboard standing, sliding sitting, bending, reaching, and speaking on a constant basis.
On the job training will be provided.
35 hours per week.  Shifts available 7 days a week including weekends and holidays. 7am-4pm
Wage: $24.52 - $29.00 hourly. No overtime.  Wage based on level of certification and experience.
Criminal background check pre-hire required.
</t>
  </si>
  <si>
    <t>based on level of certification and experience</t>
  </si>
  <si>
    <t>P-400-22179-317505</t>
  </si>
  <si>
    <t>All deductions required by law will be made.
Optional Housing provided, deducted from paycheck. Biweekly amount from $180 to $450 based onspecific location. Initial security deposit of $300 taken in two increments of $150
Daily employee shuttle from housing provided.
Optional Deductions from Paycheck: Optional 401(k)
Benefits: Alterra Mtn Co ski pass, 40% discount on retail and Food &amp; beverage venues, various industry pro-deals, friends &amp; family discount lift tickets, learning and certification opportunities</t>
  </si>
  <si>
    <t>mbirch-jones@skicrystal.com</t>
  </si>
  <si>
    <t>H-400-22231-427740</t>
  </si>
  <si>
    <t>Housekeeping Laundry Attendant</t>
  </si>
  <si>
    <t>P-400-22104-072839</t>
  </si>
  <si>
    <t>Any health benefits the employee chooses to enroll in.</t>
  </si>
  <si>
    <t>H-400-22291-535365</t>
  </si>
  <si>
    <t>Food Worker</t>
  </si>
  <si>
    <t xml:space="preserve">Lauther's Fine Foods, Inc. </t>
  </si>
  <si>
    <t xml:space="preserve">Taste of the Fair </t>
  </si>
  <si>
    <t>6701 Collins Springs Cove</t>
  </si>
  <si>
    <t>Lauther</t>
  </si>
  <si>
    <t>lauthersfinefoods@gmail.com</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</si>
  <si>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any lawful obligations; and to meet job performance standards. Must cooperate with and complete job application, interview, and any verification of supplied information; and any supplied information must be truthful, fully responsive, and complete. Must comply with grooming requirements and dress code. Must be able to lift 50 pounds. Must be willing to work up to 7 days/wk. Subject to discharge for cause.  
</t>
  </si>
  <si>
    <t>7309 Gibsonton Drive</t>
  </si>
  <si>
    <t>See Attachment 10 - Addendum re Sections B&amp;F. See attached OT memo</t>
  </si>
  <si>
    <t>P-400-22210-385850</t>
  </si>
  <si>
    <t>Optional mobile housing ($125/week) is provided.  The employer will pay the cost of housing to the extent such costs would reduce the pay below the offered wage rate for the areas of intended employment.  Local convenience travel ($20/week) is available for wage credit and/or deduction, or any lesser amount to the maximum extent not prohibited by law</t>
  </si>
  <si>
    <t>H-400-22287-529998</t>
  </si>
  <si>
    <t>Carnival Attendant</t>
  </si>
  <si>
    <t>Kissel Entertainment, LLC.</t>
  </si>
  <si>
    <t>3748 South State Line Street</t>
  </si>
  <si>
    <t>Okeana</t>
  </si>
  <si>
    <t>Tammy</t>
  </si>
  <si>
    <t>tammykissel@yahoo.com</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</si>
  <si>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able to lift 50 pounds. Subject to discharge for cause.  </t>
  </si>
  <si>
    <t>17606 US Highway 31 North</t>
  </si>
  <si>
    <t>Clanton</t>
  </si>
  <si>
    <t>CHILTON</t>
  </si>
  <si>
    <t>P-400-22200-361415</t>
  </si>
  <si>
    <t>Optional mobile housing ($125/week) is provided.  The employer will pay the cost of housing to the extent such costs would reduce the pay below the offered wage rate for the areas of intended employment.  Local convenience travel ($25/week) is available for wage credit and/or deduction, or any lesser amount to the maximum extent not prohibited by law</t>
  </si>
  <si>
    <t>https://kisselentertainment.com/employment</t>
  </si>
  <si>
    <t>H-400-22237-436616</t>
  </si>
  <si>
    <t>Miami Marriott Biscayne Bay</t>
  </si>
  <si>
    <t>1633 North Bayshore Drive</t>
  </si>
  <si>
    <t>Noel</t>
  </si>
  <si>
    <t>Molaine</t>
  </si>
  <si>
    <t>Molaine.Noel@marriott.com</t>
  </si>
  <si>
    <t>Must complete pre-employment background check. On the job training provided.</t>
  </si>
  <si>
    <t>See job description</t>
  </si>
  <si>
    <t>P-400-22181-326762</t>
  </si>
  <si>
    <t>Shared housing provided. Housing is optional, if elected, cost will be deducted at $700 per month. All deductions from worker’s paycheck required by law will be made.</t>
  </si>
  <si>
    <t>Molaine.noel@marriott.com</t>
  </si>
  <si>
    <t>H-400-22283-519387</t>
  </si>
  <si>
    <t>Bookkeeping, Accounting, and Auditing Clerks</t>
  </si>
  <si>
    <t>Lerco Electric LLC</t>
  </si>
  <si>
    <t>370 E 146th Street</t>
  </si>
  <si>
    <t>Reyes</t>
  </si>
  <si>
    <t>Leoncio</t>
  </si>
  <si>
    <t>lercoelect@yahoo.com</t>
  </si>
  <si>
    <t>Process payroll - weekly
Processing sales invoices and receipts
Tracking payroll data
Tracking expenses</t>
  </si>
  <si>
    <t>P-400-22196-356514</t>
  </si>
  <si>
    <t>Federal Taxes
States Taxes
Optional housing is provided for the worker free of charge.</t>
  </si>
  <si>
    <t>H-400-22314-579104</t>
  </si>
  <si>
    <t>P-400-22313-578832</t>
  </si>
  <si>
    <t>H-400-22307-565963</t>
  </si>
  <si>
    <t>Landscaping &amp; Groundskeeping Worker</t>
  </si>
  <si>
    <t>8805 Telegraph Road (Report to Work)</t>
  </si>
  <si>
    <t>P-400-22256-470594</t>
  </si>
  <si>
    <t>Optional shared, furnished housing available to the worker (including utilities); if housing is agreed upon by the worker, $122.35 to be deducted from worker's weekly paycheck. 
At Employer’s sole discretion: possible cash advances (if applicable/requested by worker, potential deduction from worker’s paycheck).</t>
  </si>
  <si>
    <t>VCovaliov@ruppertcompanies.com</t>
  </si>
  <si>
    <t>H-400-22278-513214</t>
  </si>
  <si>
    <t>Automotive Service Technicians and Mechanics</t>
  </si>
  <si>
    <t>Millers Automotive Repair, Inc.</t>
  </si>
  <si>
    <t>348 Highway 13</t>
  </si>
  <si>
    <t>millerautomotive99@yahoo.com</t>
  </si>
  <si>
    <t xml:space="preserve">Employee may be subject to drug screening upon hire paid for by employer and if any reasonable suspicions arise during the performance of work. 
Weekly work hours may vary, and employees may be asked to work overtime hours and/or work on a Saturday based on workload and customer demand.
</t>
  </si>
  <si>
    <t>548 Highway 190</t>
  </si>
  <si>
    <t>ST LANDRY</t>
  </si>
  <si>
    <t>Southwest Louisiana nonmetropolitan area</t>
  </si>
  <si>
    <t>P-400-22214-391842</t>
  </si>
  <si>
    <t xml:space="preserve">Employer will deduct $100.00 per week if the employee chooses to live in the employer provided housing. </t>
  </si>
  <si>
    <t>btmiller1438@yahoo.com</t>
  </si>
  <si>
    <t>H-400-22304-558776</t>
  </si>
  <si>
    <t>South Star Corporation</t>
  </si>
  <si>
    <t>#1 Landscaping</t>
  </si>
  <si>
    <t>3775 Ridge Road</t>
  </si>
  <si>
    <t>Medina</t>
  </si>
  <si>
    <t>Csanyi</t>
  </si>
  <si>
    <t>1371 W. Main St.</t>
  </si>
  <si>
    <t>Mailing: 3775 Ridge Road, Medina, OH 44256</t>
  </si>
  <si>
    <t>tcsanyi@numberonelandscaping.com</t>
  </si>
  <si>
    <t>New Jersey Supreme Court</t>
  </si>
  <si>
    <t xml:space="preserve">Post-employment drug testing may occur based upon the employers reasonable suspicion drug use. Saturdays and Sundays as needed.  
</t>
  </si>
  <si>
    <t>1371 W. Main St</t>
  </si>
  <si>
    <t>P-400-22151-227613</t>
  </si>
  <si>
    <t>Optional housing avail at a rate of $78/week, to be deducted from pay.</t>
  </si>
  <si>
    <t>H-400-22307-566245</t>
  </si>
  <si>
    <t>Edge Form, LLC</t>
  </si>
  <si>
    <t>11969 N Harrells Ferry Road</t>
  </si>
  <si>
    <t>Member Manager</t>
  </si>
  <si>
    <t>sdavis@edge-form.com</t>
  </si>
  <si>
    <t>11969 N Harrells Ferry Road (Report to Work)</t>
  </si>
  <si>
    <t>P-400-22213-387688</t>
  </si>
  <si>
    <t>H-400-22280-516206</t>
  </si>
  <si>
    <t>Lopez Concessions, LLC</t>
  </si>
  <si>
    <t>4950 West Southern Avenue</t>
  </si>
  <si>
    <t>Mailing Address: 1409 Dove Pl., Casa Grande, AZ 85122</t>
  </si>
  <si>
    <t>Laveen</t>
  </si>
  <si>
    <t>4950 West Southern Ave</t>
  </si>
  <si>
    <t>chrislo@rcsfun.com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</si>
  <si>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Travel provided to all events as per itinerary. Must commute from home at prior worksite to next worksite. Optional transportation to worksites provided at no cost to the worker. Work is performed outside in all weather.
Employer will provide workers at no charge all tools, supplies and equipment required to perform job. On the job training provided.</t>
  </si>
  <si>
    <t>P-400-22161-265425</t>
  </si>
  <si>
    <t>Pay received weekly, single workweek used for computing wages. 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t>
  </si>
  <si>
    <t>H-400-22257-473168</t>
  </si>
  <si>
    <t>Sam's Amusements and Carnival, Inc.</t>
  </si>
  <si>
    <t>13026 170th St N</t>
  </si>
  <si>
    <t>Marine on St. Croix</t>
  </si>
  <si>
    <t>Montgomery</t>
  </si>
  <si>
    <t>Jodi</t>
  </si>
  <si>
    <t>samsamusements@comcast.net</t>
  </si>
  <si>
    <t>Post-employment random drug testing and background checks may be required, at no cost to the worker. The job requires the applicant to be qualified, ready, willing, able, and available to perform during the entire employment at the designated worksites; and to follow workplace rules.</t>
  </si>
  <si>
    <t>8901 N Harrison</t>
  </si>
  <si>
    <t>POTTAWATOMIE</t>
  </si>
  <si>
    <t>P-400-22146-215217</t>
  </si>
  <si>
    <t>Employer will make all deductions from the worker’s paycheck required by law.  Optional housing (valued at $175.00 per week) and local convenience travel (valued at $15.00 per week) are available at no cost to the worker.</t>
  </si>
  <si>
    <t>www.samscarnival.com</t>
  </si>
  <si>
    <t>H-400-22251-462135</t>
  </si>
  <si>
    <t>Dishwasher / Busser</t>
  </si>
  <si>
    <t>BC Chop LLC</t>
  </si>
  <si>
    <t>Beaver Creek Chophouse</t>
  </si>
  <si>
    <t>15 West Thomas Place (physical)</t>
  </si>
  <si>
    <t>PO Box 4022 Avon CO 81620 (mailing)</t>
  </si>
  <si>
    <t>Garrett</t>
  </si>
  <si>
    <t>675 Lionshead Pl., Vail, CO 81657 (physical)</t>
  </si>
  <si>
    <t>PO Box 4022, Avon, CO 81620 (mailing)</t>
  </si>
  <si>
    <t>tami@vailchophouse.com</t>
  </si>
  <si>
    <t>2077 North Frontage Rd West STE 111 Vail CO 81657 (physical)</t>
  </si>
  <si>
    <t>PO Box 3487 Vail CO 81658</t>
  </si>
  <si>
    <t>Work week is Monday-Sunday. Shifts include 8am-4pm OR 3pm-11pm. Will require alternate work days &amp; shifts.</t>
  </si>
  <si>
    <t>15 West Thomas Place</t>
  </si>
  <si>
    <t>Eagle County bus pass provided.</t>
  </si>
  <si>
    <t>P-400-22154-243243</t>
  </si>
  <si>
    <t>H-400-22276-505966</t>
  </si>
  <si>
    <t xml:space="preserve">1301 S. Fair Avenue </t>
  </si>
  <si>
    <t>P-400-22182-327997</t>
  </si>
  <si>
    <t>H-400-22279-513775</t>
  </si>
  <si>
    <t>ABC Professional Tree Services, Inc - Conroe</t>
  </si>
  <si>
    <t>2802 N Frazier Street</t>
  </si>
  <si>
    <t>Conroe</t>
  </si>
  <si>
    <t>P-400-22232-428433</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</si>
  <si>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</si>
  <si>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H-400-22230-423086</t>
  </si>
  <si>
    <t>1 Ashley Way</t>
  </si>
  <si>
    <t>Arcadia</t>
  </si>
  <si>
    <t>TREMPEALEAU</t>
  </si>
  <si>
    <t>Western Wisconsin nonmetropolitan area</t>
  </si>
  <si>
    <t>P-400-22148-222769</t>
  </si>
  <si>
    <t>H-400-22265-488978</t>
  </si>
  <si>
    <t xml:space="preserve">Line/Prep Cook </t>
  </si>
  <si>
    <t xml:space="preserve">Arctaris Saddleback Ski Operations¿ </t>
  </si>
  <si>
    <t>926 Saddleback Road</t>
  </si>
  <si>
    <t>Rangeley</t>
  </si>
  <si>
    <t>McDonald</t>
  </si>
  <si>
    <t xml:space="preserve">Jeannine </t>
  </si>
  <si>
    <t>Director HR</t>
  </si>
  <si>
    <t>jobs@saddlebackmaine.com</t>
  </si>
  <si>
    <t xml:space="preserve">Sunday-Saturday, 7:30am-4:30pm, 5 days a week. OT possible up to 4 hours. </t>
  </si>
  <si>
    <t>RANGELEY TOWN</t>
  </si>
  <si>
    <t>P-400-22209-382424</t>
  </si>
  <si>
    <t xml:space="preserve">Optional housing available for $115 per month to be deducted from pay if elected. </t>
  </si>
  <si>
    <t>H-400-22290-532846</t>
  </si>
  <si>
    <t>Deggeller Foods, Inc.</t>
  </si>
  <si>
    <t>3350 SW Deggeller Court</t>
  </si>
  <si>
    <t>Deggeller</t>
  </si>
  <si>
    <t>cdeggeller@gmail.com</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</si>
  <si>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able to lift 50 pounds. Must be willing to work up to 7 days/wk. Subject to discharge for cause.  
</t>
  </si>
  <si>
    <t>9067 Southern Blvd.</t>
  </si>
  <si>
    <t>West Palm Beach</t>
  </si>
  <si>
    <t>P-400-22215-394170</t>
  </si>
  <si>
    <t xml:space="preserve">Optional mobile housing ($125/week)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</si>
  <si>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jamiedeggeller@aol.com</t>
  </si>
  <si>
    <t>H-400-22228-417562</t>
  </si>
  <si>
    <t>Floor Installer</t>
  </si>
  <si>
    <t>Floor Layers, Except Carpet, Wood, and Hard Tiles</t>
  </si>
  <si>
    <t>Standard Service Corporation</t>
  </si>
  <si>
    <t>2273 Grayling Street</t>
  </si>
  <si>
    <t>Villamizar</t>
  </si>
  <si>
    <t>Danilo</t>
  </si>
  <si>
    <t>Standardservice6@gmail.com</t>
  </si>
  <si>
    <t xml:space="preserve">Lifting Requirement 70 pounds
</t>
  </si>
  <si>
    <t>P-400-22181-325129</t>
  </si>
  <si>
    <t>All legal state and Federal deductions required by law. The employer provides workers free lodging at no charge to the workers.</t>
  </si>
  <si>
    <t>standardservice6@gmail.com</t>
  </si>
  <si>
    <t>H-400-22297-547639</t>
  </si>
  <si>
    <t>Mitchell Brother's &amp; Son's, Inc.</t>
  </si>
  <si>
    <t>61401 HWY 11 NORTH</t>
  </si>
  <si>
    <t>[Mail:61389 Hwy 11 North Slidell, LA 70458]</t>
  </si>
  <si>
    <t>SLIDELL</t>
  </si>
  <si>
    <t>Gus</t>
  </si>
  <si>
    <t>itsmegusm@yahoo.com</t>
  </si>
  <si>
    <t xml:space="preserve">61401 Hwy 11 North </t>
  </si>
  <si>
    <t>P-400-22255-467400</t>
  </si>
  <si>
    <t>H-400-22257-470958</t>
  </si>
  <si>
    <t>Wild Willies Yard Services</t>
  </si>
  <si>
    <t>Eschenfelder Landscaping</t>
  </si>
  <si>
    <t>184 E GORDON LN</t>
  </si>
  <si>
    <t>office@wildwilliesinc.com</t>
  </si>
  <si>
    <t xml:space="preserve">Must be 18 due to equipment use. Must show proof of legal authorization to work in the United States. Drug/alcohol/tobacco free work zone. Perform physical activities such as: lift, balance, walk, stoop, handle, position, move,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</si>
  <si>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Raises and/or bonuses at employer's discretion.</t>
  </si>
  <si>
    <t>P-400-22202-368046</t>
  </si>
  <si>
    <t>H-400-22244-449775</t>
  </si>
  <si>
    <t>7200 Scottsdale Rd Owner LP</t>
  </si>
  <si>
    <t>The Scottsdale Plaza Resort &amp; Villas</t>
  </si>
  <si>
    <t>7200 N. Scottsdale Road</t>
  </si>
  <si>
    <t>Howard</t>
  </si>
  <si>
    <t>alexh@scottsdaleplaza.com</t>
  </si>
  <si>
    <t xml:space="preserve">The Petitioner will consider for employment any person who possesses at least three (3) months of experience at a high-end hotel, resort, or private club.  Applicant must complete pre-employment background check.
</t>
  </si>
  <si>
    <t xml:space="preserve">Wage: $14.71 - $16.50 per hour, paid bi-weekly.  Overtime is available at $22.07 - $24.75 per hour. </t>
  </si>
  <si>
    <t>P-400-22179-318297</t>
  </si>
  <si>
    <t xml:space="preserve">Optional housing is offered on a first-come, first-serve basis for workers who are relocating to begin employment.  Cost of housing, if accepted, is $325.00 per month deducted from paycheck. 
Additional, optional benefits may be offered to worker, for worker’s sole benefit, including but not limited to a bus pass (cost of bus pass, if accepted, is $21.60 per month).  If voluntarily elected by worker, employee costs/contributions will be deducted from paycheck. 
</t>
  </si>
  <si>
    <t>AlexH@scottsdaleplaza.com</t>
  </si>
  <si>
    <t>H-400-22215-394969</t>
  </si>
  <si>
    <t>Line/Prep Cook</t>
  </si>
  <si>
    <t xml:space="preserve">Must be able to lift 35 lbs. 
</t>
  </si>
  <si>
    <t>P-400-22165-278301</t>
  </si>
  <si>
    <t>State and Federal Taxes, The cost of optional housing will be $450.00. Employer will deduct the cost of optional housing charged by the 3rd party for workers. All deductions from pay req by law.</t>
  </si>
  <si>
    <t>H-400-22307-566873</t>
  </si>
  <si>
    <t>Envision Hardscape, LLC</t>
  </si>
  <si>
    <t>1930  E. Blue Ridge Blvd.</t>
  </si>
  <si>
    <t>john@envisionlawnandtree.com</t>
  </si>
  <si>
    <t>1930  E. Blue Ridge Blvd. (Report to Work)</t>
  </si>
  <si>
    <t>P-400-22217-400688</t>
  </si>
  <si>
    <t>H-400-22280-516204</t>
  </si>
  <si>
    <t>Ray Cammack Shows Inc.</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</si>
  <si>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Travel provided to all events as per itinerary. Must commute from home at prior worksite to next worksite. Optional transportation to worksites provided at no cost to the worker. Work is performed outside in all weather.
Employer will provide workers at no charge all tools, supplies and equipment required to perform job. On the job training provided.</t>
  </si>
  <si>
    <t>P-400-22160-264832</t>
  </si>
  <si>
    <t>H-400-22259-478603</t>
  </si>
  <si>
    <t>Seafood Processor (Meat, Poultry, Fish Cutters &amp;Trimmers)</t>
  </si>
  <si>
    <t>Mile 1.5 AK Penninsula Hwy</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</si>
  <si>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Delivery and availability of seafood product from fisherman may result in possible downtimes due to weather conditions.
</t>
  </si>
  <si>
    <t>P-400-22202-367663</t>
  </si>
  <si>
    <t>H-400-22251-462543</t>
  </si>
  <si>
    <t>Tree Trimmers, Pruners &amp; Landscape Laborers</t>
  </si>
  <si>
    <t>La La Enterprises, LLC</t>
  </si>
  <si>
    <t>9132 Palmer</t>
  </si>
  <si>
    <t>Ponder</t>
  </si>
  <si>
    <t>Maggie</t>
  </si>
  <si>
    <t>info@lalallc.com</t>
  </si>
  <si>
    <t>P-400-22151-226200</t>
  </si>
  <si>
    <t>H-400-22253-465341</t>
  </si>
  <si>
    <t>Sunrise Property Maintenance, Inc.</t>
  </si>
  <si>
    <t>10301 S Silver Willow Dr</t>
  </si>
  <si>
    <t>Peters</t>
  </si>
  <si>
    <t>sunrisepm@msn.com</t>
  </si>
  <si>
    <t>Raises and/or bonuses at employer's discretion</t>
  </si>
  <si>
    <t>P-400-22202-367844</t>
  </si>
  <si>
    <t>H-400-22251-462555</t>
  </si>
  <si>
    <t>House Attendant</t>
  </si>
  <si>
    <t>Stein Eriksen Lodge Management Corp</t>
  </si>
  <si>
    <t>Stein Collection</t>
  </si>
  <si>
    <t>7700 Stein Way</t>
  </si>
  <si>
    <t>Park City</t>
  </si>
  <si>
    <t>Adragna</t>
  </si>
  <si>
    <t>Jackie</t>
  </si>
  <si>
    <t>VP, Human Resources</t>
  </si>
  <si>
    <t>jadragna@steinlodge.com</t>
  </si>
  <si>
    <t xml:space="preserve">Must be able to lift 50 lbs.
Must be able to stand for extended periods of time.
Must have ability to perform exceptionally high quality cleaning while working quickly. 
Must be able to work at least 5 days per week, including weekends and holidays.
Applicants must complete an employment application. </t>
  </si>
  <si>
    <t>P-400-22211-386334</t>
  </si>
  <si>
    <t>Optional employee shared housing is available at approximately $140-$200 per person per week, depending on  location. Housing cost includes utilities/services. Optional housing requires a $600 deposit, of which $525 is refundable at the end of contract and $75 is non-refundable for cleaning fee after departure. Cost of housing and deposit payroll deducted if worker elects.
The employer may also make the following deductions: recovery of any loss to the employer due to the worker’s damage (beyond normal wear and tear) or loss of equipment or uniform where it is shown that the worker is responsible, and any other reasonable deductions expressly authorized by the worker in writing. No deduction not required by law will be made that brings the worker’s hourly earnings below the FLSA Federal statutory minimum wage.</t>
  </si>
  <si>
    <t>recruiting@steinlodge.com</t>
  </si>
  <si>
    <t>www.steinlodge.com/careers</t>
  </si>
  <si>
    <t>H-400-22229-421464</t>
  </si>
  <si>
    <t xml:space="preserve">Restaurant Kitchen Staff </t>
  </si>
  <si>
    <t xml:space="preserve">Daily schedules will vary depending on which shift workers prefer and/or are needed to work. 
1 month experience required to have been in restaurant or kitchen setting. </t>
  </si>
  <si>
    <t>P-400-22173-305874</t>
  </si>
  <si>
    <t xml:space="preserve">Employer only intends to deduct what is required by law unless other deductions are clearly requested by workers. </t>
  </si>
  <si>
    <t>H-400-22245-452761</t>
  </si>
  <si>
    <t>Westward Seafoods, Inc.</t>
  </si>
  <si>
    <t>3015 112th Ave</t>
  </si>
  <si>
    <t>Bellevue</t>
  </si>
  <si>
    <t>andrew.brown@wsi.us</t>
  </si>
  <si>
    <t xml:space="preserve">Two Shifts: 6:00 AM -6:00 PM or 6:00 PM to 6:00 AM 
Days/Shifts may vary
Optional employer housing is available at a cost of $15/day
Transportation to and from the worksite will be provided at no cost to the worker
A pre-employment drug screen will be required
A pre-employment background check will be required
Employer reserves the right to pay a higher wage rate or bonus to any worker, in their sole discretion, based on performance, skill, tenure, or experience. 
Up to 44 hours of overtime a week available as needed. 
</t>
  </si>
  <si>
    <t>1200 Captains Bay Road</t>
  </si>
  <si>
    <t xml:space="preserve">Unalaska </t>
  </si>
  <si>
    <t>ALEUTIANS WEST</t>
  </si>
  <si>
    <t xml:space="preserve">Overtime will be paid for working greater than 8 hours in any given day, or greater than 40 hours in any given week. </t>
  </si>
  <si>
    <t>P-400-22146-215275</t>
  </si>
  <si>
    <t xml:space="preserve">All deductions required by law will be made and no deductions not required by law will be made. </t>
  </si>
  <si>
    <t>recruiting@wsi.us</t>
  </si>
  <si>
    <t>https://apply.teamengine.io/apply/WgO3gjnmINeg/B?utm_source=westwardse</t>
  </si>
  <si>
    <t>H-400-22259-477751</t>
  </si>
  <si>
    <t>GC PARTNERS INC</t>
  </si>
  <si>
    <t>DBA GOLDEN CORRAL</t>
  </si>
  <si>
    <t>3816 FORRESTGATE FRIVE</t>
  </si>
  <si>
    <t>WINSTON-SALEM</t>
  </si>
  <si>
    <t>Feliciano</t>
  </si>
  <si>
    <t>1734 W 49TH STREET</t>
  </si>
  <si>
    <t>HIALEAH</t>
  </si>
  <si>
    <t>rest2709@goldencorral.net</t>
  </si>
  <si>
    <t>1734 WEST 49TH STREET</t>
  </si>
  <si>
    <t>P-400-22126-146589</t>
  </si>
  <si>
    <t>federally required amount</t>
  </si>
  <si>
    <t>ghyv5k5xhdoifzd@careerplug.com</t>
  </si>
  <si>
    <t>indeed.com/goldencorral/jobs</t>
  </si>
  <si>
    <t>H-400-22292-539986</t>
  </si>
  <si>
    <t>Sugar Packager-Loader Helper</t>
  </si>
  <si>
    <t xml:space="preserve">Minn-Dak Farmers Cooperative </t>
  </si>
  <si>
    <t xml:space="preserve">7525 Red River Road </t>
  </si>
  <si>
    <t>Wahpeton</t>
  </si>
  <si>
    <t>Klose</t>
  </si>
  <si>
    <t>Sheila</t>
  </si>
  <si>
    <t>VP of Human Resources and Safety</t>
  </si>
  <si>
    <t>sklose@mdf.coop</t>
  </si>
  <si>
    <t xml:space="preserve">Qualifications
	Ability to read, write, and follow instructions
	Should be motivated, willing, enthusiastic, and promotable
	Good attendance, safety, disciplinary, and overall employment records
	Ability to communicate and work cohesively with other
	Successful completion of forklift training and testing (Training provided onsite by employer)
	Organized with excellent time management skills
	Ability to communicate effectively with employees at all levels
Physical Demands and Expectations
	Ability to stand or walk for an entire 8 hour shift if necessary
	Ability to bend, lift, and climb stairs and ladders
	Ability to work in a hot atmosphere on a continual basis 
No minimum education or experience required. 
Must pass a post-employment criminal background check, paid by employer and applied equally to all workers, U.S. and foreign/H-2B. 
Must be able to work weekends and holidays.
Applicants must complete an employment application.
Ability to read, write, and follow instructions
Must be motivated, willing, enthusiastic, and promotable. 
Must have good attendance, safety, disciplinary, and overall employment records.
Must have the ability to communicate and work cohesively with others.
Must have successful completion of forklift training and testing (Training provided onsite by employer).
Must be organized with excellent time management skills.
Must have the ability to communicate effectively with employees at all levels. 
Must have the ability to stand or walk for an entire 8 hour shift if necessary.
Must have the ability to bend, lift, and climb stairs and ladders.
Must have the ability to work in a hot atmosphere on a continual basis.
</t>
  </si>
  <si>
    <t>P-400-22151-226918</t>
  </si>
  <si>
    <t xml:space="preserve">Employer will make all deductions from the worker's paycheck required by law. </t>
  </si>
  <si>
    <t>https://www.jobsnd.com/job-seeker</t>
  </si>
  <si>
    <t>H-400-22265-488496</t>
  </si>
  <si>
    <t>BOYD BILOXI, LLC</t>
  </si>
  <si>
    <t>IP CASINO RESORT SPA</t>
  </si>
  <si>
    <t>850 BAYVIEW AVENUE</t>
  </si>
  <si>
    <t>BILOXI</t>
  </si>
  <si>
    <t>Schwartz</t>
  </si>
  <si>
    <t xml:space="preserve"> Vincent</t>
  </si>
  <si>
    <t>Senior Vice President and General Manager</t>
  </si>
  <si>
    <t>vincentschwartz@boydgaming.com</t>
  </si>
  <si>
    <t xml:space="preserve">Must pass a pre-employment drug test and criminal background check. IP Casino screens all applicants through drug tests and background checks, including domestic and H-2B visa employees. This includes seasonal and full-time annual positions and is applied to all applicants 
</t>
  </si>
  <si>
    <t>SEE "HOUSEKEEPERS - IP CASINO - FULL JOB OFFER - 2022-2023" ATTACHMENT</t>
  </si>
  <si>
    <t>P-400-22196-356570</t>
  </si>
  <si>
    <t>The employer will make all deductions from the worker’s paycheck required by law. Additional deductions included optional employee housing. Housing: Optional furnished employee housing with utilities is offered. Cost of housing is $475 per month and paid bi-weekly through payroll deductions. A one-time non-refundable incidental fee of $150 is also required. Daily Transportation: Transportation to and from the worksite is available for workers that elect to live in the offered housing. All other workers are responsible for their daily transportation.</t>
  </si>
  <si>
    <t>ConnieMackay@boydgaming.com</t>
  </si>
  <si>
    <t>H-400-22245-452811</t>
  </si>
  <si>
    <t>Sandwich Artist</t>
  </si>
  <si>
    <t>DML Subs LLC</t>
  </si>
  <si>
    <t>Subway</t>
  </si>
  <si>
    <t>6250 Enterprise Drive</t>
  </si>
  <si>
    <t>Settle</t>
  </si>
  <si>
    <t xml:space="preserve"> L</t>
  </si>
  <si>
    <t>bsettle@subsouth.net</t>
  </si>
  <si>
    <t>11155 Dolfield Blvd., Suite 216</t>
  </si>
  <si>
    <t xml:space="preserve">Days/Shifts may vary 
Optional employer housing is available at a cost of $96.25/week 
Employer reserves the right to pay a higher wage rate or bonus to any worker, in their sole discretion, based on performance, skill, tenure, or experience. 
Up to 44 hours of overtime available per week. 
Transportation to and from the worksite will be provided at no cost to the worker. 
</t>
  </si>
  <si>
    <t>4690 Park Blvd</t>
  </si>
  <si>
    <t>Pinellas</t>
  </si>
  <si>
    <t>P-400-22195-352551</t>
  </si>
  <si>
    <t>Hiring2@subsouth.net</t>
  </si>
  <si>
    <t>H-400-22279-513465</t>
  </si>
  <si>
    <t>Nursery worker</t>
  </si>
  <si>
    <t>Canterbury Enterprises, Inc.</t>
  </si>
  <si>
    <t>Desert Tree Farm</t>
  </si>
  <si>
    <t>20640 N 32nd St</t>
  </si>
  <si>
    <t>Gioia</t>
  </si>
  <si>
    <t>gioia@deserttreefarm.com</t>
  </si>
  <si>
    <t xml:space="preserve">Work may include wknd/hol.
</t>
  </si>
  <si>
    <t>8755 S 27th Ave</t>
  </si>
  <si>
    <t>Laveen Village</t>
  </si>
  <si>
    <t>P-400-22214-392186</t>
  </si>
  <si>
    <t>The employer will make all deductions from the worker’s paycheck required by law.</t>
  </si>
  <si>
    <t>H-400-22266-492274</t>
  </si>
  <si>
    <t>TRUCK OPERATOR</t>
  </si>
  <si>
    <t xml:space="preserve">JASCO LOGISITICS INC </t>
  </si>
  <si>
    <t>JASCO LOGISTICS INC</t>
  </si>
  <si>
    <t>733 ANDALUCIA DR</t>
  </si>
  <si>
    <t>LAREDO</t>
  </si>
  <si>
    <t>CORTES</t>
  </si>
  <si>
    <t xml:space="preserve">FRANCISCO </t>
  </si>
  <si>
    <t xml:space="preserve">JOB </t>
  </si>
  <si>
    <t xml:space="preserve">733 ANDALUCIA DR </t>
  </si>
  <si>
    <t>jcortes@jascologistics.com</t>
  </si>
  <si>
    <t xml:space="preserve">CDL CLASS A DRIVERS LICENSE 
</t>
  </si>
  <si>
    <t xml:space="preserve">LAREDO </t>
  </si>
  <si>
    <t>WEBB</t>
  </si>
  <si>
    <t>Laredo, TX</t>
  </si>
  <si>
    <t xml:space="preserve">.50  cents per mile </t>
  </si>
  <si>
    <t>P-400-22200-363001</t>
  </si>
  <si>
    <t>SOCIAL SECURITY 6.2%
MEDICARE 1.45%</t>
  </si>
  <si>
    <t>jascologisticsinc@gmail.com</t>
  </si>
  <si>
    <t>H-400-22280-516205</t>
  </si>
  <si>
    <t>Trinity Concessions, LLC</t>
  </si>
  <si>
    <t>Pickett</t>
  </si>
  <si>
    <t>joy@rcsfun.com</t>
  </si>
  <si>
    <t>P-400-22161-265470</t>
  </si>
  <si>
    <t xml:space="preserve">Pay received weekly, single workweek used for computing wages. 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
</t>
  </si>
  <si>
    <t>H-400-22243-448612</t>
  </si>
  <si>
    <t>Trapp Family Lodge, Inc.</t>
  </si>
  <si>
    <t>700 Trapp Hill Road</t>
  </si>
  <si>
    <t>Mailing Address: PO Box 1428, Stowe, VT 05672</t>
  </si>
  <si>
    <t>Frame</t>
  </si>
  <si>
    <t>Executive Vice President</t>
  </si>
  <si>
    <t>wf@trappfamily.com</t>
  </si>
  <si>
    <t xml:space="preserve">The petitioner will consider any person for employment who possesses at least three (3) months of experience in a fine-dining or high-volume environment at a high-end restaurant, resort, or private club. Applicant must complete a pre-employment background check and show proof of COVID-19 vaccination.
Work schedule can vary and can include evening, weekend, and holiday hours.  Work is performed on any day of the week from Monday through Sunday.  Days off vary. Shifts may vary. Shifts times: 8am  4pm, 9am  5pm, 2pm- 10pm. 3pm-11pm. Shifts are subject to change for special events or due to need. 
</t>
  </si>
  <si>
    <t>+DOE. Potential  tips/gratuities.  1 free meal per shift. 20% discount for restaurant &amp; retail. Free activities included</t>
  </si>
  <si>
    <t>P-400-22175-311032</t>
  </si>
  <si>
    <t>Additional, optional benefits are offered to workers, for workers’ sole benefit, including but not limited to a 401k plan eligible for workers over age 21 and after 90 days of employment. If voluntarily elected by workers, employee costs/contributions for benefits will be deducted from the paycheck.</t>
  </si>
  <si>
    <t>cball@trappfamily.com</t>
  </si>
  <si>
    <t>H-400-22276-506644</t>
  </si>
  <si>
    <t>Popcorn Neal, Inc.</t>
  </si>
  <si>
    <t>16958 US Hwy 41 South</t>
  </si>
  <si>
    <t>Springhill</t>
  </si>
  <si>
    <t>Zaitshik</t>
  </si>
  <si>
    <t>16958 US HWY 41 South</t>
  </si>
  <si>
    <t>frank@wadeshows.com</t>
  </si>
  <si>
    <t>16958 US Hwy 40 South</t>
  </si>
  <si>
    <t>P-400-22188-338478</t>
  </si>
  <si>
    <t xml:space="preserve">Employer will make all deductions from the worker’s paycheck required by law.  Optional mobile housing (valued at $100.00 per week) and local convenience travel (valued at $25.00 per week) are available for wage credit and/or deduction, or any lesser amount to the maximum extent allowed by law.  </t>
  </si>
  <si>
    <t>carmenkellogg@aol.com</t>
  </si>
  <si>
    <t>H-400-22262-479478</t>
  </si>
  <si>
    <t>Cooks, All Other</t>
  </si>
  <si>
    <t>Rosewater MV LLC</t>
  </si>
  <si>
    <t>PO Box 1739</t>
  </si>
  <si>
    <t>20 S. Summer Street</t>
  </si>
  <si>
    <t>Edgartown</t>
  </si>
  <si>
    <t>Tarka</t>
  </si>
  <si>
    <t>Julia</t>
  </si>
  <si>
    <t>julia@rosewatermv.com</t>
  </si>
  <si>
    <t>Vukota</t>
  </si>
  <si>
    <t>Marilyn</t>
  </si>
  <si>
    <t>PO Box 1270</t>
  </si>
  <si>
    <t>282 Upper Main Street</t>
  </si>
  <si>
    <t>mhv@edgartownlaw.com</t>
  </si>
  <si>
    <t>McCarron Murphy &amp; Vukota LLP</t>
  </si>
  <si>
    <t>Supreme Judicial</t>
  </si>
  <si>
    <t>20 South Summer Street</t>
  </si>
  <si>
    <t>EDGARTOWN</t>
  </si>
  <si>
    <t>a single work week is used to compute wages</t>
  </si>
  <si>
    <t>P-400-22199-358891</t>
  </si>
  <si>
    <t>Deductions from workers paycheck as required by law.  Housing is not guaranteed, but may be available.  If housing is available and necessary, $125.00/week shall be deducted from paycheck. $100.00/week deduction from paycheck. Employer shall not deduct housing cost through payroll in an amount that will cause the employee wages to fall below the Massachusetts minimum hourly wage requirement.</t>
  </si>
  <si>
    <t>H-400-22326-602109</t>
  </si>
  <si>
    <t>Snow removal technician</t>
  </si>
  <si>
    <t>Berns Tree Services LLC</t>
  </si>
  <si>
    <t>10997 Shadow Creek Ct</t>
  </si>
  <si>
    <t>Sterling Heights</t>
  </si>
  <si>
    <t>Kutchey-Berns</t>
  </si>
  <si>
    <t>jberns@bernslandscape.com</t>
  </si>
  <si>
    <t xml:space="preserve">Must lift/carry 50 lbs., when necessary. Saturday and Sunday work required, when necessary. Work hours may include nights and overtime during emergencies and winter storm conditions. Must be able to perform manual, physical labor outside during all weather conditions (hot, cold, rain, snow, etc). Must be 18 years old. Post-hire post-accident drug testing required of foreign and domestic workers  at no cost to workers.
</t>
  </si>
  <si>
    <t>P-400-22245-453524</t>
  </si>
  <si>
    <t xml:space="preserve">The employer will make all deductions from worker's paycheck required by law and no others without worker consent.  The employer does not envision other workforce-wide payroll deductions. Potential elective deductions to be pre-authorized in writing if applicable are as follows: Employer will assist workers in securing board, lodging, or other facilities.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for $65/week. Employer provides first set of uniforms at no cost to workers. Additional uniforms are available for purchase by the worker.  Such purchases are optional and for the worker’s benefit.    </t>
  </si>
  <si>
    <t>H-400-22326-602798</t>
  </si>
  <si>
    <t>Doctor's Lawn &amp; Landscape, Inc.</t>
  </si>
  <si>
    <t>7425 W. 161st Street</t>
  </si>
  <si>
    <t>Doctor</t>
  </si>
  <si>
    <t>Bruce</t>
  </si>
  <si>
    <t>mary@doctorslawn.com</t>
  </si>
  <si>
    <t>Random drug testing during employment. Drug testing during employment for cause. Post-Accident Drug Testing, Able to perform physical labor for prolonged periods of time in a wide range of climatic conditions including extreme heat &amp; cold. Able to lift 50lbs, Mon-Fri, Overtime varies, schedule may vary, several Saturdays required. 
All drug testing is performed without regard to an employees citizenship or immigration status, and all testing is paid for by the company. See the additional document attached for further details about the administration of our drug testing policy.</t>
  </si>
  <si>
    <t>P-400-22229-422129</t>
  </si>
  <si>
    <t>Employer may make payroll deductions at employee's request. Employer facilitates corresponding deductions for available health benefits. Employer facilitates voluntary housing arrangements upon availability along with corresponding payroll deduction on average of $200/pay period.</t>
  </si>
  <si>
    <t>Spring Hill</t>
  </si>
  <si>
    <t>H-400-22328-605704</t>
  </si>
  <si>
    <t>Must be 21 years old. 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t>
  </si>
  <si>
    <t>P-400-22160-264896</t>
  </si>
  <si>
    <t>Grand Island</t>
  </si>
  <si>
    <t>Grand Island, NE</t>
  </si>
  <si>
    <t>H-400-22322-596830</t>
  </si>
  <si>
    <t>Lift Operator</t>
  </si>
  <si>
    <t>Killington/Pico Ski Resort Partners, LLC</t>
  </si>
  <si>
    <t>Killington/Pico Ski Resort</t>
  </si>
  <si>
    <t>4763 Killington Road</t>
  </si>
  <si>
    <t>Killington</t>
  </si>
  <si>
    <t>Human Resources Operations Manager</t>
  </si>
  <si>
    <t>rreed@killington.com</t>
  </si>
  <si>
    <t xml:space="preserve">The Petitioner will consider for employment any person who possesses at least three (3) months of guest service experience in a resort, private club, or tourism environment. Applicant may be required to complete pre-employment COVID-19 test, complete a quarantine period, and/or demonstrate proof of COVID-19 vaccination if required under state, federal, or company guidelines at the time of hire.
</t>
  </si>
  <si>
    <t>RUTLAND</t>
  </si>
  <si>
    <t>Wage: $17.00 - $32.00 per hour, paid bi-weekly.  See job description.</t>
  </si>
  <si>
    <t>P-400-22224-413052</t>
  </si>
  <si>
    <t xml:space="preserve">Optional housing is offered on a first-come, first-serve basis for workers who are relocating to begin employment.  Employees may have up to two housing options, depending on availability.  Option #1: limited, employer-owned housing may be available.  Cost of employer-owned housing, if accepted, is $115.00 per week, to be paid directly to the Employer.  A $300.00 security deposit is required, to be paid directly to the employer at time of move-in.  The security deposit is refundable provided that the tenant remains in the housing through the agreed upon departure date, is up to date with rent payments, completes the checkout process and leaves the premises in good condition. Option #2: employer will assist employee in locating and arranging local third-party housing, in which case, employee will pay housing costs directly to third-party landlord based on the terms of the lease.
All deductions from paycheck required by law will be made.  
</t>
  </si>
  <si>
    <t>H-400-22321-592615</t>
  </si>
  <si>
    <t xml:space="preserve">Southwood Landscape &amp; Nursery Co, Inc. </t>
  </si>
  <si>
    <t>9025 S Lewis Ave</t>
  </si>
  <si>
    <t>Rotz</t>
  </si>
  <si>
    <t>Ability to lift 60lbs
Pre-hire drug test for all new hires (domestic and foreign). This does not apply to returning seasonal workers as they have been grandfathered in.
40+ hrs, 7a-5p, M-Sat, hours and workdays may vary depending on weather.</t>
  </si>
  <si>
    <t>P-400-22242-446108</t>
  </si>
  <si>
    <t>unit c</t>
  </si>
  <si>
    <t>Unit C</t>
  </si>
  <si>
    <t>H-400-22300-553156</t>
  </si>
  <si>
    <t>Gulf Coast Landscape Services, Inc.</t>
  </si>
  <si>
    <t>RASKA, LLC</t>
  </si>
  <si>
    <t>5207 Milwee St</t>
  </si>
  <si>
    <t>Arndt</t>
  </si>
  <si>
    <t>Clayton</t>
  </si>
  <si>
    <t xml:space="preserve">Pre-hire Criminal Background Check required for all U.S. and foreign workers.
</t>
  </si>
  <si>
    <t>5207 Milwee St.</t>
  </si>
  <si>
    <t>P-400-22235-432413</t>
  </si>
  <si>
    <t>Employer will advance against pay up to $75/day at the end of each workday at no interest for the first 2 weeks, if needed. Other benefits provided to U.S. and H2B workers are the following: Optional Health Insurance.</t>
  </si>
  <si>
    <t>c.arndt@gulfcoastcorp.com</t>
  </si>
  <si>
    <t>H-400-22332-606744</t>
  </si>
  <si>
    <t>JTG Solutions</t>
  </si>
  <si>
    <t>Evr-Green, LLC</t>
  </si>
  <si>
    <t>28512 FM 2004</t>
  </si>
  <si>
    <t>Mailing: PO Box 3582, Lake Jackson, TX 77566</t>
  </si>
  <si>
    <t>Angleton</t>
  </si>
  <si>
    <t>Groves</t>
  </si>
  <si>
    <t>Teresa</t>
  </si>
  <si>
    <t>teresa@evrgreenllc.com</t>
  </si>
  <si>
    <t xml:space="preserve">Random drug testing during employment; Drug testing during employment for cause; Post-Accident Drug Testing, Able to lift 50lbs, Must be able to obtain a driver's license, Monday-Friday, schedule varies, start/end times vary, some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
</t>
  </si>
  <si>
    <t>raises and bonuses at employer's discretion</t>
  </si>
  <si>
    <t>P-400-22224-414761</t>
  </si>
  <si>
    <t>H-400-22321-592510</t>
  </si>
  <si>
    <t xml:space="preserve">Southeast Straw Co. Inc. </t>
  </si>
  <si>
    <t xml:space="preserve"> Southeast Straw Co Installation Services </t>
  </si>
  <si>
    <t>9311 Lee Road</t>
  </si>
  <si>
    <t>Opelika</t>
  </si>
  <si>
    <t>Ledbetter</t>
  </si>
  <si>
    <t xml:space="preserve">Carleton </t>
  </si>
  <si>
    <t>office@southeaststraw.com</t>
  </si>
  <si>
    <t>Post-employment drug testing may occur based upon the employers reasonable suspicion of an employees drug use. 
F.a.5 A-H. (Continued): M-F 7am-4pm (1 hr lunch), overtime needed (an average of 8 - 10 hours of overtime may be available per week).</t>
  </si>
  <si>
    <t>88 Smith Road</t>
  </si>
  <si>
    <t xml:space="preserve">Chelsea </t>
  </si>
  <si>
    <t>P-400-22217-399002</t>
  </si>
  <si>
    <t xml:space="preserve">Optional housing offered at $60/week to be deducted from worker’s pay if elected. </t>
  </si>
  <si>
    <t>H-400-22335-614745</t>
  </si>
  <si>
    <t>Upon employee's request, payroll deductions may be made, at employer's discretion</t>
  </si>
  <si>
    <t>Hamburg</t>
  </si>
  <si>
    <t>NEW HANOVER</t>
  </si>
  <si>
    <t>Wilmington, NC</t>
  </si>
  <si>
    <t>King of Prussia</t>
  </si>
  <si>
    <t>KALAMAZOO</t>
  </si>
  <si>
    <t>Kalamazoo-Portage, MI</t>
  </si>
  <si>
    <t>P-400-22201-363791</t>
  </si>
  <si>
    <t>Memphis</t>
  </si>
  <si>
    <t>Maurice</t>
  </si>
  <si>
    <t>Leonel</t>
  </si>
  <si>
    <t xml:space="preserve">Room Attendant </t>
  </si>
  <si>
    <t>1011 Paige Ct</t>
  </si>
  <si>
    <t>Chief Executive Officer</t>
  </si>
  <si>
    <t>shawn@allstarservices.us</t>
  </si>
  <si>
    <t>NJ State Supreme Court</t>
  </si>
  <si>
    <t xml:space="preserve">Raises/bonuses may be offered to worker @ company's sole discretion based on work performance, skill, tenure </t>
  </si>
  <si>
    <t>H-400-22335-615057</t>
  </si>
  <si>
    <t>Matthew Ryan Davis Landscaping</t>
  </si>
  <si>
    <t>College Fund Landscaping</t>
  </si>
  <si>
    <t>7081 E Parker Rd</t>
  </si>
  <si>
    <t>matt@collegefundlandscaping.com</t>
  </si>
  <si>
    <t>P-400-22255-466913</t>
  </si>
  <si>
    <t>NONE. Employer may assist workers with finding/securing housing, employer is NOT providing housing.</t>
  </si>
  <si>
    <t>H-400-22339-621317</t>
  </si>
  <si>
    <t>ColoradoScapes, LLC</t>
  </si>
  <si>
    <t xml:space="preserve">4040 S. Clay St. </t>
  </si>
  <si>
    <t>Swartz</t>
  </si>
  <si>
    <t>Mike@landcaremgt.com</t>
  </si>
  <si>
    <t>4040 S Clay St. (Report to Work)</t>
  </si>
  <si>
    <t>P-400-22242-446244</t>
  </si>
  <si>
    <t>info@coscapes.com</t>
  </si>
  <si>
    <t>Dixon</t>
  </si>
  <si>
    <t>4780 Old Greenlee Rd. (Report to Work)</t>
  </si>
  <si>
    <t>MCDOWELL</t>
  </si>
  <si>
    <t>Wendy</t>
  </si>
  <si>
    <t>H-400-22321-592661</t>
  </si>
  <si>
    <t>Surrounded By Stone, Inc.</t>
  </si>
  <si>
    <t>19 West Lodges Lane</t>
  </si>
  <si>
    <t>Vinci</t>
  </si>
  <si>
    <t>Deen</t>
  </si>
  <si>
    <t>deen@surroundedbystone.com</t>
  </si>
  <si>
    <t>821 Aubrey Avenue</t>
  </si>
  <si>
    <t>Ardmore</t>
  </si>
  <si>
    <t>P-400-22271-498071</t>
  </si>
  <si>
    <t>dean@surroundedbystone.com</t>
  </si>
  <si>
    <t>H-400-22335-613751</t>
  </si>
  <si>
    <t xml:space="preserve">Bike Mechanic </t>
  </si>
  <si>
    <t>Bicycle Repairers</t>
  </si>
  <si>
    <t>P-400-22230-425015</t>
  </si>
  <si>
    <t>www.jobs.scworks.org</t>
  </si>
  <si>
    <t>Gallagher</t>
  </si>
  <si>
    <t>Quogue</t>
  </si>
  <si>
    <t>Memphis, TN-MS-AR</t>
  </si>
  <si>
    <t>www.jobs4tn.gov</t>
  </si>
  <si>
    <t>Denham Springs</t>
  </si>
  <si>
    <t>Wood</t>
  </si>
  <si>
    <t>Kalamazoo</t>
  </si>
  <si>
    <t>GARCIA</t>
  </si>
  <si>
    <t>JOSE</t>
  </si>
  <si>
    <t>ALLEGHANY</t>
  </si>
  <si>
    <t xml:space="preserve">Employer will use a single workweek for computing wages due. Pay will be biweekly. </t>
  </si>
  <si>
    <t>TONY</t>
  </si>
  <si>
    <t>HENDRICKS</t>
  </si>
  <si>
    <t>Carroll</t>
  </si>
  <si>
    <t>H-400-22335-614499</t>
  </si>
  <si>
    <t>Material Handler</t>
  </si>
  <si>
    <t>Stairhopper Movers LLC</t>
  </si>
  <si>
    <t>447 2nd Street</t>
  </si>
  <si>
    <t>Everett</t>
  </si>
  <si>
    <t>Iorga</t>
  </si>
  <si>
    <t>Ramona</t>
  </si>
  <si>
    <t>mona@stairhoppers.com</t>
  </si>
  <si>
    <t xml:space="preserve">Monday-Sunday, 40 hour workweek, rotating schedule, schedule varies, overtime varies. Able to lift 50lbs. Able to lift and carry heavy items up and down stairs. Pre-hire background check required. 
All background checks are performed equally as to U.S. workers and H-2B workers, and all fees are paid for by the company.
See the additional document attached for further details about the administration of our background check policy.
</t>
  </si>
  <si>
    <t>Raise at employer's discretion. Opportunity to earn more based on experience.</t>
  </si>
  <si>
    <t>P-400-22192-342590</t>
  </si>
  <si>
    <t>move@stairhoppers.com</t>
  </si>
  <si>
    <t>Nicholas</t>
  </si>
  <si>
    <t>Roofer Helper</t>
  </si>
  <si>
    <t>Sterling Construction Contractors, LLC</t>
  </si>
  <si>
    <t>6835 Forsythe Dr.</t>
  </si>
  <si>
    <t>Panama City</t>
  </si>
  <si>
    <t>Oxentenko</t>
  </si>
  <si>
    <t>ron@sterlingroofs.com</t>
  </si>
  <si>
    <t>ST. LOUIS</t>
  </si>
  <si>
    <t>ABC Professional Tree Services, Inc - Memphis</t>
  </si>
  <si>
    <t>6860 Captains Rite Cove</t>
  </si>
  <si>
    <t>Jenny</t>
  </si>
  <si>
    <t xml:space="preserve">MAS Labor H2B, LLC </t>
  </si>
  <si>
    <t>Devils Lake</t>
  </si>
  <si>
    <t>Oklahoma</t>
  </si>
  <si>
    <t>taylor@southernimpact.com</t>
  </si>
  <si>
    <t>RAMSEY</t>
  </si>
  <si>
    <t>Featherston</t>
  </si>
  <si>
    <t>Granby</t>
  </si>
  <si>
    <t xml:space="preserve">Employer will make all deductions from the worker’s paycheck required by law.  
Optional housing (valued at $125.00 per week) and local convenience travel (valued at $25.00 per week) are available at no cost to the worker. </t>
  </si>
  <si>
    <t>M &amp; L CLEANING SERVICES II LLC</t>
  </si>
  <si>
    <t>2301 W SAMPLE ROAD</t>
  </si>
  <si>
    <t>BLDG 5 4-C</t>
  </si>
  <si>
    <t>POMPANO BEACH</t>
  </si>
  <si>
    <t>LYN</t>
  </si>
  <si>
    <t>MAURICE</t>
  </si>
  <si>
    <t>DAVE</t>
  </si>
  <si>
    <t>MANAGER and OWNER</t>
  </si>
  <si>
    <t>mlcleaning4@gmail.com</t>
  </si>
  <si>
    <t>Eastern and Southern Colorado nonmetropolitan area</t>
  </si>
  <si>
    <t>Landscaping and Groundskeeping Worker</t>
  </si>
  <si>
    <t>Paige</t>
  </si>
  <si>
    <t>Nicole</t>
  </si>
  <si>
    <t>wrolfe@bal.com</t>
  </si>
  <si>
    <t>Tile and Stone Setters</t>
  </si>
  <si>
    <t>Aguilar</t>
  </si>
  <si>
    <t>H-400-22335-614983</t>
  </si>
  <si>
    <t>Altra, Inc.</t>
  </si>
  <si>
    <t>1591 E. Old Philadelphia Road</t>
  </si>
  <si>
    <t>Prematta</t>
  </si>
  <si>
    <t>debbie@altra-inc.net</t>
  </si>
  <si>
    <t>1591 E Old Philadelphia Road (Report to Work)</t>
  </si>
  <si>
    <t>P-400-22213-387881</t>
  </si>
  <si>
    <t>landscapelaborers@yahoo.com</t>
  </si>
  <si>
    <t>Groundskeeper: Irrigation Worker</t>
  </si>
  <si>
    <t>Tanto Irrigation, LLC</t>
  </si>
  <si>
    <t>5 North Payne Street</t>
  </si>
  <si>
    <t>Elmsford</t>
  </si>
  <si>
    <t>Bartels</t>
  </si>
  <si>
    <t>ccoulson@tantoirrigation.com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</si>
  <si>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Excessive mud &amp; standing water.
</t>
  </si>
  <si>
    <t>Cleaner</t>
  </si>
  <si>
    <t>CLARKE</t>
  </si>
  <si>
    <t>Athens-Clarke County, GA</t>
  </si>
  <si>
    <t>Blacksburg-Christiansburg-Radford, VA</t>
  </si>
  <si>
    <t>ABC Professional Tree Services, Inc - Metairie</t>
  </si>
  <si>
    <t>Jefferson</t>
  </si>
  <si>
    <t>ORLEANS</t>
  </si>
  <si>
    <t>AlienLaborCert@dol.state.nj.us</t>
  </si>
  <si>
    <t>Bridgeton</t>
  </si>
  <si>
    <t>4000 E Scyene Rd.</t>
  </si>
  <si>
    <t>P-400-22148-222778</t>
  </si>
  <si>
    <t>Christian</t>
  </si>
  <si>
    <t>H-400-22335-614568</t>
  </si>
  <si>
    <t>Bradbury Landscape, Inc.</t>
  </si>
  <si>
    <t>292 West Street</t>
  </si>
  <si>
    <t>Mailing: P.O. Box 65, Closter, NJ 07624</t>
  </si>
  <si>
    <t>bradburylands@gmail.com</t>
  </si>
  <si>
    <t xml:space="preserve">Able to lift 50lbs. Must be able to work in inclement weather and extreme temperature. Monday-Friday, some Saturdays required, schedule varies, start and end times vary, overtime varies.
</t>
  </si>
  <si>
    <t>28 Chestnut Avenue</t>
  </si>
  <si>
    <t>Emerson</t>
  </si>
  <si>
    <t>Raise/Bonus at employer's discretion.</t>
  </si>
  <si>
    <t>P-400-22208-379887</t>
  </si>
  <si>
    <t>bradburyhire@gmail.com</t>
  </si>
  <si>
    <t>Suite 6</t>
  </si>
  <si>
    <t>Home Health Aides</t>
  </si>
  <si>
    <t>Charlestown</t>
  </si>
  <si>
    <t>Supreme Judicial Court of Massachusetts</t>
  </si>
  <si>
    <t>Texas Fisheries, Inc.</t>
  </si>
  <si>
    <t>Miss Danielle</t>
  </si>
  <si>
    <t xml:space="preserve">1033 FM 521 </t>
  </si>
  <si>
    <t>Oscar</t>
  </si>
  <si>
    <t>11 Friery Road</t>
  </si>
  <si>
    <t>P-400-22224-414214</t>
  </si>
  <si>
    <t xml:space="preserve">Floor 2 </t>
  </si>
  <si>
    <t>Upper Marlboro</t>
  </si>
  <si>
    <t>Rafael</t>
  </si>
  <si>
    <t>OTERO</t>
  </si>
  <si>
    <t>Down To Earth Landscaping, Inc.</t>
  </si>
  <si>
    <t xml:space="preserve">705 Wright Debow Road </t>
  </si>
  <si>
    <t>Bostian</t>
  </si>
  <si>
    <t>Owner/ V.P</t>
  </si>
  <si>
    <t>wbostian@downtoearthlandscaping.com</t>
  </si>
  <si>
    <t>705 Wright Debow Road (Report to Work)</t>
  </si>
  <si>
    <t>P-400-22264-486086</t>
  </si>
  <si>
    <t>Wickman Garden Village</t>
  </si>
  <si>
    <t>1345 S. Fort Ave</t>
  </si>
  <si>
    <t>Kristek</t>
  </si>
  <si>
    <t>dega14@icloud.com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</si>
  <si>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</si>
  <si>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1345 S. Fort Ave (Report to Work)</t>
  </si>
  <si>
    <t>P-400-22227-417398</t>
  </si>
  <si>
    <t>Optional housing available (includes utilities) @ $150 to be deducted per paycheck. At Employer’s sole discretion: possible cash advances (if applicable/requested by worker, potential deduction from worker’s paycheck).</t>
  </si>
  <si>
    <t>Dega14@icloud.com</t>
  </si>
  <si>
    <t>Pipe Fitter</t>
  </si>
  <si>
    <t>Rosenberg</t>
  </si>
  <si>
    <t>Harkey</t>
  </si>
  <si>
    <t>Ronda</t>
  </si>
  <si>
    <t>rbh@fisherfirm.com</t>
  </si>
  <si>
    <t>Fisher Firm</t>
  </si>
  <si>
    <t>H-400-22335-614345</t>
  </si>
  <si>
    <t>Siggy's Perennial Gardens Inc</t>
  </si>
  <si>
    <t>19 Carlson Court</t>
  </si>
  <si>
    <t>Weis</t>
  </si>
  <si>
    <t>Siegfried</t>
  </si>
  <si>
    <t>laurieweis@optonline.net</t>
  </si>
  <si>
    <t>Able to lift 50lbs. Monday-Friday, Some Saturdays may be required, schedule varies, overtime varies. Pre-hire background check required. 
All background checks are performed equally as to U.S. workers and H-2B workers, and all fees are paid for by the company. See the additional document attached for further details about the administration of our background check policy.</t>
  </si>
  <si>
    <t>250 Homans Avenue</t>
  </si>
  <si>
    <t>Potential raise based upon skill or work initiative</t>
  </si>
  <si>
    <t>P-400-22277-509664</t>
  </si>
  <si>
    <t>Kitchen Staff</t>
  </si>
  <si>
    <t>Cole</t>
  </si>
  <si>
    <t>Carla</t>
  </si>
  <si>
    <t>FORT BEND</t>
  </si>
  <si>
    <t>Zavala</t>
  </si>
  <si>
    <t>El Paso</t>
  </si>
  <si>
    <t>NASSAU BUILDERS INC</t>
  </si>
  <si>
    <t xml:space="preserve">135 HERZEL BLVD </t>
  </si>
  <si>
    <t>LINDENHURST</t>
  </si>
  <si>
    <t>PALETTA</t>
  </si>
  <si>
    <t>SERAFINO</t>
  </si>
  <si>
    <t>135 HERZEL BLVD</t>
  </si>
  <si>
    <t>P-400-22200-361284</t>
  </si>
  <si>
    <t>NASSAUBUILDERS@ATT.NET</t>
  </si>
  <si>
    <t>MPB, Inc.</t>
  </si>
  <si>
    <t>114 Vaughn Lane</t>
  </si>
  <si>
    <t>P. O. Box 66</t>
  </si>
  <si>
    <t>Center Point</t>
  </si>
  <si>
    <t>Office Manager, Secretary, Treasurer</t>
  </si>
  <si>
    <t>mpbinc@mpbinc.com</t>
  </si>
  <si>
    <t>KERR</t>
  </si>
  <si>
    <t>P-400-22235-432619</t>
  </si>
  <si>
    <t>FOREST AND CONSERVATION WORKER</t>
  </si>
  <si>
    <t>Hatton</t>
  </si>
  <si>
    <t>Affirm Legal Services, PLLC</t>
  </si>
  <si>
    <t>Landscaping &amp; Groundskeeping Workers</t>
  </si>
  <si>
    <t>H-400-22335-613753</t>
  </si>
  <si>
    <t>LAWSON LANDSCAPING DESIGN AND CONSTRUCTION, L.L.C.</t>
  </si>
  <si>
    <t>338 NORTH 200 EAST</t>
  </si>
  <si>
    <t>FARMINGTON</t>
  </si>
  <si>
    <t>Lawson</t>
  </si>
  <si>
    <t>338 North 200 East</t>
  </si>
  <si>
    <t>Farmington</t>
  </si>
  <si>
    <t>dani@lawsonlandscape.com</t>
  </si>
  <si>
    <t xml:space="preserve">MUST BE ABLE TO TOLERATE EXTREME TEMPERATURES, LOUD NOISES; LIFT HEAVY EQUIPMENT (UP TO 50LBS) AND EXHIBIT STAMINA. MUST PASS EMPLOYER-PAID, POST-HIRE DRUG TEST if administered.
Work days:  Monday-Friday
Hours per week: 40
Work Schedule: 8:00am-5:00pm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No
Deductions: 
N/A
</t>
  </si>
  <si>
    <t>P-400-22273-505420</t>
  </si>
  <si>
    <t>DANI@LAWSONLANDSCAPE.COM</t>
  </si>
  <si>
    <t>https://lawsonlandscape.com/</t>
  </si>
  <si>
    <t>H-400-22335-614419</t>
  </si>
  <si>
    <t>MILOSI, INC.</t>
  </si>
  <si>
    <t>160 Center Point Rd S</t>
  </si>
  <si>
    <t>HENDERSONVILLE</t>
  </si>
  <si>
    <t>CARLTON</t>
  </si>
  <si>
    <t>CARYNELL</t>
  </si>
  <si>
    <t>HR ADMIN</t>
  </si>
  <si>
    <t>CCARLTON@MILOSILANDSCAPE.COM</t>
  </si>
  <si>
    <t>MUST HAVE VALID DRIVER'S LICENSE, POST-HIRE DRUG SCREEN AT EMPLOYER'S EXPENSE. 
A VALID DRIVER'S LICENSE IS REQUIRED BY THE EMPLOYER'S INSURANCE CARRIER TO INSURE DRIVERS OF COMPANY VEHICLES FROM WORKSITE TO WORKSITE, WHICH MAY BE REQUIRED OF ALL WORKERS.
SCHEDULE VARIES, OVERTIME AVAILABLE AS NEEDED.</t>
  </si>
  <si>
    <t>P-400-22199-359225</t>
  </si>
  <si>
    <t>awisner@milosi.com</t>
  </si>
  <si>
    <t>Missoula</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</si>
  <si>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Employer offers free daily transportation to/from worksite from designated pick-up location. Use of transportation is voluntary.</t>
  </si>
  <si>
    <t>Ralph Iasiello Lawncare, LLC</t>
  </si>
  <si>
    <t>14101 Lago Strada</t>
  </si>
  <si>
    <t>Mailing: P.O. Box 890741, Oklahoma City, OK 73189</t>
  </si>
  <si>
    <t>Iasiello</t>
  </si>
  <si>
    <t>ralphlawncare@gmail.com</t>
  </si>
  <si>
    <t xml:space="preserve">Able to lift 75lbs, Monday-Friday, Some weekends may be required, schedule varies, start/end times vary, overtime varies
</t>
  </si>
  <si>
    <t>8900 South Council Rd</t>
  </si>
  <si>
    <t>P-400-22244-450977</t>
  </si>
  <si>
    <t>Hoffman</t>
  </si>
  <si>
    <t>1315 W Hamburg Street</t>
  </si>
  <si>
    <t>Ponce</t>
  </si>
  <si>
    <t>aponce@priorityconst.com</t>
  </si>
  <si>
    <t>BALTIMORE CITY</t>
  </si>
  <si>
    <t>P-400-22260-478885</t>
  </si>
  <si>
    <t>https://priorityconst.com</t>
  </si>
  <si>
    <t>Dustin</t>
  </si>
  <si>
    <t>Janet</t>
  </si>
  <si>
    <t>H-400-22335-615206</t>
  </si>
  <si>
    <t>Yellowstone Landscape - Central, Inc. - Las Vegas</t>
  </si>
  <si>
    <t>800 W Bonanza Road</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</si>
  <si>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</si>
  <si>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P-400-22284-521183</t>
  </si>
  <si>
    <t>Emplyr makes all payroll deductions req by law. Emplyr does not envision other wrkfrce-wide payroll deductions. If req, emplyr helps non-local wrkrs secure wrkr-paid lodging. Emplyr deducts reasonable fair market value cost of rent/utilities based on # of occupants for wrkes electing to reside in emplyr-provided housing. Vol advances and/or loans made to wrkrs, if any, may be repaid by pre-authorized payroll deductions. Emplyr offers free daily transport to/from worksite from designated pick-up location. Use of transport is vol.  Emplyr will deduct for reasonable cost of negligent damage to lodging facilities. Emplyr may deduct retirement/savings plan contributions and/or health insurance premiums for workers voluntarily participating in plan(s). Uniform provided at no cost. Emplyr may deduct cost for vol purchase of additional uniforms for wrkr's benefit.  Emplyr may also deduct for vol boot purchase program. Employer provides incidental transportation between worksites as necessary.</t>
  </si>
  <si>
    <t>www.nevadajobconnect.com</t>
  </si>
  <si>
    <t>H-400-22335-614880</t>
  </si>
  <si>
    <t>Lawn Maintenance Crew Helper</t>
  </si>
  <si>
    <t>Prestonwood Landscape Services-SA LLC</t>
  </si>
  <si>
    <t>Prestonwood Landscape Services</t>
  </si>
  <si>
    <t>631 N WW White Rd</t>
  </si>
  <si>
    <t>Director MX Operations</t>
  </si>
  <si>
    <t>blake@prestonwoodlandscape.com</t>
  </si>
  <si>
    <t xml:space="preserve">Employer paid post hire drug test required. 
</t>
  </si>
  <si>
    <t>P-400-22171-297646</t>
  </si>
  <si>
    <t xml:space="preserve">Optional advance pay of $200 for settling expenses, optional healthcare, dental, vision and transportation for first 2 days of work. Optional housing and maintenance/cleaning uniform service.  Advance pay and housing to be deducted from pay, housing varies based on local rates (subject to change based on local inflation), deductions are optional. Deductions will not drop the overall wage below the UDSOL minimum, if the deductions are too great they will not be made. </t>
  </si>
  <si>
    <t>jobs.scworks.org</t>
  </si>
  <si>
    <t>H-400-22339-622289</t>
  </si>
  <si>
    <t>R and J Concessions, LLC</t>
  </si>
  <si>
    <t>5783 Center Ring, Rd.</t>
  </si>
  <si>
    <t>Ukmar</t>
  </si>
  <si>
    <t>Rick</t>
  </si>
  <si>
    <t>rjukmar@aol.com</t>
  </si>
  <si>
    <t>P-400-22276-507476</t>
  </si>
  <si>
    <t>MAHONING</t>
  </si>
  <si>
    <t>Youngstown-Warren-Boardman, OH-PA</t>
  </si>
  <si>
    <t xml:space="preserve">Employer may increase wage based on experience and/or provide additional pay for performance and tenure or may increase </t>
  </si>
  <si>
    <t>Shrimp Hunter 5, Inc.</t>
  </si>
  <si>
    <t>Mighty Tide</t>
  </si>
  <si>
    <t xml:space="preserve">112 South 12th Street </t>
  </si>
  <si>
    <t>Antero Azul</t>
  </si>
  <si>
    <t>P-400-22224-414140</t>
  </si>
  <si>
    <t>LAURA</t>
  </si>
  <si>
    <t>Sterling</t>
  </si>
  <si>
    <t>Tommy</t>
  </si>
  <si>
    <t>Javier</t>
  </si>
  <si>
    <t>Rear Lot # 201</t>
  </si>
  <si>
    <t>Upper Darby</t>
  </si>
  <si>
    <t>Hemphill</t>
  </si>
  <si>
    <t>carlhemphillmjc@yahoo.com</t>
  </si>
  <si>
    <t>MERIT PAY RAISES MAY BE AVAILABLE AT THE EMPLOYER'S DISCRETION</t>
  </si>
  <si>
    <t>Job Contractor - Joint Employer</t>
  </si>
  <si>
    <t>Caldwell</t>
  </si>
  <si>
    <t>ONSLOW</t>
  </si>
  <si>
    <t>Jacksonville, NC</t>
  </si>
  <si>
    <t>Port Arthur</t>
  </si>
  <si>
    <t>Helpers--Pipelayers, Plumbers, Pipefitters, and Steamfitters</t>
  </si>
  <si>
    <t>WILLIAM</t>
  </si>
  <si>
    <t>LANDSCAPE ART INC</t>
  </si>
  <si>
    <t>2303 DICKINSON AVE</t>
  </si>
  <si>
    <t>LEAGUE CITY</t>
  </si>
  <si>
    <t>DUBISKI</t>
  </si>
  <si>
    <t>REBECCA</t>
  </si>
  <si>
    <t>DEBBIEO@LANDSCAPEARTINC.COM</t>
  </si>
  <si>
    <t>ROMERO</t>
  </si>
  <si>
    <t>RITA</t>
  </si>
  <si>
    <t>2901 BUCKS BAYOU RD</t>
  </si>
  <si>
    <t>BAY CITY</t>
  </si>
  <si>
    <t>RROMERO@FEWAGLOBAL.ORG</t>
  </si>
  <si>
    <t>FEDERATION OF EMPLOYERS AND WORKERS OF AMERCIA</t>
  </si>
  <si>
    <t>2303 Dickinson Avenue</t>
  </si>
  <si>
    <t>GALVESTON</t>
  </si>
  <si>
    <t>Opp to earn more with exp. Potential raise/bonus at employer's discretion. 401K offered. Percent of health care offered.</t>
  </si>
  <si>
    <t>P-400-22215-392907</t>
  </si>
  <si>
    <t>Employer may make payroll deductions at employee's request. Employer facilitates corresponding deductions for available health benefits. Employer facilitates voluntary housing arrangements upon worker request along with corresponding payroll deductions up to $200.00/bi-weekly.</t>
  </si>
  <si>
    <t>debbieo@landscapeartinc.com</t>
  </si>
  <si>
    <t>Raises/bonuses at employer's discretion</t>
  </si>
  <si>
    <t>H-400-22335-614642</t>
  </si>
  <si>
    <t>Property Masters Inc</t>
  </si>
  <si>
    <t>67 Pleasant Street</t>
  </si>
  <si>
    <t>Mailing: P.O. Box 19, Haworth, NJ 07641</t>
  </si>
  <si>
    <t>Haworth</t>
  </si>
  <si>
    <t>Reithmayr</t>
  </si>
  <si>
    <t>propmaster@optonline.net</t>
  </si>
  <si>
    <t xml:space="preserve">Monday-Friday, Saturdays are optional, end times may vary, schedule varies, overtime varies.
</t>
  </si>
  <si>
    <t>49 Atwood Place</t>
  </si>
  <si>
    <t>Tenafly</t>
  </si>
  <si>
    <t>Raise/bonus at employer's discretion. Opportunity for additional pay dependent upon experience and/or job performance.</t>
  </si>
  <si>
    <t>P-400-22208-378462</t>
  </si>
  <si>
    <t>Sandra</t>
  </si>
  <si>
    <t>Fox</t>
  </si>
  <si>
    <t>Elizabeth@laborci.com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</si>
  <si>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</si>
  <si>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Jacksonville</t>
  </si>
  <si>
    <t>Judy</t>
  </si>
  <si>
    <t>MARRIOTT RESORTS HOSPITALITY CORPORATION</t>
  </si>
  <si>
    <t>1044 WILLIAM HILTON PARKWAY</t>
  </si>
  <si>
    <t>Mello</t>
  </si>
  <si>
    <t>Jenna</t>
  </si>
  <si>
    <t>Visa Sourcing Manager</t>
  </si>
  <si>
    <t>1044 William Hilton Parkway</t>
  </si>
  <si>
    <t>jenna.mello@vacationclub.com</t>
  </si>
  <si>
    <t>https://jobs.mo.gov/</t>
  </si>
  <si>
    <t>Ogden's Design &amp; Plantings Inc</t>
  </si>
  <si>
    <t>650 N. COUNTRY RD</t>
  </si>
  <si>
    <t>ST. JAMES</t>
  </si>
  <si>
    <t>OGDEN</t>
  </si>
  <si>
    <t>P-400-22192-343724</t>
  </si>
  <si>
    <t>ogdens.com</t>
  </si>
  <si>
    <t>Northeast Virginia nonmetropolitan area</t>
  </si>
  <si>
    <t>Davenport</t>
  </si>
  <si>
    <t>Piedmont North Carolina nonmetropolitan area</t>
  </si>
  <si>
    <t>Branch Manager</t>
  </si>
  <si>
    <t>Comptroller</t>
  </si>
  <si>
    <t>San Diego</t>
  </si>
  <si>
    <t>SAN DIEGO</t>
  </si>
  <si>
    <t>San Diego-Carlsbad, CA</t>
  </si>
  <si>
    <t>MAVERICK</t>
  </si>
  <si>
    <t>O</t>
  </si>
  <si>
    <t>Maintenance Worker</t>
  </si>
  <si>
    <t>H-400-22335-614562</t>
  </si>
  <si>
    <t>4F Holdings, Ltd</t>
  </si>
  <si>
    <t>Custom Gardens</t>
  </si>
  <si>
    <t>925 E. Loop 335S</t>
  </si>
  <si>
    <t>Mailing: PO Box 19817, Amarillo, TX 79114-1817</t>
  </si>
  <si>
    <t>Amarillo</t>
  </si>
  <si>
    <t>Furrh</t>
  </si>
  <si>
    <t>Brooke</t>
  </si>
  <si>
    <t>brooke@customgardensamarillo.com</t>
  </si>
  <si>
    <t xml:space="preserve">Pre-hire background check required;Pre-employment drug testing required;Drug testing during employment for cause;Post-Accident Drug Testing, Able to lift 75lbs, Monday-Friday, Saturdays as needed, schedule varies, end time varies,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</si>
  <si>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RANDALL</t>
  </si>
  <si>
    <t>Amarillo, TX</t>
  </si>
  <si>
    <t>P-400-22244-451475</t>
  </si>
  <si>
    <t>Employer may make payroll deductions at employee's request; Employer facilitates voluntary housing arrangements along with corresponding payroll deduction, about $130 a week</t>
  </si>
  <si>
    <t>Mesa</t>
  </si>
  <si>
    <t>Torrey</t>
  </si>
  <si>
    <t>HENRICO</t>
  </si>
  <si>
    <t>Welch</t>
  </si>
  <si>
    <t>Dupont</t>
  </si>
  <si>
    <t>Nitin</t>
  </si>
  <si>
    <t>Arnett</t>
  </si>
  <si>
    <t>Roofing Solutions, LLC</t>
  </si>
  <si>
    <t>17260 Jefferson Hwy, Suite D</t>
  </si>
  <si>
    <t>De La Cruz</t>
  </si>
  <si>
    <t>Tupac</t>
  </si>
  <si>
    <t>sfernandez@roofingsolutionsla.com</t>
  </si>
  <si>
    <t>Able to lift 60lbs, Candidates shall not be afraid of working on heights. Most of the time, work will be performed on elevated surfaces above 12 ft., Pre-hire background check required; Random drug testing during employment; Pre-employment drug testing required, Monday-Friday, Some weekends may be required,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</si>
  <si>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P-400-22216-396003</t>
  </si>
  <si>
    <t>Employer may make payroll deductions at employee's request. Employer facilitates corresponding deductions for available health benefits. Employer provides optional housing at no cost to the employee.</t>
  </si>
  <si>
    <t>700 Singing Quail Trail</t>
  </si>
  <si>
    <t>(Mail: PO Box 1319, Ft Worth TX 76101)</t>
  </si>
  <si>
    <t>Haslet</t>
  </si>
  <si>
    <t>Talley</t>
  </si>
  <si>
    <t>3400 Burnett-Tandy Drive</t>
  </si>
  <si>
    <t>Alejandra</t>
  </si>
  <si>
    <t>Office Administrator</t>
  </si>
  <si>
    <t>Construction Helper</t>
  </si>
  <si>
    <t>Rocky Mountain Custom Landscapes and Associates, Inc.</t>
  </si>
  <si>
    <t>Rocky Mountain Custom Landscapes</t>
  </si>
  <si>
    <t>351 Airpark Dr.</t>
  </si>
  <si>
    <t>Mailing: PO Box 480, Eagle, CO 81631</t>
  </si>
  <si>
    <t>Head</t>
  </si>
  <si>
    <t>Bobby</t>
  </si>
  <si>
    <t>jenny@rmcl-usa.com</t>
  </si>
  <si>
    <t xml:space="preserve">Post-Accident Drug Testing. Able to lift 50lbs. Monday-Thursday, Some Fridays may be required, Some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
</t>
  </si>
  <si>
    <t>Raises and bonuses at employer's discretion. Opportunity for higher pay depending on experience.</t>
  </si>
  <si>
    <t xml:space="preserve">Employer will make all deductions from the worker’s paycheck required by law. Optional mobile housing (valued at $175.00 per week) and local convenience travel (valued at $25.00 per week) are available at no cost to the worker.  </t>
  </si>
  <si>
    <t>Movers</t>
  </si>
  <si>
    <t>MARIPOSA</t>
  </si>
  <si>
    <t>Eastern Sierra-Mother Lode Region of California nonmetropolitan area</t>
  </si>
  <si>
    <t xml:space="preserve">Employer will make all deductions from the worker’s paycheck required by law. Optional mobile housing (valued at $125.00 per week) and local convenience travel (valued at $25.00 per week) are available at no cost to the worker.  </t>
  </si>
  <si>
    <t>Camden</t>
  </si>
  <si>
    <t>H-400-22335-613807</t>
  </si>
  <si>
    <t>Pool/Grounds Attendant</t>
  </si>
  <si>
    <t>Gloria@pesusa.com</t>
  </si>
  <si>
    <t xml:space="preserve">Post-employment background check; Pre-employment, post injury or incident and reasonable suspicion drug test required cost paid by employer and applied equally to all workers, US and foreign/H2B. All employees will be required to follow the companys current policy regarding masks, vaccines and testing that is in place at their time of hire. Must be able to work a five-day schedule including weekends and holidays as required. Applicant must complete an employment application. 
</t>
  </si>
  <si>
    <t>P-400-22216-395471</t>
  </si>
  <si>
    <t xml:space="preserve">Employer will make all deductions from the worker's paycheck required by law and deduct approved cost of housing if worker elects. Optional employee shared housing, approximate rate $130 per week plus $200 refundable deposit. Includes utilities, trash, pest control, cable, internet and transportation to and from work. Multiple variations of insurance plans available for Medical, Dental, Vision, payroll deduct if worker elects, approximate costs: $3.00-$300 depending on options employee chooses. Other optional insurances available include short-and long-term disability, extended life insurance, death and dismemberment, etc. Payroll deduction per pay check $5.00-$50.00 depending on options employee chooses. Optional employee HSA/FSA, contribution amount up to employee.
Employer will provide worker at no charge all tools, supplies, and equipment, and uniform required to perform job. 
</t>
  </si>
  <si>
    <t>BRAZOS</t>
  </si>
  <si>
    <t>College Station-Bryan, TX</t>
  </si>
  <si>
    <t>Semi-Truck Driver</t>
  </si>
  <si>
    <t>Ogden</t>
  </si>
  <si>
    <t>WEBER</t>
  </si>
  <si>
    <t xml:space="preserve">Raises and/or bonuses may be offered based on individual factors including work performance, skill, and tenure. </t>
  </si>
  <si>
    <t>Huntsville</t>
  </si>
  <si>
    <t>Larry</t>
  </si>
  <si>
    <t>South Bend</t>
  </si>
  <si>
    <t>Franklin</t>
  </si>
  <si>
    <t>ST JOSEPH</t>
  </si>
  <si>
    <t>South Bend-Mishawaka, IN-MI</t>
  </si>
  <si>
    <t>Josh</t>
  </si>
  <si>
    <t>JEFFREY</t>
  </si>
  <si>
    <t>Myers</t>
  </si>
  <si>
    <t>Edwards</t>
  </si>
  <si>
    <t>H-400-22335-615727</t>
  </si>
  <si>
    <t>Summitt Forests Inc.</t>
  </si>
  <si>
    <t>5065 S. Pacific Hwy</t>
  </si>
  <si>
    <t>Operations &amp; Logistics Manager</t>
  </si>
  <si>
    <t>Barry.summittforests@gmail.com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</si>
  <si>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 MUST HAVE 3 MONTHS COMMERICAL BRUSHSAW/CHAINSAW EXPERIENCE. ***
We are a Federal Contractor; any and all applicants/workers must follow all current laws/regulations/requirements/Emergency Temporary Standards (including OSHA).
</t>
  </si>
  <si>
    <t>5065 S Pacific Hwy (Report to Work)</t>
  </si>
  <si>
    <t>P-400-22231-425910</t>
  </si>
  <si>
    <t>apps.summittforests@gmail.com</t>
  </si>
  <si>
    <t>Kathleen@pesusa.com</t>
  </si>
  <si>
    <t>Morrison</t>
  </si>
  <si>
    <t>Doug</t>
  </si>
  <si>
    <t>Trujillo</t>
  </si>
  <si>
    <t>Elaine</t>
  </si>
  <si>
    <t>PO Box 3228</t>
  </si>
  <si>
    <t>1775 Graham Avenue</t>
  </si>
  <si>
    <t>elaine@laborservicesinternational.com</t>
  </si>
  <si>
    <t>Labor Services International, LLC</t>
  </si>
  <si>
    <t>Hooker</t>
  </si>
  <si>
    <t>Chaney</t>
  </si>
  <si>
    <t>Lebanon</t>
  </si>
  <si>
    <t>PRESIDENT/OWNER</t>
  </si>
  <si>
    <t>Stanley</t>
  </si>
  <si>
    <t>Textile Cutting Machine Setters, Operators, and Tenders</t>
  </si>
  <si>
    <t>PBR INC</t>
  </si>
  <si>
    <t>SKAPS INDUSTRIES</t>
  </si>
  <si>
    <t>335 ATHENA DRIVE</t>
  </si>
  <si>
    <t>APPELL</t>
  </si>
  <si>
    <t>WILLANN</t>
  </si>
  <si>
    <t>DiLeo</t>
  </si>
  <si>
    <t>Milagros</t>
  </si>
  <si>
    <t>3202 Olde Dekalb Way</t>
  </si>
  <si>
    <t>mdileo@panamericanlabor.com</t>
  </si>
  <si>
    <t>PAN AMERICAN LABOR</t>
  </si>
  <si>
    <t>P-400-22161-265629</t>
  </si>
  <si>
    <t>Deductions required by law or authorized by worker deducted from paycheck</t>
  </si>
  <si>
    <t>SUSAN</t>
  </si>
  <si>
    <t>H-400-22335-615270</t>
  </si>
  <si>
    <t xml:space="preserve">Retail Attendant </t>
  </si>
  <si>
    <t>Spectrum Resorts, LLC</t>
  </si>
  <si>
    <t>The Beach Club Resort &amp; Spa/Turquoise Place</t>
  </si>
  <si>
    <t>925 Beach Club Trail</t>
  </si>
  <si>
    <t>Gulf Shores</t>
  </si>
  <si>
    <t>Gulf  Shores</t>
  </si>
  <si>
    <t>pwilson@spectrumresorts.com</t>
  </si>
  <si>
    <t>Aaron@Pesusa.com</t>
  </si>
  <si>
    <t xml:space="preserve">No minimum education or experience required. Must be able to work at least 5-day work schedule, including weekends and holidays. Applicants must complete an employment application. Employer will offer a minimum of 35 hours of work per week. Resort is open 7 days a week, workdays will vary Sunday through Saturday. Shifts: 9:30 am  4:30 pm, 4 pm  8:30 pm (includes 30minute unpaid break). Workdays and shift times may vary with events and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</si>
  <si>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 xml:space="preserve">Gulf Shores </t>
  </si>
  <si>
    <t>P-400-22160-261450</t>
  </si>
  <si>
    <t xml:space="preserve">Employer will make all deductions from the worker's paycheck required by law. Optional empoyee shared housing available, including utilities, at approx. $150 per week. Transportation is provided to/from worksite/housing, at no cost to employee. 
</t>
  </si>
  <si>
    <t>spectrum-resorts.careerplug.com</t>
  </si>
  <si>
    <t>H-400-22335-613775</t>
  </si>
  <si>
    <t>P-400-22193-345204</t>
  </si>
  <si>
    <t>Covington</t>
  </si>
  <si>
    <t>SANDY</t>
  </si>
  <si>
    <t>Garden of Gethsemane Nursery &amp; Landscaping, LLC</t>
  </si>
  <si>
    <t>1877 Washington Blvd</t>
  </si>
  <si>
    <t>Alfred</t>
  </si>
  <si>
    <t>1877 Washington Blvd.</t>
  </si>
  <si>
    <t>michealalfred@sbcglobal.net</t>
  </si>
  <si>
    <t>P-400-22221-405970</t>
  </si>
  <si>
    <t>Employer may make payroll deductions at employee's request. Employer facilitates voluntary housing arrangements along with corresponding payroll deduction estimated at $75/bi-weekly.</t>
  </si>
  <si>
    <t>Southeast Minnesota nonmetropolitan area</t>
  </si>
  <si>
    <t>Lovgren</t>
  </si>
  <si>
    <t>Lindsey</t>
  </si>
  <si>
    <t>Secretary Treasurer</t>
  </si>
  <si>
    <t>JONES</t>
  </si>
  <si>
    <t>DINING ROOM ATTENDANT</t>
  </si>
  <si>
    <t>kaitlyn.quiring@ogletreedeakins.com</t>
  </si>
  <si>
    <t>Greenskeeper</t>
  </si>
  <si>
    <t>RICHMOND CITY</t>
  </si>
  <si>
    <t>https://employgeorgia.com/</t>
  </si>
  <si>
    <t>Swimming Pool Renovations Assistant</t>
  </si>
  <si>
    <t>Millennium Pools and Spas LLC</t>
  </si>
  <si>
    <t>Millennium Pool Service</t>
  </si>
  <si>
    <t>5558 Port Royal Rd</t>
  </si>
  <si>
    <t>Lavery</t>
  </si>
  <si>
    <t>hlavery@millenniumpool.com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</si>
  <si>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 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</si>
  <si>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P-400-22269-493553</t>
  </si>
  <si>
    <t>H-400-22335-614471</t>
  </si>
  <si>
    <t>Perfect Landscapes LLC</t>
  </si>
  <si>
    <t>21625 Cascades Parkway</t>
  </si>
  <si>
    <t>Mailing: P.O. Box 604, Ashburn, VA 20146</t>
  </si>
  <si>
    <t>info@perfectlandscapes.com</t>
  </si>
  <si>
    <t>Able to lift 50lbs, Random drug testing during employment; Pre-employment drug testing required, Monday-Friday, Some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t>
  </si>
  <si>
    <t>P-400-22196-355525</t>
  </si>
  <si>
    <t>H-400-22335-613884</t>
  </si>
  <si>
    <t xml:space="preserve">COPPERLEAF LANDSCAPE MANAGEMENT LLC </t>
  </si>
  <si>
    <t>PO BOX 2459</t>
  </si>
  <si>
    <t>26590 US HIGHWAY 70 #3A RUIDOSO DOWNS NM 88346</t>
  </si>
  <si>
    <t>LAGASSE</t>
  </si>
  <si>
    <t xml:space="preserve">PO BOX 2459 </t>
  </si>
  <si>
    <t xml:space="preserve">26590 US HIGHWAY 70 </t>
  </si>
  <si>
    <t>3A</t>
  </si>
  <si>
    <t>RUIDOSO DOWNS</t>
  </si>
  <si>
    <t>P-400-22193-345784</t>
  </si>
  <si>
    <t>Optional housing available for 75.00/week to be deducted weekly from paycheck</t>
  </si>
  <si>
    <t>copperleaf.ruidoso@yahoo.com</t>
  </si>
  <si>
    <t>H-400-22335-613930</t>
  </si>
  <si>
    <t>All Metroplex Landscape Services, Inc.</t>
  </si>
  <si>
    <t>11019 Denton Dr.</t>
  </si>
  <si>
    <t>Harrelson</t>
  </si>
  <si>
    <t xml:space="preserve">Timothy </t>
  </si>
  <si>
    <t>tim@allmetroplexlandscape.com</t>
  </si>
  <si>
    <t>P-400-22286-527724</t>
  </si>
  <si>
    <t>NONE. Employer may assist workers with finding and/or securing housing, employer is not providing housing.</t>
  </si>
  <si>
    <t>H-400-22335-614766</t>
  </si>
  <si>
    <t xml:space="preserve">Pre-hire background check required; Random drug testing during employment; Post-Accident Drug Testing; Monday-Friday, Some Saturdays may be required, schedule varies, rotating schedule,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</si>
  <si>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Corinth</t>
  </si>
  <si>
    <t>Fresno</t>
  </si>
  <si>
    <t>Production Laborer</t>
  </si>
  <si>
    <t>Diamond Property Services, LLC.</t>
  </si>
  <si>
    <t>510 S Turley Ave</t>
  </si>
  <si>
    <t>Ismael</t>
  </si>
  <si>
    <t>dpsismael@gmail.com</t>
  </si>
  <si>
    <t xml:space="preserve">Employer will make all deductions required by law from each paycheck. </t>
  </si>
  <si>
    <t>Northern Pennsylvania nonmetropolitan area</t>
  </si>
  <si>
    <t>WAINSCOTT FARMS</t>
  </si>
  <si>
    <t>3 INDUSTRIAL ROAD</t>
  </si>
  <si>
    <t xml:space="preserve">PO BOX 696 </t>
  </si>
  <si>
    <t>ROBERTSON</t>
  </si>
  <si>
    <t xml:space="preserve">JOHN </t>
  </si>
  <si>
    <t>P-400-22207-375911</t>
  </si>
  <si>
    <t>JOHN@WAINSCOTTFARMS.COM</t>
  </si>
  <si>
    <t>Olive Branch</t>
  </si>
  <si>
    <t xml:space="preserve">Employer paid post hire drug test required.
</t>
  </si>
  <si>
    <t>DESOTO</t>
  </si>
  <si>
    <t>https://wings.mdes.ms.gov/wings/welcome.jsp</t>
  </si>
  <si>
    <t>nanny/childcare worker</t>
  </si>
  <si>
    <t>ANCHORAGE</t>
  </si>
  <si>
    <t>Anchorage, AK</t>
  </si>
  <si>
    <t>Brett Strand</t>
  </si>
  <si>
    <t>P-400-22194-350408</t>
  </si>
  <si>
    <t>The employer will assist the worker in securing lodging during the period of employment covered by the job order.</t>
  </si>
  <si>
    <t>Immigration@fisherbroyles.com</t>
  </si>
  <si>
    <t>COMMERCIAL LANDSCAPE SERVICES, INC.</t>
  </si>
  <si>
    <t>CLS, Inc.</t>
  </si>
  <si>
    <t>132 RIDGE PRAIRIE LANE</t>
  </si>
  <si>
    <t>Spreen</t>
  </si>
  <si>
    <t>Accounting/Human Resources</t>
  </si>
  <si>
    <t>clandry@clsoutdoor.com</t>
  </si>
  <si>
    <t>P-400-22167-287751</t>
  </si>
  <si>
    <t>http://clsoutdoor.com/join-our-team</t>
  </si>
  <si>
    <t>PITZER'S LAWN MANAGEMENT, INC.</t>
  </si>
  <si>
    <t>11401 S. BROADWAY</t>
  </si>
  <si>
    <t>EDMOND</t>
  </si>
  <si>
    <t>PITZER</t>
  </si>
  <si>
    <t>KURT</t>
  </si>
  <si>
    <t>KURT@PITZERSLM.COM</t>
  </si>
  <si>
    <t>11401 S. Broadway</t>
  </si>
  <si>
    <t>LOGAN</t>
  </si>
  <si>
    <t>P-400-22152-233371</t>
  </si>
  <si>
    <t>H-400-22335-614214</t>
  </si>
  <si>
    <t>ABC Professional Tree Services, Inc - Victoria</t>
  </si>
  <si>
    <t>210 E Rio Grande St,</t>
  </si>
  <si>
    <t>P-400-22289-532159</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</si>
  <si>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Voluntary advances and/or loans made to workers, if any, may be repaid by pre-authorized payroll deductions.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t>
  </si>
  <si>
    <t>H-400-22335-615584</t>
  </si>
  <si>
    <t>North Charlotte Landscape Management, Inc.</t>
  </si>
  <si>
    <t>dba US Lawns of North Charlotte</t>
  </si>
  <si>
    <t>280 Ervin Woods Dr</t>
  </si>
  <si>
    <t>Kannapolis</t>
  </si>
  <si>
    <t>katie@uslawnsnc.com</t>
  </si>
  <si>
    <t xml:space="preserve">Requires three months of previous landscape experience. Must lift/carry 50 lbs., when necessary.  Saturday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
</t>
  </si>
  <si>
    <t>280 Ervin Woods Dr.</t>
  </si>
  <si>
    <t>ROWAN</t>
  </si>
  <si>
    <t>P-400-22280-517826</t>
  </si>
  <si>
    <t>Emplyr makes all payroll deductions required by law Emplyr does not envision other wrkfrce-wide payroll deductions If requested emplyr helps non-local wrkrs secure wrkr-paid lodging Emplyr deducts reasonable fair market value cost of rent/utilities based on number of occupants for wrkrs electing to reside in emplyr-provided housing Voluntary advances and/or loans made to wrkrs if any may be repaid by pre-authorized payroll deductions  Emplyr may deduct reasonable cost for lost/damaged tools or equipment resulting from worker negligence Emplyr may deduct retirement/savings plan contributions and/or health insurance premiums for wrkrs voluntarily participating in plan(s) Uniform provided at no cost Emplyr may deduct cost for voluntary purchase of addit’l uniforms for wrkr's benefit No daily transportation to/from wrk provided. Emplyr provides incidental transportation between worksites as necessary Such transportation complies with all applicable Federal, State, local laws/regulations</t>
  </si>
  <si>
    <t>H-400-22335-614408</t>
  </si>
  <si>
    <t>AGRI-MARK, INC</t>
  </si>
  <si>
    <t xml:space="preserve">Cabot Creamery Cooperative </t>
  </si>
  <si>
    <t>2870 MAIN STREET</t>
  </si>
  <si>
    <t>CABOT</t>
  </si>
  <si>
    <t>Grafton</t>
  </si>
  <si>
    <t>Administration Manager</t>
  </si>
  <si>
    <t>40 SHATTUCK RD</t>
  </si>
  <si>
    <t>SUITE 301</t>
  </si>
  <si>
    <t>ANDOVER</t>
  </si>
  <si>
    <t>rwinter@agrimark.net</t>
  </si>
  <si>
    <t>SCHEDULE VARIES, OVERTIME AVAILABLE AS NEEDED.</t>
  </si>
  <si>
    <t>P-400-22249-455702</t>
  </si>
  <si>
    <t>lgrafton@agrimark.net</t>
  </si>
  <si>
    <t>LAWRENCE</t>
  </si>
  <si>
    <t>El Paso, TX</t>
  </si>
  <si>
    <t>Slater</t>
  </si>
  <si>
    <t>Flavio</t>
  </si>
  <si>
    <t>MONTAUK</t>
  </si>
  <si>
    <t xml:space="preserve">Director of Human Resources </t>
  </si>
  <si>
    <t>Debbie</t>
  </si>
  <si>
    <t>H-400-22335-615865</t>
  </si>
  <si>
    <t>The Club at Nevillewood</t>
  </si>
  <si>
    <t>1000 Nevillewood Drive</t>
  </si>
  <si>
    <t>Presto</t>
  </si>
  <si>
    <t>Flisek</t>
  </si>
  <si>
    <t>kflisek@nevillewood.org</t>
  </si>
  <si>
    <t xml:space="preserve">Must show proof of legal authorization to work in the United States. Drug/alcohol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</si>
  <si>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 xml:space="preserve">1000 Nevillewood Drive </t>
  </si>
  <si>
    <t>P-400-22216-398260</t>
  </si>
  <si>
    <t>H-400-22321-592556</t>
  </si>
  <si>
    <t>Green Hills Landscaping &amp; Construction, Co.</t>
  </si>
  <si>
    <t>806 Woodrow Street</t>
  </si>
  <si>
    <t>Marina</t>
  </si>
  <si>
    <t>O.</t>
  </si>
  <si>
    <t>mgonzalez@greenhillslco.com</t>
  </si>
  <si>
    <t xml:space="preserve">Mon-Fri, optional Saturdays. Overtime varies. Able to lift 50lbs.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</si>
  <si>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1414 Parker Street</t>
  </si>
  <si>
    <t>P-400-22237-437119</t>
  </si>
  <si>
    <t>Warrenton</t>
  </si>
  <si>
    <t>FAUQUIER</t>
  </si>
  <si>
    <t>H-400-22321-592185</t>
  </si>
  <si>
    <t>Palmyra Professional Lawn Management, LLC</t>
  </si>
  <si>
    <t>1245 West Terra</t>
  </si>
  <si>
    <t>Bourland</t>
  </si>
  <si>
    <t>Partner</t>
  </si>
  <si>
    <t>matt@palmyrapro.com</t>
  </si>
  <si>
    <t>1245 West Terra (Report to Work)</t>
  </si>
  <si>
    <t>P-400-22221-404673</t>
  </si>
  <si>
    <t>H-400-22347-636718</t>
  </si>
  <si>
    <t>maintenance</t>
  </si>
  <si>
    <t>Worksourcestaffing LLC</t>
  </si>
  <si>
    <t>1642 Union BLVD</t>
  </si>
  <si>
    <t>lehigh</t>
  </si>
  <si>
    <t>suite C</t>
  </si>
  <si>
    <t>P-400-22294-544901</t>
  </si>
  <si>
    <t>H-400-22292-538935</t>
  </si>
  <si>
    <t>Cooling and Freezing equipment operators and tenders</t>
  </si>
  <si>
    <t xml:space="preserve">627 Shelikof </t>
  </si>
  <si>
    <t>P-400-22206-373802</t>
  </si>
  <si>
    <t>Bunk houses are available for a nominal charge of $15/day. At the end of the season, the fees will be reimbursed. At Employer’s sole discretion: possible cash advances (if applicable/requested by worker, potential deduction from worker’s paycheck).</t>
  </si>
  <si>
    <t>H-400-22321-592825</t>
  </si>
  <si>
    <t xml:space="preserve">Able to lift 50lbs, Random drug testing during employment, Pre-employment drug testing required, M-F, Overtime varies, Some Saturdays as needed. 
All drug testing is performed without regard to an employees citizenship or immigration status, and all testing is paid for by the company. See the additional document attached for further details about the administration of our drug testing policy.
</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</si>
  <si>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 MUST HAVE 3 MONTHS COMMERICAL BRUSHSAW/CHAINSAW EXPERIENCE. ***
We are a Federal Contractor; any and all applicants/workers must follow all current laws/regulations/requirements/Emergency Temporary Standards (including OSHA).
</t>
  </si>
  <si>
    <t>H-400-22323-597672</t>
  </si>
  <si>
    <t>Cerruti Landscaping, Inc.</t>
  </si>
  <si>
    <t>2808 A Avenue</t>
  </si>
  <si>
    <t>Newportville</t>
  </si>
  <si>
    <t>Cerruti</t>
  </si>
  <si>
    <t>landscapedk@aol.com</t>
  </si>
  <si>
    <t xml:space="preserve">Monday-Friday, Saturdays as needed, overtime varies
</t>
  </si>
  <si>
    <t>P-400-22222-407492</t>
  </si>
  <si>
    <t>H-400-22321-592191</t>
  </si>
  <si>
    <t>Conroy Lawn &amp; Landscape, LLC</t>
  </si>
  <si>
    <t>1458 Highway 100</t>
  </si>
  <si>
    <t>Pacific</t>
  </si>
  <si>
    <t>Conroy</t>
  </si>
  <si>
    <t>conroylawns@gmail.com</t>
  </si>
  <si>
    <t>1458 Highway 100 (Report to Work)</t>
  </si>
  <si>
    <t>P-400-22220-402880</t>
  </si>
  <si>
    <t>Optional shared housing available at up to $150.00 bi-weekly to be deducted from employee's paycheck. At Employer’s sole discretion: possible cash advances (if applicable/requested by worker, potential deduction from worker’s paycheck).</t>
  </si>
  <si>
    <t>office@conroylawnandlandscape.com</t>
  </si>
  <si>
    <t>H-400-22292-537765</t>
  </si>
  <si>
    <t>HORSE TRAINER</t>
  </si>
  <si>
    <t>Animal Trainers</t>
  </si>
  <si>
    <t>BELLALOMA SPORT HORSES LLC</t>
  </si>
  <si>
    <t>201 PLEASANT VALLEY ROAD</t>
  </si>
  <si>
    <t>APTOS</t>
  </si>
  <si>
    <t>PRIMAVERA</t>
  </si>
  <si>
    <t>CAM</t>
  </si>
  <si>
    <t>CAM@BELLALOMASPORTHORSES.COM</t>
  </si>
  <si>
    <t>HILL</t>
  </si>
  <si>
    <t>523 W. 6th Street</t>
  </si>
  <si>
    <t>Suite 737</t>
  </si>
  <si>
    <t>s.hill@hillandpiibe.com</t>
  </si>
  <si>
    <t>Hill &amp; Piibe Immigration Attorneys</t>
  </si>
  <si>
    <t>SANTA CRUZ</t>
  </si>
  <si>
    <t>Santa Cruz-Watsonville, CA</t>
  </si>
  <si>
    <t>P-400-22233-428452</t>
  </si>
  <si>
    <t>CAM@BALLALOMASPORTHORSES.COM</t>
  </si>
  <si>
    <t>H-400-22321-592942</t>
  </si>
  <si>
    <t xml:space="preserve">Barton Creek Resort, LLC </t>
  </si>
  <si>
    <t>Omni Barton Creek Resort &amp; Spa</t>
  </si>
  <si>
    <t>8212 Barton Club Drive</t>
  </si>
  <si>
    <t>McGregor</t>
  </si>
  <si>
    <t>Nadya</t>
  </si>
  <si>
    <t xml:space="preserve">No minimum education or experience required. 
Must pass a post-employment criminal background check, paid by employer and applied equally to all workers, U.S. and foreign/H-2B. 
Must be able to obtain ServSafe Food Handlers Certification.
Must be able to work weekends and holidays.
Applicants must complete an employment application. Employer will offer 40 hours of work per week. Resort is open 7 days a week, workdays will vary Sunday through Saturday. Shifts: 5AM  2PM, 10AM  9PM, 3PM  12AM (Includes 30 Minutes unpaid break). Workdays and shift times may vary with events and occupancy. Basic wage rate: $18.00 per hour. Employer may increase wage based on experience, market conditions, and/or provide additional pay for performance and tenure. Overtime hours may be available at $27.00 per hour. An overtime premium will be paid when required by Federal, State, or local law, including at time-and-a-half after 40 hours per workweek. Employer will provide on-the-job training. A single workweek will be used in computing wages due. Workers will be paid bi-weekly. 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</si>
  <si>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Employer may increase wage based on experience, market conditions, and/or provide additional pay for performance and t</t>
  </si>
  <si>
    <t>P-400-22153-236804</t>
  </si>
  <si>
    <t xml:space="preserve">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t>
  </si>
  <si>
    <t>www.careers.hgv.com</t>
  </si>
  <si>
    <t>H-400-22346-635410</t>
  </si>
  <si>
    <t>Sea Pines Resort, LLC</t>
  </si>
  <si>
    <t>32 Greenwood Drive</t>
  </si>
  <si>
    <t xml:space="preserve">Hilton Head Island </t>
  </si>
  <si>
    <t>Rivera</t>
  </si>
  <si>
    <t>Cindi</t>
  </si>
  <si>
    <t>32 GREENWOOD DRIVE</t>
  </si>
  <si>
    <t>CRIVERA@SEAPINES.COM</t>
  </si>
  <si>
    <t xml:space="preserve">No minimum education or experience required. Applicants must complete an employment application.  Must be able to work at least 5-day work schedule, including weekends and holidays as required. Must be able to stand and bend repetitively during entire shift. Employer will offer 40 hours per week. Resort open 7 days a week, workdays vary Sunday through Saturday. Shift: 10:30am-4pm, 4pm-11pm, 10:30am-11pm, and 6:30am-3:30pm. Hours and shifts may vary with occupancy. Must be able to work at least a 5-day work week schedule including weekends and holidays as required. Tip position with basic wage rate of pay $11.50 per hour. Allowed tip credit applied per FLSA guidelines to meet offered wage. Employer will guarantee offered wage for hours worked when allowed tip credit does not make hourly wage equal or exceed the offered wage of $11.50 per hour. Employer may increase wage based on experience, market conditions and/or provide additional pay for performance and tenure. Overtime may be available at wage rate $17.25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and deduct approved cost of housing if worker elects. Optional employee shared housing, including utilities, approximate cost $150 per week. Daily transportation provided between employer housing and worksite at no cost to employee.  Employer will provide worker at no charge all tools, supplies, and equipment required to perform job. Required uniform provided at no cost to employee.  The employer guarantees to offer work for hours equal to at least three-fourths of the workdays in each 12-week period of the total employment period.The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</si>
  <si>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Tip Position. Employer may increase wage based on experience, market conditions and/or provide additional pay for perfor</t>
  </si>
  <si>
    <t>P-400-22160-262423</t>
  </si>
  <si>
    <t>A single workweek will be used to compute wages due. Pay received bi-weekly. Employer will provide on-the-job training. Employer will make all deductions from the worker's paycheck required by law and deduct approved cost of housing if worker elects. Optional employee shared housing, including utilities, approximate cost $150 per week. Daily transportation provided between employer housing and worksite at no cost to employee. Employer will provide worker at no charge all tools, supplies, and equipment required to perform
job. Required uniform provided at no cost to employee.</t>
  </si>
  <si>
    <t>https://www.seapines.com/careers</t>
  </si>
  <si>
    <t>H-400-22307-566603</t>
  </si>
  <si>
    <t>H-400-22335-613815</t>
  </si>
  <si>
    <t>RSLA INC</t>
  </si>
  <si>
    <t>62 MUIR BLVD</t>
  </si>
  <si>
    <t xml:space="preserve">EAST HAMPTON </t>
  </si>
  <si>
    <t>SPERBER</t>
  </si>
  <si>
    <t>EAST HAMPTON</t>
  </si>
  <si>
    <t>US AMERICAN INC</t>
  </si>
  <si>
    <t>P-400-22201-364317</t>
  </si>
  <si>
    <t>RICH@SPERBERLANDSCAPES.COM</t>
  </si>
  <si>
    <t>H-400-22335-613717</t>
  </si>
  <si>
    <t>BELLOWS GARDENS INC</t>
  </si>
  <si>
    <t>52 LEWIS STREET</t>
  </si>
  <si>
    <t>BELLOWS</t>
  </si>
  <si>
    <t xml:space="preserve">CHARLES </t>
  </si>
  <si>
    <t>52 LEWIS ST</t>
  </si>
  <si>
    <t>P-400-22192-344380</t>
  </si>
  <si>
    <t>BELLOWS_GARDENS@OPTONLINE.NET</t>
  </si>
  <si>
    <t>H-400-22321-592958</t>
  </si>
  <si>
    <t>GroundWorks, Inc.</t>
  </si>
  <si>
    <t>5236 Kincaid Ave.</t>
  </si>
  <si>
    <t>Netzberger</t>
  </si>
  <si>
    <t>groundworksla@groundworksla.com</t>
  </si>
  <si>
    <t>5236 Kincaid Ave. (Report to Work)</t>
  </si>
  <si>
    <t>P-400-22211-386562</t>
  </si>
  <si>
    <t>Shared housing may be available – if used, up to $75/wk will be deducted from paycheck.  At Employer’s sole discretion: possible cash advances (if applicable/requested by worker, potential deduction from worker’s paycheck).</t>
  </si>
  <si>
    <t>jobopenings@groundworksla.com</t>
  </si>
  <si>
    <t>Owner/Operator</t>
  </si>
  <si>
    <t>H-400-22321-592459</t>
  </si>
  <si>
    <t>Ritter Grounds Maintenance, Inc.</t>
  </si>
  <si>
    <t>3540 Argonne Ave.</t>
  </si>
  <si>
    <t>Ritter</t>
  </si>
  <si>
    <t>tom@rittergrounds.com</t>
  </si>
  <si>
    <t xml:space="preserve">Lift/carry up to 50 pounds.  Able to work, bend and stand in all weather.  Employer paid drug test is Pre-Employment, Post-Employment Random, Post Accident and Post-Employment Upon Suspicion.
</t>
  </si>
  <si>
    <t>See Addendum:  Overtime is not guaranteed but if worked rate is paid at time and a half per hour above 40 hours per...</t>
  </si>
  <si>
    <t>P-400-22235-432645</t>
  </si>
  <si>
    <t>CHARACTER LIMIT: Shared housing available to only seasonal full-time employees, not offered to non-employees. Employees may make their own arrangements at their own expense. If they opt to live in employer provided housing rent (utilities included) charged at $75.00/week.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t>
  </si>
  <si>
    <t>H-400-22307-567422</t>
  </si>
  <si>
    <t xml:space="preserve">Must have 3 months of landscape or related experience and be able to lift up to 60lbs.
</t>
  </si>
  <si>
    <t xml:space="preserve">Employer will make all deductions from worker's paycheck required by law. Assistance finding and securing lodging is not available.
</t>
  </si>
  <si>
    <t>H-400-22307-566495</t>
  </si>
  <si>
    <t>Omni Amelia Island LLC</t>
  </si>
  <si>
    <t>Omni Amelia Island Resort</t>
  </si>
  <si>
    <t>39 Beach Lagoon Road</t>
  </si>
  <si>
    <t>Amelia Island</t>
  </si>
  <si>
    <t>Salim</t>
  </si>
  <si>
    <t>Andria</t>
  </si>
  <si>
    <t>Director, Associate Services</t>
  </si>
  <si>
    <t>No minimum education or experience required.
Workers are subject to post-employment criminal background checks, paid by employer and applied equally to all workers, U.S. and foreign/H-2B. 
Must be able to work weekends and holidays as required. 
Applicant must complete an employment application.  
"Required uniform provided at no cost to employee"</t>
  </si>
  <si>
    <t>P-400-22153-236068</t>
  </si>
  <si>
    <t xml:space="preserve">A single workweek will be used to compute wages due. Pay received bi-weekly. Employer will make all deductions from the worker's paycheck required by law. Employer will make all deductions from the worker's paycheck required by law. Optional employee shard housing available, including utilities, approx. $130.00 per week, plus $300.00 deposit required ($100.00 non-refundable, $200.00 refundable). Transportation provided between employer’s housing and worksite at approx. $45.00 per week. Meals available for purchase at approx. $3.00 per meal. Housing, meals, and transportation payroll deducted if employee elects.
</t>
  </si>
  <si>
    <t>H-400-22307-566598</t>
  </si>
  <si>
    <t>Barrientos Concrete, LLC</t>
  </si>
  <si>
    <t>113 Barrientos Lane</t>
  </si>
  <si>
    <t>San Marcos</t>
  </si>
  <si>
    <t>Barrientos</t>
  </si>
  <si>
    <t>josebconcrete@gmail.com</t>
  </si>
  <si>
    <t xml:space="preserve">Able to lift 45lbs, Monday-Friday, Some weekends may be required, Schedule Varies, overtime varies
</t>
  </si>
  <si>
    <t>1161 Old Gin Road</t>
  </si>
  <si>
    <t>GUADALUPE</t>
  </si>
  <si>
    <t>P-400-22215-393249</t>
  </si>
  <si>
    <t>Motorcoach Operator</t>
  </si>
  <si>
    <t>Bus Drivers, Transit and Intercity</t>
  </si>
  <si>
    <t>ST Charters and Buses, Inc.</t>
  </si>
  <si>
    <t>8511 Co Rd 208</t>
  </si>
  <si>
    <t>Lecona</t>
  </si>
  <si>
    <t>cfo@spacetoursgroup.com</t>
  </si>
  <si>
    <t xml:space="preserve">Must have a CDL Class A or B with valid Passenger Endorsement or its foreign equivalent. 
Must meet DOT physical qualifications. Must not have failed any DOT certified random drug tests in the past 3 years. Must observe all Federal Motor Carrier Safety Administration (FMCSA) rules and regulations and local traffic laws. Must have at least 1 year of related experience. Must pass a pre-employment drug test and background check per DOL requirements for CDL Operator. Drug test and background checks are paid for by employer. Must have a high school diploma, GED or foreign equivalent. 
</t>
  </si>
  <si>
    <t>605 Grey Street</t>
  </si>
  <si>
    <t>P-400-22139-190177</t>
  </si>
  <si>
    <t>H-400-22307-566475</t>
  </si>
  <si>
    <t>Underwood Brothers Inc</t>
  </si>
  <si>
    <t>AAA Landscape</t>
  </si>
  <si>
    <t>3747 E Southern Ave</t>
  </si>
  <si>
    <t>Underwood</t>
  </si>
  <si>
    <t>Phoeniz</t>
  </si>
  <si>
    <t>b.castaneda@aaalandscape.com</t>
  </si>
  <si>
    <t xml:space="preserve">Able to lift 50lbs. Able to perform physical labor in the heat. Pre-hire background check required; Pre-employment drug testing required. Monday-Friday, Some Saturdays required, schedule may vary,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</si>
  <si>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Potential raise at employer's discretion</t>
  </si>
  <si>
    <t>P-400-22237-437336</t>
  </si>
  <si>
    <t>Employer may make payroll deductions at employee's request. Employer facilitates corresponding deductions for available health benefits. Employer facilitates voluntary housing arrangements upon worker request along with corresponding payroll deductions, $150.00/weekly</t>
  </si>
  <si>
    <t>H-400-22336-619251</t>
  </si>
  <si>
    <t>H-400-22307-566391</t>
  </si>
  <si>
    <t>Diamondback Landscaping &amp; Lawncare, Inc.</t>
  </si>
  <si>
    <t>294 Hidden Farms Dr</t>
  </si>
  <si>
    <t>Braun</t>
  </si>
  <si>
    <t xml:space="preserve">W </t>
  </si>
  <si>
    <t>diamondbacklandscaping@msn.com</t>
  </si>
  <si>
    <t xml:space="preserve">Random drug testing during employment; Drug testing during employment for cause; Post-Accident Drug Testing, Monday-Friday, some Saturday's required, schedule varies, start/end time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</si>
  <si>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294 Hidden Farms Dr.</t>
  </si>
  <si>
    <t>P-400-22214-391704</t>
  </si>
  <si>
    <t>H-400-22335-613897</t>
  </si>
  <si>
    <t>P-400-22189-339489</t>
  </si>
  <si>
    <t>OPTINAL HOUSING AVAILABLE FOR 85.00/WEEK TO BE DEDUCTED WEEKLY FROM PAYCHECK</t>
  </si>
  <si>
    <t>www.alleghenycountryclub.com</t>
  </si>
  <si>
    <t>H-400-22307-567720</t>
  </si>
  <si>
    <t>AEM, Inc.</t>
  </si>
  <si>
    <t>5801 Rolling Road</t>
  </si>
  <si>
    <t>Morrissette, Jr.</t>
  </si>
  <si>
    <t>Vice President &amp; Corporate Counsel</t>
  </si>
  <si>
    <t>kmorrissettejr@invan.com</t>
  </si>
  <si>
    <t xml:space="preserve">M-F, schedule varies. Weekends may be required. Overtime varies. Able to lift 75lbs. 1 month training required for proper packing, lifting, carrying.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</si>
  <si>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Opportunity for additional pay for those workers who are qualified &amp; certified as required up to $4/hr, $6/hr OT.</t>
  </si>
  <si>
    <t>P-400-22262-479582</t>
  </si>
  <si>
    <t>jobs@invan.com</t>
  </si>
  <si>
    <t>https://www.moveinterstate.com/careers</t>
  </si>
  <si>
    <t>H-400-22292-537832</t>
  </si>
  <si>
    <t>Hurricane Cleanup Worker</t>
  </si>
  <si>
    <t>Champion Forestry Service</t>
  </si>
  <si>
    <t>215 Paul Bunyan DR NW 138</t>
  </si>
  <si>
    <t>Bemidji</t>
  </si>
  <si>
    <t>Contract Manager</t>
  </si>
  <si>
    <t>championforestry@usa.com</t>
  </si>
  <si>
    <t>Random employer requested and paid for drug testing</t>
  </si>
  <si>
    <t>1979 Eastman RD</t>
  </si>
  <si>
    <t>Wlimington</t>
  </si>
  <si>
    <t>P-400-22292-537822</t>
  </si>
  <si>
    <t>All applicable state and federal taxes. Employer provided optional housing is available at no cost to the worker for all workers in a mobile workforce where workers are performing duties for short durations at multiple worksites.</t>
  </si>
  <si>
    <t>Suite 700</t>
  </si>
  <si>
    <t>H-400-22269-494837</t>
  </si>
  <si>
    <t>angela.ward@mastercorp.com</t>
  </si>
  <si>
    <t>160 Portal Lane</t>
  </si>
  <si>
    <t>Sedona</t>
  </si>
  <si>
    <t>Wage: piece-rate position paid on a basis of rooms cleaned, rather than on an hourly basis. “Piece rate position paid on a basis of rooms cleaned, rather than on an hourly basis. Guaranteed prevailing wage rate of $14.72 per hour, paid weekly in any given workweek when total piece-rate compensation does not meet prevailing wage. Piece rate is paid per room cleaned and varies from $1.70 for a small unit or suite to $55.99 for a large unit or suite. Overtime is available and guaranteed at no less than $22.08 per hour. Depending upon worksite location and other discretionary factors, employee may be eligible for additional compensation in the form of an additional bonus at the discretion of the employer. Example de: employee referral, or
performance bonuses.”</t>
  </si>
  <si>
    <t>P-400-22179-318206</t>
  </si>
  <si>
    <t>H-400-22290-532610</t>
  </si>
  <si>
    <t>Paul's Concessions, Inc.</t>
  </si>
  <si>
    <t xml:space="preserve">24719 Player Oaks </t>
  </si>
  <si>
    <t>(Mail to: PO Box 591100, San Antonio, TX 78259)</t>
  </si>
  <si>
    <t>Nemeth</t>
  </si>
  <si>
    <t>24719 Player Oaks</t>
  </si>
  <si>
    <t>paulsconcessions@aol.com</t>
  </si>
  <si>
    <t>1213 Terry Shamsie Blvd.</t>
  </si>
  <si>
    <t>Robstown</t>
  </si>
  <si>
    <t>P-400-22193-347236</t>
  </si>
  <si>
    <t>H-400-22290-533614</t>
  </si>
  <si>
    <t>Peddler</t>
  </si>
  <si>
    <t>Frozen Desserts LLC</t>
  </si>
  <si>
    <t>Mister Softee</t>
  </si>
  <si>
    <t>39 Friends Ave.</t>
  </si>
  <si>
    <t>Haddonfield</t>
  </si>
  <si>
    <t>Durkin</t>
  </si>
  <si>
    <t>Manager/Member LLC</t>
  </si>
  <si>
    <t>frznde14@hotmail.com</t>
  </si>
  <si>
    <t>Cramer</t>
  </si>
  <si>
    <t>345 BOSTON POST RD</t>
  </si>
  <si>
    <t>SUDBURY</t>
  </si>
  <si>
    <t>peterjcramer@gmail.com</t>
  </si>
  <si>
    <t>Law Office of Peter J Cramer</t>
  </si>
  <si>
    <t>400 Stokes Ave</t>
  </si>
  <si>
    <t>Ewing</t>
  </si>
  <si>
    <t>Trenton, NJ</t>
  </si>
  <si>
    <t>P-400-22216-397279</t>
  </si>
  <si>
    <t>H-400-22232-428334</t>
  </si>
  <si>
    <t xml:space="preserve">12 months forklift driving in warehouse. Must successfully pass Forklift License/Certification or have Forklift License/Certification prior hire. A written and driving test will be conducted to determine experience level. Hands-on ability to work in a fast-paced, team-oriented food processing environment. Required to work independently and with limited supervision. Must be able to maintain regular and acceptable attendance, follow directions, interact well with co-workers, understand and follow posted work rules/procedures.
</t>
  </si>
  <si>
    <t>P-400-22181-323029</t>
  </si>
  <si>
    <t>H-400-22279-514941</t>
  </si>
  <si>
    <t>Deckhand</t>
  </si>
  <si>
    <t>Jeri's Seafood, Inc.</t>
  </si>
  <si>
    <t>136 County Dock Road</t>
  </si>
  <si>
    <t>Anahuac</t>
  </si>
  <si>
    <t>Vest</t>
  </si>
  <si>
    <t>Bethany</t>
  </si>
  <si>
    <t>Lift/carry up to 50 pounds.</t>
  </si>
  <si>
    <t>137 County Dock Road</t>
  </si>
  <si>
    <t>CHAMBERS</t>
  </si>
  <si>
    <t>See addendum:  overtime is not guaranteed but if worked rate is paid at time and a half per hour above 40 hours...</t>
  </si>
  <si>
    <t>P-400-22209-382679</t>
  </si>
  <si>
    <t xml:space="preserve">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</si>
  <si>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https://www.workintexas.com</t>
  </si>
  <si>
    <t>H-400-22259-476401</t>
  </si>
  <si>
    <t>Janousek Logistics</t>
  </si>
  <si>
    <t>Janousek</t>
  </si>
  <si>
    <t>731 Engel Rd</t>
  </si>
  <si>
    <t>nathandjano@icloud.com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</si>
  <si>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drug testing and criminal background check required, cost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t>
  </si>
  <si>
    <t>P-400-22153-237202</t>
  </si>
  <si>
    <t>H-400-22275-505728</t>
  </si>
  <si>
    <t>Temporry Guest Service Attendant</t>
  </si>
  <si>
    <t>PREMIER ENTERTAINMENT BILOXI  LLC</t>
  </si>
  <si>
    <t>HARD ROCK HOTEL AND CASINO BILOXI</t>
  </si>
  <si>
    <t>777 BEACH BLVD</t>
  </si>
  <si>
    <t>PAM</t>
  </si>
  <si>
    <t xml:space="preserve">BILOXI </t>
  </si>
  <si>
    <t>PAM.JONES@HRHCBILOXI.COM</t>
  </si>
  <si>
    <t>Lorraine</t>
  </si>
  <si>
    <t>Ft. Lauderdale</t>
  </si>
  <si>
    <t>award@angelawardlaw.com</t>
  </si>
  <si>
    <t xml:space="preserve">Supreme Court of the State of California </t>
  </si>
  <si>
    <t xml:space="preserve">Basic reading and speaking in English.
</t>
  </si>
  <si>
    <t xml:space="preserve">Employer may pay more than the prevailing wage of $11.22 based on experience.  </t>
  </si>
  <si>
    <t>P-400-22171-297279</t>
  </si>
  <si>
    <t xml:space="preserve">Workers have the option of employer-provided housing for no more than $175 per week, and if elected, employer will deduct costs from worker’s paycheck. Workers also have the option of securing their own lodging.
All deductions from paycheck will be made in accordance with and as required by law including but not limited proper deduction to ensure wages do not improperly fall below prevailing wage.
</t>
  </si>
  <si>
    <t>humanresources@hrhcbiloxi.com</t>
  </si>
  <si>
    <t>H-400-22273-503241</t>
  </si>
  <si>
    <t>SKAPS.FLC@gmail.com</t>
  </si>
  <si>
    <t>Monday-Sunday Day shift 8AM to 8PM, Nigth Shift 8PM to 8AM, worker must be willing to work either shift. First week, 3 days 36 hours , Second week 4 days 48 hours, alternating. $1 nigth Differential. Pay is bi-weekly</t>
  </si>
  <si>
    <t>335 Athena Drive</t>
  </si>
  <si>
    <t>Athens</t>
  </si>
  <si>
    <t>May be raised depending of experiencie or performace.  $1 nigth Differential</t>
  </si>
  <si>
    <t>https://employgeorgia.com//</t>
  </si>
  <si>
    <t>H-400-22285-525394</t>
  </si>
  <si>
    <t xml:space="preserve">DIY KITCHENS BATHS LLC </t>
  </si>
  <si>
    <t>DIY KITCHENS BATHS LLC  SLABS ONLY</t>
  </si>
  <si>
    <t>4976 South Seminole Trail</t>
  </si>
  <si>
    <t>Yildirim</t>
  </si>
  <si>
    <t xml:space="preserve">Faruk </t>
  </si>
  <si>
    <t>Pasa</t>
  </si>
  <si>
    <t>info@diykitchensbaths.com</t>
  </si>
  <si>
    <t xml:space="preserve">Must have experience regarding installing countertops, tile, and kitchen cabinets
</t>
  </si>
  <si>
    <t>P-400-22228-419207</t>
  </si>
  <si>
    <t>No deductions.</t>
  </si>
  <si>
    <t>diykitchensbaths.com</t>
  </si>
  <si>
    <t>Faruk</t>
  </si>
  <si>
    <t>H-400-22299-552111</t>
  </si>
  <si>
    <t>Bear Power, Inc.</t>
  </si>
  <si>
    <t>6683 Kerry Lane</t>
  </si>
  <si>
    <t>{Mail:  P O Box 660 Colton, CA 92324}</t>
  </si>
  <si>
    <t>Riverside</t>
  </si>
  <si>
    <t>Helm</t>
  </si>
  <si>
    <t>Davey</t>
  </si>
  <si>
    <t>{Mail:  PO Box 660  Colton, CA  92324}</t>
  </si>
  <si>
    <t>daveyhelm@helmandsons.com</t>
  </si>
  <si>
    <t>480 Agua Mansa Road</t>
  </si>
  <si>
    <t>Colton</t>
  </si>
  <si>
    <t>P-400-22245-453135</t>
  </si>
  <si>
    <t>H-400-22297-546028</t>
  </si>
  <si>
    <t>Live-in nanny and house assistance</t>
  </si>
  <si>
    <t>ISAI RODRIGUEZ</t>
  </si>
  <si>
    <t xml:space="preserve">751 CENTRAL PARK DR </t>
  </si>
  <si>
    <t>APT 2013</t>
  </si>
  <si>
    <t>ROSEVILLE</t>
  </si>
  <si>
    <t>ISAI</t>
  </si>
  <si>
    <t>SELF</t>
  </si>
  <si>
    <t>751 CENTRAL PARK DR</t>
  </si>
  <si>
    <t>FATIMA.DIAZ01@GMAIL.COM</t>
  </si>
  <si>
    <t xml:space="preserve">Fluent in Spanish preferred
</t>
  </si>
  <si>
    <t>P-400-22158-254660</t>
  </si>
  <si>
    <t>fatima.diaz01@gmail.com</t>
  </si>
  <si>
    <t>caljobs.ca.gov</t>
  </si>
  <si>
    <t>H-400-22311-572569</t>
  </si>
  <si>
    <t>Retail Salesperson</t>
  </si>
  <si>
    <t>The London Trading Company, Inc.</t>
  </si>
  <si>
    <t>30 East Andrews Dr NW</t>
  </si>
  <si>
    <t>Brumby</t>
  </si>
  <si>
    <t>Madeline</t>
  </si>
  <si>
    <t>madeline@londontradingcompany.com</t>
  </si>
  <si>
    <t xml:space="preserve">
 Delivers exceptional customer service
 Excellent organizational skills, accuracy and attention to detail, and
memorization
 Effective communication skills
 Strong eye for fashion
 Ability to effectively work in a team
 Dedicated to the position and store
 Ability to actively work the sales floor
 Self-motivated</t>
  </si>
  <si>
    <t>P-400-22251-461906</t>
  </si>
  <si>
    <t>H-400-22305-562230</t>
  </si>
  <si>
    <t>Autumn Ridge Landscaping</t>
  </si>
  <si>
    <t>8940 Greenfield Road</t>
  </si>
  <si>
    <t>Loretto</t>
  </si>
  <si>
    <t>Grygelko</t>
  </si>
  <si>
    <t>Ability to lift 50lbs
40+ hrs, 7a-5p, M-Sat, hours and workdays may vary depending on weather.</t>
  </si>
  <si>
    <t>P-400-22199-359076</t>
  </si>
  <si>
    <t>Optional housing available for $300/mo deduction.
Employer will make all deductions required by law.  Other deductions may be taken at employee's written request, i.e. internet, cable, cash advances, medical expenses, etc. See addendum.</t>
  </si>
  <si>
    <t>H-400-22307-566322</t>
  </si>
  <si>
    <t>Earth Works Pro, LLC</t>
  </si>
  <si>
    <t>2130 Tower Street</t>
  </si>
  <si>
    <t>Zito</t>
  </si>
  <si>
    <t>130 Woodland Drive</t>
  </si>
  <si>
    <t>zitocara@gmail.com</t>
  </si>
  <si>
    <t xml:space="preserve">ABLE TO BEND, REACH TO GROUND LEVEL OR OVERHEAD, STAND, WALK, KNEEL FOR LONG PROLONGED PERIOD OF TIME, ABLE TO LIFT UP TO 50 LBS, ABLE TO WORK IN ALL-WEATHER CONDITION FROM EXTREME HEAT, COLD OR RAIN.
ABLE TO WORK WEEKENDS ONCE HIRED WORKER MAY BE REQUIRED TO TAKE A RANDOM DRUG TEST, AT NO COST TO WORKER. TESTING POSITIVE OR FAILURE TO COMPLY MAY RESULT IN TERMINATION
Anticipated Days and Hours Work Per Week  - The standard work schedule is from 7:00 am until 4:00 pm Monday through Friday; Saturday and Sunday work required, when necessary, Employer will offer 35 Hours per work week- Overtime is offered but not guaranteed - Employer may offer more hours than the stated work hours, depending on weather, business needs and other conditions. Extreme Heat, cold, rain, may affect exact
</t>
  </si>
  <si>
    <t>P-400-22178-313091</t>
  </si>
  <si>
    <t xml:space="preserve">required by Federal, State and Local Law
Housing: Employer offers Voluntary shared housing available is offered to any worker Living outside a normal commuting area, housing will be deducted from worker or paid directly to employer.     
Shared housing cost – Voluntary Housing cost – Paid directly to employer $84.00 Weekly or Deducted from paycheck. No Family housing offered. 
</t>
  </si>
  <si>
    <t>joshzito@earthworks.pro</t>
  </si>
  <si>
    <t>H-400-22307-565966</t>
  </si>
  <si>
    <t>3517 Angier Avenue (Report to Work)</t>
  </si>
  <si>
    <t>P-400-22256-470301</t>
  </si>
  <si>
    <t>Optional shared, furnished housing available to the worker (including utilities); if housing is agreed upon by the worker, $81.01 to be deducted from worker's weekly paycheck.
At Employer’s sole discretion: possible cash advances (if applicable/requested by worker, potential deduction from worker’s paycheck).</t>
  </si>
  <si>
    <t>MRidings@ruppertcompanies.com</t>
  </si>
  <si>
    <t>H-400-22232-428344</t>
  </si>
  <si>
    <t>Warehouse Loader</t>
  </si>
  <si>
    <t xml:space="preserve">12 months Forklift operations, preferably in a fast-paced production environment. Ability to bend, stoop, and lift up to 50 pounds. Able to work in a cold environment (34-35 degrees on Plant floor). Driving test, post-hire, may be required. Must pass independently administered drug screen post offer. 
</t>
  </si>
  <si>
    <t>P-400-22181-323012</t>
  </si>
  <si>
    <t>A higher rate may apply based on experience, productivity and/or market conditions. Workers will be paid bi-weekly by pay card or direct deposit. Overtime: For work performed in Ohio, an overtime premium will be paid when required by Federal, State, or local law, including at time-and-a-half after 40 hours in a workweek. Thus, non-exempt overtime hours will be paid at $26.75. Overtime hours may vary. Deductions from Pay: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    
Employee housing is optional.</t>
  </si>
  <si>
    <t>H-400-22279-513784</t>
  </si>
  <si>
    <t>ABC Professional Tree Services, Inc - Fort Myers</t>
  </si>
  <si>
    <t>13350 North Cleveland Ave,</t>
  </si>
  <si>
    <t>North Fort Myers</t>
  </si>
  <si>
    <t>P-400-22238-440252</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</si>
  <si>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</si>
  <si>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H-400-22262-479392</t>
  </si>
  <si>
    <t>Assembler</t>
  </si>
  <si>
    <t>Aero Trailers LLC</t>
  </si>
  <si>
    <t>922 23rd Street SW</t>
  </si>
  <si>
    <t>Geiger</t>
  </si>
  <si>
    <t>kevin@advantagervs.com</t>
  </si>
  <si>
    <t xml:space="preserve">Must be able to work Saturdays, and use hand and power tools. Performance reviews at 30 and 60 days.
</t>
  </si>
  <si>
    <t>3903 9th Avenue SW</t>
  </si>
  <si>
    <t>Returning workers or workers with experience may be paid higher wage rates.</t>
  </si>
  <si>
    <t>P-400-22125-140654</t>
  </si>
  <si>
    <t>H-400-22224-412680</t>
  </si>
  <si>
    <t>Mailing Address: P.O. Box 137</t>
  </si>
  <si>
    <t>P-400-22179-316983</t>
  </si>
  <si>
    <t>All required legal deductions.</t>
  </si>
  <si>
    <t>maciel@bethsfarmkitchen.com</t>
  </si>
  <si>
    <t>H-400-22273-503208</t>
  </si>
  <si>
    <t>JMG Landscaping, LLC.</t>
  </si>
  <si>
    <t>5285 W Ridge Flower Way</t>
  </si>
  <si>
    <t>Kearns</t>
  </si>
  <si>
    <t>Mosqueda</t>
  </si>
  <si>
    <t>jmgllclandscaping@gmail.com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</si>
  <si>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</si>
  <si>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P-400-22208-378088</t>
  </si>
  <si>
    <t>H-400-22279-513925</t>
  </si>
  <si>
    <t>5098 Pontchartrain Rd,</t>
  </si>
  <si>
    <t>P-400-22231-427578</t>
  </si>
  <si>
    <t>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t>
  </si>
  <si>
    <t>H2B@ABCTREE.COM</t>
  </si>
  <si>
    <t>H-400-22230-423599</t>
  </si>
  <si>
    <t>Production Associate</t>
  </si>
  <si>
    <t>Graders and Sorters, Agricultural Products</t>
  </si>
  <si>
    <t>Keystone Potato Products, LLC</t>
  </si>
  <si>
    <t>2317 Sherman's Mountain Rd</t>
  </si>
  <si>
    <t>Mailing: 2 Fearnot Rd , Sacramento, PA 17968</t>
  </si>
  <si>
    <t>Hegins</t>
  </si>
  <si>
    <t>Pechart</t>
  </si>
  <si>
    <t xml:space="preserve">Standard 2nd shift schedule 2:00PM-11:00PM M-F. May at times be assigned 1st shift schedule 6:00 AM-2:00 PM M-F pending warehouse needs.  Saturday/Sunday work required, when necessary.  Must lift/carry 50 lbs without assistance, and lift/carry 50+ to 100 lbs with assistance,  when necessary. Involves prolonged standing, frequent bending, grabbing and lifting; pushing or pulling up to 50 lbs. Must meet industry standard production levels for specialty orders. Must adhere to Good Manufacturing Practices (GMP) and Safe Quality Food (SQF) standards and practices. Post-hire employer-paid pre-employment, random, post-accident, and upon suspicion drug and alcohol testing required. Post-hire employment eligibility (e-Verify) check required of foreign and domestic workers.
</t>
  </si>
  <si>
    <t>SCHUYLKILL</t>
  </si>
  <si>
    <t>P-400-22173-303307</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</si>
  <si>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Employer will offer daily transportation to and from the worksite from a centralized designated pick-up place at no cost to workers.  Use of this transportation is voluntary.      </t>
  </si>
  <si>
    <t>mpechart@masserspuds.com</t>
  </si>
  <si>
    <t>H-400-22279-513947</t>
  </si>
  <si>
    <t>ABC Professional Tree Services, Inc - Shelbyville</t>
  </si>
  <si>
    <t>2910 IN-44</t>
  </si>
  <si>
    <t>P-400-22235-432709</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</si>
  <si>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</si>
  <si>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H-400-22216-397587</t>
  </si>
  <si>
    <t>Marathon Xpress, Inc.</t>
  </si>
  <si>
    <t>2621 SW 132AVE</t>
  </si>
  <si>
    <t>Monje</t>
  </si>
  <si>
    <t>manuelcano@marathonxpressinc.com</t>
  </si>
  <si>
    <t xml:space="preserve">Must possess, or have ability to obtain, a CDL class A license.
</t>
  </si>
  <si>
    <t>P-400-22125-140684</t>
  </si>
  <si>
    <t>H-400-22252-463624</t>
  </si>
  <si>
    <t>House Cleaner</t>
  </si>
  <si>
    <t>Beachwalk Properties, LLC</t>
  </si>
  <si>
    <t>426 Phoenix Street</t>
  </si>
  <si>
    <t>South Haven</t>
  </si>
  <si>
    <t>Webb</t>
  </si>
  <si>
    <t xml:space="preserve">426 Phoenix Street </t>
  </si>
  <si>
    <t>geraldwebb@beachwalkpropertiesmi.com</t>
  </si>
  <si>
    <t>Koryto</t>
  </si>
  <si>
    <t>100 W Michigan Ave</t>
  </si>
  <si>
    <t>Ste 200</t>
  </si>
  <si>
    <t>korytoj@millerjohnson.com</t>
  </si>
  <si>
    <t>Miller Johnson</t>
  </si>
  <si>
    <t xml:space="preserve">Must have time management and  organizational skills; ability to follow instructions closely, complete a checklist; and pass quality control inspections; and must be able to lift 35lb of material (linen packets) safely. 
</t>
  </si>
  <si>
    <t>Rental homes throughout South Haven, MI area</t>
  </si>
  <si>
    <t>VAN BUREN</t>
  </si>
  <si>
    <t>P-400-22116-108027</t>
  </si>
  <si>
    <t>H-400-22230-424261</t>
  </si>
  <si>
    <t>CDL International Truck Driver</t>
  </si>
  <si>
    <t>R - OWN EXPRESS INC.</t>
  </si>
  <si>
    <t>1865 Bernice Rd Suite 1</t>
  </si>
  <si>
    <t>Rondinelli</t>
  </si>
  <si>
    <t>tomrond@sbcglobal.net</t>
  </si>
  <si>
    <t>McFee</t>
  </si>
  <si>
    <t>Ericka</t>
  </si>
  <si>
    <t>205 E Butterfield Road #307</t>
  </si>
  <si>
    <t>Elmhurst</t>
  </si>
  <si>
    <t>info@mcfeelawoffices.com</t>
  </si>
  <si>
    <t>McFee Law Offices, P.C.</t>
  </si>
  <si>
    <t xml:space="preserve">International CDL
</t>
  </si>
  <si>
    <t>1865 Bernice Road Suite 1</t>
  </si>
  <si>
    <t>P-400-22175-310704</t>
  </si>
  <si>
    <t>Applicable local and federal taxes will be withheld from employee pay.</t>
  </si>
  <si>
    <t>H-400-22279-513875</t>
  </si>
  <si>
    <t>ABC Professional Tree Services, Inc - LittleRock</t>
  </si>
  <si>
    <t>200 S Shackleford Rd</t>
  </si>
  <si>
    <t>P-400-22238-440459</t>
  </si>
  <si>
    <t xml:space="preserve">Employer makes all payroll deductions required by law. Employer does not envision other workforce-wide payroll deductions.  If requested, employer assists non-local workers with securing worker-paid lodging. Voluntary deductions must be pre-authorized in writing and may include the following:  Employer deducts reasonable fair market value cost of rent/utilities based on number of occupants for workers electing to reside in employer-provided housing.  The employer offers optional employee health insurance and retirement plans to its workers; participation in any such plan is voluntary. Employer offers free daily transportation to/from worksite from designated pick-up location. Use of transportation is voluntary. Employer provides incidental transport between job sites. </t>
  </si>
  <si>
    <t>https://www.arjoblink.arkansas.gov</t>
  </si>
  <si>
    <t>H-400-22230-423095</t>
  </si>
  <si>
    <t>Scott Heleva &amp; Timothy Emery Partnership</t>
  </si>
  <si>
    <t>T &amp; S Snowplowing</t>
  </si>
  <si>
    <t>5162 Route 309</t>
  </si>
  <si>
    <t>Schnecksville</t>
  </si>
  <si>
    <t>Heleva</t>
  </si>
  <si>
    <t>* M-Sun
* Some O.T. &amp; weekends may be available</t>
  </si>
  <si>
    <t>4140 Hill St.</t>
  </si>
  <si>
    <t>Coplay</t>
  </si>
  <si>
    <t>P-400-22167-289870</t>
  </si>
  <si>
    <t>Employer will make all deductions required by law from each paycheck as well as for optional employer provided housing at $100/week per employee, utilities included. 
Employer will advance against pay up to $75.00/day at the end of each work day for room and board at no interest for the first 2 weeks, if needed. 
Assistance finding and securing lodging is available, if needed, at no additional charge to the worker.</t>
  </si>
  <si>
    <t>timemery@emerylandscape.com</t>
  </si>
  <si>
    <t>H-400-22276-505968</t>
  </si>
  <si>
    <t>Amusement &amp; Recreation Attendant Supervisor – Carnival</t>
  </si>
  <si>
    <t>1301 South Fair Avenue</t>
  </si>
  <si>
    <t>P-400-22182-328006</t>
  </si>
  <si>
    <t>H-400-22230-424765</t>
  </si>
  <si>
    <t>P-400-22148-222768</t>
  </si>
  <si>
    <t>H-400-22265-488505</t>
  </si>
  <si>
    <t>Nonfarm Animal Caretaker</t>
  </si>
  <si>
    <t>Carson Springs Wildlife Conservation Foundation</t>
  </si>
  <si>
    <t>8528 E County Road 225</t>
  </si>
  <si>
    <t>GAINESVILLE</t>
  </si>
  <si>
    <t>Janks</t>
  </si>
  <si>
    <t>carsonsprings@aol.com</t>
  </si>
  <si>
    <t xml:space="preserve">Must be able to lift 50 pounds. Monday to Sunday, 40 hours per week, day off rotates, split shifts 5am-11am, 3pm-5pm.
</t>
  </si>
  <si>
    <t>ALACHUA</t>
  </si>
  <si>
    <t>Gainesville, FL</t>
  </si>
  <si>
    <t>P-400-22152-230636</t>
  </si>
  <si>
    <t>H-400-22299-551884</t>
  </si>
  <si>
    <t>O'Hara Corporation</t>
  </si>
  <si>
    <t>120 Tillson Ave</t>
  </si>
  <si>
    <t>Rockland</t>
  </si>
  <si>
    <t>cohara@oharacorporation.com</t>
  </si>
  <si>
    <t>DAY/SHIFTS MAY VARY
A PRE-EMPLOYMENT BACKGROUND CHECK AND A PRE-EMPLOYMENT DRUG SCREEN WILL BE REQUIRED.
OPTIONAL EMPLOYEE HOUSING IS AVAILABLE TO THE WORKER AT A COST OF $45 PER DAY PER CREW MEMBER WHILE ON BOARD VESSEL.
TRANSPORTATION TO AND FROM THE WORKSITE WILL BE PROVIDED AT NO COST TO THE WORKER.
EMPLOYER RESERVES THE RIGHT TO PAY A HIGHER WAGE RATE OR BONUS TO ANY WORKER, IN THEIR SOLE DISCRETION, BASED ON PERFORMANCE, SKILL, TENURE, OR EXPERIENCE.
UP TO 44 HOURS OF OVERTIME PER WEEK AVAILABLE AS NEEDED.</t>
  </si>
  <si>
    <t>Dutch Harbor General Delivery</t>
  </si>
  <si>
    <t>PO Box 920707</t>
  </si>
  <si>
    <t>Dutch Harbor</t>
  </si>
  <si>
    <t xml:space="preserve">Overtime will  be paid for working greater than 8 hours in any given day, or greater than 40 hours in any given week. </t>
  </si>
  <si>
    <t>P-400-22146-215664</t>
  </si>
  <si>
    <t xml:space="preserve">All deductions required by law will made and no deductions not required by law will be made. </t>
  </si>
  <si>
    <t>Employment@oharacorporation.com</t>
  </si>
  <si>
    <t>H-400-22216-395318</t>
  </si>
  <si>
    <t>Dental Assistant</t>
  </si>
  <si>
    <t>Key West Dental Management Group, LLC</t>
  </si>
  <si>
    <t>Old Town Dental</t>
  </si>
  <si>
    <t>1215 Simonton St.</t>
  </si>
  <si>
    <t>Key West</t>
  </si>
  <si>
    <t>Sampedro</t>
  </si>
  <si>
    <t>Isis</t>
  </si>
  <si>
    <t>isis@adc-dentalcare.com</t>
  </si>
  <si>
    <t xml:space="preserve">One (1) year of experience as a Dental Assistant. Must have a Dental Assistant Certificate.
</t>
  </si>
  <si>
    <t>P-400-22157-248380</t>
  </si>
  <si>
    <t>H-400-22286-527370</t>
  </si>
  <si>
    <t>Tile Setter</t>
  </si>
  <si>
    <t>Kenjura Tile, Inc.</t>
  </si>
  <si>
    <t>1004 N Park St</t>
  </si>
  <si>
    <t>Kenjura</t>
  </si>
  <si>
    <t xml:space="preserve">Minimum age requirement is 18. Must pass employer paid post hire drug test 
</t>
  </si>
  <si>
    <t>P-400-22194-348576</t>
  </si>
  <si>
    <t>http://www.workintexas.com/vosnet/Default.aspx</t>
  </si>
  <si>
    <t>H-400-22300-555618</t>
  </si>
  <si>
    <t>Netterfield's Popcorn &amp; Lemonade, Inc.</t>
  </si>
  <si>
    <t>6119 Thomas Circle</t>
  </si>
  <si>
    <t>(Mail: PO Box 1438, Land O'Lakes FL 34639)</t>
  </si>
  <si>
    <t>Land O'Lakes</t>
  </si>
  <si>
    <t>Netterfield</t>
  </si>
  <si>
    <t>kdodgem1@aol.com</t>
  </si>
  <si>
    <t>17026 US HWY 41</t>
  </si>
  <si>
    <t>HERNANDO</t>
  </si>
  <si>
    <t>P-400-22249-455739</t>
  </si>
  <si>
    <t xml:space="preserve">Employer will make all deductions from the worker’s paycheck required by law.  Optional mobile housing (valued at $200.00 per week) and local convenience travel (valued at $25.00 per week) are available at no cost to the worker.  </t>
  </si>
  <si>
    <t>H-400-22276-505962</t>
  </si>
  <si>
    <t>North American Midway Entertainment-Amusement South, LLC</t>
  </si>
  <si>
    <t>250 Farrow Drive</t>
  </si>
  <si>
    <t>Schepman</t>
  </si>
  <si>
    <t>Sonya</t>
  </si>
  <si>
    <t>sschepman@namidway.com</t>
  </si>
  <si>
    <t>7217 Nundy Avenue</t>
  </si>
  <si>
    <t>P-400-22186-332818</t>
  </si>
  <si>
    <t>H-400-22277-510544</t>
  </si>
  <si>
    <t>Snow Shoveler/ Grounds Keeper</t>
  </si>
  <si>
    <t>NovaNation, LLC</t>
  </si>
  <si>
    <t>4466 Shady Court</t>
  </si>
  <si>
    <t>Rolling Meadows</t>
  </si>
  <si>
    <t>novanationchicago@gmail.com</t>
  </si>
  <si>
    <t xml:space="preserve">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</si>
  <si>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 xml:space="preserve">305 Industrial Ave </t>
  </si>
  <si>
    <t>Wheeling</t>
  </si>
  <si>
    <t>P-400-22229-420224</t>
  </si>
  <si>
    <t>H-400-22230-424600</t>
  </si>
  <si>
    <t>SS Irrigation and Landscaping</t>
  </si>
  <si>
    <t>318 Cartwright Loop</t>
  </si>
  <si>
    <t>Killeen</t>
  </si>
  <si>
    <t>Shoults</t>
  </si>
  <si>
    <t>Earl</t>
  </si>
  <si>
    <t>318 Cartwrigth Loop</t>
  </si>
  <si>
    <t>sshoults@rocketmail.com</t>
  </si>
  <si>
    <t>Nanthaveth</t>
  </si>
  <si>
    <t>Vi</t>
  </si>
  <si>
    <t>11211 Taylor Draper Ln</t>
  </si>
  <si>
    <t>Ste. 107</t>
  </si>
  <si>
    <t>vi@vnlawoffice.com</t>
  </si>
  <si>
    <t>Nanthaveth &amp; Associates PLLC</t>
  </si>
  <si>
    <t>None. On the job training will be provided</t>
  </si>
  <si>
    <t>318 Carwright Loop</t>
  </si>
  <si>
    <t>Overtime will be approved by the Owner before the worker is eligible for overtime</t>
  </si>
  <si>
    <t>P-400-22186-332271</t>
  </si>
  <si>
    <t xml:space="preserve">Federal taxes will be deducted form the worker's pay as required by law. Texas does not charge any state income tax. </t>
  </si>
  <si>
    <t>H-400-22238-441607</t>
  </si>
  <si>
    <t>WIND TURBINE SERVICE TECHNICIAN</t>
  </si>
  <si>
    <t>Wind Turbine Service Technicians</t>
  </si>
  <si>
    <t>COTECH IRM SERVICES INC.</t>
  </si>
  <si>
    <t xml:space="preserve">12040 PERRY ROAD </t>
  </si>
  <si>
    <t>HOUSTON</t>
  </si>
  <si>
    <t>WALLACE</t>
  </si>
  <si>
    <t>MIKE</t>
  </si>
  <si>
    <t>mikewallace@cotechirm.com</t>
  </si>
  <si>
    <t>GONDIM</t>
  </si>
  <si>
    <t>MARCELO</t>
  </si>
  <si>
    <t>2121 Avenue of the Stars</t>
  </si>
  <si>
    <t>info@gondim-law.com</t>
  </si>
  <si>
    <t>GONDIM LAW CORP</t>
  </si>
  <si>
    <t>CALIFORNIA SUPREME COURT</t>
  </si>
  <si>
    <t>P-400-22154-242696</t>
  </si>
  <si>
    <t>All deductions from pay as required by Federal and State law.</t>
  </si>
  <si>
    <t>https://www.twc.texas.gov</t>
  </si>
  <si>
    <t>INFO@GONDIM-LAW.COM</t>
  </si>
  <si>
    <t>H-400-22276-505957</t>
  </si>
  <si>
    <t>North American Midway Entertainment-All-Star Amusement, LLC</t>
  </si>
  <si>
    <t>2500 West Higgins Rd, Suite 205</t>
  </si>
  <si>
    <t>Hoffman Estates</t>
  </si>
  <si>
    <t>P-400-22186-332799</t>
  </si>
  <si>
    <t>H-400-22255-467745</t>
  </si>
  <si>
    <t>Midway Sweets LLC</t>
  </si>
  <si>
    <t>720 Rifle Camp Rd</t>
  </si>
  <si>
    <t>Woodland Park</t>
  </si>
  <si>
    <t xml:space="preserve"> Pampanin</t>
  </si>
  <si>
    <t>Karyn</t>
  </si>
  <si>
    <t>bluestar4190@gmail.com</t>
  </si>
  <si>
    <t>P-400-22213-387908</t>
  </si>
  <si>
    <t xml:space="preserve">Optional housing (valued at $175.00 per week) and local convenience travel (valued at $25.00 per week) are available at no cost to the worker.  Employer will make all deductions from the worker’s paycheck required by law.  </t>
  </si>
  <si>
    <t>H-400-22262-481083</t>
  </si>
  <si>
    <t>Lady Olivia at North Cliff LLC</t>
  </si>
  <si>
    <t>9198 North Cliff Ln</t>
  </si>
  <si>
    <t>RIXEYVILLE</t>
  </si>
  <si>
    <t>Morgan</t>
  </si>
  <si>
    <t>carlamorgan08@gmail.com</t>
  </si>
  <si>
    <t>CULPEPER</t>
  </si>
  <si>
    <t>P-400-22130-157306</t>
  </si>
  <si>
    <t>H-400-22265-488612</t>
  </si>
  <si>
    <t>P-400-22169-295318</t>
  </si>
  <si>
    <t>All local, state and federal taxes (if applicable)</t>
  </si>
  <si>
    <t>H-400-22247-454757</t>
  </si>
  <si>
    <t xml:space="preserve">JOEY'S PIZZA, INC. </t>
  </si>
  <si>
    <t>JOEY'S PIZZA &amp; PASTA HOUSE</t>
  </si>
  <si>
    <t>257 N. COLLIER BOULEVARD</t>
  </si>
  <si>
    <t>MARCO ISLAND</t>
  </si>
  <si>
    <t>OLIVERIO</t>
  </si>
  <si>
    <t>joemarco@aol.com</t>
  </si>
  <si>
    <t>P-400-22172-299852</t>
  </si>
  <si>
    <t>dzanoni11@yahoo.com</t>
  </si>
  <si>
    <t>H-400-22257-473316</t>
  </si>
  <si>
    <t>Mechanic</t>
  </si>
  <si>
    <t>Mobile Heavy Equipment Mechanics, Except Engines</t>
  </si>
  <si>
    <t>Tovar Snow Professionals LLC</t>
  </si>
  <si>
    <t>195 Penny Ave.</t>
  </si>
  <si>
    <t>East Dundee</t>
  </si>
  <si>
    <t>Cervantes</t>
  </si>
  <si>
    <t>Human Resources Coordinator</t>
  </si>
  <si>
    <t>mcervantes@tovarsnow.com</t>
  </si>
  <si>
    <t>1) Demonstrated ability to: (a) maintain, troubleshoot, and repair vehicles and construction equipment; and (b) repair heavy duty equipment in the field. 2) Demonstrated working knowledge of basic electrical wiring for vehicles and construction equipment. 3) Must be able to lift at least 50 pounds.
F.A.5.-F.A.6. : HOURS AVERAGE 35 PER WEEK; Normal schedule 10:00 AM - 5:00 PM, must be available 24/7 on-call as needed (when there is 30% chance or more for a storm workers must be able to make it out to where they are needed to labor in less than two hours from they are notified to report at the location).</t>
  </si>
  <si>
    <t>P-400-22203-371745</t>
  </si>
  <si>
    <t xml:space="preserve">WORKERS CAN ELECT TO HAVE EMPLOYER SECURE HOUSING IF NEEDED, IN WHICH CASE WORKER'S PRO RATA SHARE OF ACTUAL HOUSING COSTS (RENT, UTILITIES, RENTER'S INSURANCE), WHICH WILL BE REASONABLE &amp; BASED ON THE FAIR VALUE OF SUCH BENEFIT, WILL BE DEDUCTED FROM WORKER'S PAYCHECK. CURRENT MONTHLY HOUSING COST IS $330.
</t>
  </si>
  <si>
    <t>H-400-22250-460194</t>
  </si>
  <si>
    <t>Janitors/Cleaners</t>
  </si>
  <si>
    <t>Hilton, Inc.</t>
  </si>
  <si>
    <t>Holiday Inn Resort and Inn</t>
  </si>
  <si>
    <t>11127 Front Beach Rd.</t>
  </si>
  <si>
    <t>Campisi</t>
  </si>
  <si>
    <t>Phyllis</t>
  </si>
  <si>
    <t>11127 Front Beach Road</t>
  </si>
  <si>
    <t>phyllis.campisi@hipcbeach.com</t>
  </si>
  <si>
    <t xml:space="preserve">Must have the ability to:
           Use common hand &amp; power tools 
           Lift up to 50lbs
           Able to bend, twist, reach, and turn body at shoulders, waist, knees
Post-hire background check will be performed
</t>
  </si>
  <si>
    <t>Holiday Inn Resort, 11127 Front Beach Road</t>
  </si>
  <si>
    <t>P-400-22203-370675</t>
  </si>
  <si>
    <t xml:space="preserve">All deductions required by law.  Assistance to obtain housing. If temporary worker is hired &amp; elects to use Hilton, Inc. (Paradise Found’s) assistance in obtaining housing, cost of housing, $130.00/week, will be directly deducted from paycheck &amp; worker will reimburse Hilton, Inc. (Paradise Found) for combined utilities paid that exceed $300.00/ month. There is also a cleaning/damage deposit of $100.00 total deducted at $20.00/week for first 5 weeks.  </t>
  </si>
  <si>
    <t>Hilton.HR@paradisefound.com</t>
  </si>
  <si>
    <t>H-400-22252-464266</t>
  </si>
  <si>
    <t>Oyster Shucker</t>
  </si>
  <si>
    <t>G. W. Hall &amp; Son, LLC</t>
  </si>
  <si>
    <t>2551 Old House Point Road</t>
  </si>
  <si>
    <t xml:space="preserve">Lift/carry up to 50 pounds. 
</t>
  </si>
  <si>
    <t>See addendum:  Overtime is not guaranteed but if worked rate is paid at time and a half per hour above 40 hours...</t>
  </si>
  <si>
    <t>P-400-22209-382770</t>
  </si>
  <si>
    <t>See addendum:  Shared housing available to only seasonal F/T employees. Housing is not offered to non-employees. Employees may make their own arrangements at their own expense. However, if they opt to live in employer provided housing they will be charged $40.00/week. Utilities are included and fiber optic internet/wifi.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t>
  </si>
  <si>
    <t>H-400-22245-452507</t>
  </si>
  <si>
    <t>Winter Technician</t>
  </si>
  <si>
    <t>Central Indiana Snow and Ice Management, LLC</t>
  </si>
  <si>
    <t>5200 W. 86th Street</t>
  </si>
  <si>
    <t>Haggard</t>
  </si>
  <si>
    <t>Amanda May</t>
  </si>
  <si>
    <t xml:space="preserve">Must lift/carry 50 lbs., when necessary.  Saturday and Sunday work required, when necessary.
</t>
  </si>
  <si>
    <t>5200 W. 86th St.</t>
  </si>
  <si>
    <t>P-400-22180-321081</t>
  </si>
  <si>
    <t xml:space="preserve">The employer will make all deductions from worker's paycheck required by law. The employer does not envision other workforce-wide payroll deductions. If needed, employer intends to assist foreign and non-local U.S. workers hired pursuant to this job order to secure optional worker-paid lodging not to exceed reasonable fair market value cost based on number of occupants. Housing-related expenses are paid directly to facility owner/operator and are not payroll deducted.   Potential elective deductions to be pre-authorized in writing if applicable are as follows: Voluntary advances and/or loans made to workers, if any, may be repaid by pre-authorized payroll deductions.       </t>
  </si>
  <si>
    <t>rick@indianasnowandice.com</t>
  </si>
  <si>
    <t>H-400-22235-432012</t>
  </si>
  <si>
    <t>Pinnacle Construction and Development</t>
  </si>
  <si>
    <t>3060 Peachtree Rd. NW Suite 1080</t>
  </si>
  <si>
    <t>Cable</t>
  </si>
  <si>
    <t>14195 Weiskopf Way</t>
  </si>
  <si>
    <t>P-400-22186-331792</t>
  </si>
  <si>
    <t xml:space="preserve">Employer will make all deductions from worker's paycheck required by law. Emplyr does not envision other wrkfrce-wide payroll deductions. Potential elective deductions to be pre-authorized in writing if applicable are as follows:If needed, emplyr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Voluntary advances and/or loans made to workers, if any, may be repaid by pre-authorized payroll deductions. Emplyr will offer daily transportation to and from the wrksite from a centralized designated pick-up place at no cost to wrkrs. Use of this transportation is voluntary. </t>
  </si>
  <si>
    <t>bdc5057@gmail.com</t>
  </si>
  <si>
    <t>P-400-22213-388851</t>
  </si>
  <si>
    <t>Kyababchyan</t>
  </si>
  <si>
    <t>Zohrab</t>
  </si>
  <si>
    <t>arevhospitality@gmail.com</t>
  </si>
  <si>
    <t>H-400-22332-607243</t>
  </si>
  <si>
    <t>CitiTurf, LLC</t>
  </si>
  <si>
    <t>231 W. FM 544 Ste 116</t>
  </si>
  <si>
    <t>Murphy</t>
  </si>
  <si>
    <t>jaimep@cititurf.com</t>
  </si>
  <si>
    <t>P-400-22220-402409</t>
  </si>
  <si>
    <t xml:space="preserve">Please note we are not providing or charging rent for housing merely assisting with securing housing.
</t>
  </si>
  <si>
    <t>H-400-22335-615793</t>
  </si>
  <si>
    <t>JPC Landscaping, Inc</t>
  </si>
  <si>
    <t>Passiglia's Nursery &amp; Garden Center</t>
  </si>
  <si>
    <t>1855 Hwy 109</t>
  </si>
  <si>
    <t>Passiglia</t>
  </si>
  <si>
    <t>searley@passiglia.com</t>
  </si>
  <si>
    <t>Bay CIty</t>
  </si>
  <si>
    <t xml:space="preserve">Monday-Friday, some Saturdays required, schedule varies, overtime varies. Able to lift 50lbs. Pre-hire background check required. 
All background checks are performed equally as to U.S. workers and H-2B workers, and all fees are paid for by the company.
See the additional document attached for further details about the administration of our background check policy.
</t>
  </si>
  <si>
    <t>Raise at employer's discretion. Percentage of 401K offered.</t>
  </si>
  <si>
    <t>P-400-22235-432328</t>
  </si>
  <si>
    <t>Employer may make payroll deductions at employee's request.
Employer may provide optional housing arrangements upon request $250/month per worker paid directly to 3rd party rental management company.</t>
  </si>
  <si>
    <t>H-400-22326-602499</t>
  </si>
  <si>
    <t>Crawfish Plant Laborer</t>
  </si>
  <si>
    <t xml:space="preserve">Shane's Crawfish, Inc. </t>
  </si>
  <si>
    <t>3186 Highway 95</t>
  </si>
  <si>
    <t>Mamou</t>
  </si>
  <si>
    <t>Granger</t>
  </si>
  <si>
    <t>3186 Highway 86</t>
  </si>
  <si>
    <t>shanescrawfish@gmail.com</t>
  </si>
  <si>
    <t>P. O. Box 682</t>
  </si>
  <si>
    <t>Danielle Toups Young, Attorney at Law, LLC</t>
  </si>
  <si>
    <t xml:space="preserve">Valid Drivers License Required
Must be able to lift 40 pounds.
Including 1-60 minute unpaid lunch break
</t>
  </si>
  <si>
    <t>EVANGELINE</t>
  </si>
  <si>
    <t>P-400-22160-263698</t>
  </si>
  <si>
    <t>All deductions required by law. Voluntary, free housing is available to workers for the option to board.</t>
  </si>
  <si>
    <t>H-400-22326-602492</t>
  </si>
  <si>
    <t xml:space="preserve">LANDSCAPING &amp; GROUNDSKEEPING WORKERS </t>
  </si>
  <si>
    <t>A-1 WALLS AND LANDSCAPING, INC.</t>
  </si>
  <si>
    <t>1701 S. 13TH AVE</t>
  </si>
  <si>
    <t>OZARK</t>
  </si>
  <si>
    <t>IRONS</t>
  </si>
  <si>
    <t>CODY</t>
  </si>
  <si>
    <t>office@a1wallsandlandscaping.com</t>
  </si>
  <si>
    <t xml:space="preserve">Extensive walking, frequent stooping, exposure to extreme temperatures
Schedule varies, overtime available as needed.
</t>
  </si>
  <si>
    <t>P-400-22264-484956</t>
  </si>
  <si>
    <t>P-400-22243-448738</t>
  </si>
  <si>
    <t>a1wallsh2b@gmail.com</t>
  </si>
  <si>
    <t>ATLANTA</t>
  </si>
  <si>
    <t>Guthrie</t>
  </si>
  <si>
    <t>State and federal taxes</t>
  </si>
  <si>
    <t>H-400-22321-592183</t>
  </si>
  <si>
    <t>Gulf Coast Environmental Contractors, Inc.</t>
  </si>
  <si>
    <t>251 E. Johnson Ave.</t>
  </si>
  <si>
    <t>tracy@gcecinc.com</t>
  </si>
  <si>
    <t>251 E. Johnson Ave. (Report to Work)</t>
  </si>
  <si>
    <t>P-400-22220-402667</t>
  </si>
  <si>
    <t>Optional shared housing available at up to $60.00 per week to be deducted from employee's paycheck. At Employer’s sole discretion: possible cash advances (if applicable/requested by worker, potential deduction from worker’s paycheck).</t>
  </si>
  <si>
    <t>Nowacki</t>
  </si>
  <si>
    <t xml:space="preserve">International Programs Manager - Talent Acquisition </t>
  </si>
  <si>
    <t>390 Interlocken Crescent</t>
  </si>
  <si>
    <t>Broomfield</t>
  </si>
  <si>
    <t>mnowacki@vailresorts.com</t>
  </si>
  <si>
    <t>Blocker</t>
  </si>
  <si>
    <t>444 South Flower Street</t>
  </si>
  <si>
    <t>Suite 500</t>
  </si>
  <si>
    <t>cblocker@fragomen.com</t>
  </si>
  <si>
    <t>Continued under item F.a.4</t>
  </si>
  <si>
    <t>Watts</t>
  </si>
  <si>
    <t>cwatts@fragomen.com</t>
  </si>
  <si>
    <t>H-400-22335-614431</t>
  </si>
  <si>
    <t>CB's Lawn Care and Landscaping LLC</t>
  </si>
  <si>
    <t>The Grounds Guys of Baton Rouge</t>
  </si>
  <si>
    <t>8320 Olivia Dr.</t>
  </si>
  <si>
    <t>Mailing: 7486 Colonial Dr., Denham Springs, LA 70726</t>
  </si>
  <si>
    <t>Ball</t>
  </si>
  <si>
    <t>batonrouge@groundsguys.com</t>
  </si>
  <si>
    <t xml:space="preserve">Pre-hire background check required; Random drug testing during employment; Pre-employment drug testing required; Drug testing during employment for cause; Post-Accident Drug Testing, Able to lift 50lbs, Monday-Thursday, some Friday's, Saturday's and Sunday's may be required,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</si>
  <si>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35948 N Corbin Rd</t>
  </si>
  <si>
    <t>Walker</t>
  </si>
  <si>
    <t>Raises and or Bonuses at employer's discretion. Higher pay depending on experience.</t>
  </si>
  <si>
    <t>P-400-22256-469269</t>
  </si>
  <si>
    <t>Employer may make payroll deductions at employee's request; Employer facilitates voluntary housing arrangements along with corresponding payroll deduction, $75/week per person for rent and utilities</t>
  </si>
  <si>
    <t>www.groundsguys.com/batonrouge</t>
  </si>
  <si>
    <t>Welder</t>
  </si>
  <si>
    <t>Dwayne</t>
  </si>
  <si>
    <t>Waxahachie</t>
  </si>
  <si>
    <t xml:space="preserve">Texas Supreme Court </t>
  </si>
  <si>
    <t xml:space="preserve">Employer will use a single workweek for computing wages due. Pay will be weekly. </t>
  </si>
  <si>
    <t>ANTHONY</t>
  </si>
  <si>
    <t>Randall</t>
  </si>
  <si>
    <t>NORTHAMPTON</t>
  </si>
  <si>
    <t>Optional mobile housing ($125/week)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t>
  </si>
  <si>
    <t>Ridgeland</t>
  </si>
  <si>
    <t>ALAMEDA</t>
  </si>
  <si>
    <t>H-400-22340-623900</t>
  </si>
  <si>
    <t>Complete Industries, Inc</t>
  </si>
  <si>
    <t>Complete Landscaping Service</t>
  </si>
  <si>
    <t>2410 North Crain Highway</t>
  </si>
  <si>
    <t>Bowie</t>
  </si>
  <si>
    <t>Laidley</t>
  </si>
  <si>
    <t>marklaidley@completelandscapingservice.com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</si>
  <si>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</si>
  <si>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2410 N Crain Hwy (Report to Work)</t>
  </si>
  <si>
    <t>P-400-22209-382971</t>
  </si>
  <si>
    <t>hr@completelandscapingservice.com</t>
  </si>
  <si>
    <t>West Jordan</t>
  </si>
  <si>
    <t>Boswell</t>
  </si>
  <si>
    <t>Eugenio</t>
  </si>
  <si>
    <t>Sacramento</t>
  </si>
  <si>
    <t>Des Plaines</t>
  </si>
  <si>
    <t>Suite 106</t>
  </si>
  <si>
    <t>CALCASIEU</t>
  </si>
  <si>
    <t>Lake Charles, LA</t>
  </si>
  <si>
    <t>501 Atlantic Ave</t>
  </si>
  <si>
    <t>P-400-22171-296601</t>
  </si>
  <si>
    <t>https://www.diamondresorts.com/careers</t>
  </si>
  <si>
    <t>Maryland Heights</t>
  </si>
  <si>
    <t>Dillon</t>
  </si>
  <si>
    <t>KEITH</t>
  </si>
  <si>
    <t>ROGGE</t>
  </si>
  <si>
    <t>JOHN CARL</t>
  </si>
  <si>
    <t>317 CLARK AVE</t>
  </si>
  <si>
    <t>jc@lbrmanagement.com</t>
  </si>
  <si>
    <t>LBR MANAGEMENT</t>
  </si>
  <si>
    <t>•	Housing is optional and subject to availability at a monthly rate of $300.  Which will be deducted bi weekly plus all deductions required by law</t>
  </si>
  <si>
    <t>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t>
  </si>
  <si>
    <t>H-400-22335-615247</t>
  </si>
  <si>
    <t>Central Indiana nonmetropolitan area</t>
  </si>
  <si>
    <t>Alfredo</t>
  </si>
  <si>
    <t>H-400-22335-614351</t>
  </si>
  <si>
    <t>Southern Oak Services LLC</t>
  </si>
  <si>
    <t>Scott &amp; Company Landscape</t>
  </si>
  <si>
    <t>2245 Ave G, Ste #222</t>
  </si>
  <si>
    <t>Mailing: PO Box 389, Bay City, TX 77404-0389</t>
  </si>
  <si>
    <t>Thigpen</t>
  </si>
  <si>
    <t>scotco_dct@yahoo.com</t>
  </si>
  <si>
    <t>1207 9th St</t>
  </si>
  <si>
    <t>Brazoria</t>
  </si>
  <si>
    <t>Raise at employer's discretion. Opportunity for higher pay based on experience, driver's license or job performance.</t>
  </si>
  <si>
    <t>P-400-22208-378827</t>
  </si>
  <si>
    <t>Bellingham</t>
  </si>
  <si>
    <t xml:space="preserve">Karen </t>
  </si>
  <si>
    <t>Carolina</t>
  </si>
  <si>
    <t>Trawler Emmanuel, Inc.</t>
  </si>
  <si>
    <t>1498 Hart Road</t>
  </si>
  <si>
    <t>P-400-22224-414333</t>
  </si>
  <si>
    <t>Wendell</t>
  </si>
  <si>
    <t>Dale</t>
  </si>
  <si>
    <t>Aliquippa</t>
  </si>
  <si>
    <t>ABC Professional Tree Services, Inc - Yorktown</t>
  </si>
  <si>
    <t>701 Old York-Hampton Hwy</t>
  </si>
  <si>
    <t>Yorktown</t>
  </si>
  <si>
    <t>https://www.jobs4tn.gov/vosnet/loginintro.aspx?plang=E</t>
  </si>
  <si>
    <t>GREEN-TEE GOLF, INC.</t>
  </si>
  <si>
    <t>2502 Reynolds Industrial Rd</t>
  </si>
  <si>
    <t>greenteegolfinc@aol.com</t>
  </si>
  <si>
    <t>Sawing Machine Setters, Operators, and Tenders, Wood</t>
  </si>
  <si>
    <t>Kory</t>
  </si>
  <si>
    <t>Employer will use a single workweek for computing wages due. Pay will be biweekly</t>
  </si>
  <si>
    <t>Woodbine</t>
  </si>
  <si>
    <t>Faribault</t>
  </si>
  <si>
    <t>Stillwater</t>
  </si>
  <si>
    <t>PAYNE</t>
  </si>
  <si>
    <t>Ketchum</t>
  </si>
  <si>
    <t>BLAINE</t>
  </si>
  <si>
    <t>ELBERT</t>
  </si>
  <si>
    <t>Castro</t>
  </si>
  <si>
    <t>info@attorneycastro.com</t>
  </si>
  <si>
    <t>North Little Rock</t>
  </si>
  <si>
    <t>Maurer</t>
  </si>
  <si>
    <t xml:space="preserve">Lawn &amp; Landscape Maintenance </t>
  </si>
  <si>
    <t>3046 Lower Bellbrook Road</t>
  </si>
  <si>
    <t xml:space="preserve">Gorman </t>
  </si>
  <si>
    <t>mike@gormanlandscape.com</t>
  </si>
  <si>
    <t>Spring Valley OH</t>
  </si>
  <si>
    <t>P-400-22258-476242</t>
  </si>
  <si>
    <t xml:space="preserve">Optional housing available at $205/month.
</t>
  </si>
  <si>
    <t>Navarro</t>
  </si>
  <si>
    <t>H-400-22335-614207</t>
  </si>
  <si>
    <t>Good-N-Tuff Lawn &amp; Landscaping, Inc.</t>
  </si>
  <si>
    <t>60 Howell Road</t>
  </si>
  <si>
    <t>Freehold</t>
  </si>
  <si>
    <t>Chamberlin</t>
  </si>
  <si>
    <t>Glen</t>
  </si>
  <si>
    <t>glen@goodntuff.com</t>
  </si>
  <si>
    <t>60 Howell Road (Report to Work)</t>
  </si>
  <si>
    <t>P-400-22213-388147</t>
  </si>
  <si>
    <t>Northeast Oklahoma nonmetropolitan area</t>
  </si>
  <si>
    <t>Conshohocken</t>
  </si>
  <si>
    <t>Afton</t>
  </si>
  <si>
    <t>TENNANT LANDSCAPE SOLUTIONS, INC.</t>
  </si>
  <si>
    <t>2101 RUCKERT AVE</t>
  </si>
  <si>
    <t>TENNANT</t>
  </si>
  <si>
    <t>ETENNANT@TENNANTLS.COM</t>
  </si>
  <si>
    <t xml:space="preserve">Post-injury or incident drug test required, paid by employer and applied equally to all workers, U.S. and Foreign/H-2B. Must be able to work a 6 day schedule, may include weekends and holidays as required. Applicants must complete an employment application. 
</t>
  </si>
  <si>
    <t>2101 Ruckert Ave.</t>
  </si>
  <si>
    <t>P-400-22151-228252</t>
  </si>
  <si>
    <t>6331 Westgate Rd (Report to Work)</t>
  </si>
  <si>
    <t>Cano</t>
  </si>
  <si>
    <t>Don</t>
  </si>
  <si>
    <t>Benson Enterprises of New York Inc</t>
  </si>
  <si>
    <t>Benson Enterprises</t>
  </si>
  <si>
    <t>1986 Bennett Rd</t>
  </si>
  <si>
    <t>Benson</t>
  </si>
  <si>
    <t>scott@bensonenterprises.com</t>
  </si>
  <si>
    <t>ONTARIO</t>
  </si>
  <si>
    <t>P-400-22242-445596</t>
  </si>
  <si>
    <t>Employer may make payroll deductions at employee's request. Employer facilitates voluntary housing arrangements upon request.</t>
  </si>
  <si>
    <t>jobs@bensonenterprises.com</t>
  </si>
  <si>
    <t>ONONDAGA</t>
  </si>
  <si>
    <t>Syracuse, NY</t>
  </si>
  <si>
    <t>H-400-22335-615080</t>
  </si>
  <si>
    <t>P-400-22244-450906</t>
  </si>
  <si>
    <t>Raymond</t>
  </si>
  <si>
    <t>V.</t>
  </si>
  <si>
    <t>Santa Monica</t>
  </si>
  <si>
    <t>Lake Toxaway</t>
  </si>
  <si>
    <t>TRANSYLVANIA</t>
  </si>
  <si>
    <t>Lynch</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</si>
  <si>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</si>
  <si>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San Juan Lawn Care</t>
  </si>
  <si>
    <t>9694 Victoria Ln</t>
  </si>
  <si>
    <t>Mailing: PO Box 1202, Boerne, TX 78006</t>
  </si>
  <si>
    <t>Boerne</t>
  </si>
  <si>
    <t>Florencio</t>
  </si>
  <si>
    <t>fsanjuan1010@hotmail.com</t>
  </si>
  <si>
    <t xml:space="preserve">Able to lift 50lbs, Monday-Friday, Schedule varies, some Saturdays may be required, overtime varies
</t>
  </si>
  <si>
    <t>P-400-22229-421049</t>
  </si>
  <si>
    <t>Plant City</t>
  </si>
  <si>
    <t>Cherry</t>
  </si>
  <si>
    <t>1901 Avenue of the Stars</t>
  </si>
  <si>
    <t>Ste. 200</t>
  </si>
  <si>
    <t>maria@mariasaenzlaw.com</t>
  </si>
  <si>
    <t>Maria Saenz Law</t>
  </si>
  <si>
    <t>GLYNN</t>
  </si>
  <si>
    <t>Brunswick, GA</t>
  </si>
  <si>
    <t>Elverson</t>
  </si>
  <si>
    <t>Owner/Member</t>
  </si>
  <si>
    <t>Crew member</t>
  </si>
  <si>
    <t>Blue Ridge Property Services LLC</t>
  </si>
  <si>
    <t>606 Falmouth St. Suite B</t>
  </si>
  <si>
    <t>Mailing: P.O. Box 975, Warrenton, VA 20188</t>
  </si>
  <si>
    <t>Langan</t>
  </si>
  <si>
    <t>mark@brpsva.com</t>
  </si>
  <si>
    <t>P-400-22222-407608</t>
  </si>
  <si>
    <t>brpsjobs@gmail.com</t>
  </si>
  <si>
    <t>Commerce City</t>
  </si>
  <si>
    <t>Otero</t>
  </si>
  <si>
    <t>GROUNDSKEEPERS</t>
  </si>
  <si>
    <t>Borst Landscape &amp; Design, Inc.</t>
  </si>
  <si>
    <t>260 W. Crescent Avenue</t>
  </si>
  <si>
    <t>Allendale</t>
  </si>
  <si>
    <t>Borst</t>
  </si>
  <si>
    <t>mborst@borstlandscape.com</t>
  </si>
  <si>
    <t xml:space="preserve">Mon-Fri, Saturdays required as needed. Overtime varies.
</t>
  </si>
  <si>
    <t>260 W. Crescent Ave.</t>
  </si>
  <si>
    <t>Ste. 1</t>
  </si>
  <si>
    <t>P-400-22228-418397</t>
  </si>
  <si>
    <t>Oroville</t>
  </si>
  <si>
    <t>Chico, CA</t>
  </si>
  <si>
    <t xml:space="preserve">Requires certification as a Certified Pipe Fuser by a recognized vendor i.e. ISCO, Ewing Irrigation, ADS Hancor. 12 months of experience in golf course construction and renovation.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
</t>
  </si>
  <si>
    <t>H-400-22335-615190</t>
  </si>
  <si>
    <t>Reel Neet Lawn Service, Inc.</t>
  </si>
  <si>
    <t>3549 Bethel Rd.</t>
  </si>
  <si>
    <t>sherry@rnerosion.com</t>
  </si>
  <si>
    <t>P-400-22189-339992</t>
  </si>
  <si>
    <t>NONE. Housing is optional and will NOT be deducted from pay if selected, see job description.</t>
  </si>
  <si>
    <t>DUVAL</t>
  </si>
  <si>
    <t>Manassas</t>
  </si>
  <si>
    <t>139 Howard Lane</t>
  </si>
  <si>
    <t>gabriel@torreslctx.com</t>
  </si>
  <si>
    <t>Food Service Managers</t>
  </si>
  <si>
    <t>Grow Pro LLC</t>
  </si>
  <si>
    <t>Highland</t>
  </si>
  <si>
    <t>kevin@growprollc.com</t>
  </si>
  <si>
    <t>See addendum:  Overtime is not guaranteed but if worked rate is paid at time and a half per hour above 40 hours per week</t>
  </si>
  <si>
    <t>Kindergan Landscaping, LLC</t>
  </si>
  <si>
    <t>13 Foster Street</t>
  </si>
  <si>
    <t>Mailing: 11 Foster Street, Bergenfield, NJ 07621</t>
  </si>
  <si>
    <t>Kindergan</t>
  </si>
  <si>
    <t>jennifer@kinderganllc.com</t>
  </si>
  <si>
    <t xml:space="preserve">Random drug testing during employment, Able to lift 50lbs, Monday-Friday, some Saturdays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</si>
  <si>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11 Foster Street</t>
  </si>
  <si>
    <t>P-400-22237-437591</t>
  </si>
  <si>
    <t>office@kinderganllc.com</t>
  </si>
  <si>
    <t>Cody</t>
  </si>
  <si>
    <t>www.wyomingatwork.com</t>
  </si>
  <si>
    <t>H-400-22335-613710</t>
  </si>
  <si>
    <t>Restaurant Help/ Kitchen</t>
  </si>
  <si>
    <t xml:space="preserve">Bicknell Management, LLC </t>
  </si>
  <si>
    <t>DBA Sunglow Restaurant and Motel</t>
  </si>
  <si>
    <t>91 E Main Street</t>
  </si>
  <si>
    <t>Bicknell</t>
  </si>
  <si>
    <t>aramkg@yahoo.com</t>
  </si>
  <si>
    <t xml:space="preserve">The ability to listen to and understand information and ideas presented through spoken words and sentences. The ability to communicate information and ideas clearly and understandably when speaking to others. Must report to work sober, post-employment employer paid drug testing may be administered. 
Work days:  Rotating shifts; Sun-Sat
Hours per week: 35
Work Schedule: 8am - 8pm
Education Required:  NONE
Training Required (months): NONE
Work Experience Required (months, occupation):  3 months. Restaurant.
Additional information about wage:
Employer may offer a raise or bonus depending on experience and merit.
Does employer offer a ride to primary worksite location to workers living within a reasonable
commute?: No 
Overtime available?  No
On-the-Job Training provided?  Yes
Employer-Provided Tools and Equipment provided?  Yes
Board, Lodging or Other Facilities provided?: Optional motel rooms available at market rate (possible discount)
Deductions: 
Optional motel rooms available at market rate (possible discount).
</t>
  </si>
  <si>
    <t>P-400-22263-481486</t>
  </si>
  <si>
    <t>Optional motel rooms available at market rate (possible discount).</t>
  </si>
  <si>
    <t>Guadagno</t>
  </si>
  <si>
    <t>Glendale</t>
  </si>
  <si>
    <t>Supreme Court of Arizona</t>
  </si>
  <si>
    <t>Supreme Court of Michigan</t>
  </si>
  <si>
    <t>owner</t>
  </si>
  <si>
    <t>Landry's Professional Lawn &amp; Landscape, Inc</t>
  </si>
  <si>
    <t>598 E. Purnell Dr.</t>
  </si>
  <si>
    <t>Saia</t>
  </si>
  <si>
    <t>8943 Buzbee Dr.</t>
  </si>
  <si>
    <t>melissasaia@landryslandscape.com</t>
  </si>
  <si>
    <t>P-400-22192-343248</t>
  </si>
  <si>
    <t>Glastonbury</t>
  </si>
  <si>
    <t>GLASTONBURY</t>
  </si>
  <si>
    <t>HARTFORD CITY</t>
  </si>
  <si>
    <t>Wes</t>
  </si>
  <si>
    <t>clauderay3rd@aol.com</t>
  </si>
  <si>
    <t>ALEXANDER</t>
  </si>
  <si>
    <t>Employer</t>
  </si>
  <si>
    <t>Winston</t>
  </si>
  <si>
    <t>Won-Ho</t>
  </si>
  <si>
    <t>3415 S. Sepulveda Blvd.</t>
  </si>
  <si>
    <t>Ste. 570</t>
  </si>
  <si>
    <t>winston@immigrationhelpLA.com</t>
  </si>
  <si>
    <t>Immigration Law Office of Los Angeles, P.C.</t>
  </si>
  <si>
    <t>Broussard</t>
  </si>
  <si>
    <t>Dees</t>
  </si>
  <si>
    <t>Foret</t>
  </si>
  <si>
    <t xml:space="preserve">Lake Charles </t>
  </si>
  <si>
    <t>adees@bal.com</t>
  </si>
  <si>
    <t>Mayely</t>
  </si>
  <si>
    <t>mmendoza@bal.com</t>
  </si>
  <si>
    <t>F.</t>
  </si>
  <si>
    <t xml:space="preserve">MEI GNY HOSPITALITY LLC </t>
  </si>
  <si>
    <t>GURNEY'S RESORTS</t>
  </si>
  <si>
    <t xml:space="preserve">290 OLD MONTAUK HIGHWAY </t>
  </si>
  <si>
    <t>MACIOCE</t>
  </si>
  <si>
    <t>290 OLD MONTAUK HIGHWAY</t>
  </si>
  <si>
    <t>P-400-22199-358230</t>
  </si>
  <si>
    <t>HOUSING IS OPTIONAL AND AVAILABLE FOR 125.00-150.00/WEEK PAID BY EMPLOYEE DIRECTLY TO EMPLOYER IF ACCEPTED. A 200.00 REFUNDABLE SECURITY DEPOSIT IN MADE AT TIME OF HIRING.</t>
  </si>
  <si>
    <t>HR@GURNEYSRESORTS.COM</t>
  </si>
  <si>
    <t xml:space="preserve">Post-employment random drug testing and background checks may be required, at no cost to the worker. The job requires the applicant to be qualified, ready, willing, able, and available to perform during the entire employment at the designated worksites; and to follow workplace rules.
</t>
  </si>
  <si>
    <t>Hills</t>
  </si>
  <si>
    <t>St. Peters</t>
  </si>
  <si>
    <t>Cypress</t>
  </si>
  <si>
    <t>HOUSING IS OPTIONAL AND AVAILABLE FOR 125.00-150.00/WEEK PAID BY EMPLOYEE DIRECTLY TO EMPLOYER IF ACCEPTED</t>
  </si>
  <si>
    <t>P-400-22199-358328</t>
  </si>
  <si>
    <t>Beth</t>
  </si>
  <si>
    <t>Senior HR Manager</t>
  </si>
  <si>
    <t>Woodinville</t>
  </si>
  <si>
    <t>Ogburn</t>
  </si>
  <si>
    <t>Lacey</t>
  </si>
  <si>
    <t>h2b.northwestlabor@gmail.com</t>
  </si>
  <si>
    <t>Northwest Labor LLC</t>
  </si>
  <si>
    <t>H-400-22335-613887</t>
  </si>
  <si>
    <t>BOAT CLEANER</t>
  </si>
  <si>
    <t>PEP J MARINE LLC</t>
  </si>
  <si>
    <t>YORK HARBOR MARINE SERVICE</t>
  </si>
  <si>
    <t>20 HARRIS ISLAND ROAD</t>
  </si>
  <si>
    <t>LUSTY</t>
  </si>
  <si>
    <t>P-400-22272-501027</t>
  </si>
  <si>
    <t>Optional housing available for 100.00/week to be deducted from paycheck on a weekly basis.</t>
  </si>
  <si>
    <t>john@yorkharbormarine.com</t>
  </si>
  <si>
    <t>H-400-22322-596149</t>
  </si>
  <si>
    <t>1530 Evergreen Road</t>
  </si>
  <si>
    <t>Baytown</t>
  </si>
  <si>
    <t>P-400-22245-453241</t>
  </si>
  <si>
    <t>JOHN GISMONDI LANDSCAPING INC</t>
  </si>
  <si>
    <t xml:space="preserve">GISMONDI </t>
  </si>
  <si>
    <t>JOHNGIZMO@AOL.COM</t>
  </si>
  <si>
    <t>H-400-22321-592770</t>
  </si>
  <si>
    <t>Krause</t>
  </si>
  <si>
    <t>H-400-22321-592184</t>
  </si>
  <si>
    <t>Team Green Outdoor, Inc.</t>
  </si>
  <si>
    <t>541 Old State Rd.</t>
  </si>
  <si>
    <t>Ellisville</t>
  </si>
  <si>
    <t>Kalupa</t>
  </si>
  <si>
    <t>janet@teamgreenoutdoor.com</t>
  </si>
  <si>
    <t>541 Old State Rd. (Report to Work)</t>
  </si>
  <si>
    <t>P-400-22221-404699</t>
  </si>
  <si>
    <t>Optional shared housing available at up to $82.92 per week to be deducted from employee’s paycheck. At Employer’s sole discretion: possible cash advances (if applicable/requested by worker, potential deduction from worker’s paycheck).</t>
  </si>
  <si>
    <t>office@teamgreenoutdoor.com</t>
  </si>
  <si>
    <t>Employer will make all deductions from the worker’s paycheck required by law. Optional mobile housing (valued at $75.00 per week) and local convenience travel (valued at $25.00 per week) are available at no cost to the worker.</t>
  </si>
  <si>
    <t>H-400-22320-591546</t>
  </si>
  <si>
    <t>Winnscapes, Inc.</t>
  </si>
  <si>
    <t>6079 Taylor Rd</t>
  </si>
  <si>
    <t>Gahanna</t>
  </si>
  <si>
    <t xml:space="preserve">Amanda </t>
  </si>
  <si>
    <t xml:space="preserve">Business Manager </t>
  </si>
  <si>
    <t>amartin@winnscapes.com</t>
  </si>
  <si>
    <t xml:space="preserve">ALL WORK IS PERFORMED OUTDOORS DURING ALL TYPES OF WEATHER CONDITIONS. WORKERS MAY BE REQUESTED TO SUBMIT TO RANDOM DRUG AND ALCOHOL
TESTS AT NO COST TO THE WORKER. FAILURE TO COMPLY WITH THE REQUEST OR TESTING POSITIVE MAY RESULT IN IMMEDIATE TERMINATION. ALL TESTING WILL
OCCUR POST-HIRE AND IS NOT A PART OF THE INTERVIEW PROCESS. NEGATIVE RESULT MAY BE REQUIRED POST-HIRE AND BEFORE COMMENCING WORK. USE OF
PERSONAL CELL PHONE OR OTHER PERSONAL ELECTRONIC DEVICE DURING WORKING HOURS STRICTLY PROHIBITED EXCEPT FOR WORK-RELATED CALLS OR
EMERGENCIES AND VIOLATION MAY RESULT IN IMMEDIATE TERMINATION. MUST BE ABLE TO LIFT AND CARRY 75 LBS. MUST BE ABLE TO LIFT 75 LBS. TO SHOULDER
HEIGHT REPETITIVELY THROUGHOUT THE WORKING DAY. WORKERS MUST COMMIT TO WORK THE ENTIRE CONTRACT PERIOD.
</t>
  </si>
  <si>
    <t>Raises, bonuses, and/or incentive pay may be offered at the employer’s sole discretion based on individual factors</t>
  </si>
  <si>
    <t>P-400-22262-480547</t>
  </si>
  <si>
    <t>The employer will make the following deductions from the worker’s wages:  FICA, Medicare and income taxes as required by law.  The employer may deduct amounts paid to third parties authorized in writing by the employee (e.g., uniform rental service); repayment of cash advances or loans; repayment of overpayment of wages to the worker; payment for articles which the worker has voluntarily purchased from the employer; or, recovery of any loss to the employer due to the worker’s damage, beyond normal wear and tear, or loss of equipment where it is shown that the worker is responsible.</t>
  </si>
  <si>
    <t>OhioMeansJobs.Ohio.gov</t>
  </si>
  <si>
    <t>H-400-22307-565923</t>
  </si>
  <si>
    <t>Combined Food Preparation and Serving Workers</t>
  </si>
  <si>
    <t>Combined Food Preparation and Serving Workers, Including Fast Food</t>
  </si>
  <si>
    <t>Don Luna LLC</t>
  </si>
  <si>
    <t>Don Luna Restaurant</t>
  </si>
  <si>
    <t>407 E Main St</t>
  </si>
  <si>
    <t>Tecuapacho</t>
  </si>
  <si>
    <t>Owner/manager</t>
  </si>
  <si>
    <t>706 Jonathan Ln</t>
  </si>
  <si>
    <t>Carterville</t>
  </si>
  <si>
    <t>donluna.nl@gmail.com</t>
  </si>
  <si>
    <t>The only requirement is punctuality, assistance, responsibility, and obedience and the only training required we teach for about two weeks.</t>
  </si>
  <si>
    <t>612 W Poplar Street</t>
  </si>
  <si>
    <t>SALINE</t>
  </si>
  <si>
    <t>South Illinois nonmetropolitan area</t>
  </si>
  <si>
    <t>P-400-22118-118418</t>
  </si>
  <si>
    <t xml:space="preserve">The only times pay is deducted from an employee is in the instance that they are missing workdays or hours or if any reason the restaurant is closed. </t>
  </si>
  <si>
    <t>donlunamarion@gmail.com</t>
  </si>
  <si>
    <t>www.donlunarestaurant.com</t>
  </si>
  <si>
    <t>H-400-22321-593238</t>
  </si>
  <si>
    <t>Moore Property Services, Inc.</t>
  </si>
  <si>
    <t>Grassperson Lawn Care &amp; Landscape</t>
  </si>
  <si>
    <t>1565 West Main St Ste 208-255</t>
  </si>
  <si>
    <t>jack@grassperson.com</t>
  </si>
  <si>
    <t>P-400-22256-468934</t>
  </si>
  <si>
    <t>Fraser</t>
  </si>
  <si>
    <t>H-400-22314-581443</t>
  </si>
  <si>
    <t>Paul Maurer Shows, LLC</t>
  </si>
  <si>
    <t>16081 Warren Ln</t>
  </si>
  <si>
    <t>[Mail:PO Box 3211, Huntington Beach, CA 92605]</t>
  </si>
  <si>
    <t>Huntington Beach</t>
  </si>
  <si>
    <t>16081 WARREN LANE</t>
  </si>
  <si>
    <t>[MAIL: PO BOX 3211. HUNTINGTON BEACH, CA 92605]</t>
  </si>
  <si>
    <t>HUNTINGTON BEACH</t>
  </si>
  <si>
    <t>paulfmaurer@yahoo.com</t>
  </si>
  <si>
    <t>4820 Newton</t>
  </si>
  <si>
    <t>Yucca Valley</t>
  </si>
  <si>
    <t xml:space="preserve">Merit increases and/or bonuses may be awarded at employer discretion.  Due to variability of hours, as a convenience to the workers, a prepayment plan based upon 40 hours of work per week may be available. </t>
  </si>
  <si>
    <t>P-400-22259-478122</t>
  </si>
  <si>
    <t>paulmaurer@yahoo.com</t>
  </si>
  <si>
    <t>www.paulmaurershows.com</t>
  </si>
  <si>
    <t>H-400-22310-571492</t>
  </si>
  <si>
    <t>HELPER OF POOL LABORER</t>
  </si>
  <si>
    <t>HERDER PLUMBING INC</t>
  </si>
  <si>
    <t>3707 E SOUTHERN AVENUE</t>
  </si>
  <si>
    <t>SUITE 1039</t>
  </si>
  <si>
    <t>HERDER</t>
  </si>
  <si>
    <t>JEFF@HERDERPLUMBING.COM</t>
  </si>
  <si>
    <t xml:space="preserve">THREE MONTHS EXPERIENCE AS HELPER OF POOL LABORER IN RESIDENTIAL CONSTRUCTION SETTING. MUST BEND, LIFT AND SUSTAIN UP TO 50 LBS, WORK UNDER EXTREME WEATHER CONDITIONS. NO TRAVEL REQUIRED OUTSIDE METROPOLITAN AREA, NO EDUCATION REQUIRED, ON-THE-JOB TRAINING AVAILABLE. POST-HIRE DRUG TEST REQUIRED PAID BY EMPLOYER, ALL US AND GUEST WORKERS WILL BE SCREENED EQUALLY.
</t>
  </si>
  <si>
    <t>7301 NORTH SUNNY RIDGE PLACE</t>
  </si>
  <si>
    <t>TUCSON</t>
  </si>
  <si>
    <t>if overtime needed it will pay at 21.65</t>
  </si>
  <si>
    <t>P-400-22146-212940</t>
  </si>
  <si>
    <t>Deductions by the law.  Shared group rental housing of $70 to $75 per week depending on housing location, and a refundable security deposit of $75; $30 per week company provided transportation to and from housing if worker wants company housing and/or transport and it is available. Housing, if provided, will be in the Tucson Metropolitan area. No mass transit to work site.</t>
  </si>
  <si>
    <t>Jeff@herderplumbing.com</t>
  </si>
  <si>
    <t>H-400-22321-593177</t>
  </si>
  <si>
    <t>4754 Poplar Tent Road,</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</si>
  <si>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Employer offers free daily transportation to/from worksite from designated pick-up location. Use of transportation is voluntary.       Employer provides incidental transportation between worksites as necessary.</t>
  </si>
  <si>
    <t>H-400-22335-613690</t>
  </si>
  <si>
    <t>TWO WORK LOCATIONS, 290 OLD MONTAUK HIGHWAY AND 32 STAR ISLAND ROAD MONTAUK NY 11954
6 MONTHS EXPERIENCE IN HOUSEKEEPING</t>
  </si>
  <si>
    <t>32 STAR ISLAND RD</t>
  </si>
  <si>
    <t xml:space="preserve"> HOUSING IS OPTIONAL AND AVAILABLE FOR 125.00-150.00/WEEK PAID BY EMPLOYEE DIRECTLY TO EMPLOYER IF ACCEPTED</t>
  </si>
  <si>
    <t>P-400-22199-358342</t>
  </si>
  <si>
    <t xml:space="preserve">HOUSING IS OPTIONAL AND AVAILABLE FOR 125.00-150.00/WEEK PAID BY EMPLOYEE DIRECTLY TO EMPLOYER IF ACCEPTED. A 200.00 REFUNDABLE SECURITY DEPOSIT IN MADE AT TIME OF HIRING </t>
  </si>
  <si>
    <t>H-400-22336-618536</t>
  </si>
  <si>
    <t>amchale@downtoearthlandscaping.com</t>
  </si>
  <si>
    <t>H-400-22335-613878</t>
  </si>
  <si>
    <t>P-400-22206-373040</t>
  </si>
  <si>
    <t>Optional housing available for 125.00/week to be deducted weekly from paycheck.</t>
  </si>
  <si>
    <t>Pleasant Valley Country Club</t>
  </si>
  <si>
    <t>1 Pleasant Valley Drive</t>
  </si>
  <si>
    <t>Auerbach</t>
  </si>
  <si>
    <t>melissacompton@pvcc.cc</t>
  </si>
  <si>
    <t>H-400-22335-613770</t>
  </si>
  <si>
    <t>PEREZ LANDSCAPING INC</t>
  </si>
  <si>
    <t xml:space="preserve">25 COUNTY ROAD 51 </t>
  </si>
  <si>
    <t xml:space="preserve">DIEGO </t>
  </si>
  <si>
    <t>25 COUNTY ROAD 51</t>
  </si>
  <si>
    <t xml:space="preserve">WESTHAMPTON BEACH </t>
  </si>
  <si>
    <t>P-400-22201-363853</t>
  </si>
  <si>
    <t>DIEGPM1@OPTONLINE.NET</t>
  </si>
  <si>
    <t>H-400-22335-613831</t>
  </si>
  <si>
    <t>P-400-22200-360608</t>
  </si>
  <si>
    <t>H-400-22335-613950</t>
  </si>
  <si>
    <t>MARCO INDUSTRIES INC</t>
  </si>
  <si>
    <t>100 TAYLOR AVENUE</t>
  </si>
  <si>
    <t xml:space="preserve"> 467 DAVIE STREET</t>
  </si>
  <si>
    <t xml:space="preserve">MARASCO </t>
  </si>
  <si>
    <t>ARMANDO</t>
  </si>
  <si>
    <t>467 DAVIE STREET</t>
  </si>
  <si>
    <t>P-400-22200-360702</t>
  </si>
  <si>
    <t>MARCOINDUSTRIES56@GMAIL.COM</t>
  </si>
  <si>
    <t>H-400-22307-566239</t>
  </si>
  <si>
    <t>Top Tier Turf and Ornamental, LLC</t>
  </si>
  <si>
    <t>2215 King Arthur Blvd</t>
  </si>
  <si>
    <t>Ste B</t>
  </si>
  <si>
    <t>Leak</t>
  </si>
  <si>
    <t>dleak15@hotmail.com</t>
  </si>
  <si>
    <t>2215 King Arthur Blvd (Report to Work)</t>
  </si>
  <si>
    <t>P-400-22213-387415</t>
  </si>
  <si>
    <t>Shared housing may be available – if used, up to $50/wk will be deducted from pay check. At Employer’s sole discretion: possible cash advances (if applicable/requested by worker, potential deduction from worker’s paycheck).</t>
  </si>
  <si>
    <t>H-400-22335-613684</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</si>
  <si>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Employer will provide on-the-job training.
</t>
  </si>
  <si>
    <t xml:space="preserve">Employer will make all deductions from the worker's paycheck required by law. Optional employee only shared housing available onsite, including utilities, at approximately $100 per week. Housing cost payroll deducted if worker elects.
A single workweek will be used in computing wages due. Workers will be paid weekly. 
</t>
  </si>
  <si>
    <t>H-400-22307-566440</t>
  </si>
  <si>
    <t>H-400-22308-569822</t>
  </si>
  <si>
    <t>Fineline Landscape Construction and Maintenance Corporation</t>
  </si>
  <si>
    <t>7934 Newark Road</t>
  </si>
  <si>
    <t>Imlay City</t>
  </si>
  <si>
    <t>Barragan</t>
  </si>
  <si>
    <t xml:space="preserve">Fidel </t>
  </si>
  <si>
    <t>services@finelinelandscaping.com</t>
  </si>
  <si>
    <t>LAPEER</t>
  </si>
  <si>
    <t>P-400-22216-396197</t>
  </si>
  <si>
    <t>Martha</t>
  </si>
  <si>
    <t>H-400-22307-565962</t>
  </si>
  <si>
    <t>Total Environment Inc.</t>
  </si>
  <si>
    <t>16301 N. Rockwell Ave.</t>
  </si>
  <si>
    <t>HR@totalinc.com</t>
  </si>
  <si>
    <t xml:space="preserve">Post-employment background check, pre-employment and post-injury or incident drug test required, cost paid by employer, and applied equally to all workers, US and foreign/H2B. Must be able to work a 6-day schedule, may include weekends and holidays as required. Applicants must complete an employment application. </t>
  </si>
  <si>
    <t>16301 N. Rockwell Ave</t>
  </si>
  <si>
    <t>Employer may increase wage based on experience, change in market conditions and/or provide additional pay for performanc</t>
  </si>
  <si>
    <t>P-400-22173-305513</t>
  </si>
  <si>
    <t xml:space="preserve">Employer will make all deductions from the worker's paycheck required by law and deduct approved cost of housing if worker elects. Optional employee only shared housing, approx. $150 per pay period, Utilities included, no deposit. Optional Medical, Dental, and/or Vision coverage offered, payroll deducted if worker elects. $2.50 to $80.00 per pay period depending on coverage chosen by employee. 
Employer will provide worker at no charge all tools, supplies, equipment, and uniform required to perform job. </t>
  </si>
  <si>
    <t>H-400-22336-619308</t>
  </si>
  <si>
    <t>H-400-22311-572759</t>
  </si>
  <si>
    <t>The Sleek Greek</t>
  </si>
  <si>
    <t>7942 West Bell Road #C5-469</t>
  </si>
  <si>
    <t>Bliss</t>
  </si>
  <si>
    <t>mbliss23@yahoo.com</t>
  </si>
  <si>
    <t>6956 W. Crocus Drive</t>
  </si>
  <si>
    <t>Peoria</t>
  </si>
  <si>
    <t>P-400-22194-348855</t>
  </si>
  <si>
    <t xml:space="preserve">Employer will make all deductions from the worker’s paycheck required by law.  Optional mobile housing (valued at $150.00 per week) and local convenience travel (valued at $25.00 per week) are available at no cost to the worker.  </t>
  </si>
  <si>
    <t>Nursery Worker</t>
  </si>
  <si>
    <t>Strongwood Forestry, Inc.</t>
  </si>
  <si>
    <t>201 N. Galyean Road</t>
  </si>
  <si>
    <t>Southwest Alabama nonmetropolitan area</t>
  </si>
  <si>
    <t>strongwoodrecruits@gmail.com</t>
  </si>
  <si>
    <t>H-400-22245-452635</t>
  </si>
  <si>
    <t xml:space="preserve">PRE-EMPLOYMENT DRUG TESTING AND CRIMINAL BACKGROUND CHECK. MUST HAVE 6 MONTHS EXPERIENCE OPERATING PROMATION FILLERS OR SIMILAR PRESSURIZED, COMPUTER CONTROLLED FOOD FILLER CANNING PACKAGING SYSTEMS. MUST HAVE GOOD MECHANICAL APTITUDE AND TROUBLESHOOTING SKILLS AND GENERAL KNOWLEDGE OF MAINTENANCE,
WELDING, ELECTRICAL, MACHINE MILLING AND PLUMBING.
MUST BE ABLE TO WORK EFFECTIVELY WITH MINIMAL SUPERVISION AND PERFORM WELL UNDER STRESS.
MUST BE WILLING TO LIVE AND WORK IN REMOTE LOCATION AND WORK UP TO 16 HOURS A DAY, 7 DAYS A WEEK DURING PEAK
SEASON
Days/Shifts will vary
Transportation to and from the worksite is provided at no cost to the worker
Optional employee housing is available to the worker at a cost of $15/day
Employer reserves the right to pay a higher wage rate or bonus to any worker, in their sole discretion, based on performance, skill, tenure, or experience. 
Up to 44 hours of overtime per week available as needed. 
</t>
  </si>
  <si>
    <t>OT will be paid at a rate of $22.34/hr for working greater than 40hrs in any given week or greater than 8 hrs in any day</t>
  </si>
  <si>
    <t>H-400-22229-421061</t>
  </si>
  <si>
    <t xml:space="preserve">Full-Time Nanny </t>
  </si>
  <si>
    <t>Jordan Lezell</t>
  </si>
  <si>
    <t>607 Sealofts Drive, #102</t>
  </si>
  <si>
    <t>Boynton Beach</t>
  </si>
  <si>
    <t>Lezell</t>
  </si>
  <si>
    <t>jordanlezell@gmail.com</t>
  </si>
  <si>
    <t>P-400-22179-317553</t>
  </si>
  <si>
    <t>H-400-22199-359300</t>
  </si>
  <si>
    <t>Berry Contracting, LP</t>
  </si>
  <si>
    <t>Bay Ltd.</t>
  </si>
  <si>
    <t>1414 Valero Way</t>
  </si>
  <si>
    <t>GarciaP@bayltd.com</t>
  </si>
  <si>
    <t>560 S. Fourth Street</t>
  </si>
  <si>
    <t xml:space="preserve">Must pass pre-hire drug test and medical physical.  Must pass a written and functional welding test administered at the project worksite in Corpus Christi, Texas at employer's expense.  Must be willing and able to climb and work in high places that may exceed 200 feet in height, and in confined spaces.  Must be able to lift and or/move a minimum of 50 lbs.  These requirements will be carried out equally between U.S. and H-2B workers.
</t>
  </si>
  <si>
    <t>P-400-22151-227551</t>
  </si>
  <si>
    <t>None. No deductions will be made from pay other than those required by law from the workers' pay.</t>
  </si>
  <si>
    <t>Bay-Resumes@Venice-Inc.com</t>
  </si>
  <si>
    <t>H-400-22259-477499</t>
  </si>
  <si>
    <t>Meat Trimmer (seasonal support for MN DNR wild game season)</t>
  </si>
  <si>
    <t>Ulen Locker</t>
  </si>
  <si>
    <t>102 Northern Pacific Ave E</t>
  </si>
  <si>
    <t>P.O. Box 371</t>
  </si>
  <si>
    <t>Ulen</t>
  </si>
  <si>
    <t>Briard</t>
  </si>
  <si>
    <t>ribeye@arvig.net</t>
  </si>
  <si>
    <t>Scimecca</t>
  </si>
  <si>
    <t>7300 147th St W, #304</t>
  </si>
  <si>
    <t>Suite 304</t>
  </si>
  <si>
    <t>Apple Valley</t>
  </si>
  <si>
    <t>mscimecca@vogellaw.com</t>
  </si>
  <si>
    <t>Vogel Law Firm</t>
  </si>
  <si>
    <t xml:space="preserve">NO MINIMUM EDUCATION, TRAINING OR EXPERIENCE REQUIREMENTS FOR POSITION.
MUST BE AT LEAST AGE 18
MUST BE ABLE TO FOLLOW WRITTEN AND VERBAL INSTRUCTION FROM SUPERVISOR.
MUST BE ABLE TO PERFORM BASIC PHYSICAL MANEUVERS, SOME OF WHICH ARE REPETITIVE, INCLUDING STANDING FOR EXTENDED PERIODS OF TIME.
LIFT UP TO 30 POUNDS CONSISTENTLY AND UP TO 75 POUNDS OCCASIONALLY.
</t>
  </si>
  <si>
    <t>Box 371</t>
  </si>
  <si>
    <t>P-400-22152-230530</t>
  </si>
  <si>
    <t>Employer will assist in securing board (shared accommodations) which will be deducted at a max rate of $600/month.</t>
  </si>
  <si>
    <t>H-400-22259-477552</t>
  </si>
  <si>
    <t>The Other Side Landscaping, LLC</t>
  </si>
  <si>
    <t>1605 W 980 S</t>
  </si>
  <si>
    <t>theothersideisalwaysgreener@gmail.com</t>
  </si>
  <si>
    <t xml:space="preserve">Must be 18 due to equipment use. Must show proof of legal authorization to work in the United States. Drug/alcohol/tobacco free work zone. Perform physical activities such as: lift, balance, walk, stoop, handle, position, move,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Weekends may be available depending on weather and work load.
</t>
  </si>
  <si>
    <t>P-400-22202-367949</t>
  </si>
  <si>
    <t>H-400-22232-428340</t>
  </si>
  <si>
    <t>Packaging Machine Operator I</t>
  </si>
  <si>
    <t xml:space="preserve">12 months Packaging Machine Operator, preferably in the plant produce industry environment. Ability to bend, stoop and lift up to 50lbs. Able to work in a cold temperature (35F). 
</t>
  </si>
  <si>
    <t>P-400-22181-323022</t>
  </si>
  <si>
    <t>A higher rate may apply based on experience, productivity and/or market conditions. Workers will be paid bi-weekly by pay card or direct deposit. Overtime: For work performed in Ohio, an overtime premium will be paid when required by Federal, State, or local law, including at time-and-a-half after 40 hours in a workweek. Thus, non-exempt overtime hours will be paid at $23.36. Overtime hours may vary. Deductions from Pay: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  
Employer-assisted housing is optional.</t>
  </si>
  <si>
    <t>H-400-22250-458594</t>
  </si>
  <si>
    <t>construction labor</t>
  </si>
  <si>
    <t>Reinforcing Iron and Rebar Workers</t>
  </si>
  <si>
    <t>Sahara Development, Inc</t>
  </si>
  <si>
    <t>3887 E Ajo Way</t>
  </si>
  <si>
    <t>Booth</t>
  </si>
  <si>
    <t>office manager</t>
  </si>
  <si>
    <t>3887 E AJO WAY</t>
  </si>
  <si>
    <t>dale@sdi-tucson.com</t>
  </si>
  <si>
    <t xml:space="preserve">Minimum 6 months commercial construction experience </t>
  </si>
  <si>
    <t>P-400-22167-289016</t>
  </si>
  <si>
    <t>State and federal taxes and Social Security</t>
  </si>
  <si>
    <t>H-400-22273-505150</t>
  </si>
  <si>
    <t>Snow Removal Technician</t>
  </si>
  <si>
    <t>Ward Service Company, LLC</t>
  </si>
  <si>
    <t>7279 E. Poser Rd</t>
  </si>
  <si>
    <t>[PO BOX 464, CATOOSA, OK 74015]</t>
  </si>
  <si>
    <t>wardservicecompany@gmail.com</t>
  </si>
  <si>
    <t xml:space="preserve">Post-employment random drug testing and background checks may be required, at no cost to the worker. The job requires the applicant to be qualified, ready, willing, able, and available to perform during the entire employment at all the designated worksites; and to follow workplace rules. </t>
  </si>
  <si>
    <t>7279 E Poser Rd</t>
  </si>
  <si>
    <t>P-400-22169-295319</t>
  </si>
  <si>
    <t xml:space="preserve">Employer will make all deductions from the worker’s paycheck required by law.  
Uniform shirts and hats are provided at no cost to the employee.  
Employer provides no housing nor housing assistance.
</t>
  </si>
  <si>
    <t>H-400-22272-502934</t>
  </si>
  <si>
    <t>F&amp;B Attendant</t>
  </si>
  <si>
    <t>Westgroup Naples, L.P.</t>
  </si>
  <si>
    <t>LaPlaya Beach &amp; Golf Resort</t>
  </si>
  <si>
    <t>9891 Gulf Shore Drive</t>
  </si>
  <si>
    <t>Hainsworth</t>
  </si>
  <si>
    <t>Area Human Resources Director</t>
  </si>
  <si>
    <t>rhainsworth@laplayaresort.com</t>
  </si>
  <si>
    <t>Job requires minimum 1 month related F&amp;B experience in 4/5 Diamond establishment. Background checks conducted. Shifts vary: 6am-12pm, 12pm-6pm, 4pm-12am. Work week: 35 hours (5 rotating days including weekends and holidays).</t>
  </si>
  <si>
    <t>Pay rate: $15.02/hour; service charge &amp; cash tips. Overtime available on as needed basis at $22.53/hour.</t>
  </si>
  <si>
    <t>P-400-22195-353796</t>
  </si>
  <si>
    <t>All deductions from worker's paycheck required by law will be made.</t>
  </si>
  <si>
    <t>RHainsworth@LaPlayaresort.com</t>
  </si>
  <si>
    <t>H-400-22276-506658</t>
  </si>
  <si>
    <t>Big DD LLC</t>
  </si>
  <si>
    <t xml:space="preserve">19905 Manecke Road </t>
  </si>
  <si>
    <t xml:space="preserve">Brooksville </t>
  </si>
  <si>
    <t>Pauley</t>
  </si>
  <si>
    <t>19905 Manecke Road</t>
  </si>
  <si>
    <t>Brooksville</t>
  </si>
  <si>
    <t>wlp20@aol.com</t>
  </si>
  <si>
    <t>P-400-22188-338586</t>
  </si>
  <si>
    <t xml:space="preserve">Employer will make all deductions from the worker’s paycheck required by law. Optional mobile housing (valued at $100.00 per week) and local convenience travel (valued at $25.00 per week) are available for wage credit and/or deduction, or any lesser amount to the maximum extent allowed by law.  </t>
  </si>
  <si>
    <t>H-400-22307-566019</t>
  </si>
  <si>
    <t>Bluebonnet Outdoor, LLC</t>
  </si>
  <si>
    <t>7507 68th Street</t>
  </si>
  <si>
    <t>Lubbock</t>
  </si>
  <si>
    <t>7507  68th Street (Report to Work)</t>
  </si>
  <si>
    <t>LUBBOCK</t>
  </si>
  <si>
    <t>Lubbock, TX</t>
  </si>
  <si>
    <t>P-400-22210-384968</t>
  </si>
  <si>
    <t>Optional shared housing available at up to $176.88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</si>
  <si>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 xml:space="preserve"> asdljobs@sprinklerdrainage.com</t>
  </si>
  <si>
    <t>H-400-22307-568042</t>
  </si>
  <si>
    <t>Willowgrove Landscape, LLC</t>
  </si>
  <si>
    <t xml:space="preserve">74034 Hwy 1077 </t>
  </si>
  <si>
    <t>Suite 7</t>
  </si>
  <si>
    <t>Knick</t>
  </si>
  <si>
    <t>74034 Hwy 1077</t>
  </si>
  <si>
    <t>mknick@willowgrovelandscape.com</t>
  </si>
  <si>
    <t xml:space="preserve">MUST BE ABLE TO TOLERATE EXTREME TEMPERATURES, LOUD NOISES; LIFT HEAVY EQUIPMENT AND EXHIBIT STAMINA. OPERATE EQUIPMENT WHILE SOBER. POST-EMPLOYMENT EMPLOYER-PAID DRUG TEST MAY BE ADMINISTERED. MAY WORK SATURDAY DEPENDING ON WEATHER.
Work days:  Monday-Friday. May work Saturdays.
Hours per week: 50
Work Schedule: 6:45 AM-4:45 PM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Yes.Optional Rental Home.
Deductions: 
Optional housing available at $80-100 per week. No family housing.
</t>
  </si>
  <si>
    <t>74034 Hwy 1077, STE 7</t>
  </si>
  <si>
    <t>COVINGTON</t>
  </si>
  <si>
    <t>P-400-22207-376268</t>
  </si>
  <si>
    <t>Optional housing available at $80-100 per week. No family housing.</t>
  </si>
  <si>
    <t xml:space="preserve"> www.willowgrovelandscape.com/careers</t>
  </si>
  <si>
    <t>H-400-22307-567253</t>
  </si>
  <si>
    <t>Deville's Lawn Service II LLC</t>
  </si>
  <si>
    <t>8421 Neal Lane</t>
  </si>
  <si>
    <t>Morganza</t>
  </si>
  <si>
    <t>Deville</t>
  </si>
  <si>
    <t>devilleslawnserviceIILLC@gmail.com</t>
  </si>
  <si>
    <t xml:space="preserve">ABLE TO BEND, REACH TO GROUND LEVEL OR OVERHEAD, STAND, WALK, KNEEL FOR LONG PROLONGED PERIOD OF TIME, ABLE TO LIFT UP TO 50LBS, ABLE TO WORK IN ALL-WEATHER CONDITION FROM EXTREME HEAT, COLD OR RAIN.
ABLE TO WORK WEEKENDS ONCE HIRED WORKER MAY BE REQUIRED TO TAKE A RANDOM DRUG TEST, AT NO COST TO WORKER. TESTING POSITIVE OR FAILURE TO COMPLY MAY RESULT IN TERMINATION
Anticipated Days and Hours Work Per Week  -The standard work schedule is from 7:00 am until 4:00 pm Monday through Friday; Saturday and Sunday work required, when necessary, Employer will offer 35 Hours per work week- Overtime is offered but not guaranteed - Employer may offer more hours than the stated work hours, depending on weather, business needs and other conditions. Extreme Heat, cold, rain, may affect exact
</t>
  </si>
  <si>
    <t>Morganze</t>
  </si>
  <si>
    <t>POINTE COUPEE</t>
  </si>
  <si>
    <t>P-400-22178-313094</t>
  </si>
  <si>
    <t xml:space="preserve">required by Federal, State and Local Law. 
Employer offers Voluntary shared housing available is offered to any worker Living outside a normal commuting area, at no cost to any worker that lives outside a normal commuting area (no family housing offered) </t>
  </si>
  <si>
    <t>H-400-22269-493689</t>
  </si>
  <si>
    <t>Marbella Landscaping, LLC.</t>
  </si>
  <si>
    <t>1005 N 1200 W</t>
  </si>
  <si>
    <t>Mora</t>
  </si>
  <si>
    <t>contact@marbellalandscaping.com</t>
  </si>
  <si>
    <t xml:space="preserve">Must be 18 due to equipment use. Must show proof of legal authorization to work in the United States. Drug/alcohol/tobacco free work zone. Perform physical activities such as: lift, balance, walk, stoop, handle, position, move, lift,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and/or overtime.
</t>
  </si>
  <si>
    <t>P-400-22202-368152</t>
  </si>
  <si>
    <t>https://marbellausa.com/</t>
  </si>
  <si>
    <t>H-400-22279-513766</t>
  </si>
  <si>
    <t>P-400-22232-428439</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</si>
  <si>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</si>
  <si>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H-400-22276-506253</t>
  </si>
  <si>
    <t>.  Amusement &amp; Recreation Attendant – Traveling Carnival Gam</t>
  </si>
  <si>
    <t>Boguey Concessions LLC</t>
  </si>
  <si>
    <t>54905 Shady Lane</t>
  </si>
  <si>
    <t>(Mail: 42-215 Washington St Ste A 428 Palm Desert CA  92211)</t>
  </si>
  <si>
    <t>Thermal</t>
  </si>
  <si>
    <t>Bogue</t>
  </si>
  <si>
    <t>{Mail:  42-215Washington St Ste A 428  Palm Desert Ca  92211</t>
  </si>
  <si>
    <t>boguejesse5@aol.com</t>
  </si>
  <si>
    <t>P-400-22182-328276</t>
  </si>
  <si>
    <t xml:space="preserve">Employer will make all deductions from the worker’s paycheck required by law.  Optional mobile housing (valued at $125.00 per week) and local convenience travel (valued at $15.00 per week) are available at no cost to the worker.  </t>
  </si>
  <si>
    <t>bogueyl@gmail.com</t>
  </si>
  <si>
    <t>H-400-22253-465316</t>
  </si>
  <si>
    <t>Bookkeeping, Accounting and Auditing Clerk</t>
  </si>
  <si>
    <t>CAMILAS RESTAURANT ORLANDO LLC</t>
  </si>
  <si>
    <t>5458 International Drive</t>
  </si>
  <si>
    <t>Balthazar de Oliveira</t>
  </si>
  <si>
    <t>Ariney</t>
  </si>
  <si>
    <t>camilas@lopesesousa.com.br</t>
  </si>
  <si>
    <t>Lopes de Sousa</t>
  </si>
  <si>
    <t>Guilherme</t>
  </si>
  <si>
    <t>6675 Westwood Blvd</t>
  </si>
  <si>
    <t>Ste 330</t>
  </si>
  <si>
    <t>labor@lopes.law</t>
  </si>
  <si>
    <t>Lopes Law PLLC</t>
  </si>
  <si>
    <t>NY Third Department Appellate Court</t>
  </si>
  <si>
    <t xml:space="preserve">Portuguese
</t>
  </si>
  <si>
    <t>P-400-22166-285077</t>
  </si>
  <si>
    <t>H-400-22308-569188</t>
  </si>
  <si>
    <t>Wendler Landscape &amp; Irrigation LLC</t>
  </si>
  <si>
    <t>2459 FM 2268</t>
  </si>
  <si>
    <t>Wendler</t>
  </si>
  <si>
    <t xml:space="preserve">Possibility of performance based raise, Saturday work and overtime. </t>
  </si>
  <si>
    <t>P-400-22217-398972</t>
  </si>
  <si>
    <t>H-400-22259-478387</t>
  </si>
  <si>
    <t>77 Seascape Blvd</t>
  </si>
  <si>
    <t>Wage:piece-rate position paid on a basis of rooms cleaned, rather than on an hourly basis.</t>
  </si>
  <si>
    <t>P-400-22179-318143</t>
  </si>
  <si>
    <t>H-400-22279-514422</t>
  </si>
  <si>
    <t>PACKING AND RECEIVING</t>
  </si>
  <si>
    <t>FRONTLINER CARGO CORP, DUSTIN RANGEL</t>
  </si>
  <si>
    <t>13230 SW 132ND AVE STE 11</t>
  </si>
  <si>
    <t>RANGEL</t>
  </si>
  <si>
    <t>DUSTIN</t>
  </si>
  <si>
    <t>info@frontliner.com.py</t>
  </si>
  <si>
    <t>CRUZ REYNOSO</t>
  </si>
  <si>
    <t>ROBERTO</t>
  </si>
  <si>
    <t>ANTONIO</t>
  </si>
  <si>
    <t>1250 FRANKLIN AVE APT. 2F</t>
  </si>
  <si>
    <t>VISASPARATODOS254@GMAIL.COM</t>
  </si>
  <si>
    <t>ROBERTO A. CRUZ REYNOSO</t>
  </si>
  <si>
    <t xml:space="preserve">HAVE TO COMUNICATE IN GUARANI LANGUAGE
</t>
  </si>
  <si>
    <t>MIAMI-DADE  (OLD DEF)</t>
  </si>
  <si>
    <t>P-400-22227-416240</t>
  </si>
  <si>
    <t>IN ACCORDANCE WITH US FEDERAL AND STATE LAWS, FRONTLINER CARGO CORP. WILL WITHOLD STATE INCOME TAX, FEDERAL INCOME TAX, AND MEDICARE TAX</t>
  </si>
  <si>
    <t>INFO@FRONTLINER.COM.PY</t>
  </si>
  <si>
    <t>H-400-22252-464288</t>
  </si>
  <si>
    <t xml:space="preserve">CRC Indiana, LLC </t>
  </si>
  <si>
    <t xml:space="preserve">2209 Stafford Road </t>
  </si>
  <si>
    <t xml:space="preserve">Mailing: PO Box 1607, Kenner, LA 70063 </t>
  </si>
  <si>
    <t xml:space="preserve">Plainfield </t>
  </si>
  <si>
    <t>Gibson</t>
  </si>
  <si>
    <t>Mailing: PO Box 1607, Kenner, LA 70062</t>
  </si>
  <si>
    <t>jgibson@crc.global</t>
  </si>
  <si>
    <t xml:space="preserve">517 Broad Street </t>
  </si>
  <si>
    <t>ashley@afdees.com</t>
  </si>
  <si>
    <t>Ashley Foret Dees, LLC</t>
  </si>
  <si>
    <t xml:space="preserve">Pre hire drug screening
</t>
  </si>
  <si>
    <t>CRC Indiana-based raises and/or bonuses possible at employer’s discretion.</t>
  </si>
  <si>
    <t>P-400-22133-168939</t>
  </si>
  <si>
    <t>Employer will make all deductions from workers’ paycheck as required by law. Employer may allow deductions not required by law as long as advance permission is granted by employee or employer will state the specific deductions. Boarding options: Voluntary, no cost housing is available to workers for the option to board; housing is not mandatory.</t>
  </si>
  <si>
    <t xml:space="preserve">Ashley Foret Dees, LLC </t>
  </si>
  <si>
    <t>mayely@afdees.com</t>
  </si>
  <si>
    <t>H-400-22251-461569</t>
  </si>
  <si>
    <t>RReed@killington.com</t>
  </si>
  <si>
    <t xml:space="preserve"> 4763 Killington Road</t>
  </si>
  <si>
    <t>Wage: $17.00 - $32.00 per hour, paid bi-weekly. Please see job description.</t>
  </si>
  <si>
    <t>P-400-22138-187478</t>
  </si>
  <si>
    <t>Optional housing is offered on a first-come, first-serve basis for workers who are relocating to begin employment.  Employees may have up to two housing options, depending on availability.  Option #1: limited, employer-owned housing may be available.  Cost of employer-owned housing, if accepted, is $115.00 per week, to be paid directly to the Employer.  A $300.00 security deposit is required, to be paid directly to the employer at time of move-in.  The security deposit is refundable provided that the tenant remains in the housing through the agreed upon departure date, is up to date with rent payments, completes the checkout process and leaves the premises in good condition. Option #2: employer will assist employee in locating and arranging local third-party housing, in which case, employee will pay housing costs directly to third-party landlord based on the terms of the lease.</t>
  </si>
  <si>
    <t>H-400-22290-534697</t>
  </si>
  <si>
    <t>Mid-America Lawn Maintenance Co. Inc.</t>
  </si>
  <si>
    <t>11427 Warnen Road</t>
  </si>
  <si>
    <t>Keppel</t>
  </si>
  <si>
    <t>Curt</t>
  </si>
  <si>
    <t>cknd72@gmail.com</t>
  </si>
  <si>
    <t>11427 Warnen Rd (Report to Work)</t>
  </si>
  <si>
    <t>P-400-22168-292644</t>
  </si>
  <si>
    <t>H-400-22258-475239</t>
  </si>
  <si>
    <t>FOOD PREPARER</t>
  </si>
  <si>
    <t>AKEG VENTURES INC</t>
  </si>
  <si>
    <t>SABOR A MEXICO</t>
  </si>
  <si>
    <t>805 W LANIER AVENUE</t>
  </si>
  <si>
    <t>STE C</t>
  </si>
  <si>
    <t>FAYETTEVILLE</t>
  </si>
  <si>
    <t xml:space="preserve">GONZALEZ </t>
  </si>
  <si>
    <t>EFRAIN</t>
  </si>
  <si>
    <t>tastemexicanos@gmail.com</t>
  </si>
  <si>
    <t>DIAZ</t>
  </si>
  <si>
    <t>YOLANDA</t>
  </si>
  <si>
    <t>2180 SATELLITE BLVD</t>
  </si>
  <si>
    <t>SUITE 400</t>
  </si>
  <si>
    <t>DULUTH</t>
  </si>
  <si>
    <t>d.oconsulting.ser@gmail.com</t>
  </si>
  <si>
    <t>D&amp;O Consulting services, LLC</t>
  </si>
  <si>
    <t>Working days vary between weekdays and weekends.</t>
  </si>
  <si>
    <t>P-400-22203-370567</t>
  </si>
  <si>
    <t>H-400-22321-591927</t>
  </si>
  <si>
    <t>Home Caregiver</t>
  </si>
  <si>
    <t>chesterfield services inc</t>
  </si>
  <si>
    <t>chesterfieldhealth services inc</t>
  </si>
  <si>
    <t>703 columbia street, suite 200</t>
  </si>
  <si>
    <t>seattle</t>
  </si>
  <si>
    <t>ogiale</t>
  </si>
  <si>
    <t>stella</t>
  </si>
  <si>
    <t>o</t>
  </si>
  <si>
    <t>stella@chesterfieldhealth.com</t>
  </si>
  <si>
    <t>P-400-22320-589391</t>
  </si>
  <si>
    <t xml:space="preserve">Federal and State taxes , Union dues,
Meals and Lodging 
</t>
  </si>
  <si>
    <t>www.chesterfieldhealth.com</t>
  </si>
  <si>
    <t xml:space="preserve"> ogiale</t>
  </si>
  <si>
    <t>H-400-22294-544253</t>
  </si>
  <si>
    <t>Wild Ridge Lawn &amp; Landscape</t>
  </si>
  <si>
    <t>3355 S Arlington Ave</t>
  </si>
  <si>
    <t>Director of Production</t>
  </si>
  <si>
    <t xml:space="preserve">Ability to lift 50lbs
45 hrs, 7:00am-5:00pm, M-F, possible Sat/Sun. Hours and workdays may vary depending on weather.
</t>
  </si>
  <si>
    <t>P-400-22209-382591</t>
  </si>
  <si>
    <t>Employer may assist in locating housing. 
Employee incentive program to earn prizes, 40 hrs PTO, paid holidays, optional life insurance (deducted).
Employer may charge the worker for reasonable costs related to the worker's refusal or negligent failure to return any property furnished by the employer or due to such worker's willful damage or destruction of such property. Deductions may be taken per employee's request.</t>
  </si>
  <si>
    <t>https://www.indianacareerconnect.com/vosnet/Default.aspx?enc=vLa15KtdC</t>
  </si>
  <si>
    <t>H-400-22251-460404</t>
  </si>
  <si>
    <t>Line Cook II</t>
  </si>
  <si>
    <t>MB MT Acquisition LLC</t>
  </si>
  <si>
    <t>Moonlight Basin</t>
  </si>
  <si>
    <t>66 Mountain Loop Road</t>
  </si>
  <si>
    <t>Mailing: PO Box 161514, Big Sky, MT 59716-1514</t>
  </si>
  <si>
    <t>Wilcynski</t>
  </si>
  <si>
    <t>mwilcynski@moonlightbasin.com</t>
  </si>
  <si>
    <t>The petitioner will consider any person for employment who possesses at least six (6) months of culinary experience in a fine-dining or high-volume environment at a high-end restaurant, resort, or private club. Applicant must complete pre-employment background check.
Work schedule can vary and can include evening, weekend, and holiday hours.  Work may be performed on any day of the week from Monday through Sunday.  Example shifts: 9:00am  5:00pm, or 3:00pm  11:00pm.  Shift hours may vary.</t>
  </si>
  <si>
    <t>66 Mountain Loop Rd.</t>
  </si>
  <si>
    <t xml:space="preserve">This position receives gratuities from a shared tip pool.  One free meal per shift. </t>
  </si>
  <si>
    <t>P-400-22201-363413</t>
  </si>
  <si>
    <t>Optional housing is offered on a first-come, first-serve basis for workers who are relocating to begin employment.  Cost of housing, if accepted, is $600.00 per month.  If used, total cost of housing will be paid directly to employer by employee.  A $300.00 refundable security deposit is required to be paid directly to employer. Daily transportation to and from worksite is provided.</t>
  </si>
  <si>
    <t>dlawler@moonlightbasin.com</t>
  </si>
  <si>
    <t>H-400-22282-518804</t>
  </si>
  <si>
    <t>CLM Attractions LLC</t>
  </si>
  <si>
    <t>Twisted Amusements</t>
  </si>
  <si>
    <t>2801 Holly Road</t>
  </si>
  <si>
    <t>Chrissy</t>
  </si>
  <si>
    <t>twistedamusements@gmail.com</t>
  </si>
  <si>
    <t>P-400-22213-387799</t>
  </si>
  <si>
    <t xml:space="preserve">Employer will make all deductions from the worker’s paycheck required by law.  Optional mobile housing (valued at $35.00 per week) and local convenience travel (valued at $15.00 per week) are available at no cost to the worker.  </t>
  </si>
  <si>
    <t>H-400-22301-555661</t>
  </si>
  <si>
    <t>Three Rivers Concession, LLC.</t>
  </si>
  <si>
    <t>2208 Mercer Butler Pike</t>
  </si>
  <si>
    <t>Grove City</t>
  </si>
  <si>
    <t>Seivers</t>
  </si>
  <si>
    <t>2208 MERCER BUTLER PIKE</t>
  </si>
  <si>
    <t>GROVE CITY</t>
  </si>
  <si>
    <t>threeriversconcessions@yahoo.com</t>
  </si>
  <si>
    <t>P-400-22248-455235</t>
  </si>
  <si>
    <t>Waleska</t>
  </si>
  <si>
    <t>H-400-22262-479011</t>
  </si>
  <si>
    <t>SLQ FREIGHT INC</t>
  </si>
  <si>
    <t xml:space="preserve">2504 LUCIA CT </t>
  </si>
  <si>
    <t xml:space="preserve">SALVADOR </t>
  </si>
  <si>
    <t>MORENO</t>
  </si>
  <si>
    <t>3440 N BUENA VISTA AVE</t>
  </si>
  <si>
    <t>direccion@slq.com.mx</t>
  </si>
  <si>
    <t>2504 LUCIA CT</t>
  </si>
  <si>
    <t>P-400-22202-369084</t>
  </si>
  <si>
    <t xml:space="preserve">6.2%  social security
1.45% medicaid </t>
  </si>
  <si>
    <t>H-400-22252-465022</t>
  </si>
  <si>
    <t>Crawfish</t>
  </si>
  <si>
    <t>Bayou Land Seafood, LLC.</t>
  </si>
  <si>
    <t>1008 Vincent Berard Road</t>
  </si>
  <si>
    <t>St. Martin parish</t>
  </si>
  <si>
    <t>bayoulandseafood@yahoo.com</t>
  </si>
  <si>
    <t>Couch</t>
  </si>
  <si>
    <t xml:space="preserve">Kelly </t>
  </si>
  <si>
    <t>231 Pecan Avenue</t>
  </si>
  <si>
    <t>New Roads</t>
  </si>
  <si>
    <t>Pointe Coupee parish</t>
  </si>
  <si>
    <t>kelly@couchapplication.com</t>
  </si>
  <si>
    <t>Couch Application Service Assistance, LLC., FLC</t>
  </si>
  <si>
    <t xml:space="preserve">Bayou Land Seafood, LLC. is looking to fill crawfish positions in St. Martin parish.  Temporary, fulltime, seasonal position and we are looking to fill 40 job openings for employment from December 1, 2022 - June 30, 2023.    
Duties of a crawfish position:  : Bag, prepare bait, box, clean, cleanup of worksite, conveyor belt/steam room, dehead, dock work (load &amp; unload of bait/product/supplies, etc), dump sacks, extract meat, fill baskets, troughs and tables, freeze, grade, ice pack, load/unload, package, peel, prepare, process, refrigerate, remove/discard waste products, sanitize, seal, vacuum pack, wash, wash machine, weigh and any other activities as related to crawfish processing.
Requirements: Manual dexterity of hands/Extensive sitting and/or standing. Must have two weeks (no months) seafood exp. After initial 30 hours of processing employee must be able to peel 5.15# or more per hour.  Employer may require drug screen; post hire, employer paid.  Testing positive or failure to comply may result in immediate termination. Must not be allergic to product and/or environment. Terms and conditions of employment: $ 14.38 hourly M-F, some Sat/Sun, 6a-2p with an unpaid lunch break.  35-hour week, overtime may be available and paid @ $21.57 which is the overtime hourly rate (after 40 hours weekly).  Overtime, offered hours, and schedule may all vary.  Employee may be paid per pound @ employer discretion, which at all times meet/or exceed ETA 9142 certified hourly wage. Employee may earn more through piece rate work. Unpaid breaks available in 30 min increments at employee discretion. No on the job training. No education requirement. Employees may be compensated above the DOL approved wage rate, this decision to pay above the DOL certified wage rate will be made by the employer basing this decision on factors that include the individual recipient's performance and work history. Transportation (including meals and to the extent necessary lodging) to the place of employment will be provided or its cost to the workers reimbursed, if the worker completes half the employment period.  Return transportation and daily subsistence will be provided if worker completes the employment period or is dismissed early by the employer. The amount of transportation payment or reimbursement will be equal to the most economical and reasonable form of common carrier for the distance involved.  Daily subsistence will be provided at a rate of $14.00 per day during travel to a maximum of $59 per day with receipts.  Employer will not provide daily transportation to the worksite. Employer will reimburse the H2B worker in the first workweek for all visa, visa processing, border crossing and other/related fees including those mandated by the government incurred by the H2B worker (excluding passport expenses and other charges primarily for the benefit of worker). The employer will provide workers at no charge all tools, supplies, and equipment required to perform assigned duties.  Miscellaneous: Employer will use a single work week as its standard for computing wages due.  Workweek runs from Sun  SAT with checks distributed by end of day on following Wed. Employer will make payroll deductions as required by law and deducted from the worker paycheck. Potential local housing for rent if worker desires.  No more than $30 per week/per person may be charged or deducted from worker paychecks for housing and basic utilities for workers who choose housing option. Employer contact information: Bayou Land Seafood, LLC. Adam J. Johnson, 1008 Vincent Berard Road, Breaux Bridge, LA 70517, 337-667-6118.  How to apply: Applicants inquire about job, send applications, indications of availability or resumes directly to local LA SWA office located in St. Martin parish, 215 Evangeline Blvd. St. Martinville, LA, 70582 337-394-2205 and refer to job order # 1349258.
</t>
  </si>
  <si>
    <t xml:space="preserve">Employee may be paid per pound @ employer discretion, which at all times meet/or exceed ETA 9142 certified hourly wage. </t>
  </si>
  <si>
    <t>P-400-22182-327737</t>
  </si>
  <si>
    <t xml:space="preserve">EMPLOYER WILL MAKE PAYROLL DEDUCTIONS AS REQUIRED B Y LAW AND DEDUCTED FROM THE WORKER PAYCHECK. POTENTIAL LOCAL HOUSING FOR RENT IF WORKER DESIRES. NO MORE THAN $30 PER WEEK/PER PERSON MAY BE CHARGED OR DEDUCTED FROM WORKER PAYCHECKS FOR HOUSING AND BASIC UTILITIES
FOR WORKERS WHO CHOOSE HOUSING OPTION.
</t>
  </si>
  <si>
    <t>H-400-22243-448675</t>
  </si>
  <si>
    <t>PO Box 1428, Stowe, Vermont 05672</t>
  </si>
  <si>
    <t xml:space="preserve">The petitioner will consider any person for employment who possesses at least three (3) months of experience in a fine-dining or high-volume environment at a high-end restaurant, resort, or private club. Applicant must complete a pre - employment background check and show proof of COVID-19 vaccination
Work schedule can vary and can include evening, weekend, and holiday hours.  Work is performed on any day of the week from Monday through Sunday.  Days off vary. Shifts may vary. Shifts times: 8am  4pm, 9am  5pm, 2pm- 10pm. 3pm-11pm. Shifts are subject to change for special events or due to need. </t>
  </si>
  <si>
    <t>+DOE. Potential tips. One free meal per shift. 20% discount for restaurant &amp; retail.  Multiple free activities included.</t>
  </si>
  <si>
    <t>P-400-22175-311054</t>
  </si>
  <si>
    <t>H-400-22199-359792</t>
  </si>
  <si>
    <t xml:space="preserve">Forestry Worker </t>
  </si>
  <si>
    <t xml:space="preserve">Rain Drop Reforestation </t>
  </si>
  <si>
    <t>369 De Barr Avenue</t>
  </si>
  <si>
    <t>Conchas</t>
  </si>
  <si>
    <t xml:space="preserve">Arturo </t>
  </si>
  <si>
    <t>raindropreforestation@gmail.com</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</si>
  <si>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65lbs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</si>
  <si>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369 De Barr Avenue (Report to Work)</t>
  </si>
  <si>
    <t>P-400-22115-104760</t>
  </si>
  <si>
    <t>H-400-22258-475134</t>
  </si>
  <si>
    <t>Lynn Chleborad Racing</t>
  </si>
  <si>
    <t>6561 NE 46th Street</t>
  </si>
  <si>
    <t xml:space="preserve">Chleborad </t>
  </si>
  <si>
    <t xml:space="preserve">Lynn </t>
  </si>
  <si>
    <t>tbtrainerlc@msn.com</t>
  </si>
  <si>
    <t>Oakland Racing &amp; Gaming</t>
  </si>
  <si>
    <t>Hot springs</t>
  </si>
  <si>
    <t>P-400-22152-231650</t>
  </si>
  <si>
    <t>TBTRAINERLC@msn.com</t>
  </si>
  <si>
    <t>H-400-22280-516476</t>
  </si>
  <si>
    <t>Juicys LLC</t>
  </si>
  <si>
    <t>5380 Gulf of Mexico Dr</t>
  </si>
  <si>
    <t>Longboat Key</t>
  </si>
  <si>
    <t>Enright</t>
  </si>
  <si>
    <t>5380 Gulf of Mexico Dr Ste 105</t>
  </si>
  <si>
    <t>brett@magicmoney.com</t>
  </si>
  <si>
    <t>7400 E. Monte Cristo Avenue</t>
  </si>
  <si>
    <t>P-400-22182-328072</t>
  </si>
  <si>
    <t>employment@juicysfood.com</t>
  </si>
  <si>
    <t>H-400-22278-512149</t>
  </si>
  <si>
    <t>Victor Marcus, Inc.</t>
  </si>
  <si>
    <t>Vic Marcus Concessions</t>
  </si>
  <si>
    <t>28900 Triple Crown Rd</t>
  </si>
  <si>
    <t>(Mail: 3337 W. Florida Ave. PMB 243, Hemet CA 92545)</t>
  </si>
  <si>
    <t>Romoland</t>
  </si>
  <si>
    <t>Marcus</t>
  </si>
  <si>
    <t>Carole</t>
  </si>
  <si>
    <t>marcushotdog@yahoo.com</t>
  </si>
  <si>
    <t>28900 Triple Crown Road</t>
  </si>
  <si>
    <t>P-400-22187-334523</t>
  </si>
  <si>
    <t>H-400-22246-454576</t>
  </si>
  <si>
    <t>MICHAEL A. FERRARO</t>
  </si>
  <si>
    <t>6937 Proximity Lane</t>
  </si>
  <si>
    <t>Ferraro</t>
  </si>
  <si>
    <t>maffrog@aol.com</t>
  </si>
  <si>
    <t>Must have one (1) month experience as a Stable Attendant.</t>
  </si>
  <si>
    <t>TAMPA BAY DOWNS</t>
  </si>
  <si>
    <t>11225 Race Track Road</t>
  </si>
  <si>
    <t>P-400-22147-219144</t>
  </si>
  <si>
    <t>H-400-22276-506012</t>
  </si>
  <si>
    <t>Childcare  Teacher</t>
  </si>
  <si>
    <t xml:space="preserve">Sprouts Daycare Ministry </t>
  </si>
  <si>
    <t>Crossbridge Baptist Church</t>
  </si>
  <si>
    <t>4309 W 79th St</t>
  </si>
  <si>
    <t>Margene</t>
  </si>
  <si>
    <t>4309 West 79th Street</t>
  </si>
  <si>
    <t>mrobinson@crossbridgeindy.com</t>
  </si>
  <si>
    <t xml:space="preserve">Hiring childcare providers is not an easy task.  Marcia is willing to work with our children, she has high education and experience with children, worked for 26 years in the state of So Paulo Brazil with children of different ages and her last experience was with special children where she taught sign languages.  The job opportunity can start any time she will be approve to work, the company already tried a lot of ways to find employer for the position but take care kids is not attract for a lot of people. Marcia showed us so much love for her profession and how much she care about kids, she will be a great fit for our team. No training or certifications are requested but knowing Marcia has so many experience makes us to feel very lucky to have her in our team.  </t>
  </si>
  <si>
    <t>http://sproutsdaycareministry.com/</t>
  </si>
  <si>
    <t xml:space="preserve">Indianapolis </t>
  </si>
  <si>
    <t>Possible Overtime</t>
  </si>
  <si>
    <t>P-400-22223-412166</t>
  </si>
  <si>
    <t>Sproutsdaycareministry.com</t>
  </si>
  <si>
    <t>H-400-22252-465149</t>
  </si>
  <si>
    <t>Shop helper</t>
  </si>
  <si>
    <t>Titan Landscape LLC</t>
  </si>
  <si>
    <t>420 East Huckleberry Lane</t>
  </si>
  <si>
    <t>Heber</t>
  </si>
  <si>
    <t>Brittany@titanlandscape.net</t>
  </si>
  <si>
    <t>MASSACHUSETTS SUPREME JUDICIAL COURT</t>
  </si>
  <si>
    <t xml:space="preserve">Work on Saturdays and Sundays may be required.
</t>
  </si>
  <si>
    <t>8682 S Sandy Pkwy</t>
  </si>
  <si>
    <t xml:space="preserve">Raises/bonuses may be offered to workers in specified occupation at company's sole discretion. </t>
  </si>
  <si>
    <t>P-400-22182-327960</t>
  </si>
  <si>
    <t>AT EMPLOYEES' REQUEST AND EMPLOYER'S DISCRETION, EMPLOYER MAY PROVIDE EMPLOYEES WITH AN INTEREST-FREE LOAN OR CASH ADVANCE PRIOR TO THE COMMENCEMENT OF THE WORK PERIOD OR DURING THE WORK PERIOD. IN THIS EVENT, THE EMPLOYER MAY, WITH WRITTEN CONSENT AND BY REQUEST OF THE EMPLOYEE, SUBTRACT AN AMOUNT FROM THE EMPLOYEE'S PAYCHECK CONSISTENT WITH BOTH PARTIES' AGREED TERMS OF REPAYMENT FOR THE LOAN OR CASH ADVANCE.
PLEASE NOTE, RAISES AND/OR BONUSES MAY BE OFFERED TO ANY WORKER IN THE SPECIFIED OCCUPATION, AT THE COMPANY'S SOLE DISCRETION, BASED ON INDIVIDUAL FACTORS INCLUDING WORK PERFORMANCE, SKILL AND TENURE.</t>
  </si>
  <si>
    <t>H-400-22262-481294</t>
  </si>
  <si>
    <t>B&amp;H Services, LLC</t>
  </si>
  <si>
    <t>90 Carefree Lane</t>
  </si>
  <si>
    <t xml:space="preserve">Lake Toxaway </t>
  </si>
  <si>
    <t>Member/ Admin Secretary</t>
  </si>
  <si>
    <t>bandhservices.bb@gmail.com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</si>
  <si>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80lbs (possible 2-person). All applicants must be able, willing, qualified to perform work described and must be available for the entire period specified and work throughout all areas of intended employment.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</si>
  <si>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90 Carefree Lane (Report to Work)</t>
  </si>
  <si>
    <t>P-400-22206-374671</t>
  </si>
  <si>
    <t>Optional housing available at up to $320/month (including utilities). If housing is agreed upon by the worker, up to $80 to be deducted from workers weekly paycheck.  At Employer’s sole discretion: possible cash advances (if applicable/requested by worker, potential deduction from worker’s paycheck).</t>
  </si>
  <si>
    <t>H-400-22255-466125</t>
  </si>
  <si>
    <t>Fireside Resort Inc</t>
  </si>
  <si>
    <t>2780 N Moose Wilson Rd</t>
  </si>
  <si>
    <t>Mailing: P.O. Box 1749 , Wilson, WY 83014</t>
  </si>
  <si>
    <t>Schafer</t>
  </si>
  <si>
    <t>Lindsay</t>
  </si>
  <si>
    <t>Director of Hospitality</t>
  </si>
  <si>
    <t xml:space="preserve">Must lift/carry 50 lbs. when necessary and frequently work on hands and knees. Work schedule is 5 days/week with  work days varying by week to include Saturday and Sunday.
</t>
  </si>
  <si>
    <t>P-400-22210-385857</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</si>
  <si>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intends to assist foreign and non-local U.S. workers hired pursuant to this job order to secure optional worker-paid lodging not to exceed reasonable fair market value cost based on number of occupants. Housing-related expenses are paid directly to facility owner/operator and are not payroll deducted.         </t>
  </si>
  <si>
    <t>lindsay@firesidejacksonhole.com</t>
  </si>
  <si>
    <t>CANADIAN</t>
  </si>
  <si>
    <t>Anderton</t>
  </si>
  <si>
    <t>H-400-22327-603849</t>
  </si>
  <si>
    <t>Epling Landscaping and Lawn Service Inc</t>
  </si>
  <si>
    <t>33747 Snickersville Tnpk</t>
  </si>
  <si>
    <t>Suite 109</t>
  </si>
  <si>
    <t>Bluemont</t>
  </si>
  <si>
    <t>Epling, Jr.</t>
  </si>
  <si>
    <t>wayne@eplinglandscaping.com</t>
  </si>
  <si>
    <t xml:space="preserve">Monday-Friday, some Saturdays required, schedule varies, end time varies, overtime varies. Able to lift 50lbs.
</t>
  </si>
  <si>
    <t>Opportunity for additional pay with incentive program.</t>
  </si>
  <si>
    <t>P-400-22209-383337</t>
  </si>
  <si>
    <t>MARK MOSKOWITZ LANDSCAPE DESIGN INC</t>
  </si>
  <si>
    <t>1 STONEWALL COURT</t>
  </si>
  <si>
    <t>MOSKOWITZ</t>
  </si>
  <si>
    <t>P-400-22200-360715</t>
  </si>
  <si>
    <t>MMLDLANDSCAPE@AOL.COM</t>
  </si>
  <si>
    <t>Trident Seafoods Corporation</t>
  </si>
  <si>
    <t>Schmidt</t>
  </si>
  <si>
    <t>Sr. Human Resources Business Partner</t>
  </si>
  <si>
    <t>5303 Shilshole Avenue NW</t>
  </si>
  <si>
    <t>206-297-6496</t>
  </si>
  <si>
    <t>suite 201</t>
  </si>
  <si>
    <t>Akutan</t>
  </si>
  <si>
    <t>ALEUTIANS EAST</t>
  </si>
  <si>
    <t>Buckley</t>
  </si>
  <si>
    <t>135 Walton Avenue</t>
  </si>
  <si>
    <t>elizabethbuckley@conleyimmigration.com</t>
  </si>
  <si>
    <t>Conley Law Group, PLLC</t>
  </si>
  <si>
    <t>Eastern District of KY U.S. Supreme Court</t>
  </si>
  <si>
    <t>L. Elizabeth</t>
  </si>
  <si>
    <t>Elizabethbuckley@conleyimmigration.com</t>
  </si>
  <si>
    <t>LUIS</t>
  </si>
  <si>
    <t>H-400-22319-586565</t>
  </si>
  <si>
    <t>200 Ocean Road</t>
  </si>
  <si>
    <t>Sea Island</t>
  </si>
  <si>
    <t>P-400-22241-443972</t>
  </si>
  <si>
    <t>H-400-22321-593028</t>
  </si>
  <si>
    <t>The Pond Depot, Inc.</t>
  </si>
  <si>
    <t>Sublime Water Gardens</t>
  </si>
  <si>
    <t>1295 Bridle Bit Road</t>
  </si>
  <si>
    <t>Flower Mound</t>
  </si>
  <si>
    <t>Addy</t>
  </si>
  <si>
    <t>liz@sublimewatergarden.com</t>
  </si>
  <si>
    <t>P-400-22215-393303</t>
  </si>
  <si>
    <t>H-400-22327-605447</t>
  </si>
  <si>
    <t>Home care Aide</t>
  </si>
  <si>
    <t>Chesterfield services inc</t>
  </si>
  <si>
    <t>Chesterfield Health services inc</t>
  </si>
  <si>
    <t>703 columbia street</t>
  </si>
  <si>
    <t>Ogiale</t>
  </si>
  <si>
    <t>Stella</t>
  </si>
  <si>
    <t>P-400-22235-433856</t>
  </si>
  <si>
    <t>Federal and state taxes , Union dues, Room and board</t>
  </si>
  <si>
    <t>WWW.chesterfieldhealth.com</t>
  </si>
  <si>
    <t>H-400-22322-594604</t>
  </si>
  <si>
    <t xml:space="preserve">Hyon Su LLC </t>
  </si>
  <si>
    <t>Blue Water Grill</t>
  </si>
  <si>
    <t>7 Front Street</t>
  </si>
  <si>
    <t>Friday Harbor</t>
  </si>
  <si>
    <t>thomasinvestments@hotmail.com</t>
  </si>
  <si>
    <t xml:space="preserve">Must be able to stand 8 hour shifts, work in fast-paced environment.  Zero tolerance, drug-free work environment.  Must be available to work the entire season.
Work days:  Rotating 8 hour shift from 7:00am - 12:00pm
Hours per week: 40
Work Schedule: Rotating schedule for 5 days per week
Employer may offer a raise or bonus depending on experience and merit.
Does employer offer a ride to primary worksite location to workers living within a reasonable
commute: No
Overtime available?  Yes
On-the-Job Training provided?  Yes
Employer-Provided Tools and Equipment provided?  Yes
Board, Lodging or Other Facilities provided?: Optional housing offered at approximately $600/month.
</t>
  </si>
  <si>
    <t>Western Washington nonmetropolitan area</t>
  </si>
  <si>
    <t xml:space="preserve">Employer may offer a raise or bonus depending on experience and merit. </t>
  </si>
  <si>
    <t>P-400-22272-501649</t>
  </si>
  <si>
    <t>Optional housing offered at approximately $600/month.</t>
  </si>
  <si>
    <t>H-400-22327-603494</t>
  </si>
  <si>
    <t>Pleasant View Property Services, LLC</t>
  </si>
  <si>
    <t>125 Cathedral St.</t>
  </si>
  <si>
    <t>125 Cathedral St</t>
  </si>
  <si>
    <t>erin@pleasant-view.com</t>
  </si>
  <si>
    <t xml:space="preserve">MUST BE ABLE TO TOLERATE EXTREME TEMPERATURES, LOUD NOISES; LIFT HEAVY EQUIPMENT up to 50 lbs, and stand or walk for upwards of 6 hours per day.  AND EXHIBIT STAMINA. OPERATE EQUIPMENT WHILE SOBER.  POST-EMPLOYMENT EMPLOYER-PAID DRUG TEST MAY BE ADMINISTERED. Must be available entire work contract.
Work days:  Schedule subject to change. Mon- Fri. May work Saturdays
Hours per week: 40
Work Schedule: 7am - 4pm. Hours vary.
Additional information about wage:
Employer may offer a raise or bonus depending on experience and merit.
Daily Transportation provided to all worksite locations from primary worksite?  Yes
Does employer offer a ride to primary worksite location to workers living within a reasonable commute?: Transportation to worksite provided within a reasonable distance. 
Overtime available?  Yes
On-the-Job Training provided?  Yes
Employer-Provided Tools and Equipment provided?  Yes
Board, Lodging or Other Facilities provided?: Yes. Optional housing.  $350/month/worker.
</t>
  </si>
  <si>
    <t>8420 Westphalia Rd.</t>
  </si>
  <si>
    <t>P-400-22258-476237</t>
  </si>
  <si>
    <t xml:space="preserve">Optional housing.$350/month/worker.
</t>
  </si>
  <si>
    <t xml:space="preserve"> erin@pleasant-view.com</t>
  </si>
  <si>
    <t>Texas</t>
  </si>
  <si>
    <t>Holiday Inn Express</t>
  </si>
  <si>
    <t>Alpha Landscape Contractors, Inc.</t>
  </si>
  <si>
    <t>2823 Flintstone Road</t>
  </si>
  <si>
    <t>Millers</t>
  </si>
  <si>
    <t>Baird</t>
  </si>
  <si>
    <t>bbailey@alphalanscp.com</t>
  </si>
  <si>
    <t xml:space="preserve">Must lift/carry 50 lbs., when necessary.  Saturday and Sunday work required, when necessary.  Post-hire random and post-accident drug testing required of foreign and domestic workers. Employer may offer more than the stated work hours depending on weather, business needs, and other conditions. Extreme heat, cold, rain, or drought may affect exact working hours.
</t>
  </si>
  <si>
    <t>P-400-22264-485089</t>
  </si>
  <si>
    <t>H-400-22335-613744</t>
  </si>
  <si>
    <t>Landscape Installation Laborers</t>
  </si>
  <si>
    <t>DOUBLE IMAGE, LLC</t>
  </si>
  <si>
    <t>1724 FLINT HILL PARK LANE</t>
  </si>
  <si>
    <t>WENTZVILLE</t>
  </si>
  <si>
    <t>Creech</t>
  </si>
  <si>
    <t>Jaclyn</t>
  </si>
  <si>
    <t>doubleimagesod@gmail.com</t>
  </si>
  <si>
    <t>Applicants must be able to work a 5 day schedule, may include weekends and holidays. Applicants must complete an employment application.</t>
  </si>
  <si>
    <t>1724 Flint Hill Park Lane</t>
  </si>
  <si>
    <t>P-400-22223-412079</t>
  </si>
  <si>
    <t xml:space="preserve">Employer will make all deductions from the worker's paycheck required by law and deduct approved cost of housing if worker elects. Optional employee only shared housing, approximate cost $42.50 per week, utilities included. No deposit required.
Employer will provide worker at no charge all tools, supplies and equipment required to perform job. No uniform required.
</t>
  </si>
  <si>
    <t>www.jobs.mo.gov</t>
  </si>
  <si>
    <t>COLE</t>
  </si>
  <si>
    <t>https://www.jobs4tn.gov</t>
  </si>
  <si>
    <t>Turner</t>
  </si>
  <si>
    <t>Director of Administration</t>
  </si>
  <si>
    <t>WOOD</t>
  </si>
  <si>
    <t>WASHTENAW</t>
  </si>
  <si>
    <t>Ann Arbor, MI</t>
  </si>
  <si>
    <t>PRINCE WILLIAM</t>
  </si>
  <si>
    <t>Allison</t>
  </si>
  <si>
    <t>ADO HOME IMPROVEMENT</t>
  </si>
  <si>
    <t>DGT LAWN SPRINKLERS</t>
  </si>
  <si>
    <t>200 3RD AVENUE</t>
  </si>
  <si>
    <t>WEST BABYLON</t>
  </si>
  <si>
    <t>SANCHEZ BRAVO</t>
  </si>
  <si>
    <t>P-400-22189-339206</t>
  </si>
  <si>
    <t>VSANCH90@GMAIL.COM</t>
  </si>
  <si>
    <t>Glen Allen</t>
  </si>
  <si>
    <t>Belgrade</t>
  </si>
  <si>
    <t>HENDERSON</t>
  </si>
  <si>
    <t>975 Carpenter Rd NE</t>
  </si>
  <si>
    <t>www.worksourcewa.com</t>
  </si>
  <si>
    <t>FARGO</t>
  </si>
  <si>
    <t>H-400-22335-614498</t>
  </si>
  <si>
    <t>LaPointe Landscapes LLC</t>
  </si>
  <si>
    <t>River's Edge Landscapes</t>
  </si>
  <si>
    <t>123 Easy Lane</t>
  </si>
  <si>
    <t>LaPointe</t>
  </si>
  <si>
    <t>office@riversedgelandscapes.com</t>
  </si>
  <si>
    <t xml:space="preserve">Able to lift 60lbs. Pre-hire background check required. Monday-Friday, Saturdays as needed, schedule varies, overtime varies.
All background checks are performed equally as to U.S. workers and H-2B workers, and all fees are paid for by the company. See the additional document attached for further details about the administration of our background check policy.
</t>
  </si>
  <si>
    <t>512 Jack Enders Blvd</t>
  </si>
  <si>
    <t>Berryville</t>
  </si>
  <si>
    <t>P-400-22259-477095</t>
  </si>
  <si>
    <t>Villegas</t>
  </si>
  <si>
    <t>Solem Concessions, Inc.</t>
  </si>
  <si>
    <t>951 Hillwind Road NE</t>
  </si>
  <si>
    <t>Solem</t>
  </si>
  <si>
    <t>solemconcessions@yahoo.com</t>
  </si>
  <si>
    <t>Louise</t>
  </si>
  <si>
    <t>Shared housing may be available – if used, up to $100/wk will be deducted from paycheck. At Employer’s sole discretion: possible cash advances (if applicable/requested by worker, potential deduction from worker’s paycheck).</t>
  </si>
  <si>
    <t>Lovin</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</si>
  <si>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</si>
  <si>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Employer will make all deductions from the worker's paycheck required by law.</t>
  </si>
  <si>
    <t>General manager</t>
  </si>
  <si>
    <t xml:space="preserve"> 5295 Westview Drive, Ste 100</t>
  </si>
  <si>
    <t>H-400-22335-613965</t>
  </si>
  <si>
    <t>The ALG Corp</t>
  </si>
  <si>
    <t>Image Landscape Management, Inc.</t>
  </si>
  <si>
    <t>528 N. Cowan Ave.</t>
  </si>
  <si>
    <t>Gammil</t>
  </si>
  <si>
    <t>justin@imagelandscape.com</t>
  </si>
  <si>
    <t>P-400-22255-466273</t>
  </si>
  <si>
    <t>Up to $300 advance provided as needed, optional repay via deduction from pay.  Deductions will not drop the overal wage rate below the USDOL required minimum, if they do the deductions will not be made. Employer may assist workers with finding and/or securing housing, employer is NOT providing housing.</t>
  </si>
  <si>
    <t>H-400-22321-593394</t>
  </si>
  <si>
    <t>STIWARD INTERNATIONAL TRAVEL AGENT SPECIALIST. LLC</t>
  </si>
  <si>
    <t>2424 OAKLAND W PARK BLVD, SUITE 201 OAKLAND PARK, FL 33311</t>
  </si>
  <si>
    <t>Pierre</t>
  </si>
  <si>
    <t>Rubens</t>
  </si>
  <si>
    <t>Manager Director</t>
  </si>
  <si>
    <t>4505 PACIFIC HWY E STE C-2, FIFE, WA 98424</t>
  </si>
  <si>
    <t>FIFE</t>
  </si>
  <si>
    <t>17745816906/177</t>
  </si>
  <si>
    <t>tstiward1travelspecialis@yahoo.com</t>
  </si>
  <si>
    <t>Pamias Jone</t>
  </si>
  <si>
    <t>3773 Howard Hughes PKWY, Las Vegas, NV 89168</t>
  </si>
  <si>
    <t>orders@freeregisteredagent.com</t>
  </si>
  <si>
    <t>Incorp Services Inc</t>
  </si>
  <si>
    <t>The Retail Salespersons are requirement to receive 1 month of training in sale orientation and promotional. They also have to be trained in Customers' Services. Next, they have to have ability to promote and sell our products and services easilly. Finally, they have to be able explain to the customers how good qualities are our products or services. Then, easilly attract the customers and interesting them to buy our products or services.</t>
  </si>
  <si>
    <t>2424 Oakland W Park BLVD, Suite 201 Oakland Park, Fl.33311</t>
  </si>
  <si>
    <t>FORT LAUDERDALE-POMPANO BEACH-SUNRISE, FL</t>
  </si>
  <si>
    <t>The payroll will be paid bi-weekly.</t>
  </si>
  <si>
    <t>P-400-22183-329493</t>
  </si>
  <si>
    <t>The Employer will makes the following deduction from the workers' wages: FICA Taxes. Federal Income Tex if required. Others deductions expressly authorized or required by State or Federal Law. cash advances or repayment of loans, repayment from the overpayment of wages to the worker payment for the articles whicht the worker has voluntarily purchased from the Empployer long-distance telephone charged, recovery any loss to the Employer due to the workers damage ( beyon normal wear or tear) and any other deduction expressly authorized by the worker in writting.
The Employer will deduct a portion of worker's compensation premiun from the workers pay as specified in Washington Law at RCW 51.61. 14o . 
The Employer wil withhold from the Employee's wages the maximum amount for the portion of Employee premium required under Washington State RCW 50A, 04 paid Family and medical leave program.</t>
  </si>
  <si>
    <t>http://worksource-pierce.gov/rereersourcebroward.com</t>
  </si>
  <si>
    <t>H-400-22320-590234</t>
  </si>
  <si>
    <t>Shampooer x Hair Braider</t>
  </si>
  <si>
    <t>ADU Salon Holdings, INC</t>
  </si>
  <si>
    <t>7515 West Sample Rd</t>
  </si>
  <si>
    <t>12678 NW 9th Ct</t>
  </si>
  <si>
    <t>info@aducareer.com</t>
  </si>
  <si>
    <t>P-400-22275-505709</t>
  </si>
  <si>
    <t>http://www.aducareer.com</t>
  </si>
  <si>
    <t>Folsom</t>
  </si>
  <si>
    <t>Clackamas</t>
  </si>
  <si>
    <t>recruiting@pacificseafood.com</t>
  </si>
  <si>
    <t>https://www.pacificseafood.com/careers/</t>
  </si>
  <si>
    <t>Murray</t>
  </si>
  <si>
    <t>Julian</t>
  </si>
  <si>
    <t>Kim</t>
  </si>
  <si>
    <t>Ruben</t>
  </si>
  <si>
    <t>SUITE 100</t>
  </si>
  <si>
    <t>Engel</t>
  </si>
  <si>
    <t>FRANK SUPPA LANDSCAPING CORP</t>
  </si>
  <si>
    <t xml:space="preserve">100 FRANK ROAD </t>
  </si>
  <si>
    <t>SUPPA</t>
  </si>
  <si>
    <t>FRANK</t>
  </si>
  <si>
    <t>100 FRANK ROAD</t>
  </si>
  <si>
    <t>ROSEMARY@FSLCORP.NET</t>
  </si>
  <si>
    <t>H-400-22335-615089</t>
  </si>
  <si>
    <t>David Brill Landscape</t>
  </si>
  <si>
    <t>1574 Elephant Rd</t>
  </si>
  <si>
    <t>Perkasie</t>
  </si>
  <si>
    <t>Brill</t>
  </si>
  <si>
    <t>david@dbscapes.com</t>
  </si>
  <si>
    <t>P-400-22255-466927</t>
  </si>
  <si>
    <t>NONE. Employer may assist workers with finding and/or securing housing, employer is NOT providing housing.</t>
  </si>
  <si>
    <t>ALPHA SERVICES LLC</t>
  </si>
  <si>
    <t>HRM</t>
  </si>
  <si>
    <t>JUANG@ALPHASERVICES.US</t>
  </si>
  <si>
    <t>P-400-22213-388898</t>
  </si>
  <si>
    <t>jobs@alphaservices.us</t>
  </si>
  <si>
    <t>Harrisburg-Carlisle, PA</t>
  </si>
  <si>
    <t>MORROW</t>
  </si>
  <si>
    <t>Greenturf Landscaping Co.</t>
  </si>
  <si>
    <t>Greenturf Inc</t>
  </si>
  <si>
    <t>8905 E. Hefner Rd.</t>
  </si>
  <si>
    <t>McMiller</t>
  </si>
  <si>
    <t>tim@greenturfinc.com</t>
  </si>
  <si>
    <t>Potential raises/bonuses at employer's discretion</t>
  </si>
  <si>
    <t>P-400-22234-430936</t>
  </si>
  <si>
    <t>6235 Hwy 17N</t>
  </si>
  <si>
    <t>P.O. Box 445, Isle of Palms, South Carolina 29451</t>
  </si>
  <si>
    <t>Awendaw</t>
  </si>
  <si>
    <t>6235 N HWY 17</t>
  </si>
  <si>
    <t>kelly@pls6.com</t>
  </si>
  <si>
    <t xml:space="preserve"> Awendaw</t>
  </si>
  <si>
    <t>P-400-22236-434650</t>
  </si>
  <si>
    <t>Prestonwood Landscape Services-DFW LLC</t>
  </si>
  <si>
    <t>1366 Round Table Dr</t>
  </si>
  <si>
    <t>P-400-22171-297650</t>
  </si>
  <si>
    <t>MONTEMARANO LANDSCAPES INC</t>
  </si>
  <si>
    <t>21415 FAIRVIEW ROAD</t>
  </si>
  <si>
    <t>GRETNA</t>
  </si>
  <si>
    <t>MONTEMARANO</t>
  </si>
  <si>
    <t>DINO</t>
  </si>
  <si>
    <t>P-400-22200-360884</t>
  </si>
  <si>
    <t>landscapes@qwestoffice.net</t>
  </si>
  <si>
    <t>PRO CARE LANDSCAPING LLC</t>
  </si>
  <si>
    <t>1902 WAYBRIDGE LANE</t>
  </si>
  <si>
    <t>FENTON</t>
  </si>
  <si>
    <t>WEHNER</t>
  </si>
  <si>
    <t>P-400-22201-364151</t>
  </si>
  <si>
    <t>NEW YORK</t>
  </si>
  <si>
    <t>President &amp; CEO</t>
  </si>
  <si>
    <t>Leslie</t>
  </si>
  <si>
    <t>EMPIRE WALL SYSTEMS INC</t>
  </si>
  <si>
    <t>9865 E 50TH ST NORTH</t>
  </si>
  <si>
    <t>BEL AIRE</t>
  </si>
  <si>
    <t>CRUZ</t>
  </si>
  <si>
    <t>MICHELLE</t>
  </si>
  <si>
    <t>ADMINISTRATIVE ASSISTANT</t>
  </si>
  <si>
    <t>9865 E 50TH ST N</t>
  </si>
  <si>
    <t>michelle@empirewallsystems.com</t>
  </si>
  <si>
    <t xml:space="preserve">THREE MONTHS OF EXPERIENCE AS A CONSTRUCTION LABORER IN A RESIDENTIAL CONSTRUCTION SETTING. MUST BEND, LIFT AND SUSTAIN UP TO 50 LBS, WORK UNDER EXTREMELY HOT WEATHER CONDITIONS. NO TRAVEL IS REQUIRED OUTSIDE THE METROPOLITAN AREA BETWEEN TOWANDA, KS, AND WICHITA, KS, NO EDUCATION IS REQUIRED, ON-THE-JOB TRAINING IS AVAILABLE. POST-HIRE DRUG TEST REQUIRED PAID BY THE EMPLOYER, ALL US AND GUEST WORKERS WILL BE SCREENED EQUALLY.
</t>
  </si>
  <si>
    <t>P-400-22146-212930</t>
  </si>
  <si>
    <t>H-400-22335-613682</t>
  </si>
  <si>
    <t>FUSCHETTO &amp; SON INC</t>
  </si>
  <si>
    <t>303 WEST PULASKI ROAD</t>
  </si>
  <si>
    <t>HUNTINGTON</t>
  </si>
  <si>
    <t>FUSCHETTO</t>
  </si>
  <si>
    <t>ANGELO</t>
  </si>
  <si>
    <t>P-400-22194-349023</t>
  </si>
  <si>
    <t>ALECIA@FUSCHETTOANDSON.COM</t>
  </si>
  <si>
    <t>H-400-22335-614637</t>
  </si>
  <si>
    <t xml:space="preserve">Pre-employment drug testing required. Able to lift 50lbs. Monday-Thursday, some Fridays required, schedule varies, end times vary, overtime varies. All drug testing is performed without regard to an employees citizenship or immigration status, and all testing is paid for by the worker but is reimbursed after they have passed the test. See the additional document attached for further details about the administration of our drug testing policy.
</t>
  </si>
  <si>
    <t>H-400-22335-613843</t>
  </si>
  <si>
    <t>ROCKPORT GRANITE INC</t>
  </si>
  <si>
    <t>465 WEST STREET</t>
  </si>
  <si>
    <t xml:space="preserve">PO BOX 1140 </t>
  </si>
  <si>
    <t>ROCKPORT</t>
  </si>
  <si>
    <t>CARLE</t>
  </si>
  <si>
    <t xml:space="preserve">ROCKPORT </t>
  </si>
  <si>
    <t>KNOX TOWN</t>
  </si>
  <si>
    <t>P-400-22201-364584</t>
  </si>
  <si>
    <t>jcarle@rockportgranite.com</t>
  </si>
  <si>
    <t>Omni Stillwater Woods Golf Resort LLC</t>
  </si>
  <si>
    <t>Omni PGA Frisco Resort</t>
  </si>
  <si>
    <t>4341 PGA Parkway</t>
  </si>
  <si>
    <t>Seema</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</si>
  <si>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</si>
  <si>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Northwest Alabama nonmetropolitan area</t>
  </si>
  <si>
    <t>Hammond</t>
  </si>
  <si>
    <t>Santiago</t>
  </si>
  <si>
    <t>Artemio</t>
  </si>
  <si>
    <t>President/COO</t>
  </si>
  <si>
    <t>CLEANERS</t>
  </si>
  <si>
    <t>H-400-22335-613689</t>
  </si>
  <si>
    <t xml:space="preserve">No minimum education or experience required. Must be at least 21 years old. Must be able to lift, push, and pull 50 lbs. Must be able to work weekends and holidays. Must obtain ServSafe Food handler and Alcohol Certifications.  Applicants must complete an employment application.  Employer will offer 40 hours of work per week. Resort is open 7 days a week, workdays vary Sunday-Saturday. Rotating schedule, shift times 7am-4pm, 8am-5pm, 11am-8pm, 3pm-12am, and 5pm-2am (includes 1-hour unpaid break). Workdays and shift times may vary with occupancy. Basic wage rate: $11.33 per hour. Employer may increase wage based on experience and/or provide additional pay for performance and tenure. Overtime hours may be available at $17.00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</si>
  <si>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Employer may increase wage based on experience and/or provide additional pay for performance and tenure</t>
  </si>
  <si>
    <t>P-400-22152-230466</t>
  </si>
  <si>
    <t>H-400-22335-616439</t>
  </si>
  <si>
    <t>Plantcare Design LLC</t>
  </si>
  <si>
    <t>Plant Care Co.</t>
  </si>
  <si>
    <t>12520 Schroeder Rd Ste 103</t>
  </si>
  <si>
    <t>Mondragon</t>
  </si>
  <si>
    <t>12520 Schroeder Rd. #103</t>
  </si>
  <si>
    <t>luis@plantcareco.com</t>
  </si>
  <si>
    <t>P-400-22255-466873</t>
  </si>
  <si>
    <t>Historic Arnolds Park Inc</t>
  </si>
  <si>
    <t>37 Lake St</t>
  </si>
  <si>
    <t>Arnolds Park</t>
  </si>
  <si>
    <t>Doeden</t>
  </si>
  <si>
    <t>NESS</t>
  </si>
  <si>
    <t xml:space="preserve">Guest Service Representative </t>
  </si>
  <si>
    <t>AVOYELLES</t>
  </si>
  <si>
    <t>Donald</t>
  </si>
  <si>
    <t>employflorida.com</t>
  </si>
  <si>
    <t>West Coast Landscape and Lawns LLC</t>
  </si>
  <si>
    <t>3880 76th Ave. North, Unit A</t>
  </si>
  <si>
    <t>Mailing: P.O. Box 5648, Clearwater, FL 33758</t>
  </si>
  <si>
    <t>Pinellas Park</t>
  </si>
  <si>
    <t>tsalvador@westcoastlawns.com</t>
  </si>
  <si>
    <t>Pre-hire background check required; Random drug testing during employment; Pre-employment drug testing required; Drug testing during employment for cause; Post-Accident Drug Testing, Able to lift 50lbs, Monday-Friday, Some weekends may be required, schedule varies,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</si>
  <si>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P-400-22238-440809</t>
  </si>
  <si>
    <t>Upon employee's request, payroll deductions may be made, at employer's discretion. Employer facilitates corresponding deductions for available health benefits.</t>
  </si>
  <si>
    <t>Wolf</t>
  </si>
  <si>
    <t>FOOD PREPARATION WORKERS</t>
  </si>
  <si>
    <t>Bonus at employer's discretion.</t>
  </si>
  <si>
    <t>Haitelmex Foundation,Inc</t>
  </si>
  <si>
    <t>direction@fondationhaitelmex.org</t>
  </si>
  <si>
    <t>https://www.fondationhaitelmex.org</t>
  </si>
  <si>
    <t>H-400-22335-615725</t>
  </si>
  <si>
    <t>Silhouette Farm &amp; Forestry, LLC</t>
  </si>
  <si>
    <t>3672 S. Pacific Hwy</t>
  </si>
  <si>
    <t>Dinah</t>
  </si>
  <si>
    <t>silhouetteff@gmail.com</t>
  </si>
  <si>
    <t>3672 S. Pacific Hwy (Report to Work)</t>
  </si>
  <si>
    <t>P-400-22223-410981</t>
  </si>
  <si>
    <t>P-400-22223-411029</t>
  </si>
  <si>
    <t>Pool Cleaner</t>
  </si>
  <si>
    <t>Kalyan Hillsboro Hotels, LLC</t>
  </si>
  <si>
    <t>DBA Home2Suites</t>
  </si>
  <si>
    <t>9790 NE Tanasbourne Dr.</t>
  </si>
  <si>
    <t>Mailing: 11541 Nuckols Road Suite D , Glen Allen, VA 23059</t>
  </si>
  <si>
    <t>Hillsboro</t>
  </si>
  <si>
    <t>npatel@kalyanhospitality.com</t>
  </si>
  <si>
    <t>BELLEVUE</t>
  </si>
  <si>
    <t>New Brunswick</t>
  </si>
  <si>
    <t>Maintenance Technician</t>
  </si>
  <si>
    <t>HI</t>
  </si>
  <si>
    <t>HONOLULU</t>
  </si>
  <si>
    <t>Urban Honolulu, HI</t>
  </si>
  <si>
    <t>Food and Beverage Server</t>
  </si>
  <si>
    <t>Christy</t>
  </si>
  <si>
    <t>https://neworks.nebraska.gov/vosnet/Default.aspx</t>
  </si>
  <si>
    <t>H-400-22335-614963</t>
  </si>
  <si>
    <t>Realty Landscaping Corporation</t>
  </si>
  <si>
    <t>2585 Second Street Pike</t>
  </si>
  <si>
    <t>Newtown</t>
  </si>
  <si>
    <t>Clifford</t>
  </si>
  <si>
    <t>mcote@realtylandscaping.com</t>
  </si>
  <si>
    <t>Able to lift 50lbs, Random drug testing during employment, Drug testing during employment for cause, Overtime Varies, Mon-Thurs, Some Fridays and Saturdays required.
All drug testing is performed without regard to an employees citizenship or immigration status, and all testing is paid for by the company. See the additional document attached for further details about the administration of our drug testing policy.</t>
  </si>
  <si>
    <t>P-400-22235-433213</t>
  </si>
  <si>
    <t>Riverhead</t>
  </si>
  <si>
    <t>Outdoor Power Equipment and Other Small Engine Mechanics</t>
  </si>
  <si>
    <t xml:space="preserve">CAROLINA HOME AND GARDEN </t>
  </si>
  <si>
    <t>4778 HIGHWAY 24 E</t>
  </si>
  <si>
    <t>WATSON</t>
  </si>
  <si>
    <t xml:space="preserve">BRIAN </t>
  </si>
  <si>
    <t xml:space="preserve">4778 HIGHWAY 24 E </t>
  </si>
  <si>
    <t>CARTERET</t>
  </si>
  <si>
    <t>P-400-22193-345099</t>
  </si>
  <si>
    <t>ABC Rentals Special Events</t>
  </si>
  <si>
    <t>Van Gorp</t>
  </si>
  <si>
    <t>Darcy</t>
  </si>
  <si>
    <t>3009 S Phillips Ave</t>
  </si>
  <si>
    <t>darcy@abcrentalsmidwest.com</t>
  </si>
  <si>
    <t>P-400-22236-434984</t>
  </si>
  <si>
    <t>P-400-22199-358257</t>
  </si>
  <si>
    <t>Kate</t>
  </si>
  <si>
    <t>Ann Arbor</t>
  </si>
  <si>
    <t>Alberto</t>
  </si>
  <si>
    <t>Dina</t>
  </si>
  <si>
    <t>Lilburn</t>
  </si>
  <si>
    <t>Shaw</t>
  </si>
  <si>
    <t>Marietta</t>
  </si>
  <si>
    <t>MORRISON</t>
  </si>
  <si>
    <t>White Stone</t>
  </si>
  <si>
    <t>Salem</t>
  </si>
  <si>
    <t>JC DIAZ INC</t>
  </si>
  <si>
    <t>131 THREE MILE HARBOR ROAD</t>
  </si>
  <si>
    <t>P-400-22195-352354</t>
  </si>
  <si>
    <t>JCDIAZINC@GMAIL.COM</t>
  </si>
  <si>
    <t>H-400-22335-613811</t>
  </si>
  <si>
    <t xml:space="preserve">Post-employment background check; Pre-employment, post injury or incident and reasonable suspicion drug test required cost paid by employer and applied equally to all workers, US and foreign/H2B. All employees will be required to follow the companys current policy regarding masks, vaccines and testing that is in place at their time of hire. Must be able to work a five-day schedule including weekends and holidays as required. Applicant must complete an employment application. </t>
  </si>
  <si>
    <t>8550 Costa Verde Drive</t>
  </si>
  <si>
    <t>P-400-22216-395441</t>
  </si>
  <si>
    <t xml:space="preserve">Employer will make all deductions from the worker's paycheck required by law and deduct approved cost of housing if worker elects. Optional employee shared housing, approximate rate $150 per week plus $200 refundable deposit. Includes utilities, trash, pest control, cable, internet and transportation to and from work. Multiple variations of insurance plans available for Medical, Dental, Vision, payroll deduct if worker elects, approximate costs: $3.00-$300 depending on options employee chooses. Other optional insurances available include short-and long-term disability, extended life insurance, death and dismemberment, etc. Payroll deduction per pay check $5.00-$50.00 depending on options employee chooses. Optional employee HSA/FSA, contribution amount up to employee. 
Employer will provide worker at no charge all tools, supplies, equipment, and uniform required to perform job. 
</t>
  </si>
  <si>
    <t>https://www.scworks.org</t>
  </si>
  <si>
    <t>New Orleans</t>
  </si>
  <si>
    <t>Centralia</t>
  </si>
  <si>
    <t>5201 Park Heights Ave</t>
  </si>
  <si>
    <t>HAYS</t>
  </si>
  <si>
    <t>P-400-22263-483873</t>
  </si>
  <si>
    <t>West Northwestern Ohio nonmetropolitan area</t>
  </si>
  <si>
    <t>H-400-22307-567516</t>
  </si>
  <si>
    <t>Event tent Install</t>
  </si>
  <si>
    <t>Laborers and Freight, Stock Movers</t>
  </si>
  <si>
    <t>ABC Van Rentals Inc</t>
  </si>
  <si>
    <t>3009 S Phillips Ave.</t>
  </si>
  <si>
    <t>605-332-4222</t>
  </si>
  <si>
    <t>605-961-7801</t>
  </si>
  <si>
    <t>At least 3 months experience setting up for large events and large tents.</t>
  </si>
  <si>
    <t>Sioux</t>
  </si>
  <si>
    <t>darcy@aberentalsmidwest.com</t>
  </si>
  <si>
    <t>abcrentalsmidwest.com</t>
  </si>
  <si>
    <t>H-400-22320-591867</t>
  </si>
  <si>
    <t>Non-farm animal caretaker</t>
  </si>
  <si>
    <t>Chad Brown Racing Stables, Inc</t>
  </si>
  <si>
    <t>267 Union Avenue</t>
  </si>
  <si>
    <t>Hernan</t>
  </si>
  <si>
    <t>Compliance Director</t>
  </si>
  <si>
    <t>chadbrownracing@gmail.com</t>
  </si>
  <si>
    <t>Conley Law Group PLLC</t>
  </si>
  <si>
    <t>P-400-22277-508839</t>
  </si>
  <si>
    <t>lmhuffinc@bellsouth.net</t>
  </si>
  <si>
    <t>H-400-22322-594682</t>
  </si>
  <si>
    <t>Sonora Landscape, LLC</t>
  </si>
  <si>
    <t>16722 S Elwood Ave, Ste A</t>
  </si>
  <si>
    <t>Glenpool</t>
  </si>
  <si>
    <t>Gallardo</t>
  </si>
  <si>
    <t xml:space="preserve">Employment reference
</t>
  </si>
  <si>
    <t>P-400-22217-398659</t>
  </si>
  <si>
    <t>Employer may charge the worker for reasonable costs related to the worker's refusal or negligent failure to return any property furnished by the employer or due to such worker's willful damage or destruction of such property. Deductions may be taken per employee's request.</t>
  </si>
  <si>
    <t>https://okjobmatch.com/job_seeker</t>
  </si>
  <si>
    <t>H-400-22321-592812</t>
  </si>
  <si>
    <t>Cousins Lawn Service LLC</t>
  </si>
  <si>
    <t>Cousins Lawn Service</t>
  </si>
  <si>
    <t>1310 Lindbergh St</t>
  </si>
  <si>
    <t>Owner/Managing Member</t>
  </si>
  <si>
    <t>cousinlawns@yahoo.com</t>
  </si>
  <si>
    <t xml:space="preserve">Able to lift 50lbs, M-F, Overtime potential.
</t>
  </si>
  <si>
    <t>P-400-22231-428183</t>
  </si>
  <si>
    <t>cousinslawnservicellc@gmail.com</t>
  </si>
  <si>
    <t>H-400-22342-629970</t>
  </si>
  <si>
    <t>Concrete finisher</t>
  </si>
  <si>
    <t>N Style Pools/Concrete LLC</t>
  </si>
  <si>
    <t xml:space="preserve">2400 N Janeway </t>
  </si>
  <si>
    <t xml:space="preserve">Moore </t>
  </si>
  <si>
    <t xml:space="preserve">General manager </t>
  </si>
  <si>
    <t>poolsnstyle@yahoo.com</t>
  </si>
  <si>
    <t>P-400-22159-258871</t>
  </si>
  <si>
    <t>MANATEE</t>
  </si>
  <si>
    <t>H-400-22299-552321</t>
  </si>
  <si>
    <t xml:space="preserve">warehouse Associate </t>
  </si>
  <si>
    <t>Work Source staffing LLC</t>
  </si>
  <si>
    <t>c</t>
  </si>
  <si>
    <t xml:space="preserve">allentown </t>
  </si>
  <si>
    <t xml:space="preserve">1642 Union BLVD </t>
  </si>
  <si>
    <t xml:space="preserve">Allentown  </t>
  </si>
  <si>
    <t>ozapata@worksourcestaffingpa.com</t>
  </si>
  <si>
    <t>Fast pace and ability to lift up to 50 lbs</t>
  </si>
  <si>
    <t>P-400-22214-391070</t>
  </si>
  <si>
    <t>H-400-22322-595369</t>
  </si>
  <si>
    <t>R&amp;J Triple A, LLC</t>
  </si>
  <si>
    <t>The Grounds Guys of Edmond</t>
  </si>
  <si>
    <t>717 Evergreen Street</t>
  </si>
  <si>
    <t>Mailing: P.O. Box 5084, Edmond, OK 73083</t>
  </si>
  <si>
    <t>Deatherage</t>
  </si>
  <si>
    <t>Member/Owner</t>
  </si>
  <si>
    <t>edmond.owner@groundsguys.com</t>
  </si>
  <si>
    <t xml:space="preserve">Monday-Friday, some Saturdays as needed, start/end times vary, schedule varies, overtime varies.
</t>
  </si>
  <si>
    <t>P-400-22201-364134</t>
  </si>
  <si>
    <t>edmond@groundsguys.com</t>
  </si>
  <si>
    <t>H-400-22277-509569</t>
  </si>
  <si>
    <t>Ware Snow Removal, LLC</t>
  </si>
  <si>
    <t>1199 Oswego Rd</t>
  </si>
  <si>
    <t>Naperville</t>
  </si>
  <si>
    <t>Ware</t>
  </si>
  <si>
    <t xml:space="preserve">Michael </t>
  </si>
  <si>
    <t>10S 364 Schoger Drive</t>
  </si>
  <si>
    <t>P-400-22208-379940</t>
  </si>
  <si>
    <t xml:space="preserve">Employer will make all deductions required by law from each paycheck. Other benefits provided to U.S. and H2B workers are the following: Bonuses based on completion of projects 
Optional Health Insurance – 50% employer paid for employee only insurance. 
</t>
  </si>
  <si>
    <t>andrew@warelandscaping.com</t>
  </si>
  <si>
    <t>H-400-22335-613695</t>
  </si>
  <si>
    <t>DAYS VARY MONDAY-SUNDAY. 3/15/23-12/1/23. 6AM-11PM, ROTATING SHIFTS. MAY GET UP TO 20 HOURS/WEEK OVERTIME WHEN AVAILABLE.
12 MONTHS EXPERIENCE AS LINE COOK</t>
  </si>
  <si>
    <t>HOUSING IS OPTIONAL AND AVAILABLE FOR 125.00-150.00/WEEK PAID BY EMPLOYEE DIRECTLY TO EMPLOYER IF ACCEPTED.</t>
  </si>
  <si>
    <t>H-400-22335-613934</t>
  </si>
  <si>
    <t>Gilbert</t>
  </si>
  <si>
    <t>H-400-22335-613774</t>
  </si>
  <si>
    <t>PAINTER HELPER</t>
  </si>
  <si>
    <t xml:space="preserve">JIM FIELD &amp; SONS PAINTING INC </t>
  </si>
  <si>
    <t xml:space="preserve">14 PLANK ROAD </t>
  </si>
  <si>
    <t>FIELD</t>
  </si>
  <si>
    <t>14 PLANK ROAD</t>
  </si>
  <si>
    <t>1 MONTH EXPERIENCE AS PAINTER HELPER</t>
  </si>
  <si>
    <t>P-400-22195-352504</t>
  </si>
  <si>
    <t>JFSPAINTING1@OPTONLINE.NET</t>
  </si>
  <si>
    <t>H-400-22321-593295</t>
  </si>
  <si>
    <t>Employer makes all payroll deductions required by law. Employer does not envision other workforce-wide payroll deductions. Voluntary advances and/or loans made to workers, if any, may be repaid by pre-authorized payroll deductions. Employer may deduct reasonable costs for daily transportation to/from worksite from designed pick-up location. Use of employer-provided transportation is voluntary.  Employer provides incidental transportation between worksites as necessary.</t>
  </si>
  <si>
    <t>H-400-22340-622595</t>
  </si>
  <si>
    <t>Home Health and Personal Aides</t>
  </si>
  <si>
    <t>Hogar El Buen Samaritano, Inc.</t>
  </si>
  <si>
    <t>Same as above</t>
  </si>
  <si>
    <t>Calle 3 Parcela 218</t>
  </si>
  <si>
    <t>Buzon 2071-2</t>
  </si>
  <si>
    <t>Naguabo</t>
  </si>
  <si>
    <t>Ruscalleda</t>
  </si>
  <si>
    <t>Alice</t>
  </si>
  <si>
    <t>Bahia Vistamar</t>
  </si>
  <si>
    <t>1432 Calle Barracuda</t>
  </si>
  <si>
    <t>buensamaritano.ceo@gmail.com</t>
  </si>
  <si>
    <t>SORIANO</t>
  </si>
  <si>
    <t>Bellísima K 15</t>
  </si>
  <si>
    <t>Lomas Verdes</t>
  </si>
  <si>
    <t>Bayamon</t>
  </si>
  <si>
    <t>cparsoriano@yahoo.com</t>
  </si>
  <si>
    <t>Richard Soriano CPA</t>
  </si>
  <si>
    <t xml:space="preserve">Able to be compasionate and have good personal and cleaning skills </t>
  </si>
  <si>
    <t>NAGUABO</t>
  </si>
  <si>
    <t>P-400-22339-620762</t>
  </si>
  <si>
    <t>Social Security (7.65%), Dissability insurance (.003)</t>
  </si>
  <si>
    <t>H-400-22335-613902</t>
  </si>
  <si>
    <t>A TO Z IRRIGATION</t>
  </si>
  <si>
    <t>118 MARINERS DRIVE</t>
  </si>
  <si>
    <t>KIRBY</t>
  </si>
  <si>
    <t>JESSICA</t>
  </si>
  <si>
    <t xml:space="preserve">DRIVERS LICENSE REQUIRED. 1 MONTH EXPERIENCE PREFERRED.
</t>
  </si>
  <si>
    <t>1 MONTH EXPERIENCE PREFERRED.</t>
  </si>
  <si>
    <t>P-400-22270-497730</t>
  </si>
  <si>
    <t>JESSGQ81@GMAIL.COM</t>
  </si>
  <si>
    <t>H-400-22335-613786</t>
  </si>
  <si>
    <t>ONELOVEGARDENMANAGEMENT INC</t>
  </si>
  <si>
    <t>99 MARINER DRIVE</t>
  </si>
  <si>
    <t>PO BOX 2545</t>
  </si>
  <si>
    <t>ACKEN</t>
  </si>
  <si>
    <t>P-400-22201-363818</t>
  </si>
  <si>
    <t>KJA1LOVE@AOL.COM</t>
  </si>
  <si>
    <t>H-400-22320-591586</t>
  </si>
  <si>
    <t>GREEN VENTURES</t>
  </si>
  <si>
    <t>3724 LEANNA ROAD</t>
  </si>
  <si>
    <t>MURFREESBORO</t>
  </si>
  <si>
    <t>MANGRUM</t>
  </si>
  <si>
    <t>GREEN.VENTURES@LIVE.COM</t>
  </si>
  <si>
    <t>MUST HAVE VALID DRIVER'S LICENSE. MUST BE ABLE TO LIFT 50LBS. REPETITIVE MOVEMENTS, EXTENSIVE PUSHING/PULLING, EXTENSIVE WALKING AND FREQUENT STOOPING.
SCHEDULE VARIES, OVERTIME AVAILABLE AS NEEDED.</t>
  </si>
  <si>
    <t>P-400-22199-358902</t>
  </si>
  <si>
    <t>landscape@greenventures.net</t>
  </si>
  <si>
    <t>H-400-22335-613760</t>
  </si>
  <si>
    <t>HOME MAINTENANCE LAWN CARE INC</t>
  </si>
  <si>
    <t>145 HARVARD STREET</t>
  </si>
  <si>
    <t xml:space="preserve">WESTBURY </t>
  </si>
  <si>
    <t>POSILLICO</t>
  </si>
  <si>
    <t>SALVATORE</t>
  </si>
  <si>
    <t xml:space="preserve">145 HARVARD STREET </t>
  </si>
  <si>
    <t>P-400-22195-351774</t>
  </si>
  <si>
    <t>HOMEMAINTENANCE@GMAIL.COM</t>
  </si>
  <si>
    <t>H-400-22335-613814</t>
  </si>
  <si>
    <t>KING &amp; CO LANDSCAPE CONTRACTORS INC</t>
  </si>
  <si>
    <t>199 MARINER DRIVE</t>
  </si>
  <si>
    <t>SUITE 2</t>
  </si>
  <si>
    <t>DWIGHT</t>
  </si>
  <si>
    <t>1 MONTH EXPERIENCE AS LANDSCAPE LABORER</t>
  </si>
  <si>
    <t>P-400-22199-357621</t>
  </si>
  <si>
    <t>SANDY@KINGLANDSCAPECO.COM</t>
  </si>
  <si>
    <t>H-400-22335-613801</t>
  </si>
  <si>
    <t>RODOLFO CASTANEDA</t>
  </si>
  <si>
    <t>685 FRANKLIN HEIGHTS ROAD</t>
  </si>
  <si>
    <t xml:space="preserve">FRANKLIN </t>
  </si>
  <si>
    <t>RODOLFO</t>
  </si>
  <si>
    <t xml:space="preserve">685 FRANKLIN HEIGHTS ROAD </t>
  </si>
  <si>
    <t>P-400-22202-367055</t>
  </si>
  <si>
    <t>KRFL99@FRONTIER.COM</t>
  </si>
  <si>
    <t>H-400-22305-563008</t>
  </si>
  <si>
    <t>SAFE7 TRANSPORT CORP</t>
  </si>
  <si>
    <t>1750 White Heron Bay Circle</t>
  </si>
  <si>
    <t>Levy</t>
  </si>
  <si>
    <t>Recruter</t>
  </si>
  <si>
    <t>evnl7@msn.com</t>
  </si>
  <si>
    <t xml:space="preserve">CDL class A
</t>
  </si>
  <si>
    <t xml:space="preserve">3000 Directors Row </t>
  </si>
  <si>
    <t>Per mile</t>
  </si>
  <si>
    <t>P-400-22259-476531</t>
  </si>
  <si>
    <t>Taxes will be deducted according to tax rules and regulations; Federal Income Tax, Social Security and Medicare.</t>
  </si>
  <si>
    <t>safe7transportcorp@hotmail.com</t>
  </si>
  <si>
    <t>H-400-22307-566006</t>
  </si>
  <si>
    <t>Oceanfront S&amp;D, LLC</t>
  </si>
  <si>
    <t>7187 Bryhawke Circle, Unit 700</t>
  </si>
  <si>
    <t xml:space="preserve"> 7187 Bryhawke Circle, Unit 700 (Report to Work)</t>
  </si>
  <si>
    <t>P-400-22210-385910</t>
  </si>
  <si>
    <t>Optional shared housing available at up to $193.08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</si>
  <si>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H-400-22297-547526</t>
  </si>
  <si>
    <t>CHEMICAL ORDER PROCESSOR</t>
  </si>
  <si>
    <t>BARIUM HOLDINGS COMPANY INC.</t>
  </si>
  <si>
    <t xml:space="preserve">BARIUM &amp; CHEMICALS, INC. </t>
  </si>
  <si>
    <t>515 KINGSDALE ROAD</t>
  </si>
  <si>
    <t>STEUBENVILLE</t>
  </si>
  <si>
    <t>VENCI</t>
  </si>
  <si>
    <t>DEBORAH</t>
  </si>
  <si>
    <t>ANNE</t>
  </si>
  <si>
    <t>DAVENCI@BARIUMCHEMICALS.COM</t>
  </si>
  <si>
    <t xml:space="preserve">The job will require the worker to perform physical activities that require considerable use of arms and legs and moving the whole body, such as climbing, lifting, balancing, walking, extensive bending, stooping, squatting, and handling of materials required. Must be able to lift 50 pounds. 
</t>
  </si>
  <si>
    <t xml:space="preserve">STEUBENVILLE </t>
  </si>
  <si>
    <t>Weirton-Steubenville, WV-OH</t>
  </si>
  <si>
    <t>Overtime hours are available depending on production needs and vary from 1-10 hours and will be paid at $23.82 per hour.</t>
  </si>
  <si>
    <t>P-400-22214-391355</t>
  </si>
  <si>
    <t>The employer will make all payroll deductions required by law. Employer intends to assist foreign and non-local U.S. workers hired pursuant to this job order to secure worker-paid lodging and/or utilities not to exceed reasonable fair market value cost based on number of occupants. The employer does not envision other workforce-wide payroll deductions.</t>
  </si>
  <si>
    <t>https://www.bariumchemicals.com/apply-now-chemical</t>
  </si>
  <si>
    <t>H-400-22307-566485</t>
  </si>
  <si>
    <t>Engineer</t>
  </si>
  <si>
    <t xml:space="preserve">No minimum education or experience required.
Workers are subject to post-employment criminal background checks, paid by employer and applied equally to all workers, U.S. and foreign/H-2B. 
Must be able to work weekends and holidays as required. 
Applicant must complete an employment application.  
Required uniform provided at no cost to employee
</t>
  </si>
  <si>
    <t>P-400-22195-351500</t>
  </si>
  <si>
    <t xml:space="preserve">Employer will provide on the job training. A single workweek will be used to compute wages due. Pay received bi-weekly.  Employer will make all deductions from the worker's paycheck required by law. Optional employee shard housing available, including utilities, approx. $130.00 per week, plus $300.00 deposit required ($100.00 non-refundable, $200.00 refundable). Transportation provided between employer’s housing and worksite at approx. $45.00 per week. Meals available for purchase at approx. $3.00 per meal. Housing, meals, and transportation payroll deducted if employee elects.
</t>
  </si>
  <si>
    <t>H-400-22335-614614</t>
  </si>
  <si>
    <t>ECOSCAPE SOLUTIONS GROUP, LLC.</t>
  </si>
  <si>
    <t>dba GRASS GROOMERS</t>
  </si>
  <si>
    <t>7017 AMERICANA PARKWAY</t>
  </si>
  <si>
    <t>REYNOLDSBURG</t>
  </si>
  <si>
    <t>ELISE</t>
  </si>
  <si>
    <t xml:space="preserve">VP HUMAN RESOURCES </t>
  </si>
  <si>
    <t>EJOHNSON@YELLOWSTONELANDSCAPE.COM</t>
  </si>
  <si>
    <t>P-400-22243-448567</t>
  </si>
  <si>
    <t>H-400-22306-565521</t>
  </si>
  <si>
    <t>Resident Care</t>
  </si>
  <si>
    <t>Blessing ALF</t>
  </si>
  <si>
    <t>1051 NE 154TH TER</t>
  </si>
  <si>
    <t>NORTH MIAMI BEACH</t>
  </si>
  <si>
    <t>Francois</t>
  </si>
  <si>
    <t>blessingalfllc@gmail.com</t>
  </si>
  <si>
    <t>Training will be provided on the job, with CPR training provided by the local fire dept.</t>
  </si>
  <si>
    <t>P-400-22263-482599</t>
  </si>
  <si>
    <t>H-400-22335-613674</t>
  </si>
  <si>
    <t>Holiday Inn Club Vacations Incorporated for Fox River Resort</t>
  </si>
  <si>
    <t>2558 N 3653rd Road</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</si>
  <si>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stand, sit, and reach with hands and arms. 
Must be able to walk and stoop, kneel, crouch, or crawl.
Must be able to lift 20 lbs and move up to 75 lbs.
Must be able to be exposed to severe weather conditions such as rain, wind and other harsh climatic conditions. 
Must be able to work in environment where noise level may exceed the moderate threshold. 
Must be able to be exposed to various industrial chemicals, cleaning agents, etc. 
Must be able to be exposed to strong odors.
The employer will provide worker at no charge all tools, supplies, and equipment required to perform job. Uniform pieces provided at no cost to employee. 
Employer will provide on-the-job training.
</t>
  </si>
  <si>
    <t xml:space="preserve"> Employer may increase wage based on experience, changes in market conditions, and/or provide additional pay for perform</t>
  </si>
  <si>
    <t>P-400-22213-387938</t>
  </si>
  <si>
    <t xml:space="preserve">Employer will make all deductions from the worker's paycheck required by law. Optional employee only shared housing available onsite, including utilities, at approximately $100 per week. Housing cost payroll deducted if worker elects.
A single workweek will be used in computing wages due. Workers will be paid weekly. </t>
  </si>
  <si>
    <t>https://illinoisjoblink.illinois.gov/ada/r/</t>
  </si>
  <si>
    <t>H-400-22307-566735</t>
  </si>
  <si>
    <t>Milberger Landscaping Inc</t>
  </si>
  <si>
    <t>3920 N Loop 1604 E</t>
  </si>
  <si>
    <t>Jouffray, Jr</t>
  </si>
  <si>
    <t>dwhitford@milbergersa.com</t>
  </si>
  <si>
    <t>Able to lift 50lbs, Random drug testing during employment, Pre-employment drug testing required, drug testing during employment for cause,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</si>
  <si>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 xml:space="preserve">Raise at employer's discretion. Percentage of health care offered. </t>
  </si>
  <si>
    <t>P-400-22215-392928</t>
  </si>
  <si>
    <t>H-400-22308-569682</t>
  </si>
  <si>
    <t>Green Lawn Care Services</t>
  </si>
  <si>
    <t>2002 E. Tom Green Street</t>
  </si>
  <si>
    <t>Luedke</t>
  </si>
  <si>
    <t>Wigington</t>
  </si>
  <si>
    <t>michelle@h2labor.com</t>
  </si>
  <si>
    <t xml:space="preserve"> Must pass employer paid post hire drug test 
</t>
  </si>
  <si>
    <t>P-400-22220-402675</t>
  </si>
  <si>
    <t>H-400-22307-565967</t>
  </si>
  <si>
    <t>Westco Grounds Maintenance LLC</t>
  </si>
  <si>
    <t>12350 Taylor Rd</t>
  </si>
  <si>
    <t>Palermo</t>
  </si>
  <si>
    <t>Director of Technology</t>
  </si>
  <si>
    <t>bpalermo@westcogrounds.com</t>
  </si>
  <si>
    <t xml:space="preserve">Must be able to work a 5-day schedule, may include weekends and holidays. Applicants must complete an employment application.
</t>
  </si>
  <si>
    <t>P-400-22230-424404</t>
  </si>
  <si>
    <t xml:space="preserve">Employer will make all deductions from the worker's paycheck required by law. Employer will assist worker to find affordable housing. Cost of optional employee medical/dental/vision insurance approx. $1.91 - $122.61 per week.
Employer will provide worker at no charge all tools, supplies, and equipment required to perform job. Required uniform provided. </t>
  </si>
  <si>
    <t>H-400-22297-547470</t>
  </si>
  <si>
    <t xml:space="preserve">GENERAL MAINTENANCE WORKER </t>
  </si>
  <si>
    <t>davenci@bariumchemicals.com</t>
  </si>
  <si>
    <t xml:space="preserve">The job will require the worker to perform physical activities that require considerable use of arms and legs and moving the whole body, such as climbing, lifting, balancing, walking, extensive bending, stooping, squatting, and handling of materials required. Must be able to lift 50 pounds.
</t>
  </si>
  <si>
    <t xml:space="preserve">Overtime hours available based on production needs and vary from 1-10 per week. </t>
  </si>
  <si>
    <t>P-400-22234-429423</t>
  </si>
  <si>
    <t>https://www.bariumchemicals.com/apply-now-maintenance</t>
  </si>
  <si>
    <t>H-400-22306-563308</t>
  </si>
  <si>
    <t>If overtime is needed, wage will be at $26.63 per hour</t>
  </si>
  <si>
    <t>Deductions required by the law.</t>
  </si>
  <si>
    <t>H-400-22307-566015</t>
  </si>
  <si>
    <t>CJ Outdoors, LLC</t>
  </si>
  <si>
    <t>9729 N. IH 35</t>
  </si>
  <si>
    <t>P-400-22210-385181</t>
  </si>
  <si>
    <t>Optional shared housing available at up to $192.96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</si>
  <si>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H-400-22307-566623</t>
  </si>
  <si>
    <t>H-400-22230-425824</t>
  </si>
  <si>
    <t>MB Redevelopment, LLC</t>
  </si>
  <si>
    <t>Loews Miami Beach Hotel</t>
  </si>
  <si>
    <t>1601 Collins Avenue</t>
  </si>
  <si>
    <t>Miami Beach</t>
  </si>
  <si>
    <t>Susana</t>
  </si>
  <si>
    <t>sfernandez@loewshotels.com</t>
  </si>
  <si>
    <t xml:space="preserve">The Petitioner will consider for employment any person who possesses at least three (3) months of experience at a high-end hotel, resort, or private club. Applicant must complete pre-employment drug screening.  Applicant who has been previously employed in the U.S. must complete pre-employment background check.
</t>
  </si>
  <si>
    <t>Wage: $16.25 – $17.00 per hour, paid bi-weekly.  Please see Job Description for additional information.</t>
  </si>
  <si>
    <t>P-400-22160-263461</t>
  </si>
  <si>
    <t xml:space="preserve">Housing is not offered. As an optional benefit, employer will provide $1,000 to assist in securing housing. If elected, $250.00 will be deducted from the first four (4) paychecks.
Additional, optional benefits may be offered to worker, for worker’s sole benefit, including but not limited to health insurance upon completion of three (3) month introductory period.  If voluntarily elected by worker, employee costs/contributions for benefits will be deducted from paycheck.
All deductions from paycheck required by law will be made.  
</t>
  </si>
  <si>
    <t>Construction Workers</t>
  </si>
  <si>
    <t>Ocasio Vazquez</t>
  </si>
  <si>
    <t>421 Ave. Munoz Rivera, Ste. 308</t>
  </si>
  <si>
    <t>Cond. Midtown</t>
  </si>
  <si>
    <t>Hato Rey</t>
  </si>
  <si>
    <t>karenocasiolaw@mail.com</t>
  </si>
  <si>
    <t>Karen M. Ocasio, Law Office</t>
  </si>
  <si>
    <t>Puerto Rico Supreme Court</t>
  </si>
  <si>
    <t>H-400-22251-461507</t>
  </si>
  <si>
    <t>Line cook</t>
  </si>
  <si>
    <t>Pats Peak Skiing LLC</t>
  </si>
  <si>
    <t>686 Flanders Road</t>
  </si>
  <si>
    <t>Henniker</t>
  </si>
  <si>
    <t>Demmons</t>
  </si>
  <si>
    <t>Director of Base Area Services</t>
  </si>
  <si>
    <t>Mailing: PO Box 2448, Henniker, NH 03242</t>
  </si>
  <si>
    <t>sarah@patspeak.com</t>
  </si>
  <si>
    <t xml:space="preserve">The petitioner will consider any person for employment who possesses at least three (3) months of culinary experience in a fine-dining or high-volume environment at a high-end restaurant, resort, or private club. 
Work schedule can vary and can include evenings, weekends, and holidays. Work can be performed on any day of the week Monday - Sunday. Shift hours may vary. Days off vary. Standard Shifts are as follows: Monday to Thursday (split shifts) 10am  4pm and 4pm  9pm. Friday to Saturday: 9am  4pm or 4pm  10pm. Sunday shift: 9am  4pm. Overtime may be required. Schedules are influenced by weather conditions and guest attendance. </t>
  </si>
  <si>
    <t xml:space="preserve">+DOE.  Free skiing, rentals and lessons, meal discounts and 25% retail discount. </t>
  </si>
  <si>
    <t>P-400-22181-326397</t>
  </si>
  <si>
    <t xml:space="preserve">Housing is offered and optional. Cost of housing, if accepted, is $200.00 per month, and includes utilities. If used, total cost of housing will be deducted from the employee's paycheck. A refundable security deposit of $200.00 is due, to be paid in full upfront directly to the employer. Housing is within walking distance to worksite. </t>
  </si>
  <si>
    <t>H-400-22245-453100</t>
  </si>
  <si>
    <t>Helper-Installation, Maintenance, &amp; Repair Workers</t>
  </si>
  <si>
    <t>Rice Belt Distributors, Inc.</t>
  </si>
  <si>
    <t>PO Box 1895</t>
  </si>
  <si>
    <t>1027 W Second Street</t>
  </si>
  <si>
    <t>Crowley</t>
  </si>
  <si>
    <t>LeBeouf</t>
  </si>
  <si>
    <t>Darrell</t>
  </si>
  <si>
    <t>ricebelt1@yahoo.com</t>
  </si>
  <si>
    <t xml:space="preserve">MUST BE ABLE TO LIFT BETWEEN 30-40LBS. WORK IS PERFORMED IN ALL TYPES OF WEATHER. MUST BE PHYSICALLY ABLE TO PERFORM JOB, MUST NOT HAVE A FEAR OF HEIGHTS, OR BE CLAUSTROPHOBIC. MUST BE AVAILABLE FOR THE ENTIRE SEASON, ABLE, WILLING, AND QUALIFIED TO PERFORM THE WORK. WORKER MAY BE REQUIRED TO TAKE A RANDOM DRUG TEST, POST-HIRE, AT NO COST TO WORKER. TESTING POSITIVE OR FAILURE TO COMPLY MAY RESULT IN IMMEDIATE TERMINATION OF EMPLOYMENT.
</t>
  </si>
  <si>
    <t>ACADIA</t>
  </si>
  <si>
    <t>P-400-22166-282521</t>
  </si>
  <si>
    <t>If necessary, any advances of pay, loans, and/or rents (where applicable) will be deducted according to a pre-authorized agreement between employer and employee.</t>
  </si>
  <si>
    <t>H-400-22243-449181</t>
  </si>
  <si>
    <t>HANDAL RACING LLC</t>
  </si>
  <si>
    <t>172 crocus avenue</t>
  </si>
  <si>
    <t>STE 1C</t>
  </si>
  <si>
    <t>Floral Park</t>
  </si>
  <si>
    <t>Montecino</t>
  </si>
  <si>
    <t>Eliacer</t>
  </si>
  <si>
    <t>Assistant Trainer</t>
  </si>
  <si>
    <t>eliacermontecino@yahoo.com</t>
  </si>
  <si>
    <t xml:space="preserve">Must be able to lift 50 Lbs.
</t>
  </si>
  <si>
    <t>700 central ave</t>
  </si>
  <si>
    <t>louisville</t>
  </si>
  <si>
    <t>P-400-22152-231341</t>
  </si>
  <si>
    <t>State and Federal taxes
Optional offered housing at the backstretch of the track at no cost to the worker.</t>
  </si>
  <si>
    <t>H-400-22249-457329</t>
  </si>
  <si>
    <t>HORSE SHOW GROOM</t>
  </si>
  <si>
    <t>Oxford Stables, LLC</t>
  </si>
  <si>
    <t>13061 Meadowbreeze Drive</t>
  </si>
  <si>
    <t>Amaya</t>
  </si>
  <si>
    <t>Max</t>
  </si>
  <si>
    <t>oxfordstablesllc@gmail.com</t>
  </si>
  <si>
    <t>Friestad</t>
  </si>
  <si>
    <t>Francis</t>
  </si>
  <si>
    <t>114 W. Magnolia St.</t>
  </si>
  <si>
    <t>Ste. 400-167</t>
  </si>
  <si>
    <t>sfriestad@friestad.com</t>
  </si>
  <si>
    <t>Law Office of Shawn Friestad</t>
  </si>
  <si>
    <t>14878 Grand Prix Village Drive</t>
  </si>
  <si>
    <t>See Addendum to ETA-9142B: Employer reserves the right to pay...</t>
  </si>
  <si>
    <t>P-400-22195-353839</t>
  </si>
  <si>
    <t>H-400-22239-441855</t>
  </si>
  <si>
    <t>Caregiver</t>
  </si>
  <si>
    <t>Harmony Villas One Inc.</t>
  </si>
  <si>
    <t>3525 Murrell Road</t>
  </si>
  <si>
    <t>Leamy</t>
  </si>
  <si>
    <t>Corporate Counsel</t>
  </si>
  <si>
    <t>105 Depot Street</t>
  </si>
  <si>
    <t>chuck_leamy@yahoo.com</t>
  </si>
  <si>
    <t>Class II Background check will be performed by employer.</t>
  </si>
  <si>
    <t>P-400-22104-071950</t>
  </si>
  <si>
    <t xml:space="preserve">All standard deductions to be made by employer.
No deductions taken for free housing. </t>
  </si>
  <si>
    <t>Johansturm9@gmail.com</t>
  </si>
  <si>
    <t>www.harmonyvillasalf.com</t>
  </si>
  <si>
    <t>H-400-22244-450352</t>
  </si>
  <si>
    <t>Quality Turf Farms LC</t>
  </si>
  <si>
    <t>18675 Hwy 35</t>
  </si>
  <si>
    <t>Sweeny</t>
  </si>
  <si>
    <t xml:space="preserve">P.O. Box 321 </t>
  </si>
  <si>
    <t>West Columbia</t>
  </si>
  <si>
    <t xml:space="preserve">Lifting up to 75lbs fairly frequently. </t>
  </si>
  <si>
    <t>18675 HWY 35</t>
  </si>
  <si>
    <t>P-400-22201-363955</t>
  </si>
  <si>
    <t>H-400-22285-524486</t>
  </si>
  <si>
    <t>D &amp; C Pride of Texas Shows, Inc.</t>
  </si>
  <si>
    <t>Pride of Texas Shows</t>
  </si>
  <si>
    <t>2510 Leroy Parkway</t>
  </si>
  <si>
    <t>(Mail: PO Box 130, Elm Mott TX 76640)</t>
  </si>
  <si>
    <t>Elm Mott</t>
  </si>
  <si>
    <t>Barton</t>
  </si>
  <si>
    <t>chrisbbarton@msn.com</t>
  </si>
  <si>
    <t>501 East Escondido Road</t>
  </si>
  <si>
    <t>Kingsville</t>
  </si>
  <si>
    <t>KLEBERG</t>
  </si>
  <si>
    <t>P-400-22182-328054</t>
  </si>
  <si>
    <t>Chris@prideoftexasshowsinc.com</t>
  </si>
  <si>
    <t>H-400-22251-462580</t>
  </si>
  <si>
    <t>OAKLAWN RACING</t>
  </si>
  <si>
    <t>2705 Central Ave.</t>
  </si>
  <si>
    <t>P-400-22207-376538</t>
  </si>
  <si>
    <t>H-400-22307-566775</t>
  </si>
  <si>
    <t>McFall &amp; Berry Special Landscape Services, Inc.</t>
  </si>
  <si>
    <t>5037-B Backlick Road</t>
  </si>
  <si>
    <t xml:space="preserve">Berry </t>
  </si>
  <si>
    <t>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</si>
  <si>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21206 New Hampshire Ave</t>
  </si>
  <si>
    <t>Brookeville</t>
  </si>
  <si>
    <t>P-400-22215-392918</t>
  </si>
  <si>
    <t>Employer may make payroll deductions at employee's request. Employer facilitates voluntary housing arrangements upon worker request along with corresponding payroll deductions $130.00/bi-weekly for rent and utilities</t>
  </si>
  <si>
    <t>steve.stickley@mcfallandberry.com</t>
  </si>
  <si>
    <t>H-400-22279-515995</t>
  </si>
  <si>
    <t>Handy Andy Snow Removal</t>
  </si>
  <si>
    <t>140 G.H. Daniels Blvd</t>
  </si>
  <si>
    <t>Kristen</t>
  </si>
  <si>
    <t>handyandy12@hotmail.com</t>
  </si>
  <si>
    <t>Pooley</t>
  </si>
  <si>
    <t>P.O. Box 5130</t>
  </si>
  <si>
    <t>cpooley2009@gmail.com</t>
  </si>
  <si>
    <t>Law Office of Chris Pooley</t>
  </si>
  <si>
    <t>P-400-22186-332115</t>
  </si>
  <si>
    <t>Federal, State and any local withholding.</t>
  </si>
  <si>
    <t>kristen@thelandscapecenter.com</t>
  </si>
  <si>
    <t>H-400-22184-329886</t>
  </si>
  <si>
    <t>Windham Chicken Run, LLC</t>
  </si>
  <si>
    <t>5639 NY Route 23</t>
  </si>
  <si>
    <t>PO Box 13</t>
  </si>
  <si>
    <t>Windham</t>
  </si>
  <si>
    <t>Misenti</t>
  </si>
  <si>
    <t>chickenrunwindham@gmail.com</t>
  </si>
  <si>
    <t>P-400-22122-125062</t>
  </si>
  <si>
    <t>All Local, State and Federal deductions required by Law.</t>
  </si>
  <si>
    <t>H-400-22245-454142</t>
  </si>
  <si>
    <t>East West Resorts, LLC</t>
  </si>
  <si>
    <t>East West Hospitality</t>
  </si>
  <si>
    <t>30 Benchmark Road, Suite 107</t>
  </si>
  <si>
    <t>PO Box 9690</t>
  </si>
  <si>
    <t>Greener</t>
  </si>
  <si>
    <t>Chief Human Resources Officer</t>
  </si>
  <si>
    <t>ngreener@eastwest.com</t>
  </si>
  <si>
    <t xml:space="preserve">Background check is required upon hire, and is completed as part of new hire paperwork. The background check takes place post-hire of the job opportunity and is carried out equally between all workers, including all U.S. workers and H-2B/international workers. 
</t>
  </si>
  <si>
    <t>30 Benchmark Road</t>
  </si>
  <si>
    <t>Suite 107</t>
  </si>
  <si>
    <t>P-400-22182-329252</t>
  </si>
  <si>
    <t>H-400-22255-467769</t>
  </si>
  <si>
    <t>General Forestry and Right-of-Way Services, LLC</t>
  </si>
  <si>
    <t>1336 Rue De Jean Ave</t>
  </si>
  <si>
    <t>McCourry</t>
  </si>
  <si>
    <t>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t>
  </si>
  <si>
    <t>P-400-22152-231203</t>
  </si>
  <si>
    <t>jobsgeneralforestry@gmail.com</t>
  </si>
  <si>
    <t>H-400-22276-506878</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</si>
  <si>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t>
  </si>
  <si>
    <t xml:space="preserve">Atlanta </t>
  </si>
  <si>
    <t>P-400-22153-235694</t>
  </si>
  <si>
    <t>H-400-22259-477693</t>
  </si>
  <si>
    <t>Aspen Skiing Company, L.L.C.</t>
  </si>
  <si>
    <t>117 Aspen Business Center</t>
  </si>
  <si>
    <t>Aspen</t>
  </si>
  <si>
    <t>Mikala</t>
  </si>
  <si>
    <t>117 Aspen Airport Business Center</t>
  </si>
  <si>
    <t>mford@aspensnowmass.com</t>
  </si>
  <si>
    <t xml:space="preserve">The Petitioner will consider for employment any person who possesses at least six (6) months of culinary experience in a fine-dining or high-volume environment at a high-end restaurant, resort, or private club.
Ability to communicate oral or written directions in English required.
</t>
  </si>
  <si>
    <t>PITKIN</t>
  </si>
  <si>
    <t>Wage: $23.00 - $26.00 per hour, paid bi-weekly.  Please see job description for additional information.</t>
  </si>
  <si>
    <t>P-400-22216-396242</t>
  </si>
  <si>
    <t>Optional housing is offered on a first-come, first-serve basis for workers who are relocating to begin employment. Cost of housing, if accepted, ranges from $500.00 - $1000.00 per month depending upon unit and location.  If used, total cost of housing will be paid directly to employer by employee. A security deposit in the amount of the first and last month’s rent is required, to be paid directly to employer upon acceptance of housing.</t>
  </si>
  <si>
    <t>H-400-22276-505798</t>
  </si>
  <si>
    <t>Bates Brothers Amusement Co.</t>
  </si>
  <si>
    <t>1506 Fernwood Road</t>
  </si>
  <si>
    <t>Wintersville</t>
  </si>
  <si>
    <t>Dallman</t>
  </si>
  <si>
    <t>braddallman@yahoo.com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</si>
  <si>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drug testing and criminal background check required, cost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
  </si>
  <si>
    <t>P-400-22193-347054</t>
  </si>
  <si>
    <t xml:space="preserve">Pay received weekly, single workweek used for computing wages. Employer will make all deductions from worker’s paycheck required by law. Employer optional shared housing is provided at no cost to the worker ($120/wk), local convenience travel valued at ($20/wk.), and food available for wage credit and/or deduction, or any lesser amount to the maximum extent not prohibited by law.
Employer will provide workers at no charge all tools, supplies and equipment required to perform job. On the job training provided.
 Travel provided to all events as per itinerary. Must commute from home at prior worksite to next worksite.  Optional transportation to worksites provided at no cost to the worker. Work is performed outside in all weather.
</t>
  </si>
  <si>
    <t>https://jobseeker.ohiomeansjobs.monster.com</t>
  </si>
  <si>
    <t>H-400-22271-500246</t>
  </si>
  <si>
    <t xml:space="preserve">The Petitioner will consider for employment any person who possesses at least twelve (12) months of service experience in a fine-dining or high-volume environment at a high-end restaurant, resort, or private club.  Applicant must complete pre-employment background check.
</t>
  </si>
  <si>
    <t xml:space="preserve">Marathon </t>
  </si>
  <si>
    <t>Tipped position with guaranteed wage of $14.20 per hour, paid bi-weekly. Please see job description.</t>
  </si>
  <si>
    <t>P-400-22220-403486</t>
  </si>
  <si>
    <t xml:space="preserve">Optional housing is offered on a first-come, first-serve basis for workers who are relocating to begin employment. Cost of housing, if accepted, is up to $400.00 per bi-weekly pay period. If used, total cost of housing and utilities will be deducted from paycheck.  A $200.00 refundable security deposit is required, to be deducted from paycheck in equal $100.00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
</t>
  </si>
  <si>
    <t>H-400-22229-420283</t>
  </si>
  <si>
    <t>Deer Valley Resort Company, LLC</t>
  </si>
  <si>
    <t>Deer Valley Resort</t>
  </si>
  <si>
    <t>2250 Deer Valley Drive South</t>
  </si>
  <si>
    <t>P.O. Box 889</t>
  </si>
  <si>
    <t>Lampe</t>
  </si>
  <si>
    <t xml:space="preserve">Chris </t>
  </si>
  <si>
    <t>PO Box 889</t>
  </si>
  <si>
    <t>clampe@deervalley.com</t>
  </si>
  <si>
    <t>Six (6) months of housekeeping experience at a high-end hotel, resort, or private club required. 
May need to lift and carry up to 50 pounds and walk between buildings, as necessary.
On-the-job training is provided.
35 hours per week.  Shifts available 7 days a week including weekends and holidays. Multiple shifts and start times between 6AM to 10 PM, including weekends and holidays.
Wage Per Hour: $13.65 - $24.00. Overtime possible at hourly wage of $20.48 - $36.00.
Pre-employment background checks are completed in new hire onboarding with Human Resources. Drug screening is
completed randomly, if there is a worksite injury, or if there is damage to Deer Valley property that is more than $150.</t>
  </si>
  <si>
    <t>based on experience and merit. Each employee receives a performance review at the end of each season, based on these reviews employees will receive a merit from 0% - 3% for the start of the next winter season.
Benefits: meal plans are $3.50/meal, ski lift passes are free, retail discounts range from 10-20% off in all Deer Valley outlets.</t>
  </si>
  <si>
    <t>P-400-22159-255690</t>
  </si>
  <si>
    <t>All deductions required by law will be made.
Housing is offered and optional. Cost of housing, if accepted, is $119 - $185.50 per week, subject to change. If used, total cost of housing will be deducted from paycheck. A $250 partially refundable security deposit is required, to be paid directly to employer upon acceptance of housing. Up to $200 of deposit may be returned to the employee based on condition of housing, at the employer's sole discretion, at the end of the employment period.
We also assist in finding third party housing by providing a list of available contacts in the Park City area that staff can contact directly.
Optional deductions from paycheck offered for meals, 401K, health insurance, non-returned company items, housing rent and
fines, employee entertainment events and functions.</t>
  </si>
  <si>
    <t>eseelander@deervalley.com</t>
  </si>
  <si>
    <t>H-400-22256-470492</t>
  </si>
  <si>
    <t>TAQUERIA MEXICO INC</t>
  </si>
  <si>
    <t>7167 SOMERSET RD</t>
  </si>
  <si>
    <t>SAN ANTONIO</t>
  </si>
  <si>
    <t>taqueriamexicoinc99@gmail.com</t>
  </si>
  <si>
    <t>Pacheco</t>
  </si>
  <si>
    <t>Delia</t>
  </si>
  <si>
    <t>2425 Fountain View Drive</t>
  </si>
  <si>
    <t>Suite 357</t>
  </si>
  <si>
    <t>cases@terralabor.com</t>
  </si>
  <si>
    <t>Terra Labor Consulting Group</t>
  </si>
  <si>
    <t>P-400-22195-353337</t>
  </si>
  <si>
    <t xml:space="preserve">Employer will make all deductions from the worker's paycheck required by law. No additional deductions will be made. </t>
  </si>
  <si>
    <t>mexicotaqinc@outlook.com</t>
  </si>
  <si>
    <t>H-400-22236-436432</t>
  </si>
  <si>
    <t>Ejetero LLC</t>
  </si>
  <si>
    <t>6106 Brooklyn Bridge Rd</t>
  </si>
  <si>
    <t>Elvis</t>
  </si>
  <si>
    <t>navaraquel81@gmail.com</t>
  </si>
  <si>
    <t>P-400-22178-313334</t>
  </si>
  <si>
    <t>H-400-22255-466888</t>
  </si>
  <si>
    <t>Cleaning Worker</t>
  </si>
  <si>
    <t>Keystone Capital Management, Inc.</t>
  </si>
  <si>
    <t xml:space="preserve">North Lake Tahoe Cleaning </t>
  </si>
  <si>
    <t>310 Cottonwood Court #2</t>
  </si>
  <si>
    <t>chris@northlaketahoecleaning.com</t>
  </si>
  <si>
    <t xml:space="preserve">This position requires standing, sitting, and walking for an extended period of time; pushing, pulling, and lifting items up to 20 lbs.; bending, stooping, squatting, kneeling, and twisting; and reaching overhead and below the waist.
Applicants must be at least 18 years old to travel.  Show proof of legal authority to work in the U.S.  All applicants must be able, willing, qualified to perform the work described and must be available for the entire period specified.
Drug/alcohol free work zone.  Pre-hire drug/alcohol testing will be conducted at the employers expense.  
</t>
  </si>
  <si>
    <t>P-400-22181-324269</t>
  </si>
  <si>
    <t>All usual deductions from payroll will be made in accordance with state and federal law</t>
  </si>
  <si>
    <t>Benjamin Beijing Wang, PC</t>
  </si>
  <si>
    <t>H-400-22277-509284</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</si>
  <si>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able to lift 50 pounds with loading dolly. Subject to discharge for cause.  </t>
  </si>
  <si>
    <t>19192 540th Avenue</t>
  </si>
  <si>
    <t>MOWER</t>
  </si>
  <si>
    <t>P-400-22210-385851</t>
  </si>
  <si>
    <t>Optional mobile housing ($125/week) and local convenience travel ($20/week) are available for wage credit and/or deduction, or any lesser amount to the maximum extent not prohibited by law.  The employer will pay the cost of housing to the extent such costs would reduce the pay below the offered wage rate for the areas of intended employment.  Wages calculated by single workweek, paid bi-weekly. Employer will make all deductions from the worker's paycheck as required by law. Wage prepayment and merit/sick/supplemental/recruiting pay at employer's discretion.</t>
  </si>
  <si>
    <t>SOLEMCONCESSIONS@YAHOO.COM</t>
  </si>
  <si>
    <t>H-400-22300-555628</t>
  </si>
  <si>
    <t>P-400-22255-467675</t>
  </si>
  <si>
    <t xml:space="preserve">Employer will make all deductions from the worker’s paycheck required by law. Optional housing (valued at $175.00 per week) and local convenience travel (valued at $15.00 per week) are available at no cost to the worker. </t>
  </si>
  <si>
    <t>H-400-22270-497253</t>
  </si>
  <si>
    <t>Housekeeping Associate</t>
  </si>
  <si>
    <t>Seaboard Associates Limited Partnership</t>
  </si>
  <si>
    <t>d/b/a Ocean Key Resort &amp; Spa</t>
  </si>
  <si>
    <t>Zero Duval Street</t>
  </si>
  <si>
    <t>Voshol</t>
  </si>
  <si>
    <t>avoshol@oceankey.com</t>
  </si>
  <si>
    <t xml:space="preserve">Rate of Pay:   $18.00/hr. O/T $27.00/hr.  Eligible for multiple benefits including daily shift meal.  </t>
  </si>
  <si>
    <t>P-400-22188-336705</t>
  </si>
  <si>
    <t xml:space="preserve">Shared, subsidized housing provided. Housing is optional, if elected, cost at approx. $500 per month. All deductions from worker’s paycheck required by law will be made. </t>
  </si>
  <si>
    <t>H-400-22251-461469</t>
  </si>
  <si>
    <t xml:space="preserve">Machine Operator </t>
  </si>
  <si>
    <t>Multiple Machine Tool Setters, Operators, and Tenders, Metal and Plastic</t>
  </si>
  <si>
    <t xml:space="preserve">KKSP Precision Machining LLC </t>
  </si>
  <si>
    <t xml:space="preserve">KKSP Precision Machining </t>
  </si>
  <si>
    <t>1688 Glen Ellyn Road</t>
  </si>
  <si>
    <t>Glendale Heights</t>
  </si>
  <si>
    <t>Dolan</t>
  </si>
  <si>
    <t xml:space="preserve">Lifting required up to 30lbs. Employer paid pre-hire drug testing and criminal background required. 
</t>
  </si>
  <si>
    <t>10790 Green Bay Road</t>
  </si>
  <si>
    <t xml:space="preserve">Pleasant Prairie </t>
  </si>
  <si>
    <t>KENOSHA</t>
  </si>
  <si>
    <t>P-400-22188-337025</t>
  </si>
  <si>
    <t xml:space="preserve">Assistance finding lodging is available, if needed, at no additional charge to the worker. 
Employer will make all deductions required by law from each paycheck. 
</t>
  </si>
  <si>
    <t>lminnihan@kksp.com</t>
  </si>
  <si>
    <t>H-400-22294-544802</t>
  </si>
  <si>
    <t>Cleaning  Specialist</t>
  </si>
  <si>
    <t>Spencer Homes Realty , LLc</t>
  </si>
  <si>
    <t>1044  Central St   Suite 202</t>
  </si>
  <si>
    <t>Stoughton</t>
  </si>
  <si>
    <t xml:space="preserve">Rousseau  </t>
  </si>
  <si>
    <t xml:space="preserve">Esther  </t>
  </si>
  <si>
    <t>Box  71</t>
  </si>
  <si>
    <t>Peter@spencerhomesrealty.com</t>
  </si>
  <si>
    <t>P o Box 71</t>
  </si>
  <si>
    <t>ednulti01@gmail.com</t>
  </si>
  <si>
    <t>Edmulti services LLC</t>
  </si>
  <si>
    <t>Will Provide all customers with excellent customer service, routine inspections and minor facility repair on cleaning machinery. 
The cleaning specialist will be 
responsible for keeping the residential and business space clean by dusting countertops, furniture, ceilings, vents when 
necessary, sweeping, mopping, waxing floors when necessary and vacuuming. Perform routine inspections to make sure the 
areas are sanitary. Performs weekly or biweekly maintenance on cleaning equipment. Cleaning spills, broken glass and other 
messes. Adhering to scheduled appointments, coordinating schedules with other cleaners. Refills supplies such as hand soap 
and sanitizers, paper towels and toilet paper. Order cleaning supplies and materials biweekly or monthly. Areas of employment 
will be extended to South and Northwest of Boston, MA</t>
  </si>
  <si>
    <t>1044 central street</t>
  </si>
  <si>
    <t>P-400-22199-357234</t>
  </si>
  <si>
    <t>www.spencerhomesrealty.com</t>
  </si>
  <si>
    <t>H-400-22298-548421</t>
  </si>
  <si>
    <t>Quality Life LLC</t>
  </si>
  <si>
    <t>672 Hahaione St.</t>
  </si>
  <si>
    <t>Bayanbat</t>
  </si>
  <si>
    <t>Nika</t>
  </si>
  <si>
    <t>nika.qualitylife@gmail.com</t>
  </si>
  <si>
    <t>P-400-22208-377989</t>
  </si>
  <si>
    <t>Uyanga.QualityLife@gmail.com</t>
  </si>
  <si>
    <t>H-400-22258-475116</t>
  </si>
  <si>
    <t>landscape Tender, Landscape Laborer, Construction work</t>
  </si>
  <si>
    <t>KASA Construction Inc</t>
  </si>
  <si>
    <t>15148 Sierra Bonita Lane</t>
  </si>
  <si>
    <t>chino</t>
  </si>
  <si>
    <t>Mariza</t>
  </si>
  <si>
    <t>I.</t>
  </si>
  <si>
    <t>marizaw@kasaconstruction.com</t>
  </si>
  <si>
    <t xml:space="preserve">Construction &amp; irrigation knowledge a plus. </t>
  </si>
  <si>
    <t>Chino</t>
  </si>
  <si>
    <t>P-400-22217-400644</t>
  </si>
  <si>
    <t>SUTA TAX RATE 6.2% (Single, &amp; Married Single) effective 1.01.2022
BASE         FIXED           ADDITIONAL %
9,325         102.58                  2.20
22,107       383.78                  4.40
34,892       946.32                  6.60  
48,435       1,840.16              8.80
61,214       2,946.71              10.23
312,686    28,690.30            11.33
375,221    35,775.52            12.43</t>
  </si>
  <si>
    <t>tinab@kasaconstruction.com</t>
  </si>
  <si>
    <t>www.kasaconstruction.com</t>
  </si>
  <si>
    <t>H-400-22249-457556</t>
  </si>
  <si>
    <t>RESORT GROUP, LLC</t>
  </si>
  <si>
    <t>MOUNTAIN RESORTS / SIMPLY STEAMBOAT / RESORT GROUP</t>
  </si>
  <si>
    <t>2150 RESORT DRIVE</t>
  </si>
  <si>
    <t xml:space="preserve">STEAMBOAT SPRINGS </t>
  </si>
  <si>
    <t>VP of Benefits &amp; Risk Management</t>
  </si>
  <si>
    <t>2150 Resort Drive</t>
  </si>
  <si>
    <t>dfisher@resortgroup.com</t>
  </si>
  <si>
    <t xml:space="preserve">Criminal background check  - same as all US Citizen Applicants and work-authorized applicants
</t>
  </si>
  <si>
    <t>P-400-22195-353038</t>
  </si>
  <si>
    <t xml:space="preserve">ALL DEDUCTIONS REQUIRED BY LAW (IE. FEDERAL AND STATE INCOME TAXES, SOCIAL SECURITY TAXES).  BI-WEEKLY
OCCUPANCY FEE AT OUR EMPLOYER-PROVIDED HOUSING AT A RATE OF $275.00 EACH BI-WEEKLY PERIOD THE EMPLOYEE RESIDES THERE. ANY PAST DUE AND UNPAID WEEKLY OCCUPANCY FEES.   EMPLOYEES ELECT TO RESIDE IN OUR EMPLOYER-PROVIDED HOUSING, IF THEY DO NOT, NO DEDUCTIONS FOR HOUSING WILL OCCUR.  NO OTHER DEDUCTIONS WILL BE MADE FROM PAY, EXCEPT STATUTORY TAXES.
</t>
  </si>
  <si>
    <t>cdle_steamboat_springs_wfc@state.co.us</t>
  </si>
  <si>
    <t>www.yourworkforcecenter.com</t>
  </si>
  <si>
    <t>H-400-22270-496425</t>
  </si>
  <si>
    <t>Montana Bonfire LLC</t>
  </si>
  <si>
    <t>15300 Montana Hwy 35</t>
  </si>
  <si>
    <t>Bigfork</t>
  </si>
  <si>
    <t>Cloutier</t>
  </si>
  <si>
    <t>14403 Bear Meadow Lane</t>
  </si>
  <si>
    <t>lisa@sleepeatdrink.com</t>
  </si>
  <si>
    <t>Associate's</t>
  </si>
  <si>
    <t>Work experience in a culinary field as well as a degree in a culinary field is preferred.</t>
  </si>
  <si>
    <t>West Montana nonmetropolitan area</t>
  </si>
  <si>
    <t>Based on experience and performance</t>
  </si>
  <si>
    <t>P-400-22227-417249</t>
  </si>
  <si>
    <t>Housing - $450</t>
  </si>
  <si>
    <t>www.montanabonfire.com/employment/</t>
  </si>
  <si>
    <t>H-400-22242-444493</t>
  </si>
  <si>
    <t>FACILITIES / GROUNDS CUSTODIAN</t>
  </si>
  <si>
    <t>RESORT GROUP / MOUNTAIN RESORTS / SIMPLY STEAMBOAT</t>
  </si>
  <si>
    <t>FISHER</t>
  </si>
  <si>
    <t>DINA</t>
  </si>
  <si>
    <t>NOEL</t>
  </si>
  <si>
    <t>VP OF BENEFITS &amp; RISK MANAGEMENT</t>
  </si>
  <si>
    <t xml:space="preserve">Criminal background check - same as all other US Citizen and US work authorized applicants.
</t>
  </si>
  <si>
    <t>P-400-22195-353050</t>
  </si>
  <si>
    <t>We will make all deductions required by law (ie. federal
and state income taxes, social security taxes). We will make a deduction
for bi-weekly occupancy fee at our employer-provided housing at a rate
of $275 each bi-weekly period if employee chooses to reside there. Any past due and unpaid weekly occupancy fees will also be deducted from pay.  It is
optional to elect to reside in our employer-provided housing, if employees do not, no deductions for housing will occur.  No other deductions will be made from pay, with exception of statutory taxes &amp; wage withholding.</t>
  </si>
  <si>
    <t>H-400-22251-461425</t>
  </si>
  <si>
    <t xml:space="preserve">Crewmember </t>
  </si>
  <si>
    <t>Environmental Investments, L.P</t>
  </si>
  <si>
    <t>Lambert's/Moore Tree Care</t>
  </si>
  <si>
    <t>2950 Irving Blvd.</t>
  </si>
  <si>
    <t>Fields</t>
  </si>
  <si>
    <t>2950 Irving Blvd</t>
  </si>
  <si>
    <t>P-400-22200-361134</t>
  </si>
  <si>
    <t xml:space="preserve">Assistance finding and securing lodging is not available.  
Employer will make all deductions required by law from each paycheck. 
</t>
  </si>
  <si>
    <t>kalonzo@lamberts.net</t>
  </si>
  <si>
    <t>H-400-22255-466751</t>
  </si>
  <si>
    <t>Manifest Contracting LLC</t>
  </si>
  <si>
    <t>West Lake Tahoe Cleaning</t>
  </si>
  <si>
    <t>3200 N Lake Blvd., Unit 18</t>
  </si>
  <si>
    <t>Tahoe City</t>
  </si>
  <si>
    <t>Beller</t>
  </si>
  <si>
    <t>3200 Lake Boulevard, Unit 18</t>
  </si>
  <si>
    <t>josh@westlaketahoecleaning.com</t>
  </si>
  <si>
    <t xml:space="preserve">This position requires standing, sitting, and walking for an extended period of time; pushing, pulling, and lifting items up to 20 lbs.; bending, stooping, squatting, kneeling, and twisting; and reaching overhead and below the waist. 
Applicants must be at least 18 years old to travel.  Show proof of legal authority to work in the U.S.  All applicants must be able, willing, qualified to perform the work described and must be available for the entire period specified. 
Drug/alcohol free work zone.  Pre-hire drug/alcohol testing will be conducted at the employers expense.  
 </t>
  </si>
  <si>
    <t>P-400-22181-324236</t>
  </si>
  <si>
    <t>H-400-22206-374881</t>
  </si>
  <si>
    <t>US Pool Plastering of OK</t>
  </si>
  <si>
    <t>Premier Pool Plaster</t>
  </si>
  <si>
    <t>8315 S Regency Dr</t>
  </si>
  <si>
    <t>premierlp@uspoolplaster.com</t>
  </si>
  <si>
    <t xml:space="preserve">8315 S Regency Dr </t>
  </si>
  <si>
    <t>P-400-22164-275353</t>
  </si>
  <si>
    <t>H-400-22276-508029</t>
  </si>
  <si>
    <t>Material Movers</t>
  </si>
  <si>
    <t>MVP Events Group LLC</t>
  </si>
  <si>
    <t>260 Crandon Blvd.</t>
  </si>
  <si>
    <t>Ste 32 # 1021</t>
  </si>
  <si>
    <t>Key Biscayne</t>
  </si>
  <si>
    <t>Ambush</t>
  </si>
  <si>
    <t>Deon</t>
  </si>
  <si>
    <t>info@mvpeventgroupllc.com</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</si>
  <si>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Hours may fluctuate based on tourism peaks and valleys throughout the season (+/-), possible downtime and/or OT. 
</t>
  </si>
  <si>
    <t>260 Crandon Blvd. (Report to Work)</t>
  </si>
  <si>
    <t>Suite 32 # 1021</t>
  </si>
  <si>
    <t>P-400-22151-227944</t>
  </si>
  <si>
    <t>hr@seftechnology.com</t>
  </si>
  <si>
    <t>https://www.employflorida.com</t>
  </si>
  <si>
    <t>H-400-22258-474103</t>
  </si>
  <si>
    <t>Server/Waiter</t>
  </si>
  <si>
    <t>Fern Gully Jamaican Cafe LLC</t>
  </si>
  <si>
    <t>2756 S Main St</t>
  </si>
  <si>
    <t>Kennesaw</t>
  </si>
  <si>
    <t>Dennison</t>
  </si>
  <si>
    <t>4109 Stanton Place Ln</t>
  </si>
  <si>
    <t>Acworth</t>
  </si>
  <si>
    <t>azziedennison@gmail.com</t>
  </si>
  <si>
    <t xml:space="preserve">Have the ability to communicate well with people who may have foreign/Caribbean accents.
</t>
  </si>
  <si>
    <t>Tips vary the pay for each week.</t>
  </si>
  <si>
    <t>P-400-22138-185374</t>
  </si>
  <si>
    <t>H-400-22251-461949</t>
  </si>
  <si>
    <t>1 Corey Road</t>
  </si>
  <si>
    <t>Hancock</t>
  </si>
  <si>
    <t>Piece-rate position paid on a basis of rooms cleaned, rather than on an hourly basis.</t>
  </si>
  <si>
    <t>P-400-22179-318128</t>
  </si>
  <si>
    <t>H-400-22245-454040</t>
  </si>
  <si>
    <t>Snow Laborer</t>
  </si>
  <si>
    <t>Aero Snow Removal Temp Personnel, LLC</t>
  </si>
  <si>
    <t>165 Cantiague Rock Road</t>
  </si>
  <si>
    <t>Bokowski</t>
  </si>
  <si>
    <t>kbokowski@aerooperating.com</t>
  </si>
  <si>
    <t xml:space="preserve">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F.A.5-F.A.6 : Hours average 35 per week; normal schedule 10 am to 5 pm, must be available 24/7 on-call as needed (when there is 30% chance or more for a storm, worker must be able to make it out to where they are needed to labor in less than two hours from when they are notified to report at the location.
</t>
  </si>
  <si>
    <t>2400 Aviation Dr</t>
  </si>
  <si>
    <t>DFW Airport</t>
  </si>
  <si>
    <t>P-400-22195-352260</t>
  </si>
  <si>
    <t>WORKERS CAN ELECT TO HAVE EMPLOYER SECURE HOUSING IF NEEDED, IN WHICH CASE WORKER’S PRO RATA SHARE OF ACTUAL HOUSING COSTS (RENT, UTILITIES, RENTER’S INSURANCE), WHICH WILL BE REASONABLE &amp; BASED ON THE FAIR VALUE OF SUCH BENEFIT, WILL BE DEDUCTED FROM WORKER’S PAYCHECK.  CURRENT MONTHLY HOUSING COST IS $400.</t>
  </si>
  <si>
    <t>H-400-22327-605273</t>
  </si>
  <si>
    <t>Ecoscape Solutions Group, LLC_Raleigh</t>
  </si>
  <si>
    <t>1101 Ellis Street</t>
  </si>
  <si>
    <t>Mailing: PO Box 3328 , Huntersville, NC 28070</t>
  </si>
  <si>
    <t>Mailing: PO Box 3328, Huntersville, NC 28070</t>
  </si>
  <si>
    <t>P-400-22257-470862</t>
  </si>
  <si>
    <t>Employer makes all payroll deductions req’d by law. Employer doesn’t envision other workforce-wide payroll deductions. If requested employer helps non-local workers secure worker-paid lodging. Employer deducts reasonable fair market value cost of rent/utilities based on number of occupants for workers electing to reside in employer-provided housing. Voluntary advances/loans made to workers, if any, may be repaid by pre-authorized payroll deductions. Employer may deduct retirement/savings plan contributions and/or health insurance premiums for workers voluntarily participating in plan(s). Uniform provided at no cost. Employer may deduct cost for voluntary purchase of add’l uniforms for worker's benefit. Employer may also deduct for voluntary boot purchase program. No daily transport to/from work provided. Employer provides incidental transport between worksites as necessary. Such transport complies with all applicable Federal, State, and local laws/regulations.</t>
  </si>
  <si>
    <t>H-400-22292-537726</t>
  </si>
  <si>
    <t>Janitors and cleaners, except maids and housekeeping cleaner</t>
  </si>
  <si>
    <t>Juliano's Pools</t>
  </si>
  <si>
    <t>321 Talcottville Road</t>
  </si>
  <si>
    <t>Vernon</t>
  </si>
  <si>
    <t>860-315-4494</t>
  </si>
  <si>
    <t>DiCorcia</t>
  </si>
  <si>
    <t>Alanna</t>
  </si>
  <si>
    <t>lana@julianospools.com</t>
  </si>
  <si>
    <t>TOLLAND</t>
  </si>
  <si>
    <t>Tolland</t>
  </si>
  <si>
    <t>P40022162270706</t>
  </si>
  <si>
    <t>Federal withholding tax, Connecticut withholding tax, Medicare, Social Security, Connecticut Paid Family</t>
  </si>
  <si>
    <t>lana@julianospoools.com</t>
  </si>
  <si>
    <t>julianospools.com</t>
  </si>
  <si>
    <t>P-400-22213-387915</t>
  </si>
  <si>
    <t>H-400-22333-609047</t>
  </si>
  <si>
    <t>H-400-22335-614379</t>
  </si>
  <si>
    <t>LANDSCAPE LABOR</t>
  </si>
  <si>
    <t>E.A. Quinn Landscape Contracting, Inc.</t>
  </si>
  <si>
    <t>240 Commerce Street</t>
  </si>
  <si>
    <t>INTINO</t>
  </si>
  <si>
    <t>240 COMMERCE STREET</t>
  </si>
  <si>
    <t>TONY@EAQUINN.COM</t>
  </si>
  <si>
    <t xml:space="preserve">Must be able to lift/carry 50lbs and work in both bending and standing positions for extended periods and in all types of weather. Saturday work as needed. All applicants both domestic and foreign must have a clean criminal history and be able to pass a criminal background check prior to beginning work. Upon offer of emp. &amp; prior to orientation, all hires both U.S. and H-2B must submit to/pass employer-paid drug screen. </t>
  </si>
  <si>
    <t>P-400-22194-349684</t>
  </si>
  <si>
    <t>tony@eaquinn.com</t>
  </si>
  <si>
    <t>Clifton</t>
  </si>
  <si>
    <t>Employer may increase wage based on experience, change in market conditions, and/or provide additional pay for performan</t>
  </si>
  <si>
    <t>H-400-22335-613715</t>
  </si>
  <si>
    <t>Gorman Landscape Contractors L.L.C.</t>
  </si>
  <si>
    <t>Must be able to lift at least 50 pounds and be able to perform physical labor. May conduct post-hire employer paid drug testing.
Work days:  Monday-Saturday
Hours per week: 45
Work Schedule: Monday thru Friday: 7am-5pm. Saturday 7:30am-Noon
All worksite locations are within driving distance of primary worksite location.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Transportation provided from a reasonable distance to the worksite daily at no charge to workers.
Overtime available?  YES
On-the-Job Training provided?  YES
Employer-Provided Tools and Equipment provided?  YES
Board, Lodging or Other Facilities provided?: Optional housing available at $205/month. No family housing.
Deductions: 
Optional housing available at $205/month.</t>
  </si>
  <si>
    <t>H-400-22322-597353</t>
  </si>
  <si>
    <t>Landscape Installer</t>
  </si>
  <si>
    <t>Gomez Construction Services, LLC</t>
  </si>
  <si>
    <t>6000 US Hwy 183 S #B</t>
  </si>
  <si>
    <t>Gomez, Jr.</t>
  </si>
  <si>
    <t>6000 US Hwy 183 S</t>
  </si>
  <si>
    <t>#B</t>
  </si>
  <si>
    <t>g.jaime67@yahoo.com</t>
  </si>
  <si>
    <t>Workers will be paid no less than $16.08 per hour. CONTINUED ON PART F.a.4.</t>
  </si>
  <si>
    <t>P-400-22143-202245</t>
  </si>
  <si>
    <t>sandygomesconstruction@gmail.com</t>
  </si>
  <si>
    <t>H-400-22325-599292</t>
  </si>
  <si>
    <t>Head chef</t>
  </si>
  <si>
    <t>Iguanas Mexican Grill</t>
  </si>
  <si>
    <t>611 Plumas Street</t>
  </si>
  <si>
    <t>Yuba City</t>
  </si>
  <si>
    <t>Sutter County</t>
  </si>
  <si>
    <t>Lucatero</t>
  </si>
  <si>
    <t>2410 Dove Ct</t>
  </si>
  <si>
    <t>sandraluc.1968@hotmail.com</t>
  </si>
  <si>
    <t>Head chef will be in charged to teach and show the other kitchen staff how to prepare and help him when he needs. How to keep and show stations fully stocked and prepped.</t>
  </si>
  <si>
    <t>SUTTER</t>
  </si>
  <si>
    <t>Yuba City, CA</t>
  </si>
  <si>
    <t>P-400-22235-431358</t>
  </si>
  <si>
    <t>400 Ridge Club Drive</t>
  </si>
  <si>
    <t>Baker Landscaping &amp; Concrete, LLC</t>
  </si>
  <si>
    <t>5215 Old State Hwy 21</t>
  </si>
  <si>
    <t>House Springs</t>
  </si>
  <si>
    <t>adam@bakerlandscaping.net</t>
  </si>
  <si>
    <t>5215 Old State Hwy 21 (Report to Work)</t>
  </si>
  <si>
    <t>P-400-22153-238825</t>
  </si>
  <si>
    <t>nspangler@bakerlandscaping.net</t>
  </si>
  <si>
    <t>H-400-22335-613795</t>
  </si>
  <si>
    <t>Manorville Landscaping Inc</t>
  </si>
  <si>
    <t>71 Mariner Drive</t>
  </si>
  <si>
    <t>MONTOYA</t>
  </si>
  <si>
    <t>EDWIN</t>
  </si>
  <si>
    <t xml:space="preserve">71 Mariner Drive </t>
  </si>
  <si>
    <t>P-400-22200-360686</t>
  </si>
  <si>
    <t>MANORVILLELAND@OPTONLINE.NET</t>
  </si>
  <si>
    <t>Appellate Div. of the Supreme Court, 1st Dept.</t>
  </si>
  <si>
    <t>Business Administrator</t>
  </si>
  <si>
    <t>Wasserman</t>
  </si>
  <si>
    <t>A &amp; A Construction Company</t>
  </si>
  <si>
    <t>11271 Mosier Valley Road</t>
  </si>
  <si>
    <t>Mailing: P.O. Box 202212, Arlington, TX 76006</t>
  </si>
  <si>
    <t>Euless</t>
  </si>
  <si>
    <t>irene@aaconstructionco.com</t>
  </si>
  <si>
    <t xml:space="preserve">Mon-Fri, Schedule may vary. Overtime varies. Able to lift 50lbs.
</t>
  </si>
  <si>
    <t>P-400-22244-450641</t>
  </si>
  <si>
    <t>H-400-22335-614300</t>
  </si>
  <si>
    <t>Yellowstone Landscape - Southeast, LLC_Columbia</t>
  </si>
  <si>
    <t>140 Dahlia St</t>
  </si>
  <si>
    <t>Mailing: PO Box 849, Bunnell, FL 32110</t>
  </si>
  <si>
    <t>P-400-22284-521210</t>
  </si>
  <si>
    <t>Emplyr makes all payroll deducts required by law. Emplyr does not envision other workforce-wide payroll deductions. If requested, emplyr helps non-local wrkrs secure wrkr-paid lodging. Emplyr deducts reasonable fair market value cost of rent/utilities based on # of occupants for wrkrs electing to reside in emplyr-provided housing. Voluntary advances and/or loans made to workers, if any, may be repaid by pre-authorized payroll deductions. Emplyr offers free daily transport to/from worksite from designated loc. Use of transport is voluntary. Emplyr will deduct for reasonable cost of negligent damage to lodging facilities. Employer may deduct retirement/savings plan contributions and/or health insurance premiums for wrkrs participating in plan. Uniform provided at no cost. Emplyr may deduct cost for voluntary purchase of additional uniforms for worker's benefit. Emplyr may also deduct for voluntary boot purchase program. Emplyr provides incidental transport between worksites as needed.</t>
  </si>
  <si>
    <t>H-400-22335-615193</t>
  </si>
  <si>
    <t>Yellowstone Landscape - Southeast, LLC_Tampa</t>
  </si>
  <si>
    <t>30319 Commerce Drive</t>
  </si>
  <si>
    <t>P-400-22284-521230</t>
  </si>
  <si>
    <t>Emplyr makes all payroll deductions required by law. Emplyr does not envision other workforce-wide payroll deductions. If requested, emplyr helps non-local workers secure wrkr-paid lodging. Emplyr deducts reasonable fair market value cost of rent/utilities based on # of occupants for wrkrs electing to reside in emplyr-prvded housing. Voluntary advances &amp;/or loans to wrkrs, if any, may be repaid by pre-authorized payroll deductions. Emplyr offers free daily transport to/from worksite from designated loc. Use of transportation is volunt.  Emplyr will deduct reasonable cost of negligent damage to lodging facilities. Emplyr may deduct retirement/savings plan contributions and/or health insurance premiums for wrkrs volunt participating in plan(s). Uniform provided at no cost. Emplyr may deduct cost for voluntary purchase of additional uniforms for worker's benefit.  Emplyr may also deduct for voluntary boot purchase program. Emplyr provides incidental transport between worksites as needed.</t>
  </si>
  <si>
    <t>H-400-22340-623986</t>
  </si>
  <si>
    <t>Food Concessions Worker</t>
  </si>
  <si>
    <t>A&amp;R Concessions LLC</t>
  </si>
  <si>
    <t>5783 Center Ring Road</t>
  </si>
  <si>
    <t>Attavio</t>
  </si>
  <si>
    <t>ukmar4@gmail.com</t>
  </si>
  <si>
    <t xml:space="preserve">Post-hire background &amp; random drug test may be required and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7 days/week.  Must be able to lift 50 pounds. Subject to discharge for cause.  
Hours, schedule, and days vary widely.
Typically, 35 H/W Wed-Sun, 4:00PM to 11:00PM
Often 35-45 hours a week, may go up to 50 hours per week.
</t>
  </si>
  <si>
    <t>Wage prepayment and merit/bonus/sick/supplemental pay at employer's discretion.</t>
  </si>
  <si>
    <t>P-400-22280-517904</t>
  </si>
  <si>
    <t xml:space="preserve">Optional mobile housing ($125/week)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($10/week) is available for wage credit and/or deduction, or any lesser amount to the maximum extent not prohibited by law.
</t>
  </si>
  <si>
    <t>KIRK</t>
  </si>
  <si>
    <t xml:space="preserve">Lift/ carry up to 50 pounds.
</t>
  </si>
  <si>
    <t>H-400-22335-613979</t>
  </si>
  <si>
    <t>On Hand Lawn Care, Inc.</t>
  </si>
  <si>
    <t>3802 FM 1385</t>
  </si>
  <si>
    <t>Blythe</t>
  </si>
  <si>
    <t>JohnCBlythe@OnHandLawnCareInc.com</t>
  </si>
  <si>
    <t>P-400-22255-466878</t>
  </si>
  <si>
    <t>NONE.  Employer may assist workers with finding/securing housing, employer is NOT providing housing.</t>
  </si>
  <si>
    <t>H-400-22335-614376</t>
  </si>
  <si>
    <t>Paradise Lawn and Maintenance Inc</t>
  </si>
  <si>
    <t>23355 Bat Cave Rd</t>
  </si>
  <si>
    <t>Stewart</t>
  </si>
  <si>
    <t>scott@paradiselm.com</t>
  </si>
  <si>
    <t xml:space="preserve">Post-Accident Drug Testing. Monday-Friday, Some Saturdays,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</si>
  <si>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P-400-22222-407931</t>
  </si>
  <si>
    <t>info@paradiselm.com</t>
  </si>
  <si>
    <t>H-400-22335-613861</t>
  </si>
  <si>
    <t xml:space="preserve">Landscape Laborers </t>
  </si>
  <si>
    <t>Essential Lawn Services LLC</t>
  </si>
  <si>
    <t>The Essential Lawn</t>
  </si>
  <si>
    <t>8751 Collin McKinney Parkway</t>
  </si>
  <si>
    <t>Suite 701B</t>
  </si>
  <si>
    <t>ryan@mowmanagers.com</t>
  </si>
  <si>
    <t xml:space="preserve">Applicant must be able to work a 5-day schedule, including weekends and holidays. Applicants must complete an employment application.
</t>
  </si>
  <si>
    <t>P-400-22224-414173</t>
  </si>
  <si>
    <t>Employer will make all deductions from the worker's paycheck required by law. Employer will assist workers to locate housing.  
Employer will provide worker at no charge all tools, supplies and equipment required to perform job. Uniform is not required.</t>
  </si>
  <si>
    <t>Arvada</t>
  </si>
  <si>
    <t xml:space="preserve">Applicants must complete an employment application.
</t>
  </si>
  <si>
    <t>https://mdes.ms.gov</t>
  </si>
  <si>
    <t>Banner Elk</t>
  </si>
  <si>
    <t>Greene</t>
  </si>
  <si>
    <t>Cobbs</t>
  </si>
  <si>
    <t>H-400-22335-615001</t>
  </si>
  <si>
    <t>Henderson Concrete, Inc.</t>
  </si>
  <si>
    <t>15914 US Hwy 80</t>
  </si>
  <si>
    <t>P-400-22255-466344</t>
  </si>
  <si>
    <t>Diane</t>
  </si>
  <si>
    <t>AIKEN</t>
  </si>
  <si>
    <t>https://focustalent.ky.gov</t>
  </si>
  <si>
    <t>Bloomfield</t>
  </si>
  <si>
    <t>Raises, bonuses, or incentives dependent on job performance.</t>
  </si>
  <si>
    <t>Yochum Landscape, LLC</t>
  </si>
  <si>
    <t>5967 E. Poleline Ave.</t>
  </si>
  <si>
    <t>Post Falls</t>
  </si>
  <si>
    <t>Yochum</t>
  </si>
  <si>
    <t>chad@yochumlandscaping.com</t>
  </si>
  <si>
    <t>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100lbs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t>
  </si>
  <si>
    <t>5967 E. Poleline Ave. (Report to Work)</t>
  </si>
  <si>
    <t>P-400-22252-463538</t>
  </si>
  <si>
    <t>Optional furnished housing available at, or up to, $150 to be deducted from each bi-weekly paycheck ($300/month), if housing is agreed upon by the worker. At Employer’s sole discretion: possible cash advances (if applicable/requested by worker, potential deduction from worker’s paycheck).</t>
  </si>
  <si>
    <t>Casey's Rides Inc.</t>
  </si>
  <si>
    <t>11044 US Hwy 431</t>
  </si>
  <si>
    <t>Utica</t>
  </si>
  <si>
    <t>Secretary/Treasury</t>
  </si>
  <si>
    <t>jd4rides@bellsouth.net</t>
  </si>
  <si>
    <t>DAVIESS</t>
  </si>
  <si>
    <t>Owensboro, KY</t>
  </si>
  <si>
    <t>Deadwood</t>
  </si>
  <si>
    <t>All In Leasing Co.</t>
  </si>
  <si>
    <t>Metro West Lawn &amp; Landscape</t>
  </si>
  <si>
    <t>1901 S. Old Hwy 94</t>
  </si>
  <si>
    <t>dustin@metrowestlawn.com</t>
  </si>
  <si>
    <t>1901 S. Old Hwy 94 (Report to Work)</t>
  </si>
  <si>
    <t>P-400-22195-350764</t>
  </si>
  <si>
    <t>Kevin.Lashus@fisherbroyles.com</t>
  </si>
  <si>
    <t>Guest Service Agent</t>
  </si>
  <si>
    <t>Delran</t>
  </si>
  <si>
    <t>H-400-22335-616329</t>
  </si>
  <si>
    <t>Kovitch &amp; Son Horticultural Services LLC</t>
  </si>
  <si>
    <t>519 Penncrest Drive</t>
  </si>
  <si>
    <t>Mailing: PO Box 55, Langhorne, PA 19047</t>
  </si>
  <si>
    <t>Langhorne</t>
  </si>
  <si>
    <t>Kovitch</t>
  </si>
  <si>
    <t>timsenior@kovitchandson.com</t>
  </si>
  <si>
    <t xml:space="preserve">Drug testing during employment for cause; Post-Accident Drug Testing, Able to lift 50lbs, work in bending and standing positions for extended periods in all weather (extreme heat/cold), Monday-Friday, Some Saturdays as needed, schedule varies, end time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</si>
  <si>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324 Second St Pike Unit 13</t>
  </si>
  <si>
    <t>raises at employer's discretion, opportunity for higher pay depending on longevity</t>
  </si>
  <si>
    <t>P-400-22251-461339</t>
  </si>
  <si>
    <t>H-400-22316-583837</t>
  </si>
  <si>
    <t>Jay Russell Foods, LLC</t>
  </si>
  <si>
    <t>Russell Foods</t>
  </si>
  <si>
    <t>1764 CR 2856</t>
  </si>
  <si>
    <t>Mailing: P.O. Box 296 Hughes Springs, Texas 75656</t>
  </si>
  <si>
    <t>Mailing:  PO Box 296 Hughes Springs, TX 75656</t>
  </si>
  <si>
    <t>russellfoods84@aol.com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</si>
  <si>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
  </si>
  <si>
    <t>P-400-22168-293592</t>
  </si>
  <si>
    <t xml:space="preserve">The employer will make all deductions from the worker’s paycheck required by law. </t>
  </si>
  <si>
    <t>Shelton</t>
  </si>
  <si>
    <t>441 Bucher Ave</t>
  </si>
  <si>
    <t>N/a</t>
  </si>
  <si>
    <t xml:space="preserve">Some O.T. &amp; weekends may be available. </t>
  </si>
  <si>
    <t>H-400-22335-614352</t>
  </si>
  <si>
    <t xml:space="preserve">Colorado Designscapes, Inc. </t>
  </si>
  <si>
    <t>Designscapes Colorado</t>
  </si>
  <si>
    <t>15440 E. Fremont Drive</t>
  </si>
  <si>
    <t>sedwards@designscapes.org</t>
  </si>
  <si>
    <t>No minimum education or experience required. Must be able to lift 50 lbs without assistance. Workers that drive a company vehicle are subject to random drug testing, paid by employer and applied equally to all workers, U.S. and foreign/H-2B. All workers are subject to post injury/incident drug testing, paid by employer and applied equally to all workers, U.S. and foreign/H-2B. Applicants must complete an employment application. Must be able to work at least 5-day schedule, including weekends and holidays as required. Must follow pandemic policy and guidelines which may include daily health assessment and temperature check. Employer will offer 40 hours of work per week. Open 7 days a week. Shift schedule: Monday-Friday, 7am-4pm (includes 1-hour unpaid break), may vary depending on weather. Work on Saturdays may be required. Basic wage rate: $19.22 per hour. Employer may increase wage based on experience and/or provide additional pay for performance and tenure. Overtime hours may be available at $28.83 per hour. An overtime premium will be paid when required by Federal, State, or local law, including at time-and-a-half after 40 hours in a workweek; 12 hours in a workday; and after 12 consecutive hours without regard to the starting and ending time of the workday. The employer will provide on-the-job training. A single workweek will be used in computing wages due. Pay received weekly. The employer will make all deductions from the worker's paycheck required by law. Optional medical and life insurance available at approximately $55 per week, payroll deducted if worker chooses to enroll. Pay advance possible with management approval, paid back through payroll deductions if worker elects. Workers may have the option to drive a company vehicle home on a daily basis, cost $31.25 per person per week payroll deducted if worker elects. If driving company vehicle any traffic violation tickets or toll road charges will be charged to worker through payroll deduction. Employee responsible for lost/broken assigned company cell phone/keys at approx. $200 per phone and $10 per key, available for payroll deduction. Employer will assist in locating housing. If the worker completes 50 percent of the work contract period, the employer will reimburse the worker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to and from the main worksite in Centennial. The employer will then provide daily transportation among worksite locations in Arapahoe, Adams, Clear Creek, Denver, Douglas and Jefferson counties, CO.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and PPE (safety glasses, gloves, vest and hard hat if needed) provided at no cost to employee. Additional PPE available for purchase and payro</t>
  </si>
  <si>
    <t>15440 E Fremont Drive</t>
  </si>
  <si>
    <t>P-400-22291-536544</t>
  </si>
  <si>
    <t>The employer will make all deductions from the worker's paycheck required by law. Optional medical and life insurance available at approximately $55 per week, payroll deducted if worker chooses to enroll. Pay advance possible with management approval, paid back through payroll deductions if worker elects. Workers may have the option to drive a company vehicle home on a daily basis, cost $31.25 per person per week payroll deducted if worker elects. If driving company vehicle any traffic violation tickets or toll road charges will be charged to worker through payroll deduction. Employee responsible for lost/broken assigned company cell phone/keys at approx. $200 per phone and $10 per key, available for payroll deduction. Employer will assist in locating housing. Additional PPE available for purchase and payroll deduction at approx. $8-$12. Additional company apparel available for purchase at approx. $5.50-$9.00 per item and available for payroll deduction. Company discounts w/preferred</t>
  </si>
  <si>
    <t>www.designscapescolorado.com/landscape-design-company/careers-at-desig</t>
  </si>
  <si>
    <t>H-400-22335-614365</t>
  </si>
  <si>
    <t>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Employer will offer 40 hours per week. Resorts open 7 days a week, workdays vary Sunday through Saturday. Normal shift time: 9:00am-5:30pm (includes 30-minute unpaid break). Workdays and shift times may vary with occupancy, events, and business demands. Basic rate of pay: $14.00-$15.00 per hour. Employer may increase wage based on experience, market conditions, and/or provide additional pay for performance and tenure. Overtime may be available at $21.00-$22.50 per hour. An overtime premium will be paid when required by Federal, State, or local law, including at time-and-a-half after 40 hours per workweek. Piece Rate Housekeeper: Payable by piece rate with a guaranteed base rate of $14.00-$15.00 per hour. Allowed piece rate applied per FLSA guidelines to meet offered wage. Rooms are individually priced out based on size, square footage, and property. Piece rate ranges depending on the resort and square footage, Embarc- smallest studio (1 hour to clean) piece rate $15.00, largest premier (2 hour 45 min to clean) piece rate $41.25. Club Destin- smallest studio (45 min to clean) piece rate $12.00, largest studio (1 hour 45 min to clean) piece rate $28.00. Holiday Beach Resort  smallest room (55.2 min to clean) piece rate $14.72, largest (2 hours 25 min to clean) piece rate $36.00. Workers are required to clock-in and clock-out at the beginning and end of each shift. This allows for the tracking of hours to ensure that worker is paid at or above the guaranteed base rate of $14.00-$15.00 per hour and overtime rate of pay is $21.00-$22.50 per hour. Employer will provide on the job training. A single workweek will be used to compute wages due. Pay received bi-weekly.  Employer will make all deductions from the worker's paycheck required by law. Optional employee shared housing available, including utilities, approx. $160-$200 per week, plus $100 refundable deposit required, available for payroll deduction if employee elects. Transportation is available to/from worksite for $25 per week.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t>
  </si>
  <si>
    <t>1085 Highway 98 East</t>
  </si>
  <si>
    <t>P-400-22215-394684</t>
  </si>
  <si>
    <t xml:space="preserve">Employer will make all deductions from the worker's paycheck required by law. Optional employee shared housing available, including utilities, approx. $160-$200 per week, plus $100 refundable deposit required, available for payroll deduction if employee elects. Transportation is available to/from worksite for $25 per week. 
</t>
  </si>
  <si>
    <t>Victoria Rose, Inc.</t>
  </si>
  <si>
    <t>116 11th Street</t>
  </si>
  <si>
    <t>P-400-22224-414090</t>
  </si>
  <si>
    <t>Rockville</t>
  </si>
  <si>
    <t>"N/A"</t>
  </si>
  <si>
    <t>ALBEMARLE</t>
  </si>
  <si>
    <t>DeArmas-Ricci</t>
  </si>
  <si>
    <t>400 Poydras Street</t>
  </si>
  <si>
    <t>Suite 2525</t>
  </si>
  <si>
    <t>bdr@bdrlawoffices.com</t>
  </si>
  <si>
    <t>Law Offices of Brenda J. DeArmas-Ricci</t>
  </si>
  <si>
    <t xml:space="preserve">Higher pay may be available to workers with extensive experience. </t>
  </si>
  <si>
    <t>TERREBONNE</t>
  </si>
  <si>
    <t>Houma-Thibodaux, LA</t>
  </si>
  <si>
    <t>NEVENNER</t>
  </si>
  <si>
    <t>MONICA</t>
  </si>
  <si>
    <t>MONICA@RBMSERVICESINC.COM</t>
  </si>
  <si>
    <t>3303 HARRIS PARK AVENUE</t>
  </si>
  <si>
    <t>H-400-22335-614612</t>
  </si>
  <si>
    <t xml:space="preserve">OLCO Inc. </t>
  </si>
  <si>
    <t>24053 Vote Road</t>
  </si>
  <si>
    <t>Oesterling</t>
  </si>
  <si>
    <t>olcoinc@ymail.com</t>
  </si>
  <si>
    <t>P-400-22283-520367</t>
  </si>
  <si>
    <t>Optional Lodging available at $75/month</t>
  </si>
  <si>
    <t>H-400-22335-613841</t>
  </si>
  <si>
    <t>HOOPS LAWN &amp; LANDSCAPING LLC</t>
  </si>
  <si>
    <t>32 ROYAL ASPEN COURT</t>
  </si>
  <si>
    <t>HOOPER</t>
  </si>
  <si>
    <t>P-400-22195-351840</t>
  </si>
  <si>
    <t>hoopslawn14@yahoo.com</t>
  </si>
  <si>
    <t>Shrimp Hunter 4, Inc.</t>
  </si>
  <si>
    <t>Kenneth Holt</t>
  </si>
  <si>
    <t>P-400-22224-414115</t>
  </si>
  <si>
    <t>East Stroudsburg</t>
  </si>
  <si>
    <t>H-400-22322-595776</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</si>
  <si>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</si>
  <si>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7036 Grand Geneva Way</t>
  </si>
  <si>
    <t>Grand Geneva</t>
  </si>
  <si>
    <t>WALWORTH</t>
  </si>
  <si>
    <t>•	Raises and/or bonuses may be offered based on individual factors including work performance, skill, and tenure</t>
  </si>
  <si>
    <t>P-400-22244-449987</t>
  </si>
  <si>
    <t xml:space="preserve">•	The employer will make all deductions from worker's paycheck required by law
Voluntary/Optional, Third-Party Rent/housing: Provided by a third party company
•	Optional &amp; Voluntary 3rd party housing may be available at $125 - $150/ WK and may be voluntarily payroll deducted biweekly or direct deposit into provider's account
•	Waterloo could act as guarantor for timely rent payment however, lease is directly with 3rd party service provider &amp; between employees &amp; housing company as Waterloo has no housing of its own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weeks rent is non-refundable
</t>
  </si>
  <si>
    <t>H-2Bhires@gmail.com</t>
  </si>
  <si>
    <t>Shapiro</t>
  </si>
  <si>
    <t>Harvey</t>
  </si>
  <si>
    <t>260 Madison Avenue</t>
  </si>
  <si>
    <t>15th Floor</t>
  </si>
  <si>
    <t>kate@harveyshapiro.com</t>
  </si>
  <si>
    <t>Law Offices of Harvey Shapiro</t>
  </si>
  <si>
    <t>Supreme Court of New York</t>
  </si>
  <si>
    <t xml:space="preserve">All deductions from the worker's paycheck required by law will be made. </t>
  </si>
  <si>
    <t>Simonfay Landscape Services Inc</t>
  </si>
  <si>
    <t>335 Main St.</t>
  </si>
  <si>
    <t>Simonfay</t>
  </si>
  <si>
    <t>lisa@simonfay.com</t>
  </si>
  <si>
    <t xml:space="preserve">Monday-Friday, some weekends as needed, schedule varies, start/end times vary, overtime varies.
</t>
  </si>
  <si>
    <t>80 Passaic Avenue</t>
  </si>
  <si>
    <t>Florham Park</t>
  </si>
  <si>
    <t>P-400-22216-396624</t>
  </si>
  <si>
    <t>steve@simonfay.com</t>
  </si>
  <si>
    <t>www.simonfay.com</t>
  </si>
  <si>
    <t>Potential raise/bonus at employer's discretion</t>
  </si>
  <si>
    <t>Guest Room Attendant</t>
  </si>
  <si>
    <t>FAIRFIELD</t>
  </si>
  <si>
    <t>Bridgeport-Stamford-Norwalk, CT</t>
  </si>
  <si>
    <t>LANDSCAPE SOLUTIONS, INC.</t>
  </si>
  <si>
    <t>3955 West 700 South</t>
  </si>
  <si>
    <t>Lindsley</t>
  </si>
  <si>
    <t>President &amp; Owner</t>
  </si>
  <si>
    <t>info@letstalkdirt.com</t>
  </si>
  <si>
    <t xml:space="preserve">Charles </t>
  </si>
  <si>
    <t>Central Kentucky nonmetropolitan area</t>
  </si>
  <si>
    <t>5 North Payne Street (report to work)</t>
  </si>
  <si>
    <t>P-400-22195-352289</t>
  </si>
  <si>
    <t>Raise/Bonus at employer's discretion</t>
  </si>
  <si>
    <t>Dell Landscaping Inc</t>
  </si>
  <si>
    <t>Dell Garden Center</t>
  </si>
  <si>
    <t>136 Lincoln Rd</t>
  </si>
  <si>
    <t>Kinnelon</t>
  </si>
  <si>
    <t>Mondello</t>
  </si>
  <si>
    <t>anthony@delloutdoor.com</t>
  </si>
  <si>
    <t>P-400-22195-351826</t>
  </si>
  <si>
    <t>rosa@delloutdoor.com</t>
  </si>
  <si>
    <t>ANOKA</t>
  </si>
  <si>
    <t>PITTSBURGH</t>
  </si>
  <si>
    <t>H-400-22335-613855</t>
  </si>
  <si>
    <t>Full Care, Inc.</t>
  </si>
  <si>
    <t>10421 Liberty Avenue</t>
  </si>
  <si>
    <t>Fults</t>
  </si>
  <si>
    <t>kyle@fullcareinc.com</t>
  </si>
  <si>
    <t xml:space="preserve">Must be able to lift 50 lbs and work in adverse weather conditions. 
Must pass a post-employment criminal background check and post-employment, post-injury or incident drug test, paid by employer and applied equally to all workers, U.S. and foreign/H-2B.
Applicants must complete an employment application.
</t>
  </si>
  <si>
    <t>P-400-22159-258359</t>
  </si>
  <si>
    <t xml:space="preserve">The employer will make all deductions from the worker's paycheck required by law. Employer will assist worker to find affordable housing.
The employer will provide worker at no charge all tools, supplies, and equipment required to perform job. Uniform provided at no charge to the worker.  </t>
  </si>
  <si>
    <t>Shrimp Hunter 3, Inc.</t>
  </si>
  <si>
    <t>Miss Diane II</t>
  </si>
  <si>
    <t>1815 Perryman</t>
  </si>
  <si>
    <t>P-400-22224-414092</t>
  </si>
  <si>
    <t>RON</t>
  </si>
  <si>
    <t>Groundskeeper/Amusement Attendant</t>
  </si>
  <si>
    <t xml:space="preserve">Mon-Sun, 7a-7p, 40 hrs/wk. Schedule/shifts vary. Hours, &amp; start/end times vary. Weekends &amp; holidays are required. Overtime is required, but varies. Able to lift 75lbs. Must be at least 18 years old. Must be able to stand for up to 12 hours per day.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</si>
  <si>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P-400-22213-388649</t>
  </si>
  <si>
    <t>Tarpon Springs</t>
  </si>
  <si>
    <t>Raise/bonus at employer's discretion. Percentage of health care offered. Percentage of 401K offered.</t>
  </si>
  <si>
    <t>ANANDHAM LANDSCAPING CORP</t>
  </si>
  <si>
    <t>173 PENINSULA PATH</t>
  </si>
  <si>
    <t>RIVERHEAD</t>
  </si>
  <si>
    <t>VALENTINA</t>
  </si>
  <si>
    <t>PO BOX 960</t>
  </si>
  <si>
    <t>P-400-22265-489086</t>
  </si>
  <si>
    <t>ANANDHAMLANDSCAPING@GMAIL.COM</t>
  </si>
  <si>
    <t>IRRIGATION WORKER</t>
  </si>
  <si>
    <t>Grinding and Polishing Workers, Hand</t>
  </si>
  <si>
    <t>Northeast Holdings LLC</t>
  </si>
  <si>
    <t xml:space="preserve">7 Arbutus Trail </t>
  </si>
  <si>
    <t>Coventry</t>
  </si>
  <si>
    <t>Piskura</t>
  </si>
  <si>
    <t>Owner - Member</t>
  </si>
  <si>
    <t>7 Arbutus Trail</t>
  </si>
  <si>
    <t>apiskura88@gmail.com</t>
  </si>
  <si>
    <t>COVENTRY</t>
  </si>
  <si>
    <t>H-400-22335-614530</t>
  </si>
  <si>
    <t>Yellowstone Landscape - Southeast, LLC_Lake Worth_Fort Lauderdale</t>
  </si>
  <si>
    <t>2269 2nd Ave North</t>
  </si>
  <si>
    <t>Mailing: PO Box 849 , Bunnell, FL 32110</t>
  </si>
  <si>
    <t>Lake Worth</t>
  </si>
  <si>
    <t>P-400-22284-521214</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</si>
  <si>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 is vol.  Emplyr will deduct for reasonable cost of negligent damage to lodging facilities. Employer may deduct retirement/savings plan contributions and/or health insurance premiums for workers voluntarily participating in plan(s). Uniform provided at no cost. Emplyr may deduct cost for vol purchase of additional uniforms for wrkr's benefit.  Emplyr may also deduct for vol boot purchase program. Emplyr provides incidental transportation between worksites as necessary.</t>
  </si>
  <si>
    <t>Adrienne</t>
  </si>
  <si>
    <t>Employer will make all deductions from the worker's paycheck required by law. One optional meal during shift available for $2, payroll deducted if worker elects. Employer will assist in locating housing. Public transportation within walking distance of resort.</t>
  </si>
  <si>
    <t>Middletown</t>
  </si>
  <si>
    <t>Waco</t>
  </si>
  <si>
    <t xml:space="preserve"> Landscaper</t>
  </si>
  <si>
    <t>P-400-22224-414706</t>
  </si>
  <si>
    <t>Bennett Alexander Group, Ltd., Inc.</t>
  </si>
  <si>
    <t>Terra Landscaping &amp; Hardscaping</t>
  </si>
  <si>
    <t>3481 Germantown Pike</t>
  </si>
  <si>
    <t>Oskanian</t>
  </si>
  <si>
    <t>Frederick (Fred)</t>
  </si>
  <si>
    <t>micheleo@terra-lawn-care.com</t>
  </si>
  <si>
    <t>P-400-22230-424661</t>
  </si>
  <si>
    <t>H-400-22335-616070</t>
  </si>
  <si>
    <t>Progreen Lawn and Landscape, LLC</t>
  </si>
  <si>
    <t>1885 Wooddale Court</t>
  </si>
  <si>
    <t>Cannon</t>
  </si>
  <si>
    <t>1855 Wooddale Court (Report to Work)</t>
  </si>
  <si>
    <t>P-400-22220-403955</t>
  </si>
  <si>
    <t>Optional shared housing available at up to $85.00 per week. If optional housing elected, rent will be paid directly to landlord. At Employer’s sole discretion: possible cash advances (if applicable/requested by worker, potential deduction from worker’s paycheck).</t>
  </si>
  <si>
    <t>justincannon99@yahoo.com</t>
  </si>
  <si>
    <t>Mirage Landscaping, LLC.</t>
  </si>
  <si>
    <t>2266 W 6800 S</t>
  </si>
  <si>
    <t>Spanish Fork</t>
  </si>
  <si>
    <t>Pratt</t>
  </si>
  <si>
    <t>pitchfordb23@gmail.com</t>
  </si>
  <si>
    <t>79 W Birds Eye Ln.</t>
  </si>
  <si>
    <t>1200 W 100 N</t>
  </si>
  <si>
    <t>Head Chef (Peruvian)</t>
  </si>
  <si>
    <t>P-400-22194-350403</t>
  </si>
  <si>
    <t>STASI BROS ASPHALT CORP</t>
  </si>
  <si>
    <t>435 MAPLE AVE</t>
  </si>
  <si>
    <t>STASI</t>
  </si>
  <si>
    <t>KRIS</t>
  </si>
  <si>
    <t>435 MAPLE AVENUE</t>
  </si>
  <si>
    <t>P-400-22206-373026</t>
  </si>
  <si>
    <t>DIANEP@STASIBROTHERS.COM</t>
  </si>
  <si>
    <t>East Hampton</t>
  </si>
  <si>
    <t>No deductions from pay</t>
  </si>
  <si>
    <t>BELL HOP</t>
  </si>
  <si>
    <t>P-400-22199-358287</t>
  </si>
  <si>
    <t>DAUPHIN</t>
  </si>
  <si>
    <t>H-400-22321-592664</t>
  </si>
  <si>
    <t>Marine Construction Laborer</t>
  </si>
  <si>
    <t>R &amp; W Marine Construction, Inc.</t>
  </si>
  <si>
    <t>2959 Buckley Hall Road, Ste 105</t>
  </si>
  <si>
    <t>P. O. Box 229</t>
  </si>
  <si>
    <t>Cobbs Creek</t>
  </si>
  <si>
    <t>Callis</t>
  </si>
  <si>
    <t>rwmarine23035@gmail.com</t>
  </si>
  <si>
    <t xml:space="preserve">Lift/carry up to 50 pounds.  Post Accident employer paid drug testing required.
</t>
  </si>
  <si>
    <t>2959 Buckley Hall Road</t>
  </si>
  <si>
    <t>MATHEWS</t>
  </si>
  <si>
    <t>P-400-22235-432636</t>
  </si>
  <si>
    <t xml:space="preserve">CHARACTER LIMIT: Shared housing available to only seasonal full-time employees, not offered to non-employees. Employees may make their own arrangements at their own expense. If they opt to live in employer provided housing rent (utilities included) charged at $40.00/week.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t>
  </si>
  <si>
    <t>Housekeeping Attendant</t>
  </si>
  <si>
    <t>H-400-22315-582472</t>
  </si>
  <si>
    <t>Armco, Inc.</t>
  </si>
  <si>
    <t>809 Loma Linda</t>
  </si>
  <si>
    <t>Kingsland</t>
  </si>
  <si>
    <t>Sankowsky</t>
  </si>
  <si>
    <t>lsankowsky@gmail.com</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</si>
  <si>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any lawful obligations; and to meet job performance standards. Must cooperate with and complete job application, interview, and any verification of supplied information; and any supplied information must be truthful, fully responsive, and complete. Must comply with grooming requirements and dress code. Must be able to lift 50 pounds. Must be willing to work up to 7 day/week. Subject to discharge for cause.  </t>
  </si>
  <si>
    <t>6700 Arena Blvd</t>
  </si>
  <si>
    <t>Laredo</t>
  </si>
  <si>
    <t>Wage prepayment and merit/bonus/sick/recruiting pay at employer's discretion.</t>
  </si>
  <si>
    <t>P-400-22201-365601</t>
  </si>
  <si>
    <t>Optional mobile housing ($125/week) is provided. The employer will pay the cost of housing to the extent such costs would reduce the pay below the offered wage rate for the areas of intended employment. Local convenience travel ($25/week) is available for wage credit and/or deduction, or any lesser amount to the maximum extent not prohibited by law.</t>
  </si>
  <si>
    <t>H-400-22321-594008</t>
  </si>
  <si>
    <t>Ideal Landscape Management, Inc.</t>
  </si>
  <si>
    <t>Ideal Landscape Group</t>
  </si>
  <si>
    <t>6252 OLSEN ROAD</t>
  </si>
  <si>
    <t>Buckel</t>
  </si>
  <si>
    <t>Leanna</t>
  </si>
  <si>
    <t>BUCKELDOWN@AOL.COM</t>
  </si>
  <si>
    <t xml:space="preserve">No minimum education or experience required.  Workers are subject to post-employment criminal background checks, paid by employer and applied equally to all workers, U.S. and foreign/H-2B.  Workers are subject to post-employment drug testing, paid by employer and applied equally to all workers, U.S. and foreign/H-2B.  Must be able to work weekends and holidays as required. Applicants must complete an employment application.  Must be able to lift 50 lbs. Employer will offer 36 hours per week. Open Monday through Friday. Shift: Monday through Thursday 6:30am-4:30pm (includes 1-hour unpaid break). Work days and shift times may vary with weather and projects. Basic wage rate $16.96 per hour. Employer may increase wage based on experience, change in market conditions and/or provide additional pay for performance and tenure. Overtime may be available at $25.44 per hour. An overtime premium will be paid when required by Federal, State, or local law, including at time-and-a-half after 40 hours per workweek. A single workweek will be used to compute wages due. Pay received weekly.  The employer will provide on the job training. Employer will make all deductions from the worker's paycheck required by law. Employer will assist worker to find housing.  Daily transportation provided from main worksite in St. Louis County to multiple worksites within St. Louis, MO-IL MSA provided at no cost to employee. If worker completes half the employment period, employer will reimburse the worker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worker.  The employer guarantees to offer work for hours equal to at least three-fourths of the workdays in each 12-week period of the total employment period.
</t>
  </si>
  <si>
    <t>6252 Olsen Road</t>
  </si>
  <si>
    <t>P-400-22153-237699</t>
  </si>
  <si>
    <t xml:space="preserve">A single workweek will be used to compute wages due. Pay received weekly.  
The employer will provide on the job training.
Employer will make all deductions from the worker's paycheck required by law. Employer will assist worker to find housing. 
Daily transportation provided from main worksite in St. Louis County to multiple worksites within St. Louis, MO-IL MSA provided at no cost to employee.
</t>
  </si>
  <si>
    <t xml:space="preserve">https://jobs.mo.gov/career-centers. </t>
  </si>
  <si>
    <t>H-400-22312-576108</t>
  </si>
  <si>
    <t>Irene</t>
  </si>
  <si>
    <t>H-400-22335-613904</t>
  </si>
  <si>
    <t>OFFICE@CAROLINAHOMEGARDEN.COM</t>
  </si>
  <si>
    <t>H-400-22335-613837</t>
  </si>
  <si>
    <t>LOCKER ROOM ATTENDANTS</t>
  </si>
  <si>
    <t>Locker Room, Coatroom, and Dressing Room Attendants</t>
  </si>
  <si>
    <t>ROTATING SHIFTS AND HOURS MONDAY-SUNDAY</t>
  </si>
  <si>
    <t>32 STAR ISLAND ROAD</t>
  </si>
  <si>
    <t>OPTIONAL HOUSING AVAILABLE $125.00-$150.00 P/WEEK</t>
  </si>
  <si>
    <t>P-400-22235-432312</t>
  </si>
  <si>
    <t>HOUSING IS OPTIONAL AND AVAILABLE FOR 125.00-
150.00/WEEK PAID BY EMPLOYEE DIRECTLY TO EMPLOYER IF ACCEPTED. A 200.00 REFUNDABLE SECURITY DEPOSIT IS MADE AT TIME OF HIRING.</t>
  </si>
  <si>
    <t>H-400-22335-613881</t>
  </si>
  <si>
    <t>STONEY BROOK LANDSCAPING LLC</t>
  </si>
  <si>
    <t>1680 US ROUTE 1</t>
  </si>
  <si>
    <t>DUNN</t>
  </si>
  <si>
    <t>P-400-22206-373119</t>
  </si>
  <si>
    <t>Optional housing is available for 100.00/week to be deducted weekly from paycheck.</t>
  </si>
  <si>
    <t>tom@stoneybrooklandscaping.com</t>
  </si>
  <si>
    <t>H-400-22321-592156</t>
  </si>
  <si>
    <t>Bartenfelder Landscape Services, Inc.</t>
  </si>
  <si>
    <t>3341 Forge Hill Road</t>
  </si>
  <si>
    <t>Street</t>
  </si>
  <si>
    <t>Bartenfelder, Jr.</t>
  </si>
  <si>
    <t>jricks@bartenfelder.com</t>
  </si>
  <si>
    <t>3341 Forge Hill Road (Report to Work)</t>
  </si>
  <si>
    <t>P-400-22213-389369</t>
  </si>
  <si>
    <t>Optional shared housing available at up to $100.00 a week to be deducted from employee's paycheck. At Employer’s sole discretion: possible cash advances (if applicable/requested by worker, potential deduction from worker’s paycheck).</t>
  </si>
  <si>
    <t>H-400-22339-622522</t>
  </si>
  <si>
    <t xml:space="preserve">JANITOR </t>
  </si>
  <si>
    <t>PRESTIGE JANITORIAL SERVICES CO</t>
  </si>
  <si>
    <t>8632 TOYAWA DR</t>
  </si>
  <si>
    <t>TUALATIN</t>
  </si>
  <si>
    <t>8632 SW TOYAWA DR</t>
  </si>
  <si>
    <t>PRESTIGEJANITORIALSERV@GMAIL.COM</t>
  </si>
  <si>
    <t>P-400-22194-350093</t>
  </si>
  <si>
    <t>state taxes, federal taxes, and social security taxes</t>
  </si>
  <si>
    <t>prestigejanitorialserv@gmail.com</t>
  </si>
  <si>
    <t>H-400-22335-613895</t>
  </si>
  <si>
    <t>H-400-22306-564561</t>
  </si>
  <si>
    <t>River City Industrial Services, Inc.</t>
  </si>
  <si>
    <t>2700 Kentronics Drive</t>
  </si>
  <si>
    <t>Owensboro</t>
  </si>
  <si>
    <t>Bolton</t>
  </si>
  <si>
    <t>ab@rcisowb.com</t>
  </si>
  <si>
    <t xml:space="preserve">Must be able to lift 50lbs and able to take direction.
</t>
  </si>
  <si>
    <t>1000 W 9th Street</t>
  </si>
  <si>
    <t>P-400-22242-445695</t>
  </si>
  <si>
    <t>juelgapo@gmail.com</t>
  </si>
  <si>
    <t>http://rcisowb.com/</t>
  </si>
  <si>
    <t>housekeeper, pet care and domestic worker</t>
  </si>
  <si>
    <t xml:space="preserve">SPANISH
Proficiency with pets, cooking for pets and ability to handle 8 dogs at a time.  Walking and exercising pets, bathing, feeding, providing a warm and loving environment for 8 dogs and ensuring that their area is clean and maintained. 
</t>
  </si>
  <si>
    <t>671 CULVER ST</t>
  </si>
  <si>
    <t>H-400-22340-625227</t>
  </si>
  <si>
    <t>LandCare USA LLC - San Antonio</t>
  </si>
  <si>
    <t>5126 Sherri Ann Rd</t>
  </si>
  <si>
    <t xml:space="preserve">Requires three months of previous landscape experience. Must lift/carry 50 lbs., when necessary.  Standard workweek is 4 days per week. Friday, Saturday, and Sunday work required, when necessary. Post-hire random and upon suspicion of use drug testing required of foreign and domestic workers. Post-hire background check and employment eligibility (e-Verify) check required of foreign and domestic workers. Post-hire motor vehicle record check and drug test required for all foreign and domestic Landscape Laborers who drive company vehicles (driving is not a requirement of all workers in the position). Employer may offer more than the stated work hours depending on weather, business needs, and other conditions. Extreme heat, cold, rain, or drought may affect exact working hours.
</t>
  </si>
  <si>
    <t>P-400-22278-511092</t>
  </si>
  <si>
    <t>Employer makes all payroll deductions required by law. Employer does not envision other workforce-wide payroll deductions. If requested, emplyr helps non-local workers secure worker-paid lodging (not to exceed fair market value, based on # occupants). Housing costs paid directly to landlord &amp; are not payroll deducted.  Voluntary advances and/or loans made to workers, if any, may be repaid by pre-authorized payroll deducts.  Emplyr may deduct retirement/savings plan contributions &amp;/or health ins premiums for workers voluntarily participating in plan(s). Uniform provided at no cost. Emplyr may deduct cost for voluntary purchase of add’l uniforms for worker's benefit.  Emplyr offers paid time off (PTO) to all eligible workers in position. No daily transportation to/from work. Employer provides incidental transport between worksites as necessary. Such transport complies with all applicable Federal, State, &amp; local laws/regulations.</t>
  </si>
  <si>
    <t>H-400-22307-567590</t>
  </si>
  <si>
    <t>ISOD LAWN &amp; GARDEN CARE, INC.</t>
  </si>
  <si>
    <t>3 Crescent Road</t>
  </si>
  <si>
    <t>Wistuk</t>
  </si>
  <si>
    <t xml:space="preserve">Requires physical stamina. Must lift and carry 50 lbs. Work outdoors, in extreme temperatures, and in adverse weather. Company t-shirts provided at no cost and are to be worn at all worksites.
</t>
  </si>
  <si>
    <t>P-400-22252-464883</t>
  </si>
  <si>
    <t>Employer makes all payroll deductions required by law. Employer does not envision other workforce-wide payroll deductions. If requested, employer helps non-local workers secure worker-paid lodging (not to exceed fair market value, based on number of occupants). Housing costs paid directly to landlord and are not payroll deducted.   Employer offers free daily transportation to/from worksite from designated pick-up location. Use of transportation is voluntary.</t>
  </si>
  <si>
    <t>josh@isodlandscapes.com</t>
  </si>
  <si>
    <t>H-400-22335-613670</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</si>
  <si>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Employer will provide on-the-job training.
</t>
  </si>
  <si>
    <t xml:space="preserve">Employer will make all deductions from the worker's paycheck required by law. Optional employee only shared housing available onsite, including utilities, at approximately $100 per week. Housing cost payroll deducted if worker elects.
A single workweek will be used in computing wages due. Workers will be paid weekly. 
</t>
  </si>
  <si>
    <t>H-400-22335-613708</t>
  </si>
  <si>
    <t>Holiday Inn Club Vacations Incorporated for Orlando Breeze</t>
  </si>
  <si>
    <t>100 Orlando Breeze Circle</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</si>
  <si>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stand, sit, and reach with hands and arms. 
Must be able to walk and stoop, kneel, crouch, or crawl.
Must be able to lift 20 lbs and move up to 75 lbs.
Must be able to be exposed to severe weather conditions such as rain, wind and other harsh climatic conditions. 
Must be able to work in environment where noise level may exceed the moderate threshold. 
Must be able to be exposed to various industrial chemicals, cleaning agents, etc. 
Must be able to be exposed to strong odors.
The employer will provide worker at no charge all tools, supplies, and equipment required to perform job. Uniform pieces provided at no cost to employee.
Employer will provide on-the-job training. 
Public transportation is located in front of worksite. Employee is responsible for their own transportation to and from the worksite. 
</t>
  </si>
  <si>
    <t>P-400-22231-427023</t>
  </si>
  <si>
    <t>H-400-22292-539634</t>
  </si>
  <si>
    <t>GoldStar Amusements, Inc.</t>
  </si>
  <si>
    <t>515 Fowler Street</t>
  </si>
  <si>
    <t>featherstonmike@gmail.com</t>
  </si>
  <si>
    <t xml:space="preserve">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able to lift 50 pounds. Must be willing to work up to 7 days/wk. Subject to discharge for cause.  </t>
  </si>
  <si>
    <t>4951 River Road</t>
  </si>
  <si>
    <t>Marrero</t>
  </si>
  <si>
    <t>See Attachment 10 - Addendum re Sections B&amp;F. See attached OT memo.  Wage prepayment and merit/sick/supplemental/recruiting/tenure pay, savings program at employer's discretion.</t>
  </si>
  <si>
    <t>P-400-22213-387778</t>
  </si>
  <si>
    <t>https://goldstaramusements.com</t>
  </si>
  <si>
    <t>H-400-22307-565974</t>
  </si>
  <si>
    <t>SHELTON LANDSCAPE MAINTENANCE, INC.</t>
  </si>
  <si>
    <t>1515A LONEDELL INDUSTRIAL COURT</t>
  </si>
  <si>
    <t>SHELTON</t>
  </si>
  <si>
    <t>SCOTT@SHELTON-LANDSCAPE.COM</t>
  </si>
  <si>
    <t xml:space="preserve">MUST BE ABLE TO WORK A 5 DAY WORKWEEK INCLUDING WEEKENDS AND/OR HOLIDAYS AS REQUIRED. APPLICANT MUST COMPLETE AN EMPLOYMENT APPLICATION.
</t>
  </si>
  <si>
    <t>1515A Lonedell Industrial Court</t>
  </si>
  <si>
    <t>P-400-22152-233733</t>
  </si>
  <si>
    <t xml:space="preserve">Employer will make all deductions from the worker's paycheck required by law. Employer will assist workers in finding appropriate and affordable housing.
Employer will provide worker at no charge all tools, supplies, uniform and equipment required to perform job. </t>
  </si>
  <si>
    <t>H-400-22307-567427</t>
  </si>
  <si>
    <t>Venice</t>
  </si>
  <si>
    <t xml:space="preserve">Robert </t>
  </si>
  <si>
    <t>H-400-22277-508373</t>
  </si>
  <si>
    <t>SANDESTIN INVESTMENTS LLC</t>
  </si>
  <si>
    <t>SANDESTIN GOLF AND BEACH RESORT</t>
  </si>
  <si>
    <t>9300 EMERALD COAST PARKWAY WEST</t>
  </si>
  <si>
    <t>MIRAMAR BEACH</t>
  </si>
  <si>
    <t>STIYER</t>
  </si>
  <si>
    <t>JENNIFER</t>
  </si>
  <si>
    <t>JenniferStiyer@sandestin.com</t>
  </si>
  <si>
    <t>PH220</t>
  </si>
  <si>
    <t>May rotate/split shifts. Weekends &amp; holidays reqd.</t>
  </si>
  <si>
    <t>P-400-22181-323325</t>
  </si>
  <si>
    <t xml:space="preserve">Optional housing subject to availability $140/wk including daily transportation to/from housing &amp; will be deducted biweekly plus all deductions required by law. </t>
  </si>
  <si>
    <t>H2Bopportunities@sandestin.com</t>
  </si>
  <si>
    <t>http://careers.sandestin.com</t>
  </si>
  <si>
    <t>H-400-22276-507843</t>
  </si>
  <si>
    <t>W &amp; R Country Fair Cinnamon Rolls</t>
  </si>
  <si>
    <t>42411 Windy Gap Drive</t>
  </si>
  <si>
    <t>Ahwahnee</t>
  </si>
  <si>
    <t>Madaus</t>
  </si>
  <si>
    <t>madausrk@yahoo.com</t>
  </si>
  <si>
    <t xml:space="preserve">Ahwahnee </t>
  </si>
  <si>
    <t>P-400-22182-328050</t>
  </si>
  <si>
    <t>H-400-22246-454518</t>
  </si>
  <si>
    <t>THREE FORKS RANCH CORP</t>
  </si>
  <si>
    <t>1445 CARBON COUNTY RD 710</t>
  </si>
  <si>
    <t>SAVERY</t>
  </si>
  <si>
    <t>CLEMENTS</t>
  </si>
  <si>
    <t>1445 CARBON COUNTY ROAD 710</t>
  </si>
  <si>
    <t>jenn.clements@threeforksranch.com</t>
  </si>
  <si>
    <t xml:space="preserve">	One year of experience as a cook in a fine dining environment. Must be available to work all shifts, including weekends, evenings, and holidays. 
</t>
  </si>
  <si>
    <t>1445 Carbon County Road 710</t>
  </si>
  <si>
    <t>Savery</t>
  </si>
  <si>
    <t>CARBON</t>
  </si>
  <si>
    <t>P-400-22182-328690</t>
  </si>
  <si>
    <t xml:space="preserve">Employer will make all deductions from workers’ paycheck required by law; and optional onsite employee housing. Potential elective deductions to be preauthorized in writing if applicable are as follows: Voluntary advances and/or loans made to workers, if any, may be repaid by pre-authorized payroll deductions. Housing: Optional onsite employee housing is available for a fee. Cost of housing is between $50 to $150 weekly. Prices vary based on type of accommodations available single or shared room). Housing is paid through payroll deductions. Daily Transportation: Transportation is only provided to employees who elect to live in onsite employee house, at no additional cost.
</t>
  </si>
  <si>
    <t>H-400-22256-469041</t>
  </si>
  <si>
    <t>Ski Coach</t>
  </si>
  <si>
    <t>Coaches and Scouts</t>
  </si>
  <si>
    <t>Sky High Academy Limited</t>
  </si>
  <si>
    <t>69 White Pine Canyon Road</t>
  </si>
  <si>
    <t>Jeske</t>
  </si>
  <si>
    <t xml:space="preserve">69 White Pine Canyon Road </t>
  </si>
  <si>
    <t>carol@skyhighacademy.org</t>
  </si>
  <si>
    <t>4516 South 700 East</t>
  </si>
  <si>
    <t>Suite 280</t>
  </si>
  <si>
    <t>69 White Canyon Road</t>
  </si>
  <si>
    <t>P-400-22213-388943</t>
  </si>
  <si>
    <t>All deductions required by law.  Employer will provide housing or make it available to the worker which will include room and board at a rate of $300 per week.  This will include groceries, utilities, rent and use of a car.</t>
  </si>
  <si>
    <t>H-400-22234-430287</t>
  </si>
  <si>
    <t>KELLY INC</t>
  </si>
  <si>
    <t>A-1 LAWN &amp; LANDSCAPING</t>
  </si>
  <si>
    <t>6727 OLD SEWARD HWY</t>
  </si>
  <si>
    <t>MELODIE</t>
  </si>
  <si>
    <t>NOELLE</t>
  </si>
  <si>
    <t>VICE PRESIDENT/OFFICE MANAGER</t>
  </si>
  <si>
    <t>OFFICE@A1LAWN.COM</t>
  </si>
  <si>
    <t xml:space="preserve">ABILITY TO LIFT 50 POUNDS
MUST BE ABLE TO PERFORM PHYSICAL LABOR OUTDOORS IN ALL WEATHER CONDITIONS INCLUDING COLD, SNOW, AND SLEET.
SOME OT AND WEEKENDS REQUIRED
Minimum Age: 18
</t>
  </si>
  <si>
    <t>P-400-22192-343322</t>
  </si>
  <si>
    <t>all mandatory payroll tax deductions with be withheld, board/lodging will be assisted by employer as needed but is not required of employees to utilize</t>
  </si>
  <si>
    <t>office@a1lawn.com</t>
  </si>
  <si>
    <t>www.a1lawn.com</t>
  </si>
  <si>
    <t>H-400-22251-462010</t>
  </si>
  <si>
    <t xml:space="preserve">Golf Course Maintenance Worker </t>
  </si>
  <si>
    <t xml:space="preserve">The Club at Mediterra, Inc. </t>
  </si>
  <si>
    <t xml:space="preserve">15755 Corso Mediterra Circle </t>
  </si>
  <si>
    <t>Leitman</t>
  </si>
  <si>
    <t xml:space="preserve">Chief Financial Officer </t>
  </si>
  <si>
    <t>RickL@clubmediterra.com</t>
  </si>
  <si>
    <t xml:space="preserve">The Petitioner will consider for employment any person who possesses at least three (3) months of experience maintaining grounds at a high-end hotel, resort, or private club.  Applicant must complete pre-employment background check and drug screening.
</t>
  </si>
  <si>
    <t>Wage: $17.47 - $18.25 per hour, paid bi-weekly. Please see job description.</t>
  </si>
  <si>
    <t>P-400-22123-129834</t>
  </si>
  <si>
    <t xml:space="preserve">Optional housing is offered.  Cost of housing, if accepted, is $200.00 per bi-weekly pay period.  If used, total cost of housing will be deducted from bi-weekly paycheck.  A $400.00 refundable security deposit is required and will be deducted in equal $50.00 installments from paycheck.  Additional, optional benefits may be offered to worker, for worker’s sole benefit, including, but not limited to, a savings incentive program, 401k, and/or health, if elected (employee contributions to be deducted from pay).  </t>
  </si>
  <si>
    <t>ShirleneI@clubmediterra.com</t>
  </si>
  <si>
    <t>H-400-22277-508953</t>
  </si>
  <si>
    <t>CHEF</t>
  </si>
  <si>
    <t>M2K OPERATIONS, INC.</t>
  </si>
  <si>
    <t>BRIDGET'S - A MODERN STEAKHOUSE</t>
  </si>
  <si>
    <t>8 WEST BUTLER AVENUE</t>
  </si>
  <si>
    <t>AMBLER</t>
  </si>
  <si>
    <t>CLIBANOFF</t>
  </si>
  <si>
    <t>PRINCIPAL OWNER</t>
  </si>
  <si>
    <t>STEVE@BRIDGETSSTEAK.COM</t>
  </si>
  <si>
    <t>WHITEHILL</t>
  </si>
  <si>
    <t>BNY MELLON CENTER, 500 GRANT STREET</t>
  </si>
  <si>
    <t>SUITE 2500</t>
  </si>
  <si>
    <t>RWHITEHILL@FOXROTHSCHILD.COM</t>
  </si>
  <si>
    <t>FOX ROTHSCHILD LLP</t>
  </si>
  <si>
    <t>experience in a fast paced, formal or casual kitchen is preferred</t>
  </si>
  <si>
    <t>P-400-22230-423061</t>
  </si>
  <si>
    <t>Social Security, Medicare, state income tax, and Federal income tax</t>
  </si>
  <si>
    <t>steve@bridgetssteak.com</t>
  </si>
  <si>
    <t>KNIGHT</t>
  </si>
  <si>
    <t>RYAN</t>
  </si>
  <si>
    <t>rknight@foxrothschild.com</t>
  </si>
  <si>
    <t>H-400-22315-581760</t>
  </si>
  <si>
    <t>Direct Support Professional</t>
  </si>
  <si>
    <t>WESTPAN ENTERPRISE LLC WESTPAN HEALTHCARE SHELLYANN STAPLES MBR</t>
  </si>
  <si>
    <t>5270 Route 115</t>
  </si>
  <si>
    <t>Unit 3</t>
  </si>
  <si>
    <t>Blakeslee</t>
  </si>
  <si>
    <t>Shelly-Ann</t>
  </si>
  <si>
    <t>westpanhealthcare5@gmail.com</t>
  </si>
  <si>
    <t>2973 100th Street</t>
  </si>
  <si>
    <t>Urbandale</t>
  </si>
  <si>
    <t>attorney@floydnielsenlaw.com</t>
  </si>
  <si>
    <t>Floyd Nielsen Law Firm PLC</t>
  </si>
  <si>
    <t>Shift is assigned based on staffing needs. Must be able to work 7:00 AM to 3:00 PM, 3:00 PM to 11:00 PM, and 11:00 PM to 7:00 AM. Days are Monday through Sunday with two scheduled days off per week.</t>
  </si>
  <si>
    <t>8 Chippewa Trail</t>
  </si>
  <si>
    <t>Albrightsville</t>
  </si>
  <si>
    <t>Overtime may be available but not guaranteed. May be offered higher wage due to experience/merit.</t>
  </si>
  <si>
    <t>P-400-22306-563307</t>
  </si>
  <si>
    <t>Any advances will be deducted with the consent of the employee. The employer will offer optional housing to the employee. The employer will deduct $100.00 per weekly paycheck for rent and utilities with the consent of the employee.</t>
  </si>
  <si>
    <t>H-400-22307-565950</t>
  </si>
  <si>
    <t xml:space="preserve">Applicant must complete an employment application.  
Post-employment criminal background check required, cost paid by employer and applied equally to all workers, US &amp; Foreign/H2B.
Must follow pandemic policy and guidelines which may include daily health assessment and temperature check.
</t>
  </si>
  <si>
    <t>P-400-22164-273693</t>
  </si>
  <si>
    <t>Employer will make all deductions from the worker's paycheck required by law and deduct approved cost of housing if worker elects.  Optional employee only shared housing $140 per week, with utilities included.</t>
  </si>
  <si>
    <t>H-400-22287-531428</t>
  </si>
  <si>
    <t>ALR, LLC</t>
  </si>
  <si>
    <t>5840 S. 107th E Ave.</t>
  </si>
  <si>
    <t>Roark</t>
  </si>
  <si>
    <t>ALRDecoratingTulsa@gmail.com</t>
  </si>
  <si>
    <t xml:space="preserve">Post-employment random drug testing may be required, at no cost to the worker. The job requires the applicant to be qualified, ready, willing, able, and available to perform during the entire employment at all the designated worksites and to follow workplace rules. 
</t>
  </si>
  <si>
    <t>5809 S 107th Ave</t>
  </si>
  <si>
    <t>Pay raises are based on merit, length of time on job, quantity and quality of work produced, dependability and adherence to procedures and policies.</t>
  </si>
  <si>
    <t>P-400-22164-273912</t>
  </si>
  <si>
    <t xml:space="preserve">Employer will make all deductions from the worker’s paycheck required by law.  
In addition, the employer intends to make the following deductions from the worker’s paycheck which are not required by law: 
Uniform shirts and pants are provided at no cost to the employee.  Employee may opt to clean and maintain their own uniform.  The employer offers an optional cleaning and maintenance service and if the employee opts to utilize this service, they will be charged $9.50 per week.
</t>
  </si>
  <si>
    <t>alrdecoratingtulsa@gmail.com</t>
  </si>
  <si>
    <t>H-400-22231-427706</t>
  </si>
  <si>
    <t>Residence Inn by Marriott Bozeman</t>
  </si>
  <si>
    <t>815 E Main St</t>
  </si>
  <si>
    <t>P-400-22104-072737</t>
  </si>
  <si>
    <t>eolenick@innventures.com</t>
  </si>
  <si>
    <t>H-400-22251-461639</t>
  </si>
  <si>
    <t>Merion Landscape Services, LLC</t>
  </si>
  <si>
    <t>4111 E 11th Ave</t>
  </si>
  <si>
    <t>[Mail: 2708 E. Louisiana Ave. Tampa, FL 33610]</t>
  </si>
  <si>
    <t xml:space="preserve">Tampa </t>
  </si>
  <si>
    <t>Simms</t>
  </si>
  <si>
    <t>Brawnell</t>
  </si>
  <si>
    <t>bsimms@merionls.com</t>
  </si>
  <si>
    <t>Post-employment random drug testing and background checks may be required, at no cost to the worker.  The job requires the applicant to be qualified, ready, willing, able, and available to perform during the entire employment at all the designated worksites; and to follow workplace rules.</t>
  </si>
  <si>
    <t>4111 E. 11th Ave</t>
  </si>
  <si>
    <t>P-400-22158-252311</t>
  </si>
  <si>
    <t xml:space="preserve">Employer will make all deductions from the worker’s paycheck required by law.  
In addition, the employer intends to make the following deductions from the worker’s paycheck which are not required by law: 
If worker opts in for the uniform service, there will be a $10.00 (approximate) per week cleaning and maintenance deduction.
If worker opts in for the housing, there will be a $75.00 (approximate) per week rent and utilities deduction.
</t>
  </si>
  <si>
    <t>H-400-22241-443943</t>
  </si>
  <si>
    <t>Retail Associate</t>
  </si>
  <si>
    <t>Leo's Inc.</t>
  </si>
  <si>
    <t>Waffle Cabin</t>
  </si>
  <si>
    <t>20 Moonbrook Drive</t>
  </si>
  <si>
    <t>Rutland</t>
  </si>
  <si>
    <t>Heyrman</t>
  </si>
  <si>
    <t>Ingrid</t>
  </si>
  <si>
    <t>ingrid@wafflecabin.com</t>
  </si>
  <si>
    <t>THE PETITIONER WILL CONSIDER ANY PERSON FOR EMPLOYMENT WHO POSSESSES AT LEAST THREE (3) MONTHS OF EXPERIENCE IN A FINE-DINING OR HIGH-VOLUME ENVIRONMENT AT A HIGH-END RESTAURANT, RESORT, OR PRIVATE CLUB.
Work may be performed any day of the week including weekends, evenings
and holidays. Work week is Monday  Sunday. Days off vary. Shift is 8:30am  4:30pm.</t>
  </si>
  <si>
    <t>4763 Killington Rd</t>
  </si>
  <si>
    <t xml:space="preserve">+DOE. Free waffle/day, free hot drinks, Ski pass  &amp; 50% off food in main lodge for one location.  Paid 30-minute lunch. </t>
  </si>
  <si>
    <t>P-400-22182-327994</t>
  </si>
  <si>
    <t>Housing is offered and optional. Cost of housing, if accepted, is $140.00 per week, and includes utilities. If used, total cost of housing will be paid directly by the employee to the employer. A $200.00 refundable security deposit is due, to be paid in full upfront, directly to employer. Security deposit is refundable if housing properties will be left clean and undamaged. Housing available at each of the three mountains.
F.d.1 continued:
Worker will be assigned to one worksite location.  No transportation required.</t>
  </si>
  <si>
    <t>H-400-22277-510841</t>
  </si>
  <si>
    <t>West Coast Concessions Fairs, Inc</t>
  </si>
  <si>
    <t>Chillin and Grillin</t>
  </si>
  <si>
    <t>2468 Beechwood Drive</t>
  </si>
  <si>
    <t>(Mail; P.O. Box 5208, Paso Robles, CA 93447)</t>
  </si>
  <si>
    <t>Farias</t>
  </si>
  <si>
    <t xml:space="preserve">Paso Robles </t>
  </si>
  <si>
    <t>susan@chillgrill.net</t>
  </si>
  <si>
    <t>P-400-22183-329457</t>
  </si>
  <si>
    <t>carnygirlsue@aol.com</t>
  </si>
  <si>
    <t>H-400-22231-427694</t>
  </si>
  <si>
    <t>SpringHill Suites by Marriott Bozeman</t>
  </si>
  <si>
    <t>1601 Baxter Lane</t>
  </si>
  <si>
    <t>P-400-22104-072801</t>
  </si>
  <si>
    <t>aking@innventures.com</t>
  </si>
  <si>
    <t>H-400-22266-489934</t>
  </si>
  <si>
    <t xml:space="preserve">Market Research Data Translator and Spanish Survey Taker </t>
  </si>
  <si>
    <t>Survey Researchers</t>
  </si>
  <si>
    <t>BRG Research Services</t>
  </si>
  <si>
    <t>BRG Data Services</t>
  </si>
  <si>
    <t>467 South State Street</t>
  </si>
  <si>
    <t>Florez</t>
  </si>
  <si>
    <t>Spanish Speaking Survey Taker &amp; Spanish Data Analytics</t>
  </si>
  <si>
    <t>467 South Orem Blvd</t>
  </si>
  <si>
    <t>Jesusalbertof99@gmail.com</t>
  </si>
  <si>
    <t>272  I St</t>
  </si>
  <si>
    <t>luis@brgresearchservices.com</t>
  </si>
  <si>
    <t xml:space="preserve">Spanish and Autocad training
</t>
  </si>
  <si>
    <t>P-400-22224-414920</t>
  </si>
  <si>
    <t>Nothing other than state and local taxes</t>
  </si>
  <si>
    <t>www.brgrs.com</t>
  </si>
  <si>
    <t>H-400-22252-464776</t>
  </si>
  <si>
    <t>Mogul Hospitality Partners-Jackson, LLC</t>
  </si>
  <si>
    <t>376 E. Gateway Dr. Suite 201</t>
  </si>
  <si>
    <t>Mailing: PO Box 998, Midway, UT 84049</t>
  </si>
  <si>
    <t>McAllister</t>
  </si>
  <si>
    <t>Mailing: PO Box 998 , Midway, UT 84049</t>
  </si>
  <si>
    <t>MAS Labor H2B, LLCMAS Labor H2B, LLC</t>
  </si>
  <si>
    <t xml:space="preserve">Must lift/carry 50 lbs., when necessary.  Saturday and Sunday work required, when necessary.  Post-hire random, post-accident and upon suspicion of use drug testing required of foreign and domestic workers. Post-hire employment eligibility (e-Verify) check required of foreign and domestic workers.
</t>
  </si>
  <si>
    <t>1075 W Broadway,</t>
  </si>
  <si>
    <t>P-400-22208-378486</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</si>
  <si>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
  </si>
  <si>
    <t>H-400-22239-441670</t>
  </si>
  <si>
    <t>Waterlefe Master POA, Inc.</t>
  </si>
  <si>
    <t>995 Fish Hook Cove</t>
  </si>
  <si>
    <t xml:space="preserve">Bradenton </t>
  </si>
  <si>
    <t>VALLETTA</t>
  </si>
  <si>
    <t xml:space="preserve">995 Fish Hook Cove </t>
  </si>
  <si>
    <t>Housing is optional &amp; available at $160-$185/week.$250 refundable deposit. All deductions required by law will be made.</t>
  </si>
  <si>
    <t>P-400-22144-206308</t>
  </si>
  <si>
    <t>Housing is optional &amp; available at $160-$185/week.$250 refundable deposit. Employees paid biweekly.</t>
  </si>
  <si>
    <t>gm@waterlefefl.com</t>
  </si>
  <si>
    <t>H-400-22230-423078</t>
  </si>
  <si>
    <t>P-400-22148-222747</t>
  </si>
  <si>
    <t>H-400-22259-478097</t>
  </si>
  <si>
    <t xml:space="preserve"> 2384 Saranac Avenue</t>
  </si>
  <si>
    <t xml:space="preserve">The Petitioner will consider for employment any person who possesses at least three (3) months of experience in a fine-dining or high-volume environment at a high-end restaurant, resort, or private club.  
</t>
  </si>
  <si>
    <t xml:space="preserve">Lake Placid </t>
  </si>
  <si>
    <t>Tipped position with guaranteed wage of $18.70 per hour, paid weekly.  See job description for additional detail.</t>
  </si>
  <si>
    <t>P-400-22181-323706</t>
  </si>
  <si>
    <t>H-400-22276-506279</t>
  </si>
  <si>
    <t xml:space="preserve">  Amusement &amp; Recreation Attendant – Mobile Food Concessions</t>
  </si>
  <si>
    <t>CM LLC</t>
  </si>
  <si>
    <t>(MAIL: PO BOX 2659, RIVERVIEW FL 33568)</t>
  </si>
  <si>
    <t>SPRINGHILL</t>
  </si>
  <si>
    <t>Sandlofer</t>
  </si>
  <si>
    <t>Benna</t>
  </si>
  <si>
    <t>sandlofer1@gmail.com</t>
  </si>
  <si>
    <t>P-400-22188-338524</t>
  </si>
  <si>
    <t xml:space="preserve">Employer will make all deductions from the worker’s paycheck required by law. Optional mobile housing (valued at $175.00 per week) and local convenience travel (valued at $25.00 per week) are available for wage credit and/or deduction, or any lesser amount to the maximum extent allowed by law.  </t>
  </si>
  <si>
    <t>H-400-22265-488426</t>
  </si>
  <si>
    <t>JANITOR</t>
  </si>
  <si>
    <t>P-400-22168-292886</t>
  </si>
  <si>
    <t>ALL LOCAL, STATE AND FEDERAL TAXES (IF APPLICABLE)</t>
  </si>
  <si>
    <t>H-400-22298-548150</t>
  </si>
  <si>
    <t>Maintenance/Construction</t>
  </si>
  <si>
    <t>Terra Bella Landscape</t>
  </si>
  <si>
    <t>689260Tortuga rd</t>
  </si>
  <si>
    <t>Cathedral city</t>
  </si>
  <si>
    <t>cruz</t>
  </si>
  <si>
    <t>mario</t>
  </si>
  <si>
    <t>68926 Tortuga</t>
  </si>
  <si>
    <t>cathedral city</t>
  </si>
  <si>
    <t>mcruz109@yahoo.com</t>
  </si>
  <si>
    <t>Plant identification
Lawn care
Teamwork
Excellent fitness and endurance
Strong communication skills</t>
  </si>
  <si>
    <t>68926 Tortuga rd</t>
  </si>
  <si>
    <t>P-400-22242-444479</t>
  </si>
  <si>
    <t>H-400-22304-558992</t>
  </si>
  <si>
    <t>Lakeside Concessions LLC</t>
  </si>
  <si>
    <t>12168 East 173rd Street S.</t>
  </si>
  <si>
    <t>Webbers Falls</t>
  </si>
  <si>
    <t>DeRamus</t>
  </si>
  <si>
    <t xml:space="preserve">12168 East 173rd Street S. </t>
  </si>
  <si>
    <t xml:space="preserve">Webbers Falls </t>
  </si>
  <si>
    <t>lconcessions@yahoo.com</t>
  </si>
  <si>
    <t>MUSKOGEE</t>
  </si>
  <si>
    <t>P-400-22189-340948</t>
  </si>
  <si>
    <t>H-400-22277-509179</t>
  </si>
  <si>
    <t>Snow Removers</t>
  </si>
  <si>
    <t xml:space="preserve">5513 W 11000 N #232  </t>
  </si>
  <si>
    <t xml:space="preserve">Must be able to lift 30 pounds. Must be able to handle temperature extremes.
</t>
  </si>
  <si>
    <t xml:space="preserve">5513 W 11000 N </t>
  </si>
  <si>
    <t>Suite 232</t>
  </si>
  <si>
    <t xml:space="preserve">Wage rate may vary based on experience and/or merit. Up to 10 hours overtime may be available but not guaranteed. </t>
  </si>
  <si>
    <t>P-400-22151-226382</t>
  </si>
  <si>
    <t>All deductions from the worker's paycheck will be made as required by law. Any advance will be deducted with the consent of the employee.</t>
  </si>
  <si>
    <t>H-400-22290-532604</t>
  </si>
  <si>
    <t>Mid American Carnival LLC</t>
  </si>
  <si>
    <t>2813 Elsworth Lane</t>
  </si>
  <si>
    <t>Moore Jr</t>
  </si>
  <si>
    <t>Rickey</t>
  </si>
  <si>
    <t>rickeymoore@yahoo.com</t>
  </si>
  <si>
    <t>P-400-22221-405005</t>
  </si>
  <si>
    <t>H-400-22277-508952</t>
  </si>
  <si>
    <t>HELPER INSTALLATION MAINTENANCE AND REPAIR WORKER</t>
  </si>
  <si>
    <t>Interstate Supplies and Services Inc</t>
  </si>
  <si>
    <t>511 Union West Blvd</t>
  </si>
  <si>
    <t>Stallings</t>
  </si>
  <si>
    <t>Joubert</t>
  </si>
  <si>
    <t>Josua</t>
  </si>
  <si>
    <t>josua@iss-go.com</t>
  </si>
  <si>
    <t xml:space="preserve">511 Union West Blvd </t>
  </si>
  <si>
    <t xml:space="preserve">Stallings </t>
  </si>
  <si>
    <t>P-400-22235-433285</t>
  </si>
  <si>
    <t>ONLY AS REQUIRED BY LAW</t>
  </si>
  <si>
    <t>JOSUA@ISS-GO.COM</t>
  </si>
  <si>
    <t>www.iss-go.com</t>
  </si>
  <si>
    <t>JOUBERT</t>
  </si>
  <si>
    <t>JOSUA</t>
  </si>
  <si>
    <t>INTERSTATE SUPPLIES &amp; SERVICES INC</t>
  </si>
  <si>
    <t>H-400-22288-532008</t>
  </si>
  <si>
    <t>Classic Jack Construction, LLC.</t>
  </si>
  <si>
    <t>231 North 300 East</t>
  </si>
  <si>
    <t>Zandi</t>
  </si>
  <si>
    <t>kris.classicjack@gmail.com</t>
  </si>
  <si>
    <t>435 South Geneva Rd</t>
  </si>
  <si>
    <t>P-400-22244-452073</t>
  </si>
  <si>
    <t>classicjack411@gmail.com</t>
  </si>
  <si>
    <t>H-400-22264-485327</t>
  </si>
  <si>
    <t>WKB Landscape &amp; Maintenance, Inc.</t>
  </si>
  <si>
    <t>6054 W 9790 S</t>
  </si>
  <si>
    <t>Berg</t>
  </si>
  <si>
    <t>Bill</t>
  </si>
  <si>
    <t>6054 West 9790 South</t>
  </si>
  <si>
    <t>bill@wkblandscape.com</t>
  </si>
  <si>
    <t xml:space="preserve">Raises and/or bonuses at employer's discretion. </t>
  </si>
  <si>
    <t>P-400-22214-389627</t>
  </si>
  <si>
    <t>H-400-22272-500733</t>
  </si>
  <si>
    <t>Verde Restaurant LLC</t>
  </si>
  <si>
    <t>4454 Nuhou St, #501</t>
  </si>
  <si>
    <t>Lihue</t>
  </si>
  <si>
    <t>Scarbo</t>
  </si>
  <si>
    <t>Maris</t>
  </si>
  <si>
    <t>Manzano</t>
  </si>
  <si>
    <t>3411 Kalua Moa Rd</t>
  </si>
  <si>
    <t>Koloa</t>
  </si>
  <si>
    <t>info@verdehawaii.com</t>
  </si>
  <si>
    <t>4442 Hardy St, #201</t>
  </si>
  <si>
    <t>mike@jmlawhawaii.com</t>
  </si>
  <si>
    <t>JM Law Hawaii LLLLC</t>
  </si>
  <si>
    <t>Supreme Court of Hawaii and US District Court of Hawaii</t>
  </si>
  <si>
    <t>KAUAI</t>
  </si>
  <si>
    <t>Hawaii / Kauai nonmetropolitan area</t>
  </si>
  <si>
    <t>P-400-22229-422961</t>
  </si>
  <si>
    <t>The employer will make all deductions from the worker’s paycheck required by law. Employer will subsidize the cost of the bus pass of worker through the duration of employment. Lodging is located about two miles from the place of work. Lodging is primarily for the employer's benefit and convenience to ensure that worker can arrive at work on-time. The employer will pay the cost of lodging to include all basic, necessary utilities to the extent such costs would reduce the worker's pay below the offered wage rate for the area of intended employment. Workers are responsible for individual meals. Fully furnish kitchen is equipped with modern day appliances to facilitate preparing and cooking of self-serve meals. The lodging accommodation is a modern-day apartment/town home structure that is typical in the local community; equipped with the modern conveniences expected by U.S. workers and residents. Housing is optional.</t>
  </si>
  <si>
    <t>www.verdehawaii.com</t>
  </si>
  <si>
    <t>H-400-22255-466847</t>
  </si>
  <si>
    <t>standard state and federal requirements</t>
  </si>
  <si>
    <t>H-400-22271-500142</t>
  </si>
  <si>
    <t xml:space="preserve">The Petitioner will consider for employment any person who possesses at least twelve (12) months of Front Desk Agent experience at a high-end hotel, resort, or private club.  Applicant must complete pre-employment background check and drug screening.
</t>
  </si>
  <si>
    <t>Wage of $16.00 to $17.00 per hour, paid bi-weekly.  Please see job description.</t>
  </si>
  <si>
    <t>P-400-22220-403465</t>
  </si>
  <si>
    <t>H-400-22230-423064</t>
  </si>
  <si>
    <t>P-400-22155-244537</t>
  </si>
  <si>
    <t>H-400-22246-454519</t>
  </si>
  <si>
    <t xml:space="preserve">Must carry 50lbs, when necessary. Must be willing to work all shifts including weekends and holidays.
</t>
  </si>
  <si>
    <t>P-400-22166-283690</t>
  </si>
  <si>
    <t>Employer will make all deductions from workers paycheck required by law. Potential elective deductions to be preauthorized in writing if applicable are as follows: Voluntary advances and/or loans made to workers, if any, may be repaid by pre-authorized payroll deductions. Housing:	Optional onsite employee housing is provided at no additional cost. Daily Transportation: Transportation is only provided to employees who elect to live in onsite employee house, at no additional cost.</t>
  </si>
  <si>
    <t>H-400-22214-389494</t>
  </si>
  <si>
    <t>Dishwashers/Busser/Runner</t>
  </si>
  <si>
    <t>Fitch Ranch Meats and Market</t>
  </si>
  <si>
    <t>903 W Agate Ave</t>
  </si>
  <si>
    <t>Mailing: PO Box 1322, Granby, CO 80446</t>
  </si>
  <si>
    <t>Fitch</t>
  </si>
  <si>
    <t>Mailing address:  PO Box 1322, Granby, CO 80446</t>
  </si>
  <si>
    <t>Deborah@FitchRanch.com</t>
  </si>
  <si>
    <t>THE PETITIONER WILL CONSIDER ANY PERSON FOR EMPLOYMENT WHO POSSESSES AT LEAST THREE (3) MONTHS OF EXPERIENCE IN A FINE-DINING OR HIGH-VOLUME ENVIRONMENT AT A HIGH-END RESTAURANT, RESORT, OR PRIVATE CLUB. 
Work week is Monday-Sunday. WORK SCHEDULE CAN INCLUDE EVENING, WEEKEND, AND HOLIDAY HOURS. WORK MAY BE PERFORMED ON ANY DAY OF THE WEEK FROM MONDAY THROUGH SUNDAY. DAYS OFF VARY. Example shifts are 7am  4pm, 9am  6pm, 2pm  11pm. (Start times are subject to change).</t>
  </si>
  <si>
    <t>P-400-22172-301576</t>
  </si>
  <si>
    <t>HOUSING IS OFFERED AND OPTIONAL. COST OF HOUSING, IF ACCEPTED, IS $125.00 PER WEEK AND INCLUDES UTILITIES. IF USED, TOTAL COST OF HOUSING WILL BE DEDUCTED DIRECTLY FROM PAYCHECK.</t>
  </si>
  <si>
    <t>H-400-22272-500898</t>
  </si>
  <si>
    <t>Carnival Payroll of PA Corp.</t>
  </si>
  <si>
    <t>1150 1st Ave. Suite 501</t>
  </si>
  <si>
    <t>DeStefano</t>
  </si>
  <si>
    <t>Kathryn</t>
  </si>
  <si>
    <t>mythreegirlz@aol.com</t>
  </si>
  <si>
    <t>Route 611</t>
  </si>
  <si>
    <t>Tannersville</t>
  </si>
  <si>
    <t>P-400-22182-328035</t>
  </si>
  <si>
    <t xml:space="preserve">Employer will make all deductions from the worker’s paycheck required by law.  Optional mobile housing (valued at $75.00 per week) and local convenience travel (valued at $25.00 per week) are available for wage credit and/or deduction, or any lesser amount to the maximum extent allowed by law.  </t>
  </si>
  <si>
    <t>H-400-22217-399836</t>
  </si>
  <si>
    <t>Solitude Mountain Ski Area, LLC</t>
  </si>
  <si>
    <t>Solitude Mountain Resort</t>
  </si>
  <si>
    <t>12000 Big Cottonwood Canyon</t>
  </si>
  <si>
    <t>Solitude</t>
  </si>
  <si>
    <t>Hatcher</t>
  </si>
  <si>
    <t>Cassandra</t>
  </si>
  <si>
    <t>HR Recruiting Specialist</t>
  </si>
  <si>
    <t>c.hatcher@solitudemountain.com</t>
  </si>
  <si>
    <t xml:space="preserve">1 year of cook and kitchen experience is required.
Capable of standing for extended periods of time and lifting up to 40 lbs.
Willing to work flexible work schedules that may include nights, holidays, and weekends.
Ability to obtain and maintain a current, valid state-required licenses and or certifications such as Food Handlers Permit and Sips and Tips.
On-The-Job Training Will Be Provided. 
Post-Hire Background Check Required
35 hours per week.  Shifts available 7 days a week including weekends and holidays. Multiple shifts available seven days a week
including weekends and holidays between the hours of 6:00 AM-11:00 PM.
Hourly Wage: $15.20 - $21.60. Overtime Possible at $22.80 - $32.40
</t>
  </si>
  <si>
    <t>12000 E Big Cottonwood Canyon</t>
  </si>
  <si>
    <t>P-400-22158-252580</t>
  </si>
  <si>
    <t>All deductions required by law will be made.
Optional Deductions from Paycheck: Lost or stolen ski pass and Nametags, ruined or lost uniform, 401K.
Benefits: Ski lift passes for employees and eligible dependents or 1 friend, discounts at all restaurants and retail. 1 free group ski lesson, discounts on lodging and ski rentals, and day pass to other resorts in the area.</t>
  </si>
  <si>
    <t>H-400-22302-558221</t>
  </si>
  <si>
    <t>Helpers-Production Workers</t>
  </si>
  <si>
    <t>WKW North America, LLC</t>
  </si>
  <si>
    <t>WKW Automotive</t>
  </si>
  <si>
    <t>103 Parkway East.</t>
  </si>
  <si>
    <t>Pell City</t>
  </si>
  <si>
    <t>Heathcock</t>
  </si>
  <si>
    <t>103 Parkway East</t>
  </si>
  <si>
    <t>marsha.robinson@wkw-usa.com</t>
  </si>
  <si>
    <t>Other requirements:  Post-employment random drug testing and background checks may be required, at no cost to the worker. The job requires the applicant to be qualified, ready, willing, able, and available to perform during the entire employment at the designated worksites; and to follow workplace rules.</t>
  </si>
  <si>
    <t>P-400-22252-463700</t>
  </si>
  <si>
    <t xml:space="preserve">Employer will make all deductions from the worker’s paycheck required by law.  On an optional basis, employer will assist those employees who opt in, in securing housing. Payment for this housing and any included utilities will be deducted from the workers’ pay. This deduction is estimated to be $168.94 bi-weekly if room is shared with 4 tenants; if the worker decides an individual room, the deduction is estimated to be $337.88 bi-weekly. </t>
  </si>
  <si>
    <t>sonya.heathcock@wkw-usa.com</t>
  </si>
  <si>
    <t>www.wkw.de</t>
  </si>
  <si>
    <t>H-400-22238-439208</t>
  </si>
  <si>
    <t>Agricultural Mechanic I</t>
  </si>
  <si>
    <t>AUTOMATED HARVESTING LLC</t>
  </si>
  <si>
    <t>20520 Spence Road</t>
  </si>
  <si>
    <t>krodriguez@automatedharvesting.com</t>
  </si>
  <si>
    <t xml:space="preserve">12 months experience performing maintenance and repair on mechanical equipment.
Knowledge of common hand and power tools, such as hammers, saws, drills, and wrenches.
Knowledge of farm machines and tools, including their designs, uses, repair, and maintenance.
</t>
  </si>
  <si>
    <t>10266 S. Avenue 4E</t>
  </si>
  <si>
    <t>Yuma</t>
  </si>
  <si>
    <t>YUMA</t>
  </si>
  <si>
    <t>Yuma, AZ</t>
  </si>
  <si>
    <t>The Employer will use a single workweek as its standard for computing wages due.</t>
  </si>
  <si>
    <t>P-400-22139-191052</t>
  </si>
  <si>
    <t>Workers will be paid no less than$21.49 per hour. Workers will be paidweekly by check. Overtime hours mayvary, depending on weather or otherconditions, and workers may beexempt from overtime becausemechanics are exempt from overtimebecause they repair equipment that isdesigned to travel over open highwaysand public roads. Non-exempt overtimehours will be paid at $32.24 per hour.The Employer will make all deductionsfrom the worker’s paycheck requiredby law.</t>
  </si>
  <si>
    <t>H-400-22238-439206</t>
  </si>
  <si>
    <t xml:space="preserve">Valid Commercial drivers license or equivalent
Qualifications/Requirements:  Valid Commercial drivers license or equivalent.  Clean DMV record  Medical Examiners Report.  1 year field harvest truck driver experience.  Ability to pass a pre-hire drug &amp; alcohol screening test, at no cost to the employee.  Ability to speak, read &amp; write enough English to communicate with CHP &amp; scale personnel.  Ability to climb up and down from trailers.  Ability to lift up to 80 pounds.  Ability to walk on uneven ground in field locations.  Ability to navigate safe entry into and exit from field roads.  Ability to work flexible and long hours.  Ability to work as a team with supervisors, tractor drivers, plant receiving personnel, and other truck drivers.
</t>
  </si>
  <si>
    <t xml:space="preserve"> 10266 S. Avenue 4E</t>
  </si>
  <si>
    <t>P-400-22139-191083</t>
  </si>
  <si>
    <t>Workers will be paid weekly by check.Overtime hours may vary, dependingon weather or other conditions, andworkers may be exempt from overtimeunder the Motor Carrier Exemption.Non-exempt overtime hours will bepaid at $28.74 per hour. The Employerwill use a single workweek as itsstandard for computing wages due.The Employer will make all deductionsfrom the worker’s paycheck requiredby law. Housing secured with theemployer’s assistance is not free ofcharge and rent will be deducted frompaycheck.</t>
  </si>
  <si>
    <t>H-400-22259-477205</t>
  </si>
  <si>
    <t>P-400-22217-399217</t>
  </si>
  <si>
    <t xml:space="preserve">Optional housing (valued at $100.00 per week) and local convenience travel (valued at $25.00 per week) are available for wage credit and/or deduction, or any lesser amount to the maximum extent allowed by law.  The employer will pay the cost of lodging to the extent such costs would reduce pay below the legally required minimum wage rate for the areas of intended employment. Employer will make all deductions from the worker’s paycheck required by law.  </t>
  </si>
  <si>
    <t>H-400-22277-510543</t>
  </si>
  <si>
    <t>QUALITY SERVICE HOSPITALITY, INC</t>
  </si>
  <si>
    <t>1005 Terminal Way STE 135</t>
  </si>
  <si>
    <t>Reno</t>
  </si>
  <si>
    <t>Quintana</t>
  </si>
  <si>
    <t>1175 NE 125 ST</t>
  </si>
  <si>
    <t>NORTH MIAMI</t>
  </si>
  <si>
    <t>miken@qservicecompanies.com</t>
  </si>
  <si>
    <t>Parham</t>
  </si>
  <si>
    <t>Normany</t>
  </si>
  <si>
    <t>3315 South Cobb Drive</t>
  </si>
  <si>
    <t>H2process@npprofessionalconsultants.net</t>
  </si>
  <si>
    <t>N &amp; P PROFESSIONAL CONSULTANTS</t>
  </si>
  <si>
    <t>2500 2nd St</t>
  </si>
  <si>
    <t>P-400-22200-362978</t>
  </si>
  <si>
    <t xml:space="preserve">If elected, Lodging (in Reno) and daily to
work Transportation costs will be deducted from paycheck. 
a) Assistance with shared lodging is available at $300/biweekly 
b) Transportation to and from worksite provided at a cost
of $55/biweekly
</t>
  </si>
  <si>
    <t>Noelq@shospitality.com</t>
  </si>
  <si>
    <t>PARHAM</t>
  </si>
  <si>
    <t>NORMANY</t>
  </si>
  <si>
    <t>H-400-22270-496336</t>
  </si>
  <si>
    <t>Lasting Legacy, LLC</t>
  </si>
  <si>
    <t>dba Elk Country Inn</t>
  </si>
  <si>
    <t>480 W Pearl Ave</t>
  </si>
  <si>
    <t>Mailing: P.O. Box 575, Jackson, WY 83001</t>
  </si>
  <si>
    <t>Means</t>
  </si>
  <si>
    <t xml:space="preserve">Must lift/carry 50 lbs. when necessary and frequently work on hands and knees. Work schedule is at least 5 days/week with  work days varying by week to include Saturday and Sunday.
</t>
  </si>
  <si>
    <t>P-400-22206-374570</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</si>
  <si>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Voluntary advances and/or loans made to workers, if any, may be repaid by pre-authorized payroll deductions. The employer offers optional employee retirement plans to its workers; participation in any such plan is voluntary.   </t>
  </si>
  <si>
    <t>laura@townsquareinns.com</t>
  </si>
  <si>
    <t>H-400-22279-514253</t>
  </si>
  <si>
    <t>Kees Lawn Care, LLC</t>
  </si>
  <si>
    <t>3910 Richland Circle</t>
  </si>
  <si>
    <t>Kees</t>
  </si>
  <si>
    <t>keeslawncare@gmail.com</t>
  </si>
  <si>
    <t xml:space="preserve">MUST BE ABLE TO LIFT 50 LBS, KNEEL, WALK, BEND, &amp; STOOP REPETITIVELY FOR PROLONGED PERIODS OF TIME THROUGHOUT THE ENTIRE WORKDAY. WORK IS PERFORMED IN ALL TYPES OF WEATHER. MUST BE ABLE TO WORK IN OUTDOOR TEMPS FROM BELOW 30 TO EXCESS OF 100 DEGREES. MUST BE PHYSICALLY ABLE TO PERFORM JOB. MUST BE AVAILABLE FOR THE ENTIRE SEASON, ABLE, WILLING, AND QUALIFIED TO PERFORM THE WORK. WORKER MAY BE REQUIRED TO TAKE A RANDOM DRUG TEST, POST-HIRE, AT NO COST TO WORKER. TESTING POSITIVE OR FAILURE TO COMPLY MAY RESULT IN IMMEDIATE TERMINATION OF EMPLOYMENT. 1 MONTH POSITIVE VERIFIABLE EXPERIENCE REQUIRED IN JOB OFFERED.
</t>
  </si>
  <si>
    <t>P-400-22202-367640</t>
  </si>
  <si>
    <t>If necessary, any advances of pay, loans, and/or rents (where applicable) will be deducted according to a pre-authorized agreement between employer and employee.  Local housing for rent at $60/week which includes utilities if desired. Workers will also have a $10 per week deduction for uniforms.</t>
  </si>
  <si>
    <t>H-400-22256-470222</t>
  </si>
  <si>
    <t xml:space="preserve">Newport Blacksburg RI Management LLC </t>
  </si>
  <si>
    <t>850 Prices Fork Rd</t>
  </si>
  <si>
    <t>Blacksburg</t>
  </si>
  <si>
    <t xml:space="preserve">Kenneth </t>
  </si>
  <si>
    <t>Austein</t>
  </si>
  <si>
    <t>P-400-22208-379872</t>
  </si>
  <si>
    <t xml:space="preserve">Assistance finding and securing lodging is available, if needed, at no additional charge to the worker.  
Employer will make all deductions required by law from each. 
</t>
  </si>
  <si>
    <t>kenny.rogers@marriott.com</t>
  </si>
  <si>
    <t>H-400-22259-477531</t>
  </si>
  <si>
    <t>Hunter OpCo, LLC</t>
  </si>
  <si>
    <t>Hunter Inn</t>
  </si>
  <si>
    <t>7433 Main Street</t>
  </si>
  <si>
    <t>Twachtman</t>
  </si>
  <si>
    <t>peter@larkhotels.com</t>
  </si>
  <si>
    <t xml:space="preserve">Wage: $15.34 - $16.50 per hour, paid weekly.  Overtime is available at $23.01 - $ 24.75 per hour. </t>
  </si>
  <si>
    <t>P-400-22189-339285</t>
  </si>
  <si>
    <t xml:space="preserve">Optional housing is offered on a first-come, first-serve basis for workers who are relocating to begin employment.  Cost of housing, if accepted, is $66.15 per week and includes one meal per day (breakfast).  If used, total cost of housing will be deducted from paycheck. </t>
  </si>
  <si>
    <t>H-400-22293-541869</t>
  </si>
  <si>
    <t xml:space="preserve">Greenhouse/Grounds Worker </t>
  </si>
  <si>
    <t xml:space="preserve">Titan Floral, Inc. </t>
  </si>
  <si>
    <t>McShane Florist &amp; Greenhouse</t>
  </si>
  <si>
    <t>1066 Rostraver Road</t>
  </si>
  <si>
    <t>Belle Vernon</t>
  </si>
  <si>
    <t>Fowler</t>
  </si>
  <si>
    <t>jrf1010@hotmail.com</t>
  </si>
  <si>
    <t>Dorothee</t>
  </si>
  <si>
    <t>Brigitte</t>
  </si>
  <si>
    <t>912 S Capital of Texas Hwy</t>
  </si>
  <si>
    <t>Suite 450</t>
  </si>
  <si>
    <t>dmitchell@fosterglobal.com</t>
  </si>
  <si>
    <t>Foster LLP</t>
  </si>
  <si>
    <t xml:space="preserve">Must be able to work in a standing, walking, and stopping position and lift and carry up to 50 lbs.
</t>
  </si>
  <si>
    <t>P-400-22174-307442</t>
  </si>
  <si>
    <t>Holiday Inn Club Vacations Incorporated for David Walley's Resort &amp; Tahoe Ridge Resort</t>
  </si>
  <si>
    <t>P-400-22213-387836</t>
  </si>
  <si>
    <t>H-400-22285-524758</t>
  </si>
  <si>
    <t>Lightsey Family Ranch, LLC</t>
  </si>
  <si>
    <t>545 New Boot Heel Road</t>
  </si>
  <si>
    <t>Venus</t>
  </si>
  <si>
    <t>Lightsey</t>
  </si>
  <si>
    <t>owfhunting@gmail.com</t>
  </si>
  <si>
    <t>251 N Second Street</t>
  </si>
  <si>
    <t>An employee may make above hourly wage and/or receive bonuses based on work performance and/or experience.</t>
  </si>
  <si>
    <t>P-400-22129-149952</t>
  </si>
  <si>
    <t>Employer will deduct $50.00 per week for housing if employee chooses to live in the employer provided housing.</t>
  </si>
  <si>
    <t>P-400-22213-387174</t>
  </si>
  <si>
    <t>ASCAPE LANDSCAPING &amp; CONSTRUCTION CORP</t>
  </si>
  <si>
    <t>634 ROUTE 303</t>
  </si>
  <si>
    <t>BLAUVELT</t>
  </si>
  <si>
    <t>CHAITIN</t>
  </si>
  <si>
    <t>STUART</t>
  </si>
  <si>
    <t>ADAM@ASCAPELANDSCAPE.COM</t>
  </si>
  <si>
    <t>H-400-22335-614556</t>
  </si>
  <si>
    <t>Evergreen Landscaping, Inc.</t>
  </si>
  <si>
    <t>440 Highview Drive</t>
  </si>
  <si>
    <t>brad@evergreenlandscaping-inc.com</t>
  </si>
  <si>
    <t>569 Yerkes Rd.</t>
  </si>
  <si>
    <t>Potential bonus at employer's discretion.</t>
  </si>
  <si>
    <t>P-400-22227-416072</t>
  </si>
  <si>
    <t>brooksevergreen@yahoo.com</t>
  </si>
  <si>
    <t>VP HUMAN RESOURCES</t>
  </si>
  <si>
    <t>WWW.OHIOMEANSJOBS.COM</t>
  </si>
  <si>
    <t>CHARLOTTE</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</si>
  <si>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t>
  </si>
  <si>
    <t>A AND A MACCHIA &amp; SON LANDSCAPING INC</t>
  </si>
  <si>
    <t>160 SOUTH CENTRAL AVE</t>
  </si>
  <si>
    <t>PO BOX 323 PAWLING NY 12564</t>
  </si>
  <si>
    <t>ELMSFORD</t>
  </si>
  <si>
    <t>MACCHIA</t>
  </si>
  <si>
    <t>P O BOX 323 PAWLING NY 12564</t>
  </si>
  <si>
    <t>160 SOUTH CENTRAL AVE ELMSFORD NY 10523</t>
  </si>
  <si>
    <t>PAWLING</t>
  </si>
  <si>
    <t>P-400-22206-372841</t>
  </si>
  <si>
    <t>B &amp; G POOL &amp; LANDSCAPING SERVICES INC</t>
  </si>
  <si>
    <t>33 Glade Road</t>
  </si>
  <si>
    <t>Buitrago</t>
  </si>
  <si>
    <t>P-400-22192-342579</t>
  </si>
  <si>
    <t>BANDGPOOLSERVICES@GMAIL.COM</t>
  </si>
  <si>
    <t xml:space="preserve">BIG FOOT COUNTRY CLUB </t>
  </si>
  <si>
    <t>770 SHABBONA DRIVE</t>
  </si>
  <si>
    <t>FONTANA</t>
  </si>
  <si>
    <t>Great Western Landscape, Inc.</t>
  </si>
  <si>
    <t>3706 West 500 South</t>
  </si>
  <si>
    <t>Gillen</t>
  </si>
  <si>
    <t>cody@greatwesternlandscape.com</t>
  </si>
  <si>
    <t>Raise at employer's discretion. Opportunity for higher pay based on experience.</t>
  </si>
  <si>
    <t>P-400-22210-385809</t>
  </si>
  <si>
    <t>hr@greatwesternlandscape.com</t>
  </si>
  <si>
    <t>H-400-22335-613729</t>
  </si>
  <si>
    <t>Landscape and Groundskeeping workers</t>
  </si>
  <si>
    <t>Greenkeepers, LLC</t>
  </si>
  <si>
    <t>1427 Livingston Vernon Road</t>
  </si>
  <si>
    <t>Flora</t>
  </si>
  <si>
    <t>Owner Member</t>
  </si>
  <si>
    <t>greenkeepers.ms@gmail.com</t>
  </si>
  <si>
    <t xml:space="preserve">MUST BE ABLE TO TOLERATE EXTREME TEMPERATURES, LOUD NOISES; LIFT HEAVY EQUIPMENT AND EXHIBIT STAMINA. OPERATE EQUIPMENT WHILE SOBER.MAY WORK SATURDAYS. POST-EMPLOYMENT EMPLOYER-PAID DRUG TEST MAY BE ADMINISTERED.
Work days:  M-F, might work Saturdays.Depends on weather
Hours per week: 35
Work Schedule: 7-4:00pm
All worksites are within driving distance of primary worksite location.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Optional employer housing offered at market rate. No family housing offered.
Deductions: 
Optional employer housing offered at market rate. No family housing offered.
</t>
  </si>
  <si>
    <t xml:space="preserve">1427 Livingston Bernon Road </t>
  </si>
  <si>
    <t>P-400-22258-475521</t>
  </si>
  <si>
    <t>Optional employer housing offered at market rate. No family housing offered.</t>
  </si>
  <si>
    <t>Alfonso</t>
  </si>
  <si>
    <t>Gomez</t>
  </si>
  <si>
    <t>H-400-22335-614852</t>
  </si>
  <si>
    <t>Texas Landscape Solutions, LLC</t>
  </si>
  <si>
    <t>2441 Fabens Rd</t>
  </si>
  <si>
    <t>Alford</t>
  </si>
  <si>
    <t>malford@texaslandscapesolutions.com</t>
  </si>
  <si>
    <t>P-400-22256-469051</t>
  </si>
  <si>
    <t xml:space="preserve">Greenmaster Landscape Contractors, Inc. </t>
  </si>
  <si>
    <t xml:space="preserve">6709 S. Husband St. </t>
  </si>
  <si>
    <t xml:space="preserve">Stillwater </t>
  </si>
  <si>
    <t>mail@greenmasterstillwater.com</t>
  </si>
  <si>
    <t>6709 S. Husband St (Report to Work)</t>
  </si>
  <si>
    <t>P-400-22181-327408</t>
  </si>
  <si>
    <t>Hermes Landscaping, Inc.</t>
  </si>
  <si>
    <t>13030 West 87th Street Parkway</t>
  </si>
  <si>
    <t>April</t>
  </si>
  <si>
    <t>VP Human Resources/Brand</t>
  </si>
  <si>
    <t>awilcox@hermeslandscaping.com</t>
  </si>
  <si>
    <t xml:space="preserve">Must lift/carry 50 lbs., when necessary.  Saturday and Sunday work required, when necessary.   Post-hire upon suspicion of use and post-accident drug testing required of foreign and domestic workers.  Additional post-hire background check and drug testing required of all new foreign and domestic workers if worker is driving a company vehicle (driving is not a requirement of all workers in the position).  Post-hire background checks may also  be required of foreign and domestic workers based on contract requirements. Employer may offer more than the stated work hours depending on weather, business needs, and other conditions. Extreme heat, cold, rain, or drought may affect exact working hours.
</t>
  </si>
  <si>
    <t>20000 West 47th Street</t>
  </si>
  <si>
    <t>P-400-22260-478829</t>
  </si>
  <si>
    <t>h2b@hermeslandscaping.com</t>
  </si>
  <si>
    <t>Sublette</t>
  </si>
  <si>
    <t>Trejo</t>
  </si>
  <si>
    <t>HASKELL</t>
  </si>
  <si>
    <t>Concrete workers/finishers</t>
  </si>
  <si>
    <t xml:space="preserve">Action International, Inc. </t>
  </si>
  <si>
    <t>Accounting Manager</t>
  </si>
  <si>
    <t>H-400-22335-613912</t>
  </si>
  <si>
    <t>STONE MASONS</t>
  </si>
  <si>
    <t>6 MONTHS EXPERIENCE REQUIRED. DAYS VARY MONDAY-SUNDAY.</t>
  </si>
  <si>
    <t>P-400-22259-477265</t>
  </si>
  <si>
    <t>H-400-22335-613836</t>
  </si>
  <si>
    <t>Full Care of Indianapolis, Inc.</t>
  </si>
  <si>
    <t>2553 Emerson Access</t>
  </si>
  <si>
    <t xml:space="preserve">Must be able to lift 50 lbs and work in adverse weather conditions. 
Must pass a post-employment criminal background check and post-employment, post-injury or incident drug test, paid by employer and applied equally to all workers, U.S. and foreign/H-2B. 
Applicants must complete an employment application.
</t>
  </si>
  <si>
    <t>P-400-22159-258640</t>
  </si>
  <si>
    <t xml:space="preserve">The employer will make all deductions from the worker's paycheck required by law. Employer will assist worker to find affordable housing.
The employer will provide worker at no charge all tools, supplies, and equipment required to perform job. Uniform provided at no charge to the worker.  
</t>
  </si>
  <si>
    <t>GENESEE</t>
  </si>
  <si>
    <t>ELK RIVER CLUB INC</t>
  </si>
  <si>
    <t>1000 CLUBHOUSE DRIVE</t>
  </si>
  <si>
    <t>BANNER ELK</t>
  </si>
  <si>
    <t>LITTLETON</t>
  </si>
  <si>
    <t>TONI</t>
  </si>
  <si>
    <t>REGIONAL MANAGER</t>
  </si>
  <si>
    <t>Davis Landscape LTD</t>
  </si>
  <si>
    <t>P-400-22237-438288</t>
  </si>
  <si>
    <t>2340 Paxton Church Road</t>
  </si>
  <si>
    <t>tommacdonald@davislandscapeltd.com</t>
  </si>
  <si>
    <t xml:space="preserve">Lift/carry up to 50 pounds.  Pre- Employment (new hires only), Random (post-employment), Post Accident, Upon Suspicion (Post Employment) employer paid drug testing required. New hires only - employer paid post hire criminal background check.
</t>
  </si>
  <si>
    <t>P-400-22237-438275</t>
  </si>
  <si>
    <t>H-400-22335-614210</t>
  </si>
  <si>
    <t>ABC Professional Tree Services, Inc - Corpus Christi</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</si>
  <si>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
 </t>
  </si>
  <si>
    <t>14353 Cooperative Ave,</t>
  </si>
  <si>
    <t>P-400-22289-532146</t>
  </si>
  <si>
    <t>H-400-22335-615340</t>
  </si>
  <si>
    <t>J.D. Schlegel Landscaping Co.</t>
  </si>
  <si>
    <t>10512 German Blvd.</t>
  </si>
  <si>
    <t xml:space="preserve">Ridgley </t>
  </si>
  <si>
    <t>micheller@schlegellandscaping.com</t>
  </si>
  <si>
    <t>10512 German Blvd. (Report to Work)</t>
  </si>
  <si>
    <t>P-400-22215-392474</t>
  </si>
  <si>
    <t>Optional shared housing available at up to $60.00 a week to be deducted from employee's paycheck. At Employer’s sole discretion: possible cash advances (if applicable/requested by worker, potential deduction from worker’s paycheck).</t>
  </si>
  <si>
    <t>schlegellandscaping@gmail.com</t>
  </si>
  <si>
    <t>H-400-22335-615235</t>
  </si>
  <si>
    <t xml:space="preserve">No minimum education or experience required. Must be able to work at least 5-day work schedule, including weekends and holidays. Applicants must complete an employment application. Employer will offer a minimum of 35 hours of work per week. Resort is open 7 days a week, workdays will vary Sunday through Saturday. Shifts: 10am-6:30pm, 10am-8:30pm (includes 30 minute unpaid break). Workdays and shift times may vary with events and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</si>
  <si>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P-400-22159-257254</t>
  </si>
  <si>
    <t xml:space="preserve">Employer will make all deductions from the worker's paycheck required by law.  Optional empoyee shared housing available, including utilities, at approx. $150 per week. Transportation is provided to/from worksite/housing, at no cost to employee. 
</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</si>
  <si>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t>
  </si>
  <si>
    <t>Teton Village</t>
  </si>
  <si>
    <t>Statesville</t>
  </si>
  <si>
    <t>Ste. 201</t>
  </si>
  <si>
    <t>H-400-22335-613677</t>
  </si>
  <si>
    <t>H-400-22335-613907</t>
  </si>
  <si>
    <t>Ring</t>
  </si>
  <si>
    <t>ST MARY</t>
  </si>
  <si>
    <t>Blue Skies Landscape LLC</t>
  </si>
  <si>
    <t>10038 South Choctaw</t>
  </si>
  <si>
    <t>Mailing: PO Box 40848, Baton Rouge, LA 70835</t>
  </si>
  <si>
    <t>Kip</t>
  </si>
  <si>
    <t>kipjones@cox.net</t>
  </si>
  <si>
    <t>10154 South Choctaw</t>
  </si>
  <si>
    <t>P-400-22207-377366</t>
  </si>
  <si>
    <t>H-400-22335-613783</t>
  </si>
  <si>
    <t xml:space="preserve">Post-employment background check; post injury or incident and reasonable suspicion drug test required cost paid by employer and applied equally to all workers, US and foreign/H2B. All employees will be required to follow the companys current policy regarding masks, vaccines and testing that is in place at their time of hire. Must be able to work a five-day schedule including weekends and holidays as required. Applicant must complete an employment application. </t>
  </si>
  <si>
    <t>P-400-22216-395465</t>
  </si>
  <si>
    <t>H-400-22335-613713</t>
  </si>
  <si>
    <t xml:space="preserve">No minimum education or experience required. Must be able to obtain ServSafe Food Handlers Certification. Must be able to lift, push, and pull 50 lbs. Must be able to work weekends and holidays. Applicants must complete an employment application. Employer will offer 40 hours of work per week. Resort is open 7 days a week, workdays vary Sunday-Saturday. Rotating schedule, shift times 6am-3pm, 8am-5pm, 11am-8pm, and 3pm-12am (includes 1-hour unpaid break).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</si>
  <si>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P-400-22152-230522</t>
  </si>
  <si>
    <t xml:space="preserve">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t>
  </si>
  <si>
    <t>H-400-22313-578850</t>
  </si>
  <si>
    <t>All Star Services of Alabama LLC</t>
  </si>
  <si>
    <t xml:space="preserve">Must be able to lift 30 lbs. Days off rotate and shifts vary.
</t>
  </si>
  <si>
    <t>7010 Cabela Dr.</t>
  </si>
  <si>
    <t>P-400-22264-486724</t>
  </si>
  <si>
    <t>State and Federal Taxes, Workers will be paid bi-weekly; the employer will use a single workweek as its standard for computing wages due. Employer will deduct the cost of optional housing charged by the 3rd party for workers. The cost of optional hosing will be $500.00/month. Employer will deduct the cost of optional housing charged by the 3rd party for workers. The employer will make all deduction from the worker's paycheck required by law but will make no other deductions.</t>
  </si>
  <si>
    <t>H-400-22326-601089</t>
  </si>
  <si>
    <t>Croxton Croxton Croxton, LLC</t>
  </si>
  <si>
    <t xml:space="preserve"> dba Merroir dba Locklies Marina</t>
  </si>
  <si>
    <t>784 Locklies Creek Road</t>
  </si>
  <si>
    <t>P.O. Box 88</t>
  </si>
  <si>
    <t>Topping</t>
  </si>
  <si>
    <t>Croxton</t>
  </si>
  <si>
    <t>784 Locklies Creek Rd.</t>
  </si>
  <si>
    <t>travis@rroysters.com</t>
  </si>
  <si>
    <t xml:space="preserve">Lift/ carry up to 50 pounds.   Random (post-employment) employer paid drug testing required.       
</t>
  </si>
  <si>
    <t>P-400-22230-424956</t>
  </si>
  <si>
    <t>CHARACTER LIMIT: Shared housing available to only seasonal full-time employees, not offered to non-employees. Employees may make their own arrangements at their own expense. If they opt to live in employer provided housing rent (utilities not included) charged at $ 50.00/week.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t>
  </si>
  <si>
    <t>merroir@rroysters.com</t>
  </si>
  <si>
    <t>H-400-22335-613712</t>
  </si>
  <si>
    <t>Heritage Lawn &amp; Landscape, LLC</t>
  </si>
  <si>
    <t>10901 Ne 23rd street</t>
  </si>
  <si>
    <t>Mailing Address: P.O. Box 238 Arcadia, OK 73007</t>
  </si>
  <si>
    <t>sean@heritageok.com</t>
  </si>
  <si>
    <t xml:space="preserve">Must be able to lift 50 lbs and work in adverse weather conditions.
Post-employment criminal background check and Post-employment, post-injury or incident drug testing required, cost paid by employer and applied equally to all workers, US and foreign/H2B.
Applicants must complete an employment application.
</t>
  </si>
  <si>
    <t>Mailing Address: P.O. Box 238, Arcadia OK 73007</t>
  </si>
  <si>
    <t>Oklahoma city</t>
  </si>
  <si>
    <t>P-400-22245-453335</t>
  </si>
  <si>
    <t>The employer will make all deductions from the worker's paycheck required by law. Optional employee only shared housing, approximate $175-$200 per week plus approximate $200 refundable deposit.</t>
  </si>
  <si>
    <t>Fort Smith</t>
  </si>
  <si>
    <t>SEBASTIAN</t>
  </si>
  <si>
    <t>Fort Smith, AR-OK</t>
  </si>
  <si>
    <t>H-400-22335-614385</t>
  </si>
  <si>
    <t>Greenview Lawns, Inc.</t>
  </si>
  <si>
    <t>8200 Chad Colley Blvd</t>
  </si>
  <si>
    <t>Mailing: PO Box 10660, Fort Smith, AR 72917</t>
  </si>
  <si>
    <t>melissa@greenviewlawnsinc.com</t>
  </si>
  <si>
    <t xml:space="preserve">Random drug testing during employment; Drug testing during employment for cause, Able to lift 50lbs, Monday-Friday, Some Saturdays may be required, schedule varies, end time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</si>
  <si>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8205 Veterans Ave</t>
  </si>
  <si>
    <t>Potential raises at employer's discretion.</t>
  </si>
  <si>
    <t>P-400-22244-450992</t>
  </si>
  <si>
    <t>info@greenviewlawnsinc.com</t>
  </si>
  <si>
    <t>H-400-22335-614628</t>
  </si>
  <si>
    <t>6456 S Quebec Street, Suite 750</t>
  </si>
  <si>
    <t>P-400-22234-429697</t>
  </si>
  <si>
    <t>Dublin</t>
  </si>
  <si>
    <t>Derstine Landscaping LLC</t>
  </si>
  <si>
    <t>511 Cherry Rd.</t>
  </si>
  <si>
    <t>Mailing: PO Box 64076, Souderton, PA 18964</t>
  </si>
  <si>
    <t>Souderton</t>
  </si>
  <si>
    <t>Pringle</t>
  </si>
  <si>
    <t>tina@derstinelandscaping.com</t>
  </si>
  <si>
    <t xml:space="preserve">Able to lift 50lbs. Monday-Friday, Optional Saturdays &amp; Sundays, schedule varies, overtime varies. Pre-hire background check required; Random drug testing during employment.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</si>
  <si>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511 Cherry Road</t>
  </si>
  <si>
    <t>P-400-22277-509013</t>
  </si>
  <si>
    <t>Employer may make payroll deductions at employee's request. Employer facilitates voluntary housing arrangements upon worker request along with corresponding payroll deductions, $65.00/week</t>
  </si>
  <si>
    <t>CABELL</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</si>
  <si>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Outdoors, exposed to weather; must be capable of doing physically strenuous labor for long hours, occasionally in extreme heat or cold. Variable weather conditions apply; hours may fluctuate (+/-), possible downtime and/or OT.
</t>
  </si>
  <si>
    <t xml:space="preserve">Post-employment random drug testing and background checks may be required, at no cost to the worker. The job requires the applicant to be qualified, ready, willing, able, and available to perform during the entire employment at all the designated worksites; and to follow workplace rules.
</t>
  </si>
  <si>
    <t>Roland</t>
  </si>
  <si>
    <t>HR/Payroll Manager</t>
  </si>
  <si>
    <t>Hebert</t>
  </si>
  <si>
    <t>MA Supreme Judicial Court</t>
  </si>
  <si>
    <t>H-400-22335-615216</t>
  </si>
  <si>
    <t>Custodian/Hot Tub Tech</t>
  </si>
  <si>
    <t xml:space="preserve">Spectrum Resorts, LLC </t>
  </si>
  <si>
    <t xml:space="preserve">No minimum education or experience required. Must be able to work at least 5-day work schedule, including weekends and holidays. Applicants must complete an employment application. Employer will offer a minimum of 35 hours of work per week. Resort is open 7 days a week, workdays will vary Sunday through Saturday. Shifts: 10am-6:30pm, 10am-8:30pm (includes 30 minute unpaid break). Workdays and shift times may vary with events and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</si>
  <si>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P-400-22280-517214</t>
  </si>
  <si>
    <t>Tree Planter</t>
  </si>
  <si>
    <t>RAMIREZ</t>
  </si>
  <si>
    <t>Lawrenceville</t>
  </si>
  <si>
    <t>PEORIA</t>
  </si>
  <si>
    <t>Peoria, IL</t>
  </si>
  <si>
    <t>Aloha Pools of Jackson LLC</t>
  </si>
  <si>
    <t>614 Carriage House Dr.</t>
  </si>
  <si>
    <t>614 Carriage House Dr. STE A</t>
  </si>
  <si>
    <t>Darlamichelle2@hotmail.com</t>
  </si>
  <si>
    <t>P-400-22200-361560</t>
  </si>
  <si>
    <t>Optional housing and shared transportation if available, rent for housing at $60.00 per week (subject to change based on local market/inflation).  Optional deduction from pay for rent, Deductions will not drop the overall wage below the UDSOL minimum, if the deductions are too great they will not be made.</t>
  </si>
  <si>
    <t>MCLENNAN</t>
  </si>
  <si>
    <t>Waco, TX</t>
  </si>
  <si>
    <t>OCEAN BLUE STAFFING INTERNATIONAL</t>
  </si>
  <si>
    <t>866 MASON AVENUE</t>
  </si>
  <si>
    <t>SUITE 3A</t>
  </si>
  <si>
    <t>DAYTONA BEACH</t>
  </si>
  <si>
    <t>NTANKEH</t>
  </si>
  <si>
    <t>CHIEF EXECUTIVE OFFICER</t>
  </si>
  <si>
    <t>HR@OCEANBLUESTAFFINGINTERNATIONAL.COM</t>
  </si>
  <si>
    <t>ERIN</t>
  </si>
  <si>
    <t>PATRICE</t>
  </si>
  <si>
    <t>11 N SUMMERLIN AVE</t>
  </si>
  <si>
    <t>SUITE 225B</t>
  </si>
  <si>
    <t>ebrown@rbrownllc.com</t>
  </si>
  <si>
    <t>Robert Brown LLC</t>
  </si>
  <si>
    <t>FLORIDA SUPREME COURT</t>
  </si>
  <si>
    <t xml:space="preserve">Must be able to lift at least 25 lbs.
</t>
  </si>
  <si>
    <t>711 S ATLANTIC AVENUE</t>
  </si>
  <si>
    <t>ORMOND BEACH</t>
  </si>
  <si>
    <t>VOLUSIA</t>
  </si>
  <si>
    <t>Deltona-Daytona Beach-Ormond Beach, FL</t>
  </si>
  <si>
    <t>P-400-22186-332623</t>
  </si>
  <si>
    <t>South Central Kentucky nonmetropolitan area</t>
  </si>
  <si>
    <t>Grandy</t>
  </si>
  <si>
    <t>CURRITUCK</t>
  </si>
  <si>
    <t>Supreme Court Of Texas</t>
  </si>
  <si>
    <t>JAMES H LYNCH IRRIGATION SERVICES INC</t>
  </si>
  <si>
    <t>P-400-22195-352465</t>
  </si>
  <si>
    <t>H-400-22335-614606</t>
  </si>
  <si>
    <t>Unique Environmental Concepts</t>
  </si>
  <si>
    <t>Unique Environmental Landscapes</t>
  </si>
  <si>
    <t>7021 Mableton Parkway SE</t>
  </si>
  <si>
    <t>Mableton</t>
  </si>
  <si>
    <t>Guilmette</t>
  </si>
  <si>
    <t>laura@unique-environmental.com</t>
  </si>
  <si>
    <t xml:space="preserve">Random drug testing during employment; Pre-employment drug testing required; Post-Accident Drug Testing. Able to lift 40lbs. Must be prepared to work in varied temperatures. Monday-Thursday, some Fridays and Saturdays as needed, schedule varies, 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</si>
  <si>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P-400-22220-401874</t>
  </si>
  <si>
    <t>H-400-22337-619381</t>
  </si>
  <si>
    <t>Ste 1</t>
  </si>
  <si>
    <t>MONTROSE</t>
  </si>
  <si>
    <t>H-400-22335-614475</t>
  </si>
  <si>
    <t>H-400-22335-614524</t>
  </si>
  <si>
    <t>Gonzalez Landscaping, Inc.</t>
  </si>
  <si>
    <t>4984 Burnt Chimney Rd</t>
  </si>
  <si>
    <t>Wirtz</t>
  </si>
  <si>
    <t>sales@gonzalezlandscapinginc.com</t>
  </si>
  <si>
    <t xml:space="preserve">Post-Accident Drug Testing, Able to lift 80lbs, Monday-Friday, Schedule varies, end time varies, overtime potential. All drug testing is performed without regard to an employees citizenship or immigration status, and all testing is paid for by the company. See the additional document attached for further details about the administration of our drug testing policy.
</t>
  </si>
  <si>
    <t>5311 Brooks Mill Rd</t>
  </si>
  <si>
    <t>P-400-22255-467371</t>
  </si>
  <si>
    <t>H-400-22322-596587</t>
  </si>
  <si>
    <t>7301 High Avenue</t>
  </si>
  <si>
    <t>La Jolla</t>
  </si>
  <si>
    <t>P-400-22258-476170</t>
  </si>
  <si>
    <t>H-400-22321-592614</t>
  </si>
  <si>
    <t>Greenview Landscaping, LLC</t>
  </si>
  <si>
    <t>Nature's Re-Creations</t>
  </si>
  <si>
    <t>1917 Meyer Drury Dr.</t>
  </si>
  <si>
    <t>Siewing</t>
  </si>
  <si>
    <t>48+ hrs, 7a-3:30p, M-Sat, 30 min lunch break, hours and workdays may vary depending on weather.</t>
  </si>
  <si>
    <t>1917 Meyer Drury Dr</t>
  </si>
  <si>
    <t>P-400-22271-499616</t>
  </si>
  <si>
    <t>Optional housing provided for $50/week deduction.
Employer will make all deductions required by law.  Other deductions may be taken at employee's written request, i.e. internet, cable, cash advances, medical expenses, etc. See addendum.</t>
  </si>
  <si>
    <t>Accounting</t>
  </si>
  <si>
    <t>H-400-22335-613874</t>
  </si>
  <si>
    <t>3 MONTHS EXPERIENCE NEEDED. DAYS VARY MONDAY-SUNDAY.  ROTATING SHIFTS.</t>
  </si>
  <si>
    <t>P-400-22201-363810</t>
  </si>
  <si>
    <t>H-400-22312-575302</t>
  </si>
  <si>
    <t xml:space="preserve">Golden West Concessions, Inc. </t>
  </si>
  <si>
    <t>4957 COCONINO WAY</t>
  </si>
  <si>
    <t>Kasinak</t>
  </si>
  <si>
    <t>4957 Coconino Way</t>
  </si>
  <si>
    <t>kc_kasinak@yahoo.com</t>
  </si>
  <si>
    <t>200 East 2nd St</t>
  </si>
  <si>
    <t>IMPERIAL</t>
  </si>
  <si>
    <t>El Centro, CA</t>
  </si>
  <si>
    <t>P-400-22243-449131</t>
  </si>
  <si>
    <t xml:space="preserve">Employer will make all deductions from the worker’s paycheck required by law. Optional housing (valued at $175.00 per week) and local convenience travel (valued at $25.00 per week) are available at no cost to the worker. </t>
  </si>
  <si>
    <t>H-400-22321-592656</t>
  </si>
  <si>
    <t xml:space="preserve">Lift/carry up to 100 pounds.  Post Accident employer paid drug testing required.
</t>
  </si>
  <si>
    <t>CHARACTER LIMIT: Shared housing available to only seasonal full-time employees, not offered to non-employees. Employees may make their own arrangements at their own expense. If they opt to live in employer provided housing rent (utilities included) charged at $55.00/week.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t>
  </si>
  <si>
    <t>H-400-22335-613679</t>
  </si>
  <si>
    <t>ROTATING HOURS AND DAYS MONDAY-SUNDAY 6am-11pm.</t>
  </si>
  <si>
    <t>REGULAR PAY $11.00 P/HR PLUS TIPS BUT NO LESS THAN $18.51. OPTIONAL HOUSING AVAILABLE $125.00-$150.00 P/WK</t>
  </si>
  <si>
    <t>HOUSING IS OPTIONAL AND AVAILABLE FOR 125.00-150.00/WEEK PAID BY EMPLOYEE DIRECTLY TO EMPLOYER IF ACCEPTED. A 200.00 REFUNDABLE SECURITY DEPOSIT IS MADE AT TIME OF HIRING. TWO WORK LOCATIONS, 290 OLD MONTAUK HIGHWAY AND 32 STAR ISLAND ROAD MONTAUK NY 11954</t>
  </si>
  <si>
    <t>H-400-22335-613759</t>
  </si>
  <si>
    <t>J &amp; P POOL SERVICE</t>
  </si>
  <si>
    <t xml:space="preserve">54 S Erie Avenue </t>
  </si>
  <si>
    <t xml:space="preserve">Pannasch </t>
  </si>
  <si>
    <t>54 S Erie Ave</t>
  </si>
  <si>
    <t>54.S ERIE AVE</t>
  </si>
  <si>
    <t>P-400-22195-352228</t>
  </si>
  <si>
    <t>JPPOOLSMKT@GMAIL.COM</t>
  </si>
  <si>
    <t>H-400-22335-613787</t>
  </si>
  <si>
    <t>LAKESIDE LAWN &amp; LANDSCAPING</t>
  </si>
  <si>
    <t>1050 WATERVIEW DRIVE</t>
  </si>
  <si>
    <t>SOUTHOLD</t>
  </si>
  <si>
    <t>SCHILL</t>
  </si>
  <si>
    <t>P-400-22199-357658</t>
  </si>
  <si>
    <t>LAKESIDE25@AOL.COM</t>
  </si>
  <si>
    <t>H-400-22335-613685</t>
  </si>
  <si>
    <t>TWO WORK LOCATIONS, 290 OLD MONTAUK HIGHWAY AND 32 STAR ISLAND ROAD MONTAUK NY 11954
6 MONTHS EXPERIENCE AS BELL HOP</t>
  </si>
  <si>
    <t>H-400-22335-614546</t>
  </si>
  <si>
    <t>H-400-22321-592708</t>
  </si>
  <si>
    <t>Pleasant Landscapes, INC. (FEB)</t>
  </si>
  <si>
    <t>N/A______</t>
  </si>
  <si>
    <t>Lift/carry up to 50 pounds Post Accident employer paid drug testing required</t>
  </si>
  <si>
    <t>CHARACTER LIMIT: Shared housing available to only seasonal full-time employees, not offered to non-employees. Employees may make their own arrangements at their own expense. If they opt to live in employer provided housing rent (utilities included) charged at $90.00/week.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t>
  </si>
  <si>
    <t>H-400-22292-538789</t>
  </si>
  <si>
    <t>Landscape &amp; Groundskeeper Worker</t>
  </si>
  <si>
    <t>Impact Irrigation Solutions</t>
  </si>
  <si>
    <t>18 D Smithbridge Rd.</t>
  </si>
  <si>
    <t>Chester Heights</t>
  </si>
  <si>
    <t>Zepka</t>
  </si>
  <si>
    <t>charlie@impacth2o.com</t>
  </si>
  <si>
    <t>18 D Smithbridge Road (Report to Work)</t>
  </si>
  <si>
    <t>P-400-22250-460248</t>
  </si>
  <si>
    <t>impactir@gmail.com</t>
  </si>
  <si>
    <t>H-400-22308-570871</t>
  </si>
  <si>
    <t>GI Hospitality</t>
  </si>
  <si>
    <t>Fairfield Inn</t>
  </si>
  <si>
    <t>805 Allen Drive</t>
  </si>
  <si>
    <t>Younes-Holz</t>
  </si>
  <si>
    <t>Mailing: 104 3rd Avenue Kearney, NE 68845</t>
  </si>
  <si>
    <t xml:space="preserve">ability to lift 20lbs
40 hrs/wk, work 5 days/wk, 9am-5pm, M-Sun, workdays/hours may vary depending on hotel capacity.
</t>
  </si>
  <si>
    <t>P-400-22217-400583</t>
  </si>
  <si>
    <t xml:space="preserve">Employer will provide optional housing to workers and deduct $175/paycheck for rent. 
Employer may offer lunch to employee when working.
Employer may charge the worker for reasonable costs related to the worker's refusal or negligent failure to return any property furnished by the employer or due to such worker's willful damage or destruction of such property. Deductions may be taken per employee's request.
</t>
  </si>
  <si>
    <t>H-400-22307-565991</t>
  </si>
  <si>
    <t>Recreation program instructor, soccer</t>
  </si>
  <si>
    <t>MAESTRO SOCCER LLC</t>
  </si>
  <si>
    <t>812 CENTRAL AVENUE, SUITE 4</t>
  </si>
  <si>
    <t>WESTFIELD</t>
  </si>
  <si>
    <t>FRASER</t>
  </si>
  <si>
    <t>812 CENTRAL AVENUE</t>
  </si>
  <si>
    <t>jim@maestrosoccer.com</t>
  </si>
  <si>
    <t>SKLAR</t>
  </si>
  <si>
    <t>108 BAKER STREET</t>
  </si>
  <si>
    <t>Maplewood</t>
  </si>
  <si>
    <t>sklar@stevensklar.com</t>
  </si>
  <si>
    <t>Pusin &amp; Sklar, LLC</t>
  </si>
  <si>
    <t>10 Mountain Road</t>
  </si>
  <si>
    <t>Mountain Park</t>
  </si>
  <si>
    <t>Basking Ridge</t>
  </si>
  <si>
    <t>P-400-22157-248998</t>
  </si>
  <si>
    <t>If employee so chooses, employer provides car use at a charge to the employee, to be deducted from the employee's paycheck, at the rate of $250/biweekly, which covers car use and auto insurance but not gas costs.</t>
  </si>
  <si>
    <t>H-400-22307-566868</t>
  </si>
  <si>
    <t xml:space="preserve">HCD Austin Corporation </t>
  </si>
  <si>
    <t>Omni Austin Downtown Hotel</t>
  </si>
  <si>
    <t>700 San Jacinto Blvd</t>
  </si>
  <si>
    <t>Marks</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</si>
  <si>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t>
  </si>
  <si>
    <t>P-400-22153-236640</t>
  </si>
  <si>
    <t xml:space="preserve">A single workweek will be used in computing wages due. Workers will be paid bi-weekly. Employer will make all deductions from the worker's paycheck required by law. Employer will assist worker in locating housing. Public transportation available near worksite. Optional one meal available per shift at approx. $1 per meal, payroll deducted if worker elects.
</t>
  </si>
  <si>
    <t>H-400-22307-567328</t>
  </si>
  <si>
    <t>Shenandoah Landscape Services, Inc.</t>
  </si>
  <si>
    <t>7848 Bethlehem Road, Suite 100</t>
  </si>
  <si>
    <t xml:space="preserve">Gordon    </t>
  </si>
  <si>
    <t>bblosser@shendlandscape.com</t>
  </si>
  <si>
    <t>251 Westview School Road (Report to Work)</t>
  </si>
  <si>
    <t>Mount Sidney</t>
  </si>
  <si>
    <t>AUGUSTA</t>
  </si>
  <si>
    <t>P-400-22256-468131</t>
  </si>
  <si>
    <t>Optional shared housing available at up to $85.00 a week to be deducted from employee's paycheck.
At Employer’s sole discretion: possible cash advances (if applicable/requested by worker, potential deduction from worker’s paycheck).</t>
  </si>
  <si>
    <t>bblosser@shenlandscape.com</t>
  </si>
  <si>
    <t>H-400-22307-566040</t>
  </si>
  <si>
    <t>Richmond &amp; Associates Landscaping, Ltd.</t>
  </si>
  <si>
    <t>1410 Westway Circle</t>
  </si>
  <si>
    <t>President to the General Partner</t>
  </si>
  <si>
    <t>chaun@richmondlandscape.com</t>
  </si>
  <si>
    <t xml:space="preserve">MUST BE ABLE TO LIFT 50 LBS. APPLICANTS MUST COMPLETE AN EMPLOYMENT APPLICATION. MUST BE ABLE TO WORK WEEKENDS AND HOLIDAYS AS REQUIRED.
</t>
  </si>
  <si>
    <t>1213 Conrad Sauer Drive</t>
  </si>
  <si>
    <t>P-400-22151-228365</t>
  </si>
  <si>
    <t xml:space="preserve">The employer will make all deductions from the worker's paycheck required by law. Employer will assist worker to find affordable housing. Optional medical insurance available, approximately $7.96-$378.29 per week depending on coverage. Optional dental, vision and accidental insurance available, approximately $1.58-$28.20 per week depending on coverage. Cost of insurance payroll deducted if worker chooses to enroll.
The employer will provide worker at no charge all tools, supplies, and equipment required to perform job. Uniform provided at no charge to the worker.  </t>
  </si>
  <si>
    <t>H-400-22336-619300</t>
  </si>
  <si>
    <t>St. Daniel Phillip III, Inc.</t>
  </si>
  <si>
    <t>101 South 12th Street</t>
  </si>
  <si>
    <t>Raniro</t>
  </si>
  <si>
    <t>111 Fiery Road (Report to Work)</t>
  </si>
  <si>
    <t>P-400-22224-414378</t>
  </si>
  <si>
    <t>H-400-22336-619303</t>
  </si>
  <si>
    <t>Lady Toni, Inc.</t>
  </si>
  <si>
    <t>203 E University</t>
  </si>
  <si>
    <t>P-400-22224-414089</t>
  </si>
  <si>
    <t>RBM SERVICES INC</t>
  </si>
  <si>
    <t>1515 RIVERSIDE AVENUE</t>
  </si>
  <si>
    <t>PROVO</t>
  </si>
  <si>
    <t>P-400-22266-490533</t>
  </si>
  <si>
    <t>H-400-22290-532586</t>
  </si>
  <si>
    <t>Brown's Amusements, Inc.</t>
  </si>
  <si>
    <t>11428 E. Appleby Road</t>
  </si>
  <si>
    <t>{Mail: 550 W. Baseline Road Suite 102-353 Mesa, AZ 85210}</t>
  </si>
  <si>
    <t>Danny</t>
  </si>
  <si>
    <t>eventsarizona@aol.com</t>
  </si>
  <si>
    <t xml:space="preserve">Chandler </t>
  </si>
  <si>
    <t>P-400-22189-339924</t>
  </si>
  <si>
    <t>H-400-22279-514467</t>
  </si>
  <si>
    <t>GE Forestry, Inc.</t>
  </si>
  <si>
    <t>1180 Bens Lane</t>
  </si>
  <si>
    <t>Esteban</t>
  </si>
  <si>
    <t>geforest@msn.com</t>
  </si>
  <si>
    <t xml:space="preserve">Must be 18 due to travel. Must show proof of legal authorization to work in the United States. Drug/alcohol/tobacco free work zone. Must walk substantially (up to 15 miles/day), also stoop, bend while carrying a pack (up to 40lbs)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</si>
  <si>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1180 Bens Lane (Report to Work)</t>
  </si>
  <si>
    <t>P-400-22186-331371</t>
  </si>
  <si>
    <t>H-400-22206-375013</t>
  </si>
  <si>
    <t>Rafael V. Almeida</t>
  </si>
  <si>
    <t>1978 Ensenada Street</t>
  </si>
  <si>
    <t>Lemon Grove</t>
  </si>
  <si>
    <t>Almeida Gonzalez</t>
  </si>
  <si>
    <t>Vladimir</t>
  </si>
  <si>
    <t>ralmeida24@yahoo.es</t>
  </si>
  <si>
    <t>434 West Ascension Way</t>
  </si>
  <si>
    <t>Suite 525</t>
  </si>
  <si>
    <t>thamys@wilneroreilly.com</t>
  </si>
  <si>
    <t>Wilner &amp; O'Reilly, APLC</t>
  </si>
  <si>
    <t xml:space="preserve">Must speak Spanish.
</t>
  </si>
  <si>
    <t>P-400-22158-252392</t>
  </si>
  <si>
    <t>The following deductions as required by law will be deducted from the temporary employee’s Salary. Federal income tax; state income tax; social security; medicate; and court-ordered garnishments (if applicable). Amounts will be determined upon receipt of the new-hire’s W-4: Employee’s Withholding Certificate</t>
  </si>
  <si>
    <t>almeida24@yahoo.es</t>
  </si>
  <si>
    <t>Gaertner</t>
  </si>
  <si>
    <t>Thamys</t>
  </si>
  <si>
    <t>H-400-22321-592497</t>
  </si>
  <si>
    <t xml:space="preserve">Lift/carry up to 50 pounds. Post Accident, Random (post-employment), Upon Suspicion (Post Employment) employer paid drug testing required.
</t>
  </si>
  <si>
    <t>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</si>
  <si>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dangelo@ohiovalleygroup.com</t>
  </si>
  <si>
    <t>https://www.ohiovalleygroup.com</t>
  </si>
  <si>
    <t>H-400-22277-508958</t>
  </si>
  <si>
    <t>SUPREME COURT OF PENNSYLVANIA</t>
  </si>
  <si>
    <t>P-400-22230-423063</t>
  </si>
  <si>
    <t>H-400-22295-545777</t>
  </si>
  <si>
    <t>Roger Westmoreland Concessions, Inc.</t>
  </si>
  <si>
    <t>1914 East First Street</t>
  </si>
  <si>
    <t>(Mail: PO Box 1090, Hughes Springs TX 75656)</t>
  </si>
  <si>
    <t>Westmoreland</t>
  </si>
  <si>
    <t>rwfoodco@aol.com</t>
  </si>
  <si>
    <t xml:space="preserve">1914 East First Street </t>
  </si>
  <si>
    <t>P-400-22194-349388</t>
  </si>
  <si>
    <t>H-400-22265-487294</t>
  </si>
  <si>
    <t>Job requires 1 month related Housekeeping experience in 4/5 Diamond establishment; Background checks conducted.  Shifts vary: 6am-2pm, 7am-3pm, 2pm-10pm, 3pm-11pm. Work week: 35 hours (5 rotating days including weekends and holidays).</t>
  </si>
  <si>
    <t xml:space="preserve">Pay rate: $15.00/hour. Overtime available on as needed basis at $22.50/hour. </t>
  </si>
  <si>
    <t>P-400-22195-353820</t>
  </si>
  <si>
    <t xml:space="preserve">All deductions from worker's paycheck required by law will be made.
</t>
  </si>
  <si>
    <t>H-400-22265-487307</t>
  </si>
  <si>
    <t>Job requires 1 month related Cook experience in 4/5 Diamond establishment; Background checks conducted. Shifts vary: 6am-2pm, 7am-3pm, 2pm-10pm, 3pm-11pm. Work week: 35 hours (5 rotating days including weekends and holidays).</t>
  </si>
  <si>
    <t xml:space="preserve">Pay rate: $17.00/hour. Overtime available on as needed basis at $25.50/hour. </t>
  </si>
  <si>
    <t>P-400-22195-353804</t>
  </si>
  <si>
    <t>H-400-22298-548569</t>
  </si>
  <si>
    <t>The Alotian Club, LLC</t>
  </si>
  <si>
    <t>101 Alotian Drive</t>
  </si>
  <si>
    <t>Staggers</t>
  </si>
  <si>
    <t>Monica</t>
  </si>
  <si>
    <t>monica.staggers@alotian.com</t>
  </si>
  <si>
    <t xml:space="preserve">Pre-hire background check required; Pre-employment drug testing required; Post-Accident Drug Testing. Able to lift 50lbs. Monday-Friday, some weekends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</si>
  <si>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P-400-22209-382453</t>
  </si>
  <si>
    <t>Employer may make payroll deductions at employee's request. Employer facilitates corresponding deductions for available health benefits. Employer may offer, on a voluntary basis, one meal per day at no cost to the employee, at employer's discretion.</t>
  </si>
  <si>
    <t>H-400-22307-565953</t>
  </si>
  <si>
    <t>7013 Mableton Parkway (Report to Work)</t>
  </si>
  <si>
    <t>P-400-22256-470115</t>
  </si>
  <si>
    <t>Optional shared, furnished housing available to the worker (including utilities); if housing is agreed upon by the worker, $103.07 to be deducted from worker's weekly paycheck. 
At Employer’s sole discretion: possible cash advances (if applicable/requested by worker, potential deduction from worker’s paycheck).</t>
  </si>
  <si>
    <t>psantamaria@ruppertcompanies.com</t>
  </si>
  <si>
    <t>H-400-22307-566331</t>
  </si>
  <si>
    <t>BCA Landscape Management, Inc.</t>
  </si>
  <si>
    <t>DBA U.S. Lawns</t>
  </si>
  <si>
    <t>104 Seth Thomas Lane</t>
  </si>
  <si>
    <t>Mailing: 117 Harbour Drive , Hubert, NC 28539</t>
  </si>
  <si>
    <t>Swansboro</t>
  </si>
  <si>
    <t>Atwell</t>
  </si>
  <si>
    <t>william@uslawnsnc.com</t>
  </si>
  <si>
    <t xml:space="preserve">Must lift/carry 50 lbs., when necessary.  Standard workweek is 4 days per week, Monday - Thursday. Friday and Saturday work required, when necessary. Post-hire post-accident drug testing required of foreign and domestic workers. Requires three months of previous landscape experience. Employer may offer more than the stated work hours depending on weather, business needs, and other conditions. Extreme heat, cold, rain, or drought may affect exact working hours.
</t>
  </si>
  <si>
    <t>104 Seth Thomas Ln,</t>
  </si>
  <si>
    <t>P-400-22238-439768</t>
  </si>
  <si>
    <t>H-400-22307-565982</t>
  </si>
  <si>
    <t>Grizzly Bear Lawn Care</t>
  </si>
  <si>
    <t>1836 Old US Hwy 40</t>
  </si>
  <si>
    <t>Henage</t>
  </si>
  <si>
    <t xml:space="preserve">Scott </t>
  </si>
  <si>
    <t xml:space="preserve">Casey </t>
  </si>
  <si>
    <t>officemgr@grizzlybearlawncare.com</t>
  </si>
  <si>
    <t>1836 Old US Hwy 40 (Report to Work)</t>
  </si>
  <si>
    <t>P-400-22212-386724</t>
  </si>
  <si>
    <t>Optional shared housing available at up to $90.00 bi-weekly to be deducted from employees paycheck.  
 At Employer’s sole discretion: possible cash advances (if applicable/requested by worker, potential deduction from worker’s paycheck).</t>
  </si>
  <si>
    <t>H-400-22311-573833</t>
  </si>
  <si>
    <t xml:space="preserve">Must be 18 due to hazardous materials.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120lbs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</si>
  <si>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702 SW 35th St (Report to Work)</t>
  </si>
  <si>
    <t>Cape Coral</t>
  </si>
  <si>
    <t>P-400-22311-572504</t>
  </si>
  <si>
    <t>H-400-22263-481412</t>
  </si>
  <si>
    <t xml:space="preserve">legal assistant </t>
  </si>
  <si>
    <t>Paralegals and Legal Assistants</t>
  </si>
  <si>
    <t xml:space="preserve">Quiroz Law Firm, APC </t>
  </si>
  <si>
    <t xml:space="preserve">333 S. Grand Ave </t>
  </si>
  <si>
    <t>Suite 3310</t>
  </si>
  <si>
    <t>los angeles</t>
  </si>
  <si>
    <t>Quiroz</t>
  </si>
  <si>
    <t xml:space="preserve">Omer </t>
  </si>
  <si>
    <t xml:space="preserve">Martin </t>
  </si>
  <si>
    <t xml:space="preserve">Principal Attorney </t>
  </si>
  <si>
    <t>martin@quirozlawfirm.com</t>
  </si>
  <si>
    <t xml:space="preserve">LOS ANGELES </t>
  </si>
  <si>
    <t>Qurioz Law Firm, APC</t>
  </si>
  <si>
    <t xml:space="preserve">Supreme Court of California </t>
  </si>
  <si>
    <t xml:space="preserve">SPANISH FLUENCY. WRITTEN AND SPOKEN
Colombian attorney license 
Experience in business and migration matters
</t>
  </si>
  <si>
    <t>333 S. Grand Ave</t>
  </si>
  <si>
    <t>P-400-22187-335847</t>
  </si>
  <si>
    <t>info@quirozlawfirm.com</t>
  </si>
  <si>
    <t>www.quirozlawfirm.com</t>
  </si>
  <si>
    <t>Omer</t>
  </si>
  <si>
    <t>Quiroz Law Firm, APC</t>
  </si>
  <si>
    <t>maritn@quirozlawfirm.com</t>
  </si>
  <si>
    <t>H-400-22230-423819</t>
  </si>
  <si>
    <t xml:space="preserve">Packager </t>
  </si>
  <si>
    <t>Nuevo Leon Bakery</t>
  </si>
  <si>
    <t>1106 S. New Braunfels Ave</t>
  </si>
  <si>
    <t>Araujo</t>
  </si>
  <si>
    <t>912 Bigfoot</t>
  </si>
  <si>
    <t>jaraujo912@outlook.com</t>
  </si>
  <si>
    <t>PO Box 780611</t>
  </si>
  <si>
    <t>Castro Law PLLC DBA Castro Law Firm</t>
  </si>
  <si>
    <t>P-400-22143-202116</t>
  </si>
  <si>
    <t>H-400-22276-506064</t>
  </si>
  <si>
    <t>Talley Amusements, Inc.</t>
  </si>
  <si>
    <t>marytalley1@aol.com</t>
  </si>
  <si>
    <t>P-400-22182-328016</t>
  </si>
  <si>
    <t>https://talleyamusements.com/employment</t>
  </si>
  <si>
    <t>H-400-22228-418575</t>
  </si>
  <si>
    <t xml:space="preserve">Janitors </t>
  </si>
  <si>
    <t xml:space="preserve">Communicate in English, ability to lift 75lbs
40 hrs/wk, Wed-Sun 8am-5pm, workdays/hours may vary depending on events
</t>
  </si>
  <si>
    <t>P-400-22178-313737</t>
  </si>
  <si>
    <t xml:space="preserve">Benefits: YMCA membership, participate in cultural activities, free meal during work hours, free fountain drinks.
Optional housing provided for $100/wk rent deducted.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
</t>
  </si>
  <si>
    <t>H-400-22300-555390</t>
  </si>
  <si>
    <t>Plumber Helper</t>
  </si>
  <si>
    <t>Kooline Plumbing Heating &amp; Air LLC</t>
  </si>
  <si>
    <t>40210 W Brandt Dr</t>
  </si>
  <si>
    <t>Nazeem</t>
  </si>
  <si>
    <t>Farzana</t>
  </si>
  <si>
    <t>Afroza</t>
  </si>
  <si>
    <t>farzana.nazeem@koolineplumbing.com</t>
  </si>
  <si>
    <t xml:space="preserve">Knowledge of materials, methods, and the tools involved in the construction or repair of houses, buildings, or other structures such as highways and roads.
Install plumbing or piping.
Cut metal components for installation.
Maintain plumbing structures or fixtures.
Cut openings in existing structures.
Drill holes in construction materials.
</t>
  </si>
  <si>
    <t>40521 W. Magnolia rd</t>
  </si>
  <si>
    <t>P-400-22221-405799</t>
  </si>
  <si>
    <t>Health and dental Insurance, unknown until selected.</t>
  </si>
  <si>
    <t>https://www.koolineplumbing.com/job-applications</t>
  </si>
  <si>
    <t>H-400-22265-488667</t>
  </si>
  <si>
    <t>TRUCK DETAILER</t>
  </si>
  <si>
    <t>4508 E COUNTY RD 45</t>
  </si>
  <si>
    <t>P-400-22169-295329</t>
  </si>
  <si>
    <t>H-400-22301-557106</t>
  </si>
  <si>
    <t>Show Horse Groom</t>
  </si>
  <si>
    <t>Rooker Training Stable</t>
  </si>
  <si>
    <t>14042 Iroquois Woods</t>
  </si>
  <si>
    <t>Shuster</t>
  </si>
  <si>
    <t>Barn Manager</t>
  </si>
  <si>
    <t>devon@conley360.com</t>
  </si>
  <si>
    <t>333 Bridge Street NW</t>
  </si>
  <si>
    <t>kaclarke@varnumlaw.com</t>
  </si>
  <si>
    <t>Varnum LLP</t>
  </si>
  <si>
    <t>Flint, MI</t>
  </si>
  <si>
    <t>P-400-22299-551184</t>
  </si>
  <si>
    <t xml:space="preserve">State and federal taxes, social security and willful destrictuion of property. </t>
  </si>
  <si>
    <t>H-400-22301-557040</t>
  </si>
  <si>
    <t>St. Louis Select Landscaping &amp; Lawn Care, LLC</t>
  </si>
  <si>
    <t>2701 Williams Creek Rd.</t>
  </si>
  <si>
    <t>Schellert</t>
  </si>
  <si>
    <t>stlselect@aol.com</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</si>
  <si>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90lbs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t>
  </si>
  <si>
    <t>2701 Williams Creek Rd  (Report to Work)</t>
  </si>
  <si>
    <t>P-400-22222-408655</t>
  </si>
  <si>
    <t>Employer offers OPTIONAL and ASSISTED housing; optional shared, furnished housing available to worker at employee’s expense (including utilities, water, and cable) @ $350.00 per month - $350.00 due by the first of each month. 
At Employer’s sole discretion: possible cash advances (if applicable/requested by worker, potential deduction from worker’s paycheck).</t>
  </si>
  <si>
    <t>gregs@stlselectlawn.com</t>
  </si>
  <si>
    <t>H-400-22277-508681</t>
  </si>
  <si>
    <t>MAANGER</t>
  </si>
  <si>
    <t xml:space="preserve">No previous experience required. Chula Vista screens all applicants through a pre-employment criminal background checks, including all domestic and H-2B visa employees. This includes seasonal and full-time annual positions. These standards are applied to all applicants regardless of their national origin, race, or gender. We are also a Drug &amp; Alcohol Free employer. We do not require a pre-employment drug test, however we have a reasonable suspicion drug testing policy should we have any suspicion of on the job drug or alcohol use.
</t>
  </si>
  <si>
    <t>P-400-22196-356615</t>
  </si>
  <si>
    <t xml:space="preserve">Deductions: The employer will make all deductions from the worker’s paycheck required by law and for optional onsite house payment. Housing:	Optional onsite quad accommodation employee housing may be available at cost of $95 weekly per occupant and is paid via payroll deductions. Daily Transportation: Workers are responsible for their own daily transportation to and from the worksite. Worker who elect to stay in employee housing are provided shuttle services to local grocery stores and/or Walmart based on schedule
</t>
  </si>
  <si>
    <t>H-400-22280-518511</t>
  </si>
  <si>
    <t>3230 Mountain Edge Road</t>
  </si>
  <si>
    <t>Wage:piece-rate position paid on a basis of rooms cleaned, rather than on an hourly basis. Piece rate position paid on a basis of rooms cleaned, rather than on an hourly basis. Guaranteed prevailing wage rate of $13.39 per hour, paid weekly in any given workweek when total piece-rate compensation does not meet prevailing wage. Piece rate is paid per room cleaned and varies from $3.00 for a small unit or suite to $124.64 for a large unit or suite. Overtime is available and guaranteed at no less than $20.69 per hour. Depending upon worksite location and other discretionary factors, employee may be eligible for additional compensation in the form of an additional bonus at the discretion of the employer. Example of discretionary bonuses may include: employee referral, or performance bonuses.</t>
  </si>
  <si>
    <t>P-400-22179-318216</t>
  </si>
  <si>
    <t>H-400-22279-514532</t>
  </si>
  <si>
    <t xml:space="preserve">Floor Covering Installation </t>
  </si>
  <si>
    <t>Number 1 Floor Covering, LLC</t>
  </si>
  <si>
    <t>1740 Ne 165th Street</t>
  </si>
  <si>
    <t>Citra</t>
  </si>
  <si>
    <t>MARMOLEJO BUENO</t>
  </si>
  <si>
    <t>GABRIEL</t>
  </si>
  <si>
    <t>1740 NE 165th Street</t>
  </si>
  <si>
    <t>ginoytyco@aol.com</t>
  </si>
  <si>
    <t>Specific skills are dependability, listening skills, teamwork, and commitment to completing the job. Technical skills can easily be taught.</t>
  </si>
  <si>
    <t>P-400-22241-442487</t>
  </si>
  <si>
    <t xml:space="preserve">Amount not known, tax rate is 15.3%. The rate consists of two parts: 12.4% for social security (old-age, survivors, and disability insurance) and 2.9% for Medicare (hospital insurance).  </t>
  </si>
  <si>
    <t>H-400-22256-470451</t>
  </si>
  <si>
    <t>Mount Snow Limited</t>
  </si>
  <si>
    <t>Mount Snow Resort</t>
  </si>
  <si>
    <t>89 Grand Summit Way</t>
  </si>
  <si>
    <t>West Dover</t>
  </si>
  <si>
    <t xml:space="preserve">Must be able to lift up to 50 lbs.
</t>
  </si>
  <si>
    <t>WINDHAM</t>
  </si>
  <si>
    <t>Continued under Item F.a.4</t>
  </si>
  <si>
    <t>P-400-22120-123649</t>
  </si>
  <si>
    <t>OPTIONAL HOUSING IS AVAILABLE AT A COST OF $255.00 TO $590.00 DEPENDING ON THE UNIT TYPE (I.E., NUMBER OF BEDS IN THE UNIT AND THE NUMBER OF PEOPLE LIVING IN THE UNIT). THE WORKER IS RESPONSIBLE FOR PAYING THE SUBSIDIZED HOUSING COST EACH MONTH. A LICENSE DEPOSIT OF $250 IS DUE PRIOR TO CHECK IN. WITH EMPLOYEE'S VOLUNTARY CONSENT, HOUSING COSTS WILL BE DEDUCTED FROM PAYCHECK.</t>
  </si>
  <si>
    <t>H-400-22300-553224</t>
  </si>
  <si>
    <t>The Quaglino Landscape Company, Inc.</t>
  </si>
  <si>
    <t>23425 Hwy 435</t>
  </si>
  <si>
    <t>Abita Springs</t>
  </si>
  <si>
    <t>QUAGLINO</t>
  </si>
  <si>
    <t>23425 HWY 435</t>
  </si>
  <si>
    <t>ABITA SPRINGS</t>
  </si>
  <si>
    <t>angelo@quaglands.com</t>
  </si>
  <si>
    <t xml:space="preserve">Must be able to tolerate extreme temperatures, loud noises; lift heavy equipment up to 50 lbs and exhibit stamina. Must perform duties while sober. Employer-paid post-employment drug test may be administered.
All worksite locations are within driving distance of primary worksite location.  
Work days:  Monday-Friday. May work Saturdays.
Hours per week: typically 45 plus
Work Schedule: 7:00am - 4:30pm
Additional information about wage:
Employer may offer a raise or bonus depending on experience and merit.
Pay Assurances: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Optional transportation provided for workers staying at employer housing.
Overtime available?  Yes
On-the-Job Training provided?  Yes
Employer-Provided Tools and Equipment provided?  Yes
Board, Lodging or Other Facilities provided?:  Yes
Deductions: 
Optional housing provided at $85.00/wk - No family housing available.
</t>
  </si>
  <si>
    <t>"Potential raise determined at the discretion of the employer and based on worker's experience and performance"</t>
  </si>
  <si>
    <t>P-400-22207-376274</t>
  </si>
  <si>
    <t xml:space="preserve">Optional housing provided at $85.00/wk - No family housing available.
</t>
  </si>
  <si>
    <t>INFO@QUAGLANDS.COM</t>
  </si>
  <si>
    <t>H-400-22276-505972</t>
  </si>
  <si>
    <t>Maintenance and Repair Workers - Carnival</t>
  </si>
  <si>
    <t>1301 South Fair View</t>
  </si>
  <si>
    <t>P-400-22182-328011</t>
  </si>
  <si>
    <t>H-400-22259-477310</t>
  </si>
  <si>
    <t>Breakfast and Room Attendant</t>
  </si>
  <si>
    <t>Trapper Corporation</t>
  </si>
  <si>
    <t>DBA The Lexington at Jackson Hole Hotel &amp; Suites</t>
  </si>
  <si>
    <t>285 N. Cache Street</t>
  </si>
  <si>
    <t>Mailing: P.O. Box 1712, Jackson, WY 83001-1712</t>
  </si>
  <si>
    <t>Chernosky</t>
  </si>
  <si>
    <t>Adena</t>
  </si>
  <si>
    <t xml:space="preserve">Saturday and Sunday work required, when necessary.  Must lift/carry  50 lbs., when necessary. Piece rate paid at $7.50/room or prevailing wage, whichever is higher.
</t>
  </si>
  <si>
    <t>285 N Cache Street</t>
  </si>
  <si>
    <t>Raises and/or bonuses may be offered to any worker in the specified occupation, at the company’s sole discretion</t>
  </si>
  <si>
    <t>P-400-22187-334257</t>
  </si>
  <si>
    <t xml:space="preserve">The emplyr will make all deducts from worker's paycheck required by law. Emplyr does not envision other workforce-wide payroll deducts. Potential elective deducts are: If needed, emplyr will assist in arranging opt’l worker-paid lodging for hired foreign &amp; non-local U.S. workers. Emplyr will deduct for reasonable fair market value cost of rent &amp; utilities based on #  of occupants for workers who  elect to live in employer-offered housing. Emplyr will deduct for reasonable cost of negligent damage to lodging facilities. Voluntary advances &amp;/or loans made to workers may be repaid by pre-authorized payroll deducts.   Emplyr offers opt’l employee retirement plans to workers; particip in any such plan is voluntary. </t>
  </si>
  <si>
    <t>operations@lexjh.com</t>
  </si>
  <si>
    <t>H-400-22275-505780</t>
  </si>
  <si>
    <t>Poultry Worker</t>
  </si>
  <si>
    <t>TRILOGY FOODS LLC</t>
  </si>
  <si>
    <t>1445 Josh Pirkle</t>
  </si>
  <si>
    <t>Braselton</t>
  </si>
  <si>
    <t>Lomas</t>
  </si>
  <si>
    <t>trilogyfoodsflc@gmail.com</t>
  </si>
  <si>
    <t xml:space="preserve">40 hours. OT may be available, but not guarantee. Monday-Sunday Nigth Shift 4PM to 12AM, 5 days Monday-Sundays, two days off. Worker must be willing to work nigth shift and stay longer if required, </t>
  </si>
  <si>
    <t xml:space="preserve">OT may be available, but not guarantee. </t>
  </si>
  <si>
    <t>P-400-22161-265745</t>
  </si>
  <si>
    <t>Deductions required by law or authorized by worker deducted from paycheck.</t>
  </si>
  <si>
    <t>H-400-22305-561212</t>
  </si>
  <si>
    <t>Senior Chef</t>
  </si>
  <si>
    <t>Arti's Italian Restaurant</t>
  </si>
  <si>
    <t>214 S Oak St</t>
  </si>
  <si>
    <t>Pecos</t>
  </si>
  <si>
    <t>Hysen</t>
  </si>
  <si>
    <t>Selimi</t>
  </si>
  <si>
    <t>914 S Oak St</t>
  </si>
  <si>
    <t xml:space="preserve">Pecos </t>
  </si>
  <si>
    <t>artiselimi4@gmail.com</t>
  </si>
  <si>
    <t xml:space="preserve">Albert </t>
  </si>
  <si>
    <t>9063 Research Blvd</t>
  </si>
  <si>
    <t>chris@mendezlawaustin.com</t>
  </si>
  <si>
    <t>The Mendez Law Group</t>
  </si>
  <si>
    <t>Missouri</t>
  </si>
  <si>
    <t>Minimum age  requirement of 21.</t>
  </si>
  <si>
    <t xml:space="preserve">214 S Oak St </t>
  </si>
  <si>
    <t>PECOS</t>
  </si>
  <si>
    <t>P-400-22143-201900</t>
  </si>
  <si>
    <t>artieselimi4@gmail.com</t>
  </si>
  <si>
    <t>Albert</t>
  </si>
  <si>
    <t>H-400-22300-553492</t>
  </si>
  <si>
    <t>H-400-22242-445866</t>
  </si>
  <si>
    <t>Ski Instructor Level 3</t>
  </si>
  <si>
    <t>info@ailc.com</t>
  </si>
  <si>
    <t xml:space="preserve">a current PSIA Level 3 Alpine Certification or foreign equivalent. 1500 hours (approximately 9 full-time months) of experience teaching alpine skiing.
On-the-job training is provided.
35 hours per week. Shifts available 7 days a week including weekends and holidays. Daytime shifts: 8:30am - 4pm, including weekends and holidays.
Wage: Per Hour: $22.47 - $46/hr. Overtime possible at hourly wage of $33.71 - $69/hr.
Pre-employment background checks are completed in new hire onboarding with Human Resources.
</t>
  </si>
  <si>
    <t>Based on merit and experience. “Each employee receives a performance review at the end of each season, based on
these reviews employees will receive a merit from 0% - 3% for the start of the next
winter season. Employee's may receive spot raises based on their performance.</t>
  </si>
  <si>
    <t>P-400-22179-317577</t>
  </si>
  <si>
    <t>All deduction req. by law will be made. Housing is offered and optional. Housing cost, if accepted, is $119-$185.50/week, subject to change. If used, total cost of housing will be deducted from paycheck. A $250 partially refundable security deposit is required, to be pd. directly to employer upon acceptance of housing.Up to $200 of dep. may be returned to the employee based on condition of housing, at the employer's sole discretion, at the end of the employment period.Assist in finding 3rd party housing by providing a list of avail. contacts in the PC area that staff can contact directly.Opt. deduc. from paycheck offered for meals, 401K, health insurance, non-returned company items,housing rent &amp;; fines, employee entertainment events and functions.Drug screening is completed randomly, if there is a worksite injury, or if there is damage to DV property is more than $150.Benefits: Meals are free while working,meal plans are $3.50/meal, free ski lift passes,10-20%retail disc. at DV outlet</t>
  </si>
  <si>
    <t>khammel@deervalley.com</t>
  </si>
  <si>
    <t>H-400-22244-449445</t>
  </si>
  <si>
    <t>GUEST SERVICE ATTENDANT</t>
  </si>
  <si>
    <t>Resort Group, Mountain Resorts / Simply Steamboat</t>
  </si>
  <si>
    <t xml:space="preserve">2150 RESORT DRIVE </t>
  </si>
  <si>
    <t xml:space="preserve">Criminal background check prior to hire, same as all US Citizen and US Work Authorized applicants.
</t>
  </si>
  <si>
    <t>STEAMBOAT SPRINGS</t>
  </si>
  <si>
    <t>P-400-22195-353077</t>
  </si>
  <si>
    <t>We will make all deductions required by law (ie. federal and state income taxes, social security taxes). We will make a deduction for bi-weekly occupancy fee at our employer-provided housing at a rate of $275.00 each bi-weekly period if employee resides there. Any past due and unpaid weekly occupancy fees will also be collected via deductions from pay.   Employees have the option to reside in our employer-provided housing, if they choose not to, no deductions for housing will occur.  No other deductions will be made from pay, except statutory taxes.</t>
  </si>
  <si>
    <t>https//www.yourworkforcecenter.com/</t>
  </si>
  <si>
    <t>H-400-22280-516541</t>
  </si>
  <si>
    <t xml:space="preserve">Seafood Processing Technician (Surimi and Roe) </t>
  </si>
  <si>
    <t>Premier Pacific Seafoods, Inc.</t>
  </si>
  <si>
    <t xml:space="preserve">200 W Mercer Street, STE E101 </t>
  </si>
  <si>
    <t>Nakahara</t>
  </si>
  <si>
    <t>Yoichi</t>
  </si>
  <si>
    <t>nakahara@prempac.com</t>
  </si>
  <si>
    <t>920 Fifth Avenue</t>
  </si>
  <si>
    <t>dianebutler@dwt.com</t>
  </si>
  <si>
    <t>Davis Wright Tremaine LLP</t>
  </si>
  <si>
    <t xml:space="preserve">Must have technical knowledge of surimi and pollock roe processing and ability to work independently.  Must be able to grade surimi and pollock roe products for Japanese market and must be able to quickly identify and resolve any problems that arise during surimi and pollock roe processing operations. Must be willing to work up to 12 or more hours per day, 7 days per week, depending on fish availability.  The offered wage is $23.99 per hour, depending on experience, or if higher, $292 per day, plus health insurance and potential bonus. Hours of work is up to 84 hours per week with minimum guarantee of 35 hours per week. Overtime is $35.99 per hour, depending on experience. 
</t>
  </si>
  <si>
    <t>On board the M/V Excellence vessel or the Phoenix vessel</t>
  </si>
  <si>
    <t>in Bering Sea and North Pacific</t>
  </si>
  <si>
    <t xml:space="preserve">Health insurance and potential bonus; see F.a.11 for more details for wage rate </t>
  </si>
  <si>
    <t>P-400-22199-359748</t>
  </si>
  <si>
    <t>None except required by law or employee benefits requested by worker; employer will provide room and board on the M/V Excellence vessel or Phoenix vessel at no cost to the worker; employer-provided housing is optional.</t>
  </si>
  <si>
    <t>dol.flc@alaska.gov</t>
  </si>
  <si>
    <t>www.jobs.alaska.gov</t>
  </si>
  <si>
    <t>H-400-22239-441821</t>
  </si>
  <si>
    <t xml:space="preserve">Crawfish Peeler </t>
  </si>
  <si>
    <t>Acadia Processors, LLC</t>
  </si>
  <si>
    <t xml:space="preserve">919 West 2nd Street </t>
  </si>
  <si>
    <t>P.O. Box 249, Crowley, LA 70527 (mailing)</t>
  </si>
  <si>
    <t xml:space="preserve">Broussard </t>
  </si>
  <si>
    <t xml:space="preserve">Ernie </t>
  </si>
  <si>
    <t xml:space="preserve">Plant Manager </t>
  </si>
  <si>
    <t>epb2@acadiacrawfish.com</t>
  </si>
  <si>
    <t xml:space="preserve">Random drug/alcohol testing during employment paid for by employer. Post-accident drug/alcohol testing required.
Will work shifts of 7:00 AM-4:00 PM, 6:00 AM-5:00 PM, and 5:30 PM-1:00 AM Mon-Fri; 40 hours/week; includes one unpaid lunch hour
</t>
  </si>
  <si>
    <t xml:space="preserve">Crowley </t>
  </si>
  <si>
    <t>Workers may earn above hourly wage based on piece rate performance; may be paid piece rate of $2.50 per lb., if higher t</t>
  </si>
  <si>
    <t>P-400-22166-284232</t>
  </si>
  <si>
    <t>Employer will make all deductions from workers’ paycheck as required by law; deductions employer intends to make from paycheck, which are not required by law, if applicable, would be deductions for housing, as discussed below, if employee chooses voluntary housing option. Employer may allow deductions not required by law as long as advance permission is granted by employee or Employer will state specific deductions. 1.	Boarding options: Voluntary, low-cost housing is available to workers for the option to board; $50.00/week is deducted workers’ paychecks for workers who choose housing; housing is not mandatory.</t>
  </si>
  <si>
    <t>epb@acadiacrawfish.com</t>
  </si>
  <si>
    <t>Mayely@afdees.com</t>
  </si>
  <si>
    <t>H-400-22267-492468</t>
  </si>
  <si>
    <t>Crab Backers</t>
  </si>
  <si>
    <t>Safe Coast Seafoods WA LLC</t>
  </si>
  <si>
    <t>117 Howerton Way SE</t>
  </si>
  <si>
    <t>Ilwaco</t>
  </si>
  <si>
    <t>McEntarffer</t>
  </si>
  <si>
    <t>Corporate QA/QC</t>
  </si>
  <si>
    <t>jeffm@safecoastseafoods.com</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</si>
  <si>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Possible background check post hire at employer's expense. Delivery and availability of seafood product from fisherman may result in possible downtimes due to weather conditions.</t>
  </si>
  <si>
    <t>PACIFIC</t>
  </si>
  <si>
    <t>P-400-22159-259232</t>
  </si>
  <si>
    <t>Optional housing available at, or up to, $150.00 to be deducted from each bi-weekly paycheck, if housing is agreed upon by the worker. Utilities included.  At Employer’s sole discretion: possible cash advances (if applicable/requested by worker, potential deduction from worker’s paycheck).</t>
  </si>
  <si>
    <t>https://secure.esd.wa.gov</t>
  </si>
  <si>
    <t>H-400-22264-486216</t>
  </si>
  <si>
    <t>Robert M. Gorham</t>
  </si>
  <si>
    <t>Bo-Mar Enterprises Inc.</t>
  </si>
  <si>
    <t>7250 W Main</t>
  </si>
  <si>
    <t>Gorham</t>
  </si>
  <si>
    <t>rgorham269@yahoo.com</t>
  </si>
  <si>
    <t>MAHONING VALLEY RACE COURSE</t>
  </si>
  <si>
    <t>635 N Canfield Niles Road</t>
  </si>
  <si>
    <t>YOUNGSTOWN</t>
  </si>
  <si>
    <t>P-400-22131-159635</t>
  </si>
  <si>
    <t>State and Federal Taxes
Optional employer offered housing in the backstretch at no cost to the worker.</t>
  </si>
  <si>
    <t>H-400-22231-427749</t>
  </si>
  <si>
    <t>P-400-22104-072826</t>
  </si>
  <si>
    <t>H-400-22252-464573</t>
  </si>
  <si>
    <t>Deadwood Tobacco Company</t>
  </si>
  <si>
    <t>628 Main Street</t>
  </si>
  <si>
    <t>Rectenwald</t>
  </si>
  <si>
    <t xml:space="preserve">Deadwood </t>
  </si>
  <si>
    <t>info@deadwoodtobacco.com</t>
  </si>
  <si>
    <t xml:space="preserve">Training with Tobacco or Tobacco related products </t>
  </si>
  <si>
    <t>P-400-22131-161101</t>
  </si>
  <si>
    <t xml:space="preserve">All required state and federal deductions will be properly applied per the law. </t>
  </si>
  <si>
    <t>https://deadwoodtobacco.com/</t>
  </si>
  <si>
    <t>H-400-22187-333141</t>
  </si>
  <si>
    <t>818 Knight Cross Building #5</t>
  </si>
  <si>
    <t>Suite 5105</t>
  </si>
  <si>
    <t>P-400-22124-135883</t>
  </si>
  <si>
    <t>All required Federal, state and local tax deductions including Withholding and FICA.</t>
  </si>
  <si>
    <t>H-400-22235-431715</t>
  </si>
  <si>
    <t>AUTO DISMANTLER</t>
  </si>
  <si>
    <t>AAA AUTO SALVAGE INC</t>
  </si>
  <si>
    <t>6142 PRIMM SPRINGS RD</t>
  </si>
  <si>
    <t>LYLES</t>
  </si>
  <si>
    <t>BOURINI</t>
  </si>
  <si>
    <t>6142 Primm Springs RdD</t>
  </si>
  <si>
    <t>Aaaautosalvage@comcast.neT</t>
  </si>
  <si>
    <t xml:space="preserve">auto parts knowledge </t>
  </si>
  <si>
    <t>HICKMAN</t>
  </si>
  <si>
    <t>P-400-22126-143604</t>
  </si>
  <si>
    <t>Aaaautosalvage@comcast.net</t>
  </si>
  <si>
    <t>bourini</t>
  </si>
  <si>
    <t>nancy</t>
  </si>
  <si>
    <t>AAAAUTOSALVAGE@COMCAST.NET</t>
  </si>
  <si>
    <t>H-400-22259-476405</t>
  </si>
  <si>
    <t>Pence's LLC</t>
  </si>
  <si>
    <t>10010 US Hwy 6</t>
  </si>
  <si>
    <t>Pence</t>
  </si>
  <si>
    <t>lpence@pencescarmelcorn.com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</si>
  <si>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
  </si>
  <si>
    <t>P-400-22152-232908</t>
  </si>
  <si>
    <t>P-400-22182-328792</t>
  </si>
  <si>
    <t>H-400-22272-502459</t>
  </si>
  <si>
    <t>Seafood Cutter and Trimmer</t>
  </si>
  <si>
    <t>Crawfish Palace, Inc.</t>
  </si>
  <si>
    <t>1865 Highway 80</t>
  </si>
  <si>
    <t>Haughton</t>
  </si>
  <si>
    <t>Somsri</t>
  </si>
  <si>
    <t>Sitkrongwong</t>
  </si>
  <si>
    <t>somsri_22050@hotmail.com</t>
  </si>
  <si>
    <t>Alonzo</t>
  </si>
  <si>
    <t>4965 Preston Park Blvd</t>
  </si>
  <si>
    <t>Ste. 320</t>
  </si>
  <si>
    <t>malonzo@cowlesthompson.com</t>
  </si>
  <si>
    <t>Cowles &amp; Thompson PC</t>
  </si>
  <si>
    <t>P-400-22199-359741</t>
  </si>
  <si>
    <t>State and federal deductions as permitted by law.</t>
  </si>
  <si>
    <t>H-400-22230-425414</t>
  </si>
  <si>
    <t xml:space="preserve">Must lift/carry 50 lbs., when necessary.  Work schedule is at least 5 days/week with work days varying by week to include Saturday and Sunday. Must be available to work all shifts:7AM-3:30PM; 8AM-4:30PM; 9AM-5:30PM; 11AM-7:30PM.
</t>
  </si>
  <si>
    <t>P-400-22179-317452</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</si>
  <si>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Employer will offer daily transportation to and from the worksite from a centralized designated pick-up place at no cost to workers. Use of this transportation is voluntary.      </t>
  </si>
  <si>
    <t>H-400-22222-406882</t>
  </si>
  <si>
    <t>SANTOS REFORESTATION, INC</t>
  </si>
  <si>
    <t>611 OC BROWN RD</t>
  </si>
  <si>
    <t>ROSEBURG</t>
  </si>
  <si>
    <t>BETANCOURT</t>
  </si>
  <si>
    <t>NICOLAS</t>
  </si>
  <si>
    <t>611 O C BROWN RD</t>
  </si>
  <si>
    <t>NICOSCHAINSAW03@GMAIL.COM</t>
  </si>
  <si>
    <t xml:space="preserve">Saint Paul </t>
  </si>
  <si>
    <t>r.hatton@affirmlegalservices.com</t>
  </si>
  <si>
    <t xml:space="preserve">MUST BE ABLE TO PLANT THE FOLLOWING NUMBER OF TREES IN AN 8 HOUR DAY: BY END OF 1ST WEEK - 800, 
BY END OF 2ND WEEK - 900, BY END OF 3RD WEEK - 1000 TREES ON 30% - 50% SLOPE
</t>
  </si>
  <si>
    <t>Wage rate depends upon the county in which the work is performed</t>
  </si>
  <si>
    <t>P-400-22096-040782</t>
  </si>
  <si>
    <t>THE COMPANY WILL MAKE ALL DEDUCTIONS FROM THE WORKER'S PAYCHECK REQUIRED BY LAW. THE COMPANY WILL ASSIST THE EMPLOYEE IN LOCATING HOUSING, WHICH IS PAID FOR BY THE EMPLOYEE, IF THE EMPLOYEE HAS TO RELOCATE TO THE DOUGLAS COUNTY AREA.  WHEN REQUIRED, HOTEL ACCOMMODATIONS ARE PROVIDED BY THE COMPANY AT NO COST TO THE EMPLOYEE IF WORK IS CONDUCTED OUT OF THE DOUGLAS COUNTY AREA.</t>
  </si>
  <si>
    <t>H-400-22281-518680</t>
  </si>
  <si>
    <t>Angela's International, LLC.</t>
  </si>
  <si>
    <t>6278 Mooring Line Circle</t>
  </si>
  <si>
    <t>[Mail: 1700 Duanesburg Road, Duanesburg, NY 12056}</t>
  </si>
  <si>
    <t>Apollo Beach</t>
  </si>
  <si>
    <t>Viscusi</t>
  </si>
  <si>
    <t>Tonio</t>
  </si>
  <si>
    <t>{Mail: 1700 Duanesburg Road  Duanesburg, NY 12056}</t>
  </si>
  <si>
    <t>tonio@angelasconcessions.com</t>
  </si>
  <si>
    <t>P-400-22182-328077</t>
  </si>
  <si>
    <t>H-400-22286-527991</t>
  </si>
  <si>
    <t>Kitchen Workers</t>
  </si>
  <si>
    <t>Shane's of Shreveport</t>
  </si>
  <si>
    <t>Shane's Seafood and Bar-BQ</t>
  </si>
  <si>
    <t>9176 Mansfield Road</t>
  </si>
  <si>
    <t>Rodgers</t>
  </si>
  <si>
    <t xml:space="preserve">9176 Mansfield Road </t>
  </si>
  <si>
    <t>mikee@shanesseafood.com</t>
  </si>
  <si>
    <t xml:space="preserve">Must be able to lift 80lbs of crawfish sacks; random drug screening upon hire (paid for by employer).
</t>
  </si>
  <si>
    <t xml:space="preserve">Shreveport </t>
  </si>
  <si>
    <t>Employees may be required to work shift hours of 9:00am—2:00 pm and 5:00 pm—9:00pm, including weekends</t>
  </si>
  <si>
    <t>P-400-22236-434954</t>
  </si>
  <si>
    <t>VOLUNTARY, LOW-COST HOUSING IS AVAILABLE TO WORKERS FOR THE OPTION TO BOARD; $200.00/MONTH IS DEDUCTED FROM WORKERS’ PAYCHECKS FOR WORKERS WHO CHOOSE HOUSING; HOUSING IS NOT MANDATORY. EMPLOYER WILL MAKE ALL DEDUCTIONS FOR WORKERS’ PAYCHECK AS REQUIRED BY LAW; DEDUCTIONS EMPLOYER INTENDS TO MAKE FROM PAYCHECK, WHICH ARE NOT REQUIRED BY LAW, IF APPLICABLE, WOULD BE DEDUCTIONS FOR HOUSING, AS DISCUSSED ABOVE, IF EMPLOYEE CHOOSE VOLUNTARY HOUSING OPTION. EMPLOYER MAY ALLOW DEDUCTIONS NOT REQUIRED BY LAW AS LONG AS ADVANCE PERMISSION IS GRANTED BY EMPLOYEE OR EMPLOYER WILL STATE THE SPECIFIC DEDUCTIONS.</t>
  </si>
  <si>
    <t>H-400-22291-536276</t>
  </si>
  <si>
    <t>Video Marketing service provider</t>
  </si>
  <si>
    <t>Broadcast Announcers and Radio Disc Jockeys</t>
  </si>
  <si>
    <t>OC Celebrity Marketing LLC</t>
  </si>
  <si>
    <t>128 Holiday Court</t>
  </si>
  <si>
    <t>unit 120</t>
  </si>
  <si>
    <t>Klagge</t>
  </si>
  <si>
    <t>Brittney</t>
  </si>
  <si>
    <t>128 Holiday Ct.</t>
  </si>
  <si>
    <t>Unit 120</t>
  </si>
  <si>
    <t>Brittney@occelebritymarketing.com</t>
  </si>
  <si>
    <t xml:space="preserve">Currently, we are in need of an online talent who can sell our products to a live-stream audience, via a new marketplace. This employee will also manage and record video marketing ads, which will be used to help draw in new business for the company. These ads may be live-streamed or pre-recorded.
</t>
  </si>
  <si>
    <t>P-400-22166-283260</t>
  </si>
  <si>
    <t>Christi</t>
  </si>
  <si>
    <t>H-400-22327-605232</t>
  </si>
  <si>
    <t>Ecoscape Solutions Group, LLC_Nashville</t>
  </si>
  <si>
    <t>4027 Murfreesboro Road</t>
  </si>
  <si>
    <t>Mailing: CORP: PO Box 3328 , Huntersville, NC 28070</t>
  </si>
  <si>
    <t>Antioch</t>
  </si>
  <si>
    <t>Mailing: CORP: PO Box 3328, Huntersville, NC 28070</t>
  </si>
  <si>
    <t>P-400-22257-470871</t>
  </si>
  <si>
    <t xml:space="preserve">Emplyr makes all payrll deducts req by law. Emplyr does not envision other wrkforce-wide payrll deducts. If requested, emplyr helps non-local wrkers secure wrkr-paid lodging. Emplyr deducts reasonable fair market value cost of rent/utilities based # of occupants for wrkrs electing to reside in emplyr-provided housing. Voluntary advances/loans made to wrkers, if any, may be repaid by pre-authorized payrll deducts.  Emplyr will deduct for reasonable cost of negligent damage to lodging facilities. Emplyr may deduct retirement/savings plan contributions/health insurance premiums for wrkers voluntarily participating in plans. Uniform provided at no cost. Emplyr may deduct cost for voluntary purchase of additional uniforms for wrkrs benefit.  Emplyr may also deduct for voluntary boot purchase program. No daily transport to/from work provided. Emplyr provides incidental transportation between worksites as necessary. Such transport complies with all applicable Federal/State/local laws/regs. </t>
  </si>
  <si>
    <t>H-400-22321-593134</t>
  </si>
  <si>
    <t>Seel Brothers Landscaping LLC</t>
  </si>
  <si>
    <t>3245 Locust Ln</t>
  </si>
  <si>
    <t>Perkiomenville</t>
  </si>
  <si>
    <t>SEEL</t>
  </si>
  <si>
    <t>SEELBROTHERSLANDSCAPING@GMAIL.COM</t>
  </si>
  <si>
    <t>Must be able to lift/carry 50lbs and work in both bending and standing positions for extended periods of time and in all types of weather.</t>
  </si>
  <si>
    <t>P-400-22194-349591</t>
  </si>
  <si>
    <t>seelbrotherslandscaping@gmail.com</t>
  </si>
  <si>
    <t>H-400-22327-604349</t>
  </si>
  <si>
    <t>Doctor's At the Lake Inc</t>
  </si>
  <si>
    <t>606 State Road TT</t>
  </si>
  <si>
    <t>Mailing: 7425 W. 161st Street, Overland Park, KS 66085</t>
  </si>
  <si>
    <t>Sunrise Beach</t>
  </si>
  <si>
    <t>Random drug testing during employment, Drug testing during employment for cause, Post-Accident Drug Testing, Able to perform physical labor for prolonged periods of time in a wide range of climatic conditions including extreme heat &amp; cold. Able to lift 50lbs, M-F, overtime varies, schedule may vary, several Saturdays required.
All drug testing is performed without regard to an employees citizenship or immigration status, and all testing is paid for by the company. See the additional document attached for further details about the administration of our drug testing policy.</t>
  </si>
  <si>
    <t>P-400-22229-422126</t>
  </si>
  <si>
    <t>H-400-22328-605692</t>
  </si>
  <si>
    <t>P-400-22160-264751</t>
  </si>
  <si>
    <t>H-400-22321-592519</t>
  </si>
  <si>
    <t xml:space="preserve">Must be willing to work in hot climates. Post-employment drug testing may occur based upon the employers reasonable suspicion of an employees drug use. 
F.a.5 A-H (Continued): M-F 7am-4pm (1 hr lunch), overtime needed (an average of 8 - 10 hours of overtime may be available per week) 
</t>
  </si>
  <si>
    <t>P-400-22220-402659</t>
  </si>
  <si>
    <t>H-400-22328-605699</t>
  </si>
  <si>
    <t>P-400-22160-264841</t>
  </si>
  <si>
    <t xml:space="preserve"> www.scworks.org</t>
  </si>
  <si>
    <t>H-400-22307-565925</t>
  </si>
  <si>
    <t>Helper of Carpenter</t>
  </si>
  <si>
    <t>A C Construction</t>
  </si>
  <si>
    <t>7101 N Highfield Dr</t>
  </si>
  <si>
    <t>Atanacio</t>
  </si>
  <si>
    <t>acastillo@ac-constructionllc.com</t>
  </si>
  <si>
    <t xml:space="preserve">Three months of experience as Helper of Carpenter in residential construction setting. Must bend, lift, and sustain up to 50 lbs, work under extremely hot weather conditions. No travel required outside the Metropolitan area, no on-the-job training available, no education required. Post-hire drug test required paid by employer, all US and Guest workers will be screened equally. 
</t>
  </si>
  <si>
    <t>7101N Highfield Dr</t>
  </si>
  <si>
    <t>If overtime is needed, it will be paid at $20.15</t>
  </si>
  <si>
    <t>P-400-22146-212793</t>
  </si>
  <si>
    <t>Deduction according to the law. shared group rental housing of $70 to $75 per week depending on housing location, and a refundable security deposit of $75”; $30 per week company-provided transportation to and from housing if worker wants company housing and/or transport and it is available</t>
  </si>
  <si>
    <t>Food Prep Worker</t>
  </si>
  <si>
    <t>H-400-22335-613735</t>
  </si>
  <si>
    <t>JAMES E DEVINE</t>
  </si>
  <si>
    <t>DEVINE CREATIONS LANDSCAPE MANAGEMENT, LLC</t>
  </si>
  <si>
    <t>752 MAPLE ST</t>
  </si>
  <si>
    <t>HARRODSBURG</t>
  </si>
  <si>
    <t>DEVINE</t>
  </si>
  <si>
    <t>ldevine@bgwifi.com</t>
  </si>
  <si>
    <t xml:space="preserve">MUST BE ABLE TO TOLERATE EXTREME TEMPERATURES, LOUD NOISES; LIFT HEAVY EQUIPMENT AND EXHIBIT STAMINA. OPERATE EQUIPMENT WHILE SOBER.MAY WORK SATURDAYS.  POST-EMPLOYMENT EMPLOYER-PAID DRUG TEST MAY BE ADMINISTERED.
Work days:  Monday-Friday
Hours per week: 35
Work Schedule: 7:00am-2:00pm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Employer will secure optional housing free-of-charge.No family housing available.
Deductions: 
N/A
</t>
  </si>
  <si>
    <t>588 MEADOW BROOK LN.</t>
  </si>
  <si>
    <t>P-400-22263-483699</t>
  </si>
  <si>
    <t xml:space="preserve"> Employer will secure optional housing free-of-charge.No family housing available.
</t>
  </si>
  <si>
    <t>Beaver</t>
  </si>
  <si>
    <t>Production/Warehouse Support</t>
  </si>
  <si>
    <t>Ag Connection Sales, Inc.</t>
  </si>
  <si>
    <t>Sure Crop</t>
  </si>
  <si>
    <t>877 US Highway 36</t>
  </si>
  <si>
    <t>Kristine</t>
  </si>
  <si>
    <t>Human Resources Assistant</t>
  </si>
  <si>
    <t>kris@surecropfertilizers.com</t>
  </si>
  <si>
    <t xml:space="preserve">Must have a valid drivers license.  Some construction and electrical knowledge and skills.  General truck and trailer maintenance skills.  General farm knowledge and farm equipment skills.  Welding skills and basic math knowledge.  Must speak English and be willing to learn.
</t>
  </si>
  <si>
    <t>NEMAHA</t>
  </si>
  <si>
    <t>P-400-22306-564137</t>
  </si>
  <si>
    <t>Deductions will be made by the employer for Social Security, Medicare, state income tax, Federal income tax, and health care costs.</t>
  </si>
  <si>
    <t>H-400-22335-613691</t>
  </si>
  <si>
    <t xml:space="preserve">AMIS LAWN AND LANDSCAPE, LLC. </t>
  </si>
  <si>
    <t>516 W College St</t>
  </si>
  <si>
    <t>AMIS</t>
  </si>
  <si>
    <t>P.O. BOX 903</t>
  </si>
  <si>
    <t>AMISLAWNANDLANDSCAPE@GMAIL.COM</t>
  </si>
  <si>
    <t xml:space="preserve">Post-employment drug screening may be administered at employer's expense, NO SMOKING IN COMPANY VEHICLES OR ON ANY JOB SITE.  Must be able to lift 50 lbs, be on feet all day, work in extreme temperatures, MUST BE ABLE TO RUN HANDHELD LAWN AND GARDEN EQUIPMENT. bending, lifting frequently AND EXHIBIT STAMINA. OPERATE EQUIPMENT WHILE SOBER.  Must be available entire work contract.
Work days:  Monday-Thursday. May work Friday and Saturday depending on weather.
Hours per week: 40
Work Schedule: 6:30am - 5:00pm
Education Required:  NONE
Training Required (months): NONE
Work Experience Required (months, occupation):  Yes. 3 months experience working in a commercial lawn and landscape environment.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The supervisor will pick up workers within a reasonable distance and drop them off. 
Overtime available?  Yes
On-the-Job Training provided?  Yes
Employer-Provided Tools and Equipment provided?  Yes
Board, Lodging or Other Facilities provided?: Yes. Optional. No family housing available.
Deductions: 
Optional housing available at $75/week/person
</t>
  </si>
  <si>
    <t>4394 Williamson Road</t>
  </si>
  <si>
    <t>P-400-22258-475517</t>
  </si>
  <si>
    <t>$75 week for optional housing.</t>
  </si>
  <si>
    <t>Cyr</t>
  </si>
  <si>
    <t xml:space="preserve">All deductions required by law will be made, and no deductions which are not required by law will be made. </t>
  </si>
  <si>
    <t>Yosemite Bug, LLC</t>
  </si>
  <si>
    <t xml:space="preserve">Yosemite Bug Rustic Mountain Resort </t>
  </si>
  <si>
    <t>6979A Highway 140</t>
  </si>
  <si>
    <t>PO Box 81</t>
  </si>
  <si>
    <t>Midpines</t>
  </si>
  <si>
    <t>douglas@yosemitebug.com</t>
  </si>
  <si>
    <t>H-400-22304-558473</t>
  </si>
  <si>
    <t>BANQUET SERVER</t>
  </si>
  <si>
    <t>JAAL Mainville LLC</t>
  </si>
  <si>
    <t>9 medford st</t>
  </si>
  <si>
    <t>Malden</t>
  </si>
  <si>
    <t>Mainville</t>
  </si>
  <si>
    <t>Elie</t>
  </si>
  <si>
    <t>jeaneliemainville12@gmail.com</t>
  </si>
  <si>
    <t>Job Requirements: 
A high school diploma or equivalent.
Experience as a server is preferred.
May need to meet age limits for serving alcoholic beverages.
Courteous and attentive to guests.
Ability to meet the physical demands of the job, staying on your feet, climbing stairs, carrying heavyweights.
Excellent interpersonal, communication, and customer service skills.
Ability to work as part of a team and follow instructions.
Flexibility to work shifts, including early mornings, late nights, weekends, and holidays.
CPR training may be beneficial. 
Skills:
Customer Service
Verbal Communication
Energy Level
Teamwork
Resolving Conflict
Thoroughness
Professionalism
General Math Skills</t>
  </si>
  <si>
    <t xml:space="preserve">299 VAUGHAN </t>
  </si>
  <si>
    <t>DOWNTOWN</t>
  </si>
  <si>
    <t>MIDDLETON</t>
  </si>
  <si>
    <t>P-400-22161-265935</t>
  </si>
  <si>
    <t>Otterbacher</t>
  </si>
  <si>
    <t>Counter Attendants and Food Concessions</t>
  </si>
  <si>
    <t>Scapes, Inc.</t>
  </si>
  <si>
    <t>PO Box 62378</t>
  </si>
  <si>
    <t>2110 S College Road</t>
  </si>
  <si>
    <t>Roberts</t>
  </si>
  <si>
    <t>Sylvia</t>
  </si>
  <si>
    <t>silvia@scapesincla.com</t>
  </si>
  <si>
    <t xml:space="preserve">MUST BE ABLE TO LIFT 50LBS, KNEEL, WALK, BEND, &amp; STOOP REPETITIVELY FOR PROLONGED PERIODS OF TIME THROUGHOUT THE ENTIRE WORKDAY. WORK IS PERFORMED IN ALL TYPES OF WEATHER. WORK IN OUTDOOR TEMPS FROM BELOW 30 TO EXCESS OF 100 DEGREES &amp; OTHER WEATHER CONDITIONS. MUST BE PHYSICALLY ABLE TO PERFORM JOB. MUST BE AVAILABLE FOR THE ENTIRE SEASON, ABLE, WILLING, AND QUALIFIED TO PERFORM THE WORK. WORKER MAY BE REQUIRED TO TAKE A RANDOM DRUG TEST, POST-HIRE, AT NO COST TO WORKER. TESTING POSITIVE OR FAILURE TO COMPLY MAY RESULT IN IMMEDIATE TERMINATION OF EMPLOYMENT. 1 MONTH POSITIVE VERIFIABLE EXPERIENCE REQUIRED IN JOB OFFERED. Must be willing to work 5 days a week from 7:00 a.m. to 5:30 p.m.; Saturday &amp; Sunday hours on occasion may apply; overtime varies. Employer will provide up to 3 company logo'd shirts as workers are required to wear such during work hours.  Additional company branded items will be available for purchase.
</t>
  </si>
  <si>
    <t>P-400-22201-364773</t>
  </si>
  <si>
    <t>H-400-22335-614268</t>
  </si>
  <si>
    <t>Morin's Landscaping, Inc.</t>
  </si>
  <si>
    <t>301 Depot Road</t>
  </si>
  <si>
    <t>Hollis</t>
  </si>
  <si>
    <t>Morin</t>
  </si>
  <si>
    <t>michele@morinslandscaping.com</t>
  </si>
  <si>
    <t xml:space="preserve">PRE-EMPLOYMENT DRUG TESTING REQUIRED. ABLE TO LIFT 50LBS. MON-SUN SCHEDULE, MUST BE ABLE TO WORK SATURDAYS &amp; SUNDAYS AS NEEDED, 7AM-4PM;
DAYS &amp; START/END TIMES MAY VARY BASED UPON WEATHER.
</t>
  </si>
  <si>
    <t>HOLLIS</t>
  </si>
  <si>
    <t xml:space="preserve">Potential end of season bonus at employer's discretion. Percentage of health care provided. </t>
  </si>
  <si>
    <t>P-400-22235-431621</t>
  </si>
  <si>
    <t xml:space="preserve">Employer may make payroll deductions at employee's request. Employer facilitates corresponding deductions for available health benefits. All deductions from the worker's paycheck required by law will be made. If needed, the employer will assist in securing worker-paid lodging at the reasonable fair market value cost of rent and/or utilities based on number of occupants for those employees who voluntarily elect to live in available premises. </t>
  </si>
  <si>
    <t>H-400-22335-613824</t>
  </si>
  <si>
    <t>Priority Construction Corporation</t>
  </si>
  <si>
    <t xml:space="preserve">ABLE TO LIFT 50 LBS, TOLERATE PHYSICAL LABOR IN HIGH TEMPERATURES, STANDING ALL DAY. POST-EMPLOYMENT DRUG TEST MAY BE ADMINISTERED AT EMPLOYER'S EXPENSE. BE AVAILABLE DURING THE ENTIRE CONTRACT.
Work days: Monday - Saturday
Hours per week: 40 - 45
Work Schedule: M-F 7:00am-4:00pm, S 7:00 am-12:00 pm; hours vary
Education Required:  
Training Required (months): N/A
Work Experience Required (months, occupation): At least one month of work involving physical labor outdoors in the elements. 
All worksite locations are within driving distance of primary worksite location.  
Basic Hourly Wage: $22.47/hr  or higher, if the prevailing wage rate applicable to the work performed is higher.
Overtime Hourly Wage: $33.71/hr or higher, if the prevailing wage rate applicable to the work performed is higher.
Pay Frequency: Weekly
The hourly wage rate and overtime rate are equal to the highest of the applicable prevailing wage rates.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Employer provides daily transportation from primary worksite (office/yard) to all worksites and back.
Does employer offer a ride to primary worksite location to workers living within a reasonable
commute?: YES  
Overtime available?  YES  
On-the-Job Training provided?  YES  
Employer-Provided Tools and Equipment provided? YES  
Board, Lodging or Other Facilities provided?: YES .Employer will assist workers from outside normal commuting distance in securing local housing.  Workers not required to reside in housing secured by Employer. 
Deductions: Workers who voluntarily elect to reside in housing secured by employer will pay rent and utilities through payroll deduction.  Rent and utility charges and corresponding deductions are at market range for low-income housing. 
</t>
  </si>
  <si>
    <t xml:space="preserve">Workers who voluntarily elect to reside in housing secured by employer will pay rent and utilities through payroll deduction.  Rent and utility charges and corresponding deductions are at market range for low-income housing. </t>
  </si>
  <si>
    <t>Henrico</t>
  </si>
  <si>
    <t>New Haven, CT</t>
  </si>
  <si>
    <t>Genaro</t>
  </si>
  <si>
    <t>info@salazarlawpllc.com</t>
  </si>
  <si>
    <t>Law Offices of Genaro Salazar</t>
  </si>
  <si>
    <t>CHARACTER LIMIT: Overtime is not guaranteed but if worked rate is paid at time and a half per hour above 40 hours per...</t>
  </si>
  <si>
    <t xml:space="preserve">Monday-Friday, Schedule varies, overtime varies
</t>
  </si>
  <si>
    <t>H-400-22335-613768</t>
  </si>
  <si>
    <t>Fast Food Cooks</t>
  </si>
  <si>
    <t>Square Burger Winston Salem LLC</t>
  </si>
  <si>
    <t>Culver's</t>
  </si>
  <si>
    <t xml:space="preserve">2973 Fairlawn Dr </t>
  </si>
  <si>
    <t>Winston Salem</t>
  </si>
  <si>
    <t>Vikramkumar</t>
  </si>
  <si>
    <t>703 Gaither Road</t>
  </si>
  <si>
    <t>vp@winstonsalemculvers.com</t>
  </si>
  <si>
    <t xml:space="preserve">Must be able to stand all day during shift.  Must be able to lift up to 50 lbs.. Must work well with others.  Must be able to work in a fast-paced environment.  Must be able to pass post-employment, employer paid drug test if administered.
Work days:  Rotating shifts; Sunday-Saturday
Hours per week: 35
Work Schedule: 9am-3pm, 3pm-11pm
Additional information about wage:
Employer may offer a raise or bonus depending on experience and merit.
Does employer offer a ride to primary worksite location to workers living within a reasonable
commute:  YES
Overtime available?  YES
On-the-Job Training provided? YES
Employer-Provided Tools and Equipment provided?  YES
Board, Lodging or Other Facilities provided?:   YES
Deductions: Optional housing at market rate.
</t>
  </si>
  <si>
    <t>2973 Fairlawn Dr</t>
  </si>
  <si>
    <t>P-400-22263-481474</t>
  </si>
  <si>
    <t>Optional housing at market rate.</t>
  </si>
  <si>
    <t>(Mail to: P.O. Box 369, Tennent, NJ 07763)</t>
  </si>
  <si>
    <t>Vivona Jr.</t>
  </si>
  <si>
    <t>Dominic</t>
  </si>
  <si>
    <t>dominicvivona@gmail.com</t>
  </si>
  <si>
    <t>H-400-22335-614690</t>
  </si>
  <si>
    <t>Green Escapes Nursery, Inc.</t>
  </si>
  <si>
    <t>Green Escapes Landscape Contractors Inc</t>
  </si>
  <si>
    <t>40482 Abby James Road</t>
  </si>
  <si>
    <t>Prairieville</t>
  </si>
  <si>
    <t>ofc@greenescapesla.com</t>
  </si>
  <si>
    <t xml:space="preserve">Random drug testing during employment. Able to lift 50lbs. Monday-Friday, some Saturdays required,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</si>
  <si>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P-400-22222-409227</t>
  </si>
  <si>
    <t>GLOUCESTER</t>
  </si>
  <si>
    <t>Nicely</t>
  </si>
  <si>
    <t>Garth</t>
  </si>
  <si>
    <t>garth0480@yahoo.com</t>
  </si>
  <si>
    <t>Oxford</t>
  </si>
  <si>
    <t>Alpine</t>
  </si>
  <si>
    <t>Vizcaino</t>
  </si>
  <si>
    <t>AUGUSTA CITY</t>
  </si>
  <si>
    <t>H-400-22335-613733</t>
  </si>
  <si>
    <t>Landscaping and Groundskeeping</t>
  </si>
  <si>
    <t>HAMBLETON LAWN CARE AND MAINTENANCE SERVICES, INC</t>
  </si>
  <si>
    <t>1975 Soco Road</t>
  </si>
  <si>
    <t>Maggie Valley</t>
  </si>
  <si>
    <t>Hambleton</t>
  </si>
  <si>
    <t>Hambletonadam@yahoo.com</t>
  </si>
  <si>
    <t xml:space="preserve">Follow Employee Handbook, MUST BE ABLE TO TOLERATE EXTREME TEMPERATURES, LOUD NOISES; LIFT HEAVY EQUIPMENT AND EXHIBIT STAMINA. POST-EMPLOYMENT, EMPLOYER-PAID DRUG TEST may be ADMINISTERED. MAY WORK SATURDAY.
Work days:  M-F, may work Saturdays
Hours per week: 40
Work Schedule: 8-4:30pm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Employer will provide optional transportation to and from worksite within a reasonable distance.
Overtime available?  Yes
On-the-Job Training provided?  Yes
Employer-Provided Tools and Equipment provided?  Yes
Board, Lodging or Other Facilities provided?: Housing may be secured prior to the start date of need for those who do not have reasonable housing accommodations. No family housing available. Deduction will be $165/month or current market value. Housing is optional.
Deductions: 
Optional housing available at $165/month or current market value. 
</t>
  </si>
  <si>
    <t>P-400-22258-475479</t>
  </si>
  <si>
    <t>Deduction will be $165/month or current market value. Housing is optional.</t>
  </si>
  <si>
    <t>HambletonAdam@yahoo.com</t>
  </si>
  <si>
    <t>M Cardona Landscaping</t>
  </si>
  <si>
    <t>540 Hubbard Avenue</t>
  </si>
  <si>
    <t xml:space="preserve">Cardona </t>
  </si>
  <si>
    <t>12 Midhampton Ave</t>
  </si>
  <si>
    <t>mcardona4078@yahoo.com</t>
  </si>
  <si>
    <t>JESSAMINE</t>
  </si>
  <si>
    <t>Plymouth Meeting</t>
  </si>
  <si>
    <t>Ach</t>
  </si>
  <si>
    <t>Rachel Lynch Swimming Pool Services Inc</t>
  </si>
  <si>
    <t>375 David White's Lane</t>
  </si>
  <si>
    <t>375 David Whites Lane</t>
  </si>
  <si>
    <t>P-400-22201-364378</t>
  </si>
  <si>
    <t>AAUBE@RACHELLYNCH.COM</t>
  </si>
  <si>
    <t>H-400-22335-614317</t>
  </si>
  <si>
    <t>Framers</t>
  </si>
  <si>
    <t>Ankeny</t>
  </si>
  <si>
    <t>H-400-22335-614821</t>
  </si>
  <si>
    <t>Shearon Environmental Design Co Inc.</t>
  </si>
  <si>
    <t>5160 Militia Hill Rd</t>
  </si>
  <si>
    <t>Shearon</t>
  </si>
  <si>
    <t>anguyen@shearondesign.com</t>
  </si>
  <si>
    <t>Random drug testing during employment, Pre-employment drug testing required, Drug testing during employment for cause, 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</si>
  <si>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5160 Militia Hill Road</t>
  </si>
  <si>
    <t>P-400-22229-422187</t>
  </si>
  <si>
    <t>H-400-22335-614495</t>
  </si>
  <si>
    <t>Yellowstone Landscape - Southeast, LLC_Lake Oconee</t>
  </si>
  <si>
    <t xml:space="preserve">172 Sammons Industrial Parkway </t>
  </si>
  <si>
    <t>Eatonton</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</si>
  <si>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</si>
  <si>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172 Sammons Industrial Parkway</t>
  </si>
  <si>
    <t>P-400-22284-521201</t>
  </si>
  <si>
    <t>GDS Properties</t>
  </si>
  <si>
    <t>200 Clearview Dr.</t>
  </si>
  <si>
    <t>Sulin</t>
  </si>
  <si>
    <t>gdsproperties@yahoo.com</t>
  </si>
  <si>
    <t>P-400-22237-438051</t>
  </si>
  <si>
    <t>Special Event Labor</t>
  </si>
  <si>
    <t>H-400-22335-614008</t>
  </si>
  <si>
    <t>Victor's Lawncare LLC</t>
  </si>
  <si>
    <t>135 Augustus Cove</t>
  </si>
  <si>
    <t xml:space="preserve">Victor </t>
  </si>
  <si>
    <t>obsecion33@hotmail.com</t>
  </si>
  <si>
    <t xml:space="preserve">NONE. Employer may assist workers with finding and/or securing housing, employer is not providing housing.
</t>
  </si>
  <si>
    <t>GIBSON</t>
  </si>
  <si>
    <t>P-400-22256-469036</t>
  </si>
  <si>
    <t>North Pacific Seafoods, Inc.</t>
  </si>
  <si>
    <t>4 Nickerson Street</t>
  </si>
  <si>
    <t>Leauri</t>
  </si>
  <si>
    <t>Karin</t>
  </si>
  <si>
    <t>Vice President, HR and Administration</t>
  </si>
  <si>
    <t>leaurimoore@npsi.us</t>
  </si>
  <si>
    <t>Isohata</t>
  </si>
  <si>
    <t>Satoru</t>
  </si>
  <si>
    <t>6100 219th Street SW</t>
  </si>
  <si>
    <t>Suite 480</t>
  </si>
  <si>
    <t>Mountlake Terrace</t>
  </si>
  <si>
    <t>isohata@kandilawyers.com</t>
  </si>
  <si>
    <t>Kotokawa &amp; Isohata, PS</t>
  </si>
  <si>
    <t>627 Shelikof Street</t>
  </si>
  <si>
    <t>On-campus dormitory-style shared housing and meals at each work location will be paid by the employer</t>
  </si>
  <si>
    <t>www.northpacificseafoods.com</t>
  </si>
  <si>
    <t>c/o Newport Hotel Group, 28 Jacome Way, Middletown, RI 02842</t>
  </si>
  <si>
    <t>Nunes</t>
  </si>
  <si>
    <t>c/o Newport Hotel Group, 28 Jacome Way</t>
  </si>
  <si>
    <t>lanunes@newporthotelgroup.com</t>
  </si>
  <si>
    <t>resumes@newporthotelgroup.com</t>
  </si>
  <si>
    <t>Joel</t>
  </si>
  <si>
    <t>Reithoffer Shows, Inc.</t>
  </si>
  <si>
    <t>9022 WIGGINS RD</t>
  </si>
  <si>
    <t>[MAIL: PO BOX 1080, GIBSONTON, FL 33534]</t>
  </si>
  <si>
    <t>Reithoffer</t>
  </si>
  <si>
    <t>CEO/President</t>
  </si>
  <si>
    <t>rreithoffer@aol.com</t>
  </si>
  <si>
    <t>9022 Wiggins Rd</t>
  </si>
  <si>
    <t>P-400-22278-512265</t>
  </si>
  <si>
    <t>H-400-22335-614721</t>
  </si>
  <si>
    <t>James Landscape and Sprinkler Inc</t>
  </si>
  <si>
    <t>5721 Studer Road</t>
  </si>
  <si>
    <t>Mailing: P.O. Box 25763, Little Rock, AR 72221</t>
  </si>
  <si>
    <t>jameslandscapeandsprinkler@gmail.com</t>
  </si>
  <si>
    <t xml:space="preserve">Drug testing during employment for cause; Post-Accident Drug Testing. Able to lift 75lbs. Must be able to work in inclement weather and extreme temperature. Monday-Friday, some Saturdays and Sundays as needed,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</si>
  <si>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P-400-22202-368150</t>
  </si>
  <si>
    <t>H-400-22320-590813</t>
  </si>
  <si>
    <t>TLC Property Maintenance, LLC.</t>
  </si>
  <si>
    <t>11602 Tarpon Springs Road</t>
  </si>
  <si>
    <t>jack@youdeservetlc.com</t>
  </si>
  <si>
    <t>P-400-22255-466590</t>
  </si>
  <si>
    <t>* Applicable Taxes.
* Uniform (TLC branded t-shirts are required and range from $7.00 - $14.00 each, depending on style and size). 2-6 shirts are the usual for each employee.</t>
  </si>
  <si>
    <t>admin@youdeservetlc.com</t>
  </si>
  <si>
    <t>http://youdeservetlc.com/join</t>
  </si>
  <si>
    <t>H-400-22339-621264</t>
  </si>
  <si>
    <t xml:space="preserve">LandCare Management, LLC </t>
  </si>
  <si>
    <t>5190 Marshall St.</t>
  </si>
  <si>
    <t>mike@landcaremgt.com</t>
  </si>
  <si>
    <t>5190 Marshall St. (Report to Work)</t>
  </si>
  <si>
    <t>P-400-22189-341021</t>
  </si>
  <si>
    <t>info@landcaremgt.com</t>
  </si>
  <si>
    <t>H-400-22321-592694</t>
  </si>
  <si>
    <t>Davis Landscape LTD (PA) (Feb)</t>
  </si>
  <si>
    <t>CHARACTER LIMIT: 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If employee e</t>
  </si>
  <si>
    <t>H-400-22349-642571</t>
  </si>
  <si>
    <t xml:space="preserve">Shared housing may be available - if used:
Weekly Housing Deduction $160.00
Housing Deposit 3 deductions of $66.66 total $200.00
</t>
  </si>
  <si>
    <t>H-400-22304-559533</t>
  </si>
  <si>
    <t>RFMCS</t>
  </si>
  <si>
    <t>803 S 1st ST</t>
  </si>
  <si>
    <t>Rocky Ford</t>
  </si>
  <si>
    <t>Raymundo</t>
  </si>
  <si>
    <t>Owner RFMCS</t>
  </si>
  <si>
    <t>rfmcs2015@gmail.com</t>
  </si>
  <si>
    <t xml:space="preserve">1310 Elm Ave </t>
  </si>
  <si>
    <t>P-400-22262-479691</t>
  </si>
  <si>
    <t xml:space="preserve">Employer will make all deductions from the worker's paycheck as required by law if applicable. Employer offers room and board in shared housing and will deduct $50.00 per person per week for these expenses for employees who choose them.   </t>
  </si>
  <si>
    <t>H-400-22313-577085</t>
  </si>
  <si>
    <t>Kangas Casas Enterprises LLC</t>
  </si>
  <si>
    <t>Trinity River Lawn Care &amp; Landscaping</t>
  </si>
  <si>
    <t>9945 East Bankhead Hwy</t>
  </si>
  <si>
    <t>Mailing: P.O. Box 63, Aledo, TX  76008</t>
  </si>
  <si>
    <t>Aledo</t>
  </si>
  <si>
    <t>Kangas</t>
  </si>
  <si>
    <t xml:space="preserve">Dena </t>
  </si>
  <si>
    <t>dena@trinityriverlawncare.com</t>
  </si>
  <si>
    <t xml:space="preserve">Post employment Drug Testing based on employers reasonable suspicion and Pre-employment criminal background check.
</t>
  </si>
  <si>
    <t>PARKER</t>
  </si>
  <si>
    <t>P-400-22201-365512</t>
  </si>
  <si>
    <t>Mary@trinityriverlawncare.com</t>
  </si>
  <si>
    <t>H-400-22334-611168</t>
  </si>
  <si>
    <t>H-400-22318-584211</t>
  </si>
  <si>
    <t>Tony's Concessions</t>
  </si>
  <si>
    <t>997 2nd Street</t>
  </si>
  <si>
    <t>tonysconcessions@gmail.com</t>
  </si>
  <si>
    <t>P-400-22192-342549</t>
  </si>
  <si>
    <t>H-400-22307-565954</t>
  </si>
  <si>
    <t>Optional housing available to the worker at a rate of $400/month; $200 to be deducted from each bi-weekly paycheck if housing is agreed upon by the worker.
At Employer’s sole discretion: possible cash advances (if applicable/requested by worker, potential deduction from worker’s paycheck).</t>
  </si>
  <si>
    <t>H-400-22335-613730</t>
  </si>
  <si>
    <t xml:space="preserve"> EMPLOYER PROVIDED HOUSING WITH UTILITIES FOR $300/MONTH. 3 MEALS/DAY ARE AVAILABLE AT NO COST. SHARED IN ROOMS</t>
  </si>
  <si>
    <t>ALL DEDUCTIONS FROM THE WORKER'S PAYCHECK REQUIRED BY LAW WILL BE MADE. EMPLOYER PROVIDED HOUSING WITH UTILITIES FOR $300/MONTH. 3 MEALS/DAY AVAILABLE AT NO COST.</t>
  </si>
  <si>
    <t>H-400-22307-566565</t>
  </si>
  <si>
    <t>MN GOBER, LLC</t>
  </si>
  <si>
    <t>Landscape Express</t>
  </si>
  <si>
    <t>2604 Bierstadt Dr</t>
  </si>
  <si>
    <t>Highland Village</t>
  </si>
  <si>
    <t>landscapexpress99@yahoo.com</t>
  </si>
  <si>
    <t>P-400-22256-468953</t>
  </si>
  <si>
    <t>Possibility of advanced pay option to reimburse via deduction from pay. Deductions will not drop the overall wage below the UDSOL minimum, if the deductions are too great they will not be made.</t>
  </si>
  <si>
    <t>H-400-22321-592862</t>
  </si>
  <si>
    <t xml:space="preserve">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
</t>
  </si>
  <si>
    <t>9501 Beman Woods Way</t>
  </si>
  <si>
    <t>Potomac</t>
  </si>
  <si>
    <t>P-400-22234-430479</t>
  </si>
  <si>
    <t>Employer may make payroll deductions at employee's request. Employer facilitates voluntary housing arrangements upon worker request along with corresponding payroll deductions, $130.00/bi-weekly for rent and utilities.</t>
  </si>
  <si>
    <t>danielle.mcfall@mcfallandberry.com</t>
  </si>
  <si>
    <t>H-400-22321-592786</t>
  </si>
  <si>
    <t>Wildflower Nursery, Inc. (FEB)</t>
  </si>
  <si>
    <t>6245 Hwy 17 N.</t>
  </si>
  <si>
    <t>P. O. Box 445, Isle of Palms, SC 29451</t>
  </si>
  <si>
    <t>jparker815@aol.com</t>
  </si>
  <si>
    <t xml:space="preserve">Lift/carry up to 50 pounds.  Post Accident employer paid drug testing required.      
</t>
  </si>
  <si>
    <t>P-400-22235-432830</t>
  </si>
  <si>
    <t>Shared housing available to only seasonal full-time employees, not offered to non-employees. Employees may make their own arrangements at their own expense. If they opt to live in employer provided housing rent (utilities included) charged at $90.00/week.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</si>
  <si>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info@pls6.com</t>
  </si>
  <si>
    <t>https://www.Plesaantlandscapes.com</t>
  </si>
  <si>
    <t>H-400-22340-625002</t>
  </si>
  <si>
    <t>LandCare USA LLC - Dallas</t>
  </si>
  <si>
    <t>247 Gilbert Circle Bldg B</t>
  </si>
  <si>
    <t xml:space="preserve">Requires three months of previous landscape experience. Must lift/carry 50 lbs., when necessary. Standard workweek is 4 days per week. Friday, Saturday, and Sunday work required, when necessary. Post-hire random and upon suspicion of use drug testing required of foreign and domestic workers. Post-hire background check and employment eligibility (e-Verify) check required of foreign and domestic workers. Post-hire motor vehicle record check and drug test required for all foreign and domestic Landscape Laborers who drive company vehicles (driving is not a requirement of all workers in the position). Employer may offer more than the stated work hours depending on weather, business needs, and other conditions. Extreme heat, cold, rain, or drought may affect exact working hours.
</t>
  </si>
  <si>
    <t>P-400-22277-508470</t>
  </si>
  <si>
    <t>If requested, emplyr helps non-local workers secure worker-paid lodging (not to exceed fair market value, based on # occupants). Housing costs paid directly to landlord &amp; are not payroll deducted.  Voluntary advances and/or loans made to workers, if any, may be repaid by pre-authorized payroll deducts.  Emplyr may deduct retirement/savings plan contributions &amp;/or health ins premiums for workers voluntarily participating in plan(s). Uniform provided at no cost. Emplyr may deduct cost for voluntary purchase of add’l uniforms for worker's benefit.  Emplyr offers paid time off (PTO) to all eligible workers in position. No daily transportation to/from work provided. Employer provides incidental transport between worksites as necessary. Such transport complies with all applicable Federal, State, &amp; local laws/regulations.</t>
  </si>
  <si>
    <t>H-400-22321-592150</t>
  </si>
  <si>
    <t>Hartsoe Property Services</t>
  </si>
  <si>
    <t>150 Nichols Street</t>
  </si>
  <si>
    <t>Hartsoe</t>
  </si>
  <si>
    <t>bradhartsoe@hotmail.com</t>
  </si>
  <si>
    <t>150 Nichols St. (Report to Work)</t>
  </si>
  <si>
    <t>P-400-22214-389434</t>
  </si>
  <si>
    <t>Optional shared housing available at up to $125.00 bi-weekly to be deducted from employee's paycheck.
At Employer’s sole discretion: possible cash advances (if applicable/requested by worker, potential deduction from worker’s paycheck).</t>
  </si>
  <si>
    <t>H-400-22335-613736</t>
  </si>
  <si>
    <t>ALFIERI PAINTING &amp; DECORATING INC</t>
  </si>
  <si>
    <t>575 UNDERHILL BLVD</t>
  </si>
  <si>
    <t>SYOSSET</t>
  </si>
  <si>
    <t>ALFIERI</t>
  </si>
  <si>
    <t>PHILIP</t>
  </si>
  <si>
    <t>1 MONTH EXPERIENCE AS A PAINTER HELPER</t>
  </si>
  <si>
    <t>P-400-22189-339346</t>
  </si>
  <si>
    <t>DALFIERI@ADICONTRACTING.COM</t>
  </si>
  <si>
    <t>H-400-22305-562599</t>
  </si>
  <si>
    <t>Claudia Padgett</t>
  </si>
  <si>
    <t>15 Calle Rodriguez Serra</t>
  </si>
  <si>
    <t>Apt 6</t>
  </si>
  <si>
    <t>Padgett</t>
  </si>
  <si>
    <t>Household Owner</t>
  </si>
  <si>
    <t>clau_aliaga@hotmail.com</t>
  </si>
  <si>
    <t xml:space="preserve">Drivers license, pre-employment drug test, and physical ability to lift children.
</t>
  </si>
  <si>
    <t>Lodging will be available in employer-owned housing at no additional cost to the employee. Utilities paid by employer.</t>
  </si>
  <si>
    <t>P-400-22190-341490</t>
  </si>
  <si>
    <t>The Employer will make all deductions from the worker’s paycheck that are required by law. Lodging will be available in employer-owned housing at no additional cost to the employee.</t>
  </si>
  <si>
    <t>H-400-22335-613948</t>
  </si>
  <si>
    <t>H-400-22335-613871</t>
  </si>
  <si>
    <t>MID-AMERICA GOLF &amp; LANDSCAPE INC</t>
  </si>
  <si>
    <t>1621 SE SUMMIT STREET</t>
  </si>
  <si>
    <t>LEES SUMMIT</t>
  </si>
  <si>
    <t>P-400-22200-360731</t>
  </si>
  <si>
    <t>kherringon@mid-americagolf.com</t>
  </si>
  <si>
    <t>H-400-22335-613740</t>
  </si>
  <si>
    <t>H-400-22335-613869</t>
  </si>
  <si>
    <t>P-400-22200-360740</t>
  </si>
  <si>
    <t>kherrington@mid-americagolf.com</t>
  </si>
  <si>
    <t>H-400-22316-583940</t>
  </si>
  <si>
    <t>Paulette's Food Service</t>
  </si>
  <si>
    <t>3596 Clover Lake Dr</t>
  </si>
  <si>
    <t>Pinckneyville</t>
  </si>
  <si>
    <t>Keene</t>
  </si>
  <si>
    <t>Paulette</t>
  </si>
  <si>
    <t>pfs1982@gmail.com</t>
  </si>
  <si>
    <t>3596 Clover Lake Dr.</t>
  </si>
  <si>
    <t xml:space="preserve">Pinckneyville </t>
  </si>
  <si>
    <t>PERRY</t>
  </si>
  <si>
    <t>P-400-22270-497053</t>
  </si>
  <si>
    <t>H-400-22321-592971</t>
  </si>
  <si>
    <t>Paradise Plantscapes, Inc.</t>
  </si>
  <si>
    <t>108 Lesin Broussard Road</t>
  </si>
  <si>
    <t>Bott-Gonzalez</t>
  </si>
  <si>
    <t>paradiseplant@aol.com</t>
  </si>
  <si>
    <t>108 Lesin Broussard Road (Report to Work)</t>
  </si>
  <si>
    <t>P-400-22210-385829</t>
  </si>
  <si>
    <t>applyparadiseplant@gmail.com</t>
  </si>
  <si>
    <t xml:space="preserve">Drug testing. Drug-testing requirement is applied "pre-hire." All drug testing will be carried out equally between the U.S. workers and the H-2B workers.
Work may include wknd/hol.
</t>
  </si>
  <si>
    <t>H-400-22307-566617</t>
  </si>
  <si>
    <t>H-400-22307-566265</t>
  </si>
  <si>
    <t>Mean Green Lawn &amp; Landscape, LLC</t>
  </si>
  <si>
    <t>3417 County Road 920</t>
  </si>
  <si>
    <t>Whittaker</t>
  </si>
  <si>
    <t>meangreendfw@gmail.com</t>
  </si>
  <si>
    <t>3417 County Road 920 (Report to Work)</t>
  </si>
  <si>
    <t>P-400-22213-387608</t>
  </si>
  <si>
    <t>H-400-22307-566482</t>
  </si>
  <si>
    <t>4742 N. Romero Rd</t>
  </si>
  <si>
    <t>P-400-22237-438205</t>
  </si>
  <si>
    <t>H-400-22291-536727</t>
  </si>
  <si>
    <t>Whatever Enterprises, LLC.</t>
  </si>
  <si>
    <t>8803 NUNDY AVE.</t>
  </si>
  <si>
    <t>[MAIL: 11705 BOYETTE RD, RIVERVIEW, FL 33569]</t>
  </si>
  <si>
    <t>Bestland-Hrudka</t>
  </si>
  <si>
    <t>rhrudkal@aol.com</t>
  </si>
  <si>
    <t>[MAIL: 11705 Boyette Rd. Riverview FL 33569]</t>
  </si>
  <si>
    <t>P-400-22241-443528</t>
  </si>
  <si>
    <t>rhudka1@aol.com</t>
  </si>
  <si>
    <t>H-400-22307-566519</t>
  </si>
  <si>
    <t xml:space="preserve">No minimum education or experience required.
Workers are subject to post-employment criminal background checks, paid by employer and applied equally to all workers, U.S. and foreign/H-2B. 
Must be able to work weekends and holidays as required. 
Applicant must complete an employment application.  
"Required uniform provided at no cost to employee" 
</t>
  </si>
  <si>
    <t>P-400-22153-236131</t>
  </si>
  <si>
    <t xml:space="preserve">A single workweek will be used to compute wages due. Pay received bi-weekly. Employer will make all deductions from the worker's paycheck required by law. Optional employee shard housing available, including utilities, approx. $130.00 per week, plus $300.00 deposit required ($100.00 non-refundable, $200.00 refundable). Transportation provided between employer’s housing and worksite at approx. $45.00 per week. Meals available for purchase at approx. $3.00 per meal. Housing, meals, and transportation payroll deducted if employee elects.
</t>
  </si>
  <si>
    <t>H-400-22307-566292</t>
  </si>
  <si>
    <t>Mead Tee &amp; Turf Care, Inc.</t>
  </si>
  <si>
    <t>3316 Hipsley Mill Road</t>
  </si>
  <si>
    <t>MEAD</t>
  </si>
  <si>
    <t>TIFFANY</t>
  </si>
  <si>
    <t>3316 HIPSLEY MILL ROAD</t>
  </si>
  <si>
    <t>TMEAD@MEADTREE.COM</t>
  </si>
  <si>
    <t>Must be able to lift/carry 50lbs and work in both bending and standing positions for extended periods and in all types of weather.  Saturday work as needed.  30 minutes allotted for lunch.</t>
  </si>
  <si>
    <t>Min Wage may be higher based on tenure, skills/abilities and /or work performanace</t>
  </si>
  <si>
    <t>P-400-22194-349578</t>
  </si>
  <si>
    <t>tmead@meadtree.com</t>
  </si>
  <si>
    <t>H-400-22307-565969</t>
  </si>
  <si>
    <t>2850 Marble Court (Report to Work)</t>
  </si>
  <si>
    <t>Forestville</t>
  </si>
  <si>
    <t>P-400-22256-470227</t>
  </si>
  <si>
    <t>Optional shared, furnished housing available to the worker (including utilities); if housing is agreed upon by the worker, $104.81 to be deducted from worker's weekly paycheck. 
At Employer’s sole discretion: possible cash advances (if applicable/requested by worker, potential deduction from worker’s paycheck).</t>
  </si>
  <si>
    <t>lbarrientos@ruppertcompanies.com</t>
  </si>
  <si>
    <t>H-400-22305-561424</t>
  </si>
  <si>
    <t>Production Workers, All Other</t>
  </si>
  <si>
    <t>Minnesota Dehydrated Vegetables, Inc.</t>
  </si>
  <si>
    <t>MDV</t>
  </si>
  <si>
    <t>215 N Omland Ave</t>
  </si>
  <si>
    <t>PO Box 245</t>
  </si>
  <si>
    <t>Fosston</t>
  </si>
  <si>
    <t>Ault</t>
  </si>
  <si>
    <t>915 Omland Avenue N</t>
  </si>
  <si>
    <t>wendy.ault@mdvcorp.com</t>
  </si>
  <si>
    <t>Forklift experience is ideal but is not necessary.  Must be able to walk, move and lift up to 50lbs and be tolerant of cold weather as well as hot and humid conditions.</t>
  </si>
  <si>
    <t>P-400-22256-470320</t>
  </si>
  <si>
    <t xml:space="preserve">The employer will provide optional housing accommodations from a third-party if relocating for the position and not within reasonable transport to jobsite. If employer-arranged housing is utilized the worker will be deducted approximately $400 per month, including a $150 security deposit.
Uniforms if desired.  </t>
  </si>
  <si>
    <t>mdvcorp.com/careers</t>
  </si>
  <si>
    <t>H-400-22307-565977</t>
  </si>
  <si>
    <t>Spectrum Lawn &amp; Tree Care, Inc.</t>
  </si>
  <si>
    <t>361 North Drive</t>
  </si>
  <si>
    <t>Hord</t>
  </si>
  <si>
    <t>courtney@spectrumlawncare.com</t>
  </si>
  <si>
    <t>361 North Drive (Report to Work)</t>
  </si>
  <si>
    <t>P-400-22221-404748</t>
  </si>
  <si>
    <t>H-400-22307-565983</t>
  </si>
  <si>
    <t>J.D. Lawn Services, Inc.</t>
  </si>
  <si>
    <t>539 Craigs Corner Rd.</t>
  </si>
  <si>
    <t>Havre de Grace</t>
  </si>
  <si>
    <t>Donaldson</t>
  </si>
  <si>
    <t>jdlawnservinc@comcast.net</t>
  </si>
  <si>
    <t>539 Craigs Corner Rd. (Report to Work)</t>
  </si>
  <si>
    <t>P-400-22222-406942</t>
  </si>
  <si>
    <t>Optional shared housing available at up to $200.00 bi-weekly to be deducted from employee's paycheck.  
 At Employer’s sole discretion: possible cash advances (if applicable/requested by worker, potential deduction from worker’s paycheck).</t>
  </si>
  <si>
    <t>H-400-22245-452625</t>
  </si>
  <si>
    <t>OBI Seafoods, LLC</t>
  </si>
  <si>
    <t xml:space="preserve">Days/Shifts will vary
Transportation to and from the worksite will be provided at no cost to the worker
Optional employee housing is available to the worker at a cost of $15/day
Employer reserves the right to pay a higher wage rate or bonus to any worker, in their sole discretion, based on performance, skill, tenure, or experience. 
Up to 44 hours of overtime per week available as needed.
</t>
  </si>
  <si>
    <t>601 Port Avenue</t>
  </si>
  <si>
    <t>Seward</t>
  </si>
  <si>
    <t>KENAI PENINSULA</t>
  </si>
  <si>
    <t xml:space="preserve">OT will be paid at a rate of $27.09/hr for working greater than 40hrs in any given week or greater than 8hrs in any day </t>
  </si>
  <si>
    <t>P-400-22147-221199</t>
  </si>
  <si>
    <t>H-400-22238-441542</t>
  </si>
  <si>
    <t>Aspen Skiing Company</t>
  </si>
  <si>
    <t>The Little Nell</t>
  </si>
  <si>
    <t>675 East Durant Ave</t>
  </si>
  <si>
    <t>Streblow</t>
  </si>
  <si>
    <t>675 East Durant Avenue</t>
  </si>
  <si>
    <t>astreblow@thelittlenell.com</t>
  </si>
  <si>
    <t xml:space="preserve">Must be able to work weekends.
</t>
  </si>
  <si>
    <t>See F.a.4 under "Terms &amp; Conditions of Employment."</t>
  </si>
  <si>
    <t>P-400-22174-307881</t>
  </si>
  <si>
    <t>Employer will make all deductions from the worker's paycheck as required by law. Optional employee housing available on a first-come, first-serve basis. Rent ranges from $486.00 to $790.00 per month depending on location (reasonable cost). Rent payable by cash or check directly to landlord.</t>
  </si>
  <si>
    <t>aspensnowmass.com/jobs</t>
  </si>
  <si>
    <t>H-400-22251-462386</t>
  </si>
  <si>
    <t>Omni Fort Worth Partnership, LP</t>
  </si>
  <si>
    <t>Omni Fort Worth Hotel</t>
  </si>
  <si>
    <t>1300 Houston St</t>
  </si>
  <si>
    <t>Jaonna</t>
  </si>
  <si>
    <t xml:space="preserve">No minimum education or experience required. 
Must be able to lift, push, and pull 50 lbs.
Must pass a post-employment criminal background check, paid by employer and applied equally to all workers, U.S. and foreign/H-2B.
Must be able to work weekends and holidays.
Applicants must complete an employment application
</t>
  </si>
  <si>
    <t>P-400-22171-296393</t>
  </si>
  <si>
    <t xml:space="preserve">Employee cafeteria available for meals at approx. cost of $1 per day ($5 per week), available for payroll deduction if worker elects. Employer will make all deductions from the worker's paycheck required by law. </t>
  </si>
  <si>
    <t>https://www.omnihotels.com</t>
  </si>
  <si>
    <t>H-400-22242-445614</t>
  </si>
  <si>
    <t>one (1) year of culinary experience in a fine-dining or high-volume environment at a high-end restaurant, resort, or private club.
On-the-job training is provided.
Pre-employment background checks are completed in new hire onboarding with Human Resources.
35 hours per week.  Shifts available 7 days a week including weekends and holidays. 6:00am - 2:00pm, 8:00am - 4:00pm, 1:00pm - 10:00pm, 1:00pm - 9:30pm, 1:00pm - 9:30pm, 7:00am - 3:00pm, 9:00pm - 6:00am, including weekend and holidays.
Wage Per Hour: $14.93 - $22.50/hour. Overtime possible at hourly wage of $22.40 - $33.75.</t>
  </si>
  <si>
    <t>based on performance and merit. Each employee receives a performance review at the end of each season, based on these reviews employees will receive a merit from 0% - 3% for the start of the next winter season. Employee's may receive spot raises based on their performance.</t>
  </si>
  <si>
    <t>P-400-22159-255708</t>
  </si>
  <si>
    <t>All deductions required by law will be made. Housing is offered &amp; optional. Housing cost, if accepted, is $119-$185.50/wk., subject to change. If used, total cost of housing will be deducted from paycheck. A $250 partially refundable security deposit is required, to be paid directly to employer upon acceptance of housing. Up to $200 of deposit may be returned to the employee based on condition of housing, at the employer's sole discretion, at the end of the employment period. Assist in finding third party housing by providing a list of available contacts in the Park City area that staff can contact directly. 
Opt. deductions from paycheck offered for meals,401K,health ins., non-returned company items, housing rent &amp; fines, employee entertainment events &amp; functions. Drug screening is completed randomly, if there is a worksite injury, or if there is damage to DV property that is more than $150.Benefits: meal plans are $3.50/meal, ski lift passes are free,10-20%retail disc. at DV outlets.</t>
  </si>
  <si>
    <t>rswarts@deervalley.com</t>
  </si>
  <si>
    <t>H-400-22258-476140</t>
  </si>
  <si>
    <t>McLean Robertson Racing</t>
  </si>
  <si>
    <t>2311 S 165 Street</t>
  </si>
  <si>
    <t>Robertson</t>
  </si>
  <si>
    <t>McLean</t>
  </si>
  <si>
    <t xml:space="preserve">Trainer </t>
  </si>
  <si>
    <t>macshorses@icloud.com</t>
  </si>
  <si>
    <t>Must be able to Lift 50 Lbs. 
Mon-Sun; 40 hrs/wk; day off rotates; split shifts 5am-11am, 3pm-5pm</t>
  </si>
  <si>
    <t>P-400-22152-232504</t>
  </si>
  <si>
    <t>State and Federal Taxes
“Optional employer offered housing in the backstretch at no cost to the worker.”</t>
  </si>
  <si>
    <t>H-400-22253-465317</t>
  </si>
  <si>
    <t>Media and Communication Worker</t>
  </si>
  <si>
    <t>Media and Communication Workers, All Other</t>
  </si>
  <si>
    <t>NY Third Department Apellate Court</t>
  </si>
  <si>
    <t xml:space="preserve">Mastery of the portuguese language is a requirement for this position, in light of the restaurant's predominant Brazilian clientele.
Familiarity with Brazil's culture, in order to maintain contact with the  predominant Brazilian public. 
</t>
  </si>
  <si>
    <t>P-400-22166-285095</t>
  </si>
  <si>
    <t>H-400-22271-498623</t>
  </si>
  <si>
    <t>P.J.G. Property Maintenance Inc</t>
  </si>
  <si>
    <t>655 Scott Road</t>
  </si>
  <si>
    <t>Pipersville</t>
  </si>
  <si>
    <t>Grevy</t>
  </si>
  <si>
    <t>paul.grevy@pjgpm.com</t>
  </si>
  <si>
    <t>1720 S. State Road</t>
  </si>
  <si>
    <t>MJC Labor Solutions LLC</t>
  </si>
  <si>
    <t xml:space="preserve">Must verify prior employment. Must be able to lift 50 lbs and ability to work long hours and must be available to work the entire season. Employer paid drug test prior to employment.  M-F Possible weekend/holiday work. Will offer wage $16.09/hr ($24.14 OT).
</t>
  </si>
  <si>
    <t>1654 N. 57th Street</t>
  </si>
  <si>
    <t>P-400-22189-340492</t>
  </si>
  <si>
    <t>CASH ADVANCES AND/OR LOANS MADE TO WORKERS, IF ANY, MAY BE REPAID BY AUTHORIZED PAYROLL DEDUCTIONS.</t>
  </si>
  <si>
    <t>www.pacareerlinkpa.gov</t>
  </si>
  <si>
    <t>H-400-22277-508594</t>
  </si>
  <si>
    <t>Pollock Roe Technician</t>
  </si>
  <si>
    <t>3015 112th Avenue NE</t>
  </si>
  <si>
    <t xml:space="preserve">VP of HR and Administration </t>
  </si>
  <si>
    <t>3015 112TH AVENUE NE</t>
  </si>
  <si>
    <t>STE 100</t>
  </si>
  <si>
    <t xml:space="preserve">Knowledge of Japanese fish market requirements for fish roe products
</t>
  </si>
  <si>
    <t>1829 Ballyhoo Road</t>
  </si>
  <si>
    <t>Health insurance and potential bonus</t>
  </si>
  <si>
    <t>P-400-22200-360714</t>
  </si>
  <si>
    <t>None except required by law or employee benefits requested by worker; employer will provide room and board at the  Northern Victor (NV) plant or on the M/V Golden Alaska at no cost to the worker; employer-provided housing is optional.</t>
  </si>
  <si>
    <t>H-400-22321-592676</t>
  </si>
  <si>
    <t>Renkens Landscape Company LLC</t>
  </si>
  <si>
    <t>2701 Salem Road</t>
  </si>
  <si>
    <t>579 County Rd. 390, Hallettsville, TX 77964</t>
  </si>
  <si>
    <t>Krenek</t>
  </si>
  <si>
    <t>579 County Rd. #390, Hallettsville, TX 77964</t>
  </si>
  <si>
    <t>Dina@renkensnursery.com</t>
  </si>
  <si>
    <t>P-400-22234-429900</t>
  </si>
  <si>
    <t xml:space="preserv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</si>
  <si>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H-400-22320-591110</t>
  </si>
  <si>
    <t>Pay will be bi-weekly. Pay per piece rate. Assistance finding and securing lodging is available. Employer will make all deductions required by law from each paycheck.</t>
  </si>
  <si>
    <t>H-400-22307-566303</t>
  </si>
  <si>
    <t xml:space="preserve">Cole Concessions </t>
  </si>
  <si>
    <t>5311 Indian Draft</t>
  </si>
  <si>
    <t>rcsrides@aol.com</t>
  </si>
  <si>
    <t>P-400-22191-341869</t>
  </si>
  <si>
    <t>H-400-22307-565955</t>
  </si>
  <si>
    <t xml:space="preserve">Applicant must complete an employment application.  
Post-employment criminal background check required, cost paid by employer and applied equally to all workers, US &amp; Foreign/H2B.
Must follow pandemic policy and guidelines which may include daily health assessment and temperature check. 
</t>
  </si>
  <si>
    <t>P-400-22164-273692</t>
  </si>
  <si>
    <t>H-400-22307-565971</t>
  </si>
  <si>
    <t>5451 Wellington Road (Report to Work)</t>
  </si>
  <si>
    <t>P-400-22253-465244</t>
  </si>
  <si>
    <t>Optional shared, furnished housing available to the worker (including utilities); if housing is agreed upon by the worker, $103.40 to be deducted from worker's weekly paycheck. 
At Employer’s sole discretion: possible cash advances (if applicable/requested by worker, potential deduction from worker’s paycheck).</t>
  </si>
  <si>
    <t>lsimber@ruppertcompanies.com</t>
  </si>
  <si>
    <t>H-400-22259-478171</t>
  </si>
  <si>
    <t xml:space="preserve">Facilities Technician </t>
  </si>
  <si>
    <t>Dundee Resort Development LLC</t>
  </si>
  <si>
    <t>Arapahoe Basin Ski Area</t>
  </si>
  <si>
    <t>28194 US-6</t>
  </si>
  <si>
    <t>PO Box 5808</t>
  </si>
  <si>
    <t>Dillion</t>
  </si>
  <si>
    <t>Senior Human Resources Manager</t>
  </si>
  <si>
    <t>annem@a-basin.net</t>
  </si>
  <si>
    <t xml:space="preserve">The Petitioner will consider for employment any person who possesses at least six (6) months of maintenance or housekeeping experience at a high-end hotel, resort, or private club.
Applicant may be required to provide proof of COVID-19 vaccination.
</t>
  </si>
  <si>
    <t>Wage: $20.50 - $22.50 per hour, paid bi-weekly.  See job description for additional information.</t>
  </si>
  <si>
    <t>P-400-22188-336467</t>
  </si>
  <si>
    <t xml:space="preserve">Optional housing is offered on a first-come, first-serve basis for workers who are relocating to begin employment.  Cost of housing, if accepted, is $550.00 per month.  If used, total cost of housing will be deducted from paycheck.  A $100.00 refundable security deposit is required, to be paid directly to employer upon acceptance of housing.
Additional, optional benefits may be offered to worker, for worker’s sole benefit, including but not limited to health, dental, vision, and life insurance and 401k (for eligible employees).  If voluntarily elected by worker, employee costs/contributions for benefits will be deducted from paycheck.
</t>
  </si>
  <si>
    <t>H-400-22261-478934</t>
  </si>
  <si>
    <t>house keeping</t>
  </si>
  <si>
    <t>marbellas service llc</t>
  </si>
  <si>
    <t>2909 E. Campo Bello Dr.</t>
  </si>
  <si>
    <t>magana</t>
  </si>
  <si>
    <t>maria</t>
  </si>
  <si>
    <t>2909 E. Campo Bello Dr</t>
  </si>
  <si>
    <t>marbellallc2@gmail.com</t>
  </si>
  <si>
    <t>1673 ne lea av</t>
  </si>
  <si>
    <t>arcadia</t>
  </si>
  <si>
    <t>P-400-22207-377903</t>
  </si>
  <si>
    <t>federal taxes, state taxes, social security and willful damage to tools</t>
  </si>
  <si>
    <t>H-400-22228-418465</t>
  </si>
  <si>
    <t xml:space="preserve">Snow Shoveler </t>
  </si>
  <si>
    <t xml:space="preserve">DGO Premium Services Co. </t>
  </si>
  <si>
    <t>960 Rand Rd</t>
  </si>
  <si>
    <t>Olaguez</t>
  </si>
  <si>
    <t xml:space="preserve">960 Rand Rd </t>
  </si>
  <si>
    <t xml:space="preserve">Des Plaines </t>
  </si>
  <si>
    <t>lolaguez@gmail.com</t>
  </si>
  <si>
    <t>P-400-22186-331663</t>
  </si>
  <si>
    <t>H-400-22286-528880</t>
  </si>
  <si>
    <t>Janitors and cleaners</t>
  </si>
  <si>
    <t>*Janitors and cleaners except Maids and housekeeping cleaner</t>
  </si>
  <si>
    <t>Flashstaffing LLC</t>
  </si>
  <si>
    <t>3871 frankford ave</t>
  </si>
  <si>
    <t>philadelphia</t>
  </si>
  <si>
    <t>267-467-0279</t>
  </si>
  <si>
    <t>Tavarez</t>
  </si>
  <si>
    <t>Yris</t>
  </si>
  <si>
    <t>1302 Anderson St</t>
  </si>
  <si>
    <t>267-694-1411</t>
  </si>
  <si>
    <t>yristavarez@hotmail.com</t>
  </si>
  <si>
    <t>500 Richard run road</t>
  </si>
  <si>
    <t>Transportation, Subsidized Houses and Meals, Work accident coverange accident insurance coverage.</t>
  </si>
  <si>
    <t>P-400-22133-170273</t>
  </si>
  <si>
    <t>The worker will be provided with minimum fund or reimbursed for transportation and subsistence with $ 655.20()(1 )i) USD$10.64 for three daily meals, etc.</t>
  </si>
  <si>
    <t>yristavarez@hotmall.com</t>
  </si>
  <si>
    <t>https://www.flashstaffingllc.work</t>
  </si>
  <si>
    <t>H-400-22231-425894</t>
  </si>
  <si>
    <t>Determination Issued - Certification (Returned)</t>
  </si>
  <si>
    <t xml:space="preserve">Forklift Driver </t>
  </si>
  <si>
    <t xml:space="preserve">3 months of previous Forklift experience. Must pass company written and practical forklift operator test. High School Diploma or GED. Work is performed in an exterior environment exposed to elements of cold and heat but may also work inside cold room environment with an average temperature of 34 degrees F. Concentrated chlorine and concealed ammonia is present. Work surfaces and floors are wet.  Employees are required to wear approved shoes and protective equipment.  Must be able to lift up to 50 lbs unassisted up to  of the workday, and 20 lbs overhead as job demands. Sitting in forklift for major portion of workday.  Walking, standing on a concrete floor, reaching, bending, stooping, and repetitive hand movements may be required.   
</t>
  </si>
  <si>
    <t>3725 S. AVENUE 3E</t>
  </si>
  <si>
    <t xml:space="preserve"> The Employer will use a single workweek as its standard for computing wages due. </t>
  </si>
  <si>
    <t>P-400-22140-196935</t>
  </si>
  <si>
    <t xml:space="preserve">Workers will be paid no less than $15.17 per hour. ¿A higher rate may apply based on experience, productivity and/or market conditions. Workers will be paid bi-weekly by pay card or direct deposit. Overtime hours may vary, depending on weather or other conditions.  Deductions from Pay:  The Employer will make all deductions from the worker’s paycheck required by law.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  </t>
  </si>
  <si>
    <t>ana.meza@dole.com</t>
  </si>
  <si>
    <t>H-400-22218-401133</t>
  </si>
  <si>
    <t>Family Assistant</t>
  </si>
  <si>
    <t>Executive Secretaries and Executive Administrative Assistants</t>
  </si>
  <si>
    <t>ASOR Group LLC</t>
  </si>
  <si>
    <t>4445 Corporation Ln Suite 264</t>
  </si>
  <si>
    <t>Rosa</t>
  </si>
  <si>
    <t>Naedia</t>
  </si>
  <si>
    <t>Chelsea-Ann</t>
  </si>
  <si>
    <t>3989 Cardinal Crest Drive</t>
  </si>
  <si>
    <t>Woodbridge</t>
  </si>
  <si>
    <t>naediarosa@gmail.com</t>
  </si>
  <si>
    <t>Markovna</t>
  </si>
  <si>
    <t>29911 Niguel Road #7226</t>
  </si>
  <si>
    <t xml:space="preserve">Laguna Niguel </t>
  </si>
  <si>
    <t>victoriamarkovna@gmail.com</t>
  </si>
  <si>
    <t>Victoria Markovna Esq.</t>
  </si>
  <si>
    <t xml:space="preserve">
</t>
  </si>
  <si>
    <t xml:space="preserve">3989 Cardinal Crest Dr. </t>
  </si>
  <si>
    <t>P-400-22165-279099</t>
  </si>
  <si>
    <t xml:space="preserve"> Housing and other associated costs are optional for the applicant. Rent including utilities $2000/month
Food $500/month
Transportation $500/month
Cellular Phone $60/month</t>
  </si>
  <si>
    <t>H-400-22244-452005</t>
  </si>
  <si>
    <t xml:space="preserve">Nicholas Meat, LLC </t>
  </si>
  <si>
    <t>508 East Valley Road</t>
  </si>
  <si>
    <t xml:space="preserve">Loganton </t>
  </si>
  <si>
    <t>Bertin-Fleuriot</t>
  </si>
  <si>
    <t>Asnath</t>
  </si>
  <si>
    <t>Hiring Manager</t>
  </si>
  <si>
    <t>asnathfl@gmail.com</t>
  </si>
  <si>
    <t>Bolour/ Carl Immigration Group, APC</t>
  </si>
  <si>
    <t xml:space="preserve">508 East Valley Road </t>
  </si>
  <si>
    <t>P-400-22122-126967</t>
  </si>
  <si>
    <t xml:space="preserve">(11)	Employer will make all deductions from the workers’ paycheck required by law. Employer offers room and board in shared, dormitory housing – hotel rooms – each with two beds, full bathroom and small kitchenette; employer will deduct $100 per person per paycheck for these expenses for employees who choose to stay in the employer provided housing. </t>
  </si>
  <si>
    <t>H-400-22276-507969</t>
  </si>
  <si>
    <t>AlaPine Forestry, LLC</t>
  </si>
  <si>
    <t>2238 Salt Works Road</t>
  </si>
  <si>
    <t>Skipper</t>
  </si>
  <si>
    <t>2238 Salt Works Road (Report to Work)</t>
  </si>
  <si>
    <t>P-400-22195-352301</t>
  </si>
  <si>
    <t>alapineforestry@gmail.com</t>
  </si>
  <si>
    <t>H-400-22231-427762</t>
  </si>
  <si>
    <t>Residence Inn by Marriott Bend</t>
  </si>
  <si>
    <t>500 SW Bond Street</t>
  </si>
  <si>
    <t xml:space="preserve">Bend </t>
  </si>
  <si>
    <t>based on experience</t>
  </si>
  <si>
    <t>P-400-22099-053718</t>
  </si>
  <si>
    <t>Any health benefits the employee decides to enroll in.</t>
  </si>
  <si>
    <t>kjamieson@innventures.com</t>
  </si>
  <si>
    <t>H-400-22251-462270</t>
  </si>
  <si>
    <t>SPIRE Hospitality, LLC</t>
  </si>
  <si>
    <t xml:space="preserve">Topnotch Resort </t>
  </si>
  <si>
    <t>Lea</t>
  </si>
  <si>
    <t xml:space="preserve">Human Resources Manager </t>
  </si>
  <si>
    <t>4000 Mountain Road</t>
  </si>
  <si>
    <t>lmiller@topnotchresort.com</t>
  </si>
  <si>
    <t xml:space="preserve">The Petitioner will consider for employment any person who possesses at least three (3) months of guest service experience at a high-end hotel, resort, or private club.
Applicant must complete pre-employment background check.  
</t>
  </si>
  <si>
    <t>Wage: $17.00 - $22.05 per hour, paid bi-weekly.  See job description.</t>
  </si>
  <si>
    <t>P-400-22180-319837</t>
  </si>
  <si>
    <t xml:space="preserve">Optional housing is offered on a first-come, first-serve basis for workers who are relocating to begin employment.  Cost of housing, if accepted, is $475.00 for a shared room or $950.00 for a single room per month.  If used, total cost of housing will be paid directly to employer by employee.  
Additional, optional benefits may be offered to worker, for worker’s sole benefit, including but not limited to medical, dental, and vision.  If voluntarily elected by worker, employee costs/contributions for benefits will be deducted from paycheck.
</t>
  </si>
  <si>
    <t>H-400-22231-425912</t>
  </si>
  <si>
    <t>Forklift Loader</t>
  </si>
  <si>
    <t xml:space="preserve">3 months experience in Forklift operations, preferably in a fast-paced production environment. Ability to bend, stoop, and lift up to 50 pounds. Able to work in a cold environment (34-35 degrees on Plant floor). Driving test, post-hire, may be required. Must pass independently administered drug screen post offer. 
</t>
  </si>
  <si>
    <t>P-400-22140-195311</t>
  </si>
  <si>
    <t>Workers will be paid no less than $15.17 per hour. ¿A higher rate may apply based on experience, productivity and/or market conditions. Workers will be paid bi-weekly by pay card or direct deposit. Overtime hours may vary. Deductions from Pay:  The Employer will make all deductions from the worker’s paycheck required by law. 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t>
  </si>
  <si>
    <t>H-400-22276-507185</t>
  </si>
  <si>
    <t>Banquet Set up Staff</t>
  </si>
  <si>
    <t>Tip position.Employer may increase wage based on experience, market conditions, and/or provide additional pay for perfor</t>
  </si>
  <si>
    <t>P-400-22159-256514</t>
  </si>
  <si>
    <t>www.omnihotels.com</t>
  </si>
  <si>
    <t>H-400-22286-528502</t>
  </si>
  <si>
    <t>Support Staff</t>
  </si>
  <si>
    <t>Jake's Restaurant Partnership</t>
  </si>
  <si>
    <t>Jake's On The Lake</t>
  </si>
  <si>
    <t>780 N Lake Blvd</t>
  </si>
  <si>
    <t>Noah</t>
  </si>
  <si>
    <t>noah@jakestahoe.com</t>
  </si>
  <si>
    <t xml:space="preserve">	Read and follow directions.
	Hear and speak clearly with customers, co-workers, and/or management.
	Learn and follow basic kitchen and sanitation policies.
	Read computer generated order tickets.
	Safely handle/operate any equipment, appliances, utensils, and/or tools necessitated by the position.
	Cordially interact with co-workers and guests.
	Work under pressure in a fast-paced environment.
	Stand and/or walk for up to 10 hours.
	Safely lift and carry up to 40 lbs.
	Bend, squat, stoop, and/or reach</t>
  </si>
  <si>
    <t>P-400-22239-441857</t>
  </si>
  <si>
    <t>Optional $4 deduction for employee meals. $4 deduction is optional day-by-day, and determined by the employee whether they choose to participate in the employee meal program on a given day or not.</t>
  </si>
  <si>
    <t>https://www.jakestahoe.com/</t>
  </si>
  <si>
    <t>H-400-22271-497999</t>
  </si>
  <si>
    <t>Pine Needle Gatherers &amp; Forestry Laborer</t>
  </si>
  <si>
    <t>New Life Pine Needles</t>
  </si>
  <si>
    <t>307 w maynard st</t>
  </si>
  <si>
    <t>Pageland</t>
  </si>
  <si>
    <t>Morales Oxlaj</t>
  </si>
  <si>
    <t>Tresmorales@shtc.net</t>
  </si>
  <si>
    <t xml:space="preserve">This work requires physical stamina.  Work is performed in outdoors in extreme temperatures and adverse weather.  Worker must be able to lift 80lbs.  Extensive walking is done over rough terrain.  Minimum production standard of 10 bales correctly raked, tied and loaded per hour required for job retention after one week of training.
</t>
  </si>
  <si>
    <t>28376 Hwy 9</t>
  </si>
  <si>
    <t xml:space="preserve">Employer will make all deductions from worker's paycheck required by law. </t>
  </si>
  <si>
    <t>P-400-22187-333408</t>
  </si>
  <si>
    <t>Employer will make all deductions from the worker's paycheck required by law. Employer will assist workers in securing lodging. Employer provided housing is “optional”.</t>
  </si>
  <si>
    <t>H-400-22280-516485</t>
  </si>
  <si>
    <t>Amusement &amp; Recreation Attendant – Mobile Food Concessions F</t>
  </si>
  <si>
    <t>Strates Fine Foods, Inc.</t>
  </si>
  <si>
    <t>4607 Old National Pike</t>
  </si>
  <si>
    <t>Mount Airy</t>
  </si>
  <si>
    <t>Strates</t>
  </si>
  <si>
    <t>demetrisgreekfoods@yahoo.com</t>
  </si>
  <si>
    <t>P-400-22182-328060</t>
  </si>
  <si>
    <t>H-400-22239-441850</t>
  </si>
  <si>
    <t>1608 VICTORIA CORPORATION</t>
  </si>
  <si>
    <t>SHIBUYA SUSHI ART</t>
  </si>
  <si>
    <t>11346 WILES ROAD</t>
  </si>
  <si>
    <t>CORAL SPRING</t>
  </si>
  <si>
    <t>RIOS</t>
  </si>
  <si>
    <t>11346 WILES RD</t>
  </si>
  <si>
    <t>info@prioritx.com</t>
  </si>
  <si>
    <t>CHEF JAPANESE FOOD</t>
  </si>
  <si>
    <t>P-400-22161-269534</t>
  </si>
  <si>
    <t>losrimaster@gmail.com</t>
  </si>
  <si>
    <t>PALLARES</t>
  </si>
  <si>
    <t>PRIORITX CORP</t>
  </si>
  <si>
    <t>luispallares@prioritx.com</t>
  </si>
  <si>
    <t>H-400-22264-485280</t>
  </si>
  <si>
    <t>Oregon Forest Management Services, Inc.</t>
  </si>
  <si>
    <t>2115 Ranch Corral Dr</t>
  </si>
  <si>
    <t>Salgado</t>
  </si>
  <si>
    <t>Avel</t>
  </si>
  <si>
    <t>ofmssa@msn.com</t>
  </si>
  <si>
    <t xml:space="preserve">Applicants must be at least 18 years old to travel, and show proof of legal authority to work in the U.S.  All applicants must be able, willing, and qualified to perform the work described, must be available for the entire period specified, and must work throughout all work sites of intended employment.  Drug/alcohol free work zone.  Pre-hire drug/alcohol testing will be conducted at the employers expense.  </t>
  </si>
  <si>
    <t>LANE</t>
  </si>
  <si>
    <t>Eugene, OR</t>
  </si>
  <si>
    <t>P-400-22182-328117</t>
  </si>
  <si>
    <t xml:space="preserve">All standard deductions from payroll will be made in accordance with State and Federal laws. </t>
  </si>
  <si>
    <t>H-400-22229-421453</t>
  </si>
  <si>
    <t>Arnett Racing Stables</t>
  </si>
  <si>
    <t>525 Rosinante</t>
  </si>
  <si>
    <t>arnettracingstables@hotmail.com</t>
  </si>
  <si>
    <t>11225 RACE TRACK ROAD</t>
  </si>
  <si>
    <t>Tampa Bay</t>
  </si>
  <si>
    <t>P-400-22152-231574</t>
  </si>
  <si>
    <t>H-400-22298-550242</t>
  </si>
  <si>
    <t>Kitchen Associate</t>
  </si>
  <si>
    <t>23837 HWy 385</t>
  </si>
  <si>
    <t>23837 Hwy 385</t>
  </si>
  <si>
    <t>P-400-22216-396493</t>
  </si>
  <si>
    <t>unknown</t>
  </si>
  <si>
    <t>H-400-22279-514874</t>
  </si>
  <si>
    <t>Deckhands</t>
  </si>
  <si>
    <t>Sassy Lady, Inc.</t>
  </si>
  <si>
    <t xml:space="preserve">Lift/carry up to 50 pounds.  
</t>
  </si>
  <si>
    <t>See Addendum:  Overtime is not guaranteed but if worked rate is paid at time and a half per hour above 40 hours...</t>
  </si>
  <si>
    <t>P-400-22209-382721</t>
  </si>
  <si>
    <t>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t>
  </si>
  <si>
    <t>H-400-22290-532601</t>
  </si>
  <si>
    <t>R Moore Holdings LLC</t>
  </si>
  <si>
    <t>RDM Independent Rides d/b/a Moore's Greater Shows</t>
  </si>
  <si>
    <t>Leona</t>
  </si>
  <si>
    <t>P-400-22221-405115</t>
  </si>
  <si>
    <t>H-400-22250-460087</t>
  </si>
  <si>
    <t>Holiday Decorators and Groundskeepers</t>
  </si>
  <si>
    <t>Enid Professional Christmas Lights LLC</t>
  </si>
  <si>
    <t xml:space="preserve">313 e Oxford </t>
  </si>
  <si>
    <t xml:space="preserve">Brown </t>
  </si>
  <si>
    <t xml:space="preserve">313 E Oxford </t>
  </si>
  <si>
    <t xml:space="preserve">Enid </t>
  </si>
  <si>
    <t>Enidchristmaslights@yahoo.com</t>
  </si>
  <si>
    <t>P-400-22195-353731</t>
  </si>
  <si>
    <t>H-400-22294-545452</t>
  </si>
  <si>
    <t>DIESEL MECHANIC</t>
  </si>
  <si>
    <t>SOBA EXPRESS LLC</t>
  </si>
  <si>
    <t>167 EAGLE ST</t>
  </si>
  <si>
    <t>FIARFIELD</t>
  </si>
  <si>
    <t>NILCIA</t>
  </si>
  <si>
    <t>ALBA</t>
  </si>
  <si>
    <t>167 EAGLE</t>
  </si>
  <si>
    <t>sobaexpress@hotmail.com</t>
  </si>
  <si>
    <t>THE CANDIDATE FOR THE POSITION OF DIESEL MECHANIC HAS THE REQUIRED EXPERIENCE AND SKILLS TO WORK WITH OUR EQUIPMENT AND PREPARATION IN SAFETY PROGRAMS, ANNEX WE SEND SOME CERTIFICATIONS AND IS ALSO AN INDUSTRIAL ENGINEERING STUDENT.</t>
  </si>
  <si>
    <t>340 FRONT AVE</t>
  </si>
  <si>
    <t xml:space="preserve">WEST HEAVEN </t>
  </si>
  <si>
    <t>WEST HAVEN CITY</t>
  </si>
  <si>
    <t>WEEKLY PAYMENTS</t>
  </si>
  <si>
    <t>P-400-22285-526015</t>
  </si>
  <si>
    <t>ANY</t>
  </si>
  <si>
    <t>neurisfamilia1@gmail.com</t>
  </si>
  <si>
    <t>H-400-22229-422276</t>
  </si>
  <si>
    <t xml:space="preserve">SNOW REMOVAL TECHNITION </t>
  </si>
  <si>
    <t>ALL STATE SNOW MANAGEMENT, LLC</t>
  </si>
  <si>
    <t>1 Hartford square, Box 15W</t>
  </si>
  <si>
    <t xml:space="preserve">NEW BRITAIN </t>
  </si>
  <si>
    <t>PETER III</t>
  </si>
  <si>
    <t>1 Hartford Square BOX 15W</t>
  </si>
  <si>
    <t>PETER@ALLSTATESNOW.COM</t>
  </si>
  <si>
    <t>Our normal hours and days are 7:00 am until 3:30 PM. Normal Hours will average approximately 40 per week. however during snow and ice events, our hours are unpredictable. We may work work weekends or nights during snow and ice events.   The job requires the applicant to be qualified, ready, willing, able, and available to perform during the entire employment at all the designated worksites.  Minimum Age: 18.  Overtime available and mandatory.</t>
  </si>
  <si>
    <t xml:space="preserve">1 HARTFORD SQUARE, BOX 15W  </t>
  </si>
  <si>
    <t xml:space="preserve">NEW BRIATAIN </t>
  </si>
  <si>
    <t>As per H-2B regulations  if any.   Pay raises are based on length of time on job, quantity and quality of work produced, dependability and adherence to procedures and policies.</t>
  </si>
  <si>
    <t>P-400-22158-252096</t>
  </si>
  <si>
    <t>peter@allstatesnow.com</t>
  </si>
  <si>
    <t>H-400-22279-513467</t>
  </si>
  <si>
    <t>Ronning Landscaping, Inc.</t>
  </si>
  <si>
    <t>535 E McKellips Rd</t>
  </si>
  <si>
    <t>Ste #127</t>
  </si>
  <si>
    <t>Ronning</t>
  </si>
  <si>
    <t>robert@ronninglandscaping.com</t>
  </si>
  <si>
    <t>535 E McKellips Road</t>
  </si>
  <si>
    <t>P-400-22194-348869</t>
  </si>
  <si>
    <t>H-400-22256-470253</t>
  </si>
  <si>
    <t>UCB HPM, LLC</t>
  </si>
  <si>
    <t xml:space="preserve">Hyatt Place Blacksburg/University </t>
  </si>
  <si>
    <t>650 University City Blvd</t>
  </si>
  <si>
    <t xml:space="preserve">Mathew </t>
  </si>
  <si>
    <t>9118 Golden Leaf Drive</t>
  </si>
  <si>
    <t>P-400-22199-357912</t>
  </si>
  <si>
    <t>mathew.hoffman@hyatt.com</t>
  </si>
  <si>
    <t>H-400-22235-433363</t>
  </si>
  <si>
    <t>H-400-22210-384651</t>
  </si>
  <si>
    <t>Technician</t>
  </si>
  <si>
    <t>Titan Utility Services, LLC</t>
  </si>
  <si>
    <t>14146 Highway 1064</t>
  </si>
  <si>
    <t>Tickfaw</t>
  </si>
  <si>
    <t>brettmorrison@titanutility.net</t>
  </si>
  <si>
    <t xml:space="preserve">Must be able to work in a team environment; May be subject to random drug screen upon hire paid for by employer and/or a drug screen paid for by employer if reasonable suspicions arise during employment. This is a drug free work area.
</t>
  </si>
  <si>
    <t>Employee may make above hourly wage stated based on work experience &amp;/or performance. $50/day per diem when working away</t>
  </si>
  <si>
    <t>P-400-22158-251210</t>
  </si>
  <si>
    <t>Employer will make all deductions required by law. 
Employer will deduct $50/week for employer-provided housing, if employee chooses to live in employer-provided housing.</t>
  </si>
  <si>
    <t>H-400-22245-454113</t>
  </si>
  <si>
    <t>LNW Landscaping LLC</t>
  </si>
  <si>
    <t>Perfect Finish Landscaping</t>
  </si>
  <si>
    <t>3939 Belt Line Rd</t>
  </si>
  <si>
    <t>Martino</t>
  </si>
  <si>
    <t>blake@perfectfinishlandscaping.com</t>
  </si>
  <si>
    <t xml:space="preserve">Employer paid pre-hire drug testing; Employer paid pre-hire criminal background check
</t>
  </si>
  <si>
    <t>3939 Belt Line Rd.</t>
  </si>
  <si>
    <t>1 hr. for lunch. Some O.T. may be available but not guaranteed.  Wage w/in wage range based on experience &amp; performance</t>
  </si>
  <si>
    <t>P-400-22183-329481</t>
  </si>
  <si>
    <t>If optional pay advances to secure housing-weekly payments of $100.00 until paid in full;  If optional insurance selected for employee only-weekly payments of $10.00.</t>
  </si>
  <si>
    <t>H-400-22285-525446</t>
  </si>
  <si>
    <t>Receptionist</t>
  </si>
  <si>
    <t>Receptionists and Information Clerks</t>
  </si>
  <si>
    <t>claudio</t>
  </si>
  <si>
    <t>mclaudio@worksourcestaffingpa.com</t>
  </si>
  <si>
    <t>MINIMUM OF 6 MONTHS OF EXPERIENCE 
RESUME
ABLE TO WORK ON FAST PACE 
ABLE TO SCAN AND FAX 
FAMILIAR WITH MICROSOFT OFFICE</t>
  </si>
  <si>
    <t>The employer will make all deductions from the worker's paycheck required by law.
Employer offers transportation and will deduct $30 per person per week for these expense</t>
  </si>
  <si>
    <t>Claudio</t>
  </si>
  <si>
    <t>Work Source Staffing LLC</t>
  </si>
  <si>
    <t>H-400-22305-562692</t>
  </si>
  <si>
    <t>Thoroughbred Horse Trainer</t>
  </si>
  <si>
    <t>Padinac Inc.</t>
  </si>
  <si>
    <t>8751 Lackawanna Ave</t>
  </si>
  <si>
    <t>Milosevic</t>
  </si>
  <si>
    <t>Milan</t>
  </si>
  <si>
    <t>mixa_kg@yahoo.com</t>
  </si>
  <si>
    <t>P-400-22256-469353</t>
  </si>
  <si>
    <t>H-400-22322-595303</t>
  </si>
  <si>
    <t>H-400-22328-605846</t>
  </si>
  <si>
    <t>Alan McKinney Food Service, LLC</t>
  </si>
  <si>
    <t>14537 FM 130</t>
  </si>
  <si>
    <t>drunyan.ddcpa@gmail.com</t>
  </si>
  <si>
    <t>P-400-22243-447974</t>
  </si>
  <si>
    <t>H-400-22326-601182</t>
  </si>
  <si>
    <t>Frank Sharum Landscape Design, Inc.</t>
  </si>
  <si>
    <t xml:space="preserve">10012 Hwy 71 </t>
  </si>
  <si>
    <t>PO Box 6524 Fort Smith AR 72906</t>
  </si>
  <si>
    <t>Sharum</t>
  </si>
  <si>
    <t>10012 Hwy 71</t>
  </si>
  <si>
    <t>P. O. Box 6524, Fort Smith, AR 72906</t>
  </si>
  <si>
    <t>payroll@sharums.com</t>
  </si>
  <si>
    <t xml:space="preserve">Lift/carry up to 50 pounds. Post Accident, Post Employment employer paid drug testing required.     Job requires physical stamina in adverse conditions (hot/cold weather, poisonous plants, insects and snakes). Applicant must be 18 years of age and complete a company application. </t>
  </si>
  <si>
    <t>10012 HWY 71 SOUTH</t>
  </si>
  <si>
    <t>FORT SMITH</t>
  </si>
  <si>
    <t>P-400-22276-507099</t>
  </si>
  <si>
    <t xml:space="preserve">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</si>
  <si>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H-400-22328-605707</t>
  </si>
  <si>
    <t>Houseperson</t>
  </si>
  <si>
    <t>P-400-22160-264811</t>
  </si>
  <si>
    <t>H-400-22335-613901</t>
  </si>
  <si>
    <t>COMPLETE LAWN CARE INC</t>
  </si>
  <si>
    <t xml:space="preserve">2891 WINTERGREEN DRIVE </t>
  </si>
  <si>
    <t>BECKER</t>
  </si>
  <si>
    <t>5735 FEE FEE ROAD</t>
  </si>
  <si>
    <t>HAZELWOOD</t>
  </si>
  <si>
    <t>2891 WINTERGREEN DRIVE</t>
  </si>
  <si>
    <t>P-400-22193-345240</t>
  </si>
  <si>
    <t>MARK@COMPLETELAWNCAREINC.COM</t>
  </si>
  <si>
    <t>H-400-22327-603796</t>
  </si>
  <si>
    <t>Island Landscapes LLC</t>
  </si>
  <si>
    <t>YardWorks</t>
  </si>
  <si>
    <t>2335 Rifle Range Rd</t>
  </si>
  <si>
    <t>Mailing: P.O. Box 733, Sullivans Island, SC 29482</t>
  </si>
  <si>
    <t>Hobson</t>
  </si>
  <si>
    <t>kathryn@scyardworks.com</t>
  </si>
  <si>
    <t xml:space="preserve">Monday-Friday, some Saturdays required, schedule varies, start/end times vary, overtime varies. Able to lift 50lbs. Must be able to work in excessive heat. Pre-hire background check required;Random drug testing during employment.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</si>
  <si>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 xml:space="preserve">Potential raise/bonus at employer's discretion. </t>
  </si>
  <si>
    <t>P-400-22194-348332</t>
  </si>
  <si>
    <t>Employer may make payroll deductions at employee's request.
Employer facilitates voluntary housing arrangements upon availability along with corresponding payments, $175/month.</t>
  </si>
  <si>
    <t>Eastern Iowa Excavating &amp; Concrete, LLC</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</si>
  <si>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Delivery and availability of seafood product from fisherman may result in possible downtimes due to weather conditions.
</t>
  </si>
  <si>
    <t>H-400-22336-618505</t>
  </si>
  <si>
    <t>13809 Wall Road  (Report to Work)</t>
  </si>
  <si>
    <t>P-400-22264-486079</t>
  </si>
  <si>
    <t>H-400-22335-615510</t>
  </si>
  <si>
    <t>aeastman@steinbeckequine.com</t>
  </si>
  <si>
    <t>Thibodaux</t>
  </si>
  <si>
    <t>Yvette</t>
  </si>
  <si>
    <t>LAFOURCHE</t>
  </si>
  <si>
    <t>RIO GRANDE</t>
  </si>
  <si>
    <t>H-400-22335-615246</t>
  </si>
  <si>
    <t xml:space="preserve">No minimum education or experience required. Must be able to work at least 5-day work schedule, including weekends and holidays. Applicants must complete an employment application. Employer will offer a minimum of 35 hours of work per week. Resort is open 7 days a week, workdays will vary Sunday through Saturday. Normal shifts: 8 am  4:30 pm, 8:30 am  5 pm, 9 am  6 pm. Workdays and shift times may vary with events and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Piece Rate Housekeeper: Payable by piece rate with a guaranteed base rate of $14.00 per hour. Allowed piece rate applied per FLSA guidelines to meet offered wage. Rooms are individually priced out based on size, square footage, and property. Piece rate ranges from 1-bedroom $40 to 5-bedroom w/mother-in-law suites $190. Workers are required to clock-in and clock-out at the beginning and end of each shift. This allows for the tracking of hours to ensure that worker is paid at or above the guaranteed base rate of $14.00 per hour and overtime rate of pay is $21.00 per hour.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Required uniform pieces provided at no cost to employee. The employer guarantees to offer work for hours equal to at least three-fourths of the workdays in each 12-week period of the total employment period.
</t>
  </si>
  <si>
    <t>P-400-22159-257267</t>
  </si>
  <si>
    <t>WORCESTER CITY</t>
  </si>
  <si>
    <t>Worcester, MA-CT</t>
  </si>
  <si>
    <t>H-400-22335-616460</t>
  </si>
  <si>
    <t>ABC Professional Tree Services, Inc - Baton Rouge</t>
  </si>
  <si>
    <t>15150 Florida Blvd</t>
  </si>
  <si>
    <t>H-400-22335-613680</t>
  </si>
  <si>
    <t>H-400-22332-608440</t>
  </si>
  <si>
    <t>Optional housing available to worker at no cost. Employees will be responsible for paying utility costs. (Gas/electric/water/etc) At Employer’s sole discretion: possible cash advances (if applicable/requested by worker, potential deduction from worker’s paycheck).</t>
  </si>
  <si>
    <t>H-400-22337-619376</t>
  </si>
  <si>
    <t>Roanoke Airport Hotel Partners, LLC</t>
  </si>
  <si>
    <t>DBA Holiday Inn</t>
  </si>
  <si>
    <t>3315 Ordway Drive</t>
  </si>
  <si>
    <t>ROANOKE CITY</t>
  </si>
  <si>
    <t>ISLAND DESIGN &amp; LANDSCAPING INC</t>
  </si>
  <si>
    <t>482 DEER PARK AVENUE</t>
  </si>
  <si>
    <t>DIX HILLS</t>
  </si>
  <si>
    <t xml:space="preserve">NATALI </t>
  </si>
  <si>
    <t xml:space="preserve">482 DEER PARK AVENUE </t>
  </si>
  <si>
    <t xml:space="preserve">DIX HILLS </t>
  </si>
  <si>
    <t>P-400-22195-352184</t>
  </si>
  <si>
    <t>ANTHONYID@AOL.COM</t>
  </si>
  <si>
    <t>P-400-22194-348530</t>
  </si>
  <si>
    <t>ALBERTO</t>
  </si>
  <si>
    <t>MEMPHIS</t>
  </si>
  <si>
    <t>Abbott</t>
  </si>
  <si>
    <t>patty@superscapes.net</t>
  </si>
  <si>
    <t>H-400-22335-615759</t>
  </si>
  <si>
    <t>Lancaster Landscapes Inc</t>
  </si>
  <si>
    <t>5019B Backlick Road</t>
  </si>
  <si>
    <t>Mailing: P.O. Box 1667, Olney, MD 20830</t>
  </si>
  <si>
    <t>Zaleski</t>
  </si>
  <si>
    <t>azaleski@lancasterlandcapes.com</t>
  </si>
  <si>
    <t xml:space="preserve">Able to lift 60 lbs, must be able to work in inclement weather, M-F, overtime varies, schedule varies, some Saturdays as needed
</t>
  </si>
  <si>
    <t>21206 New Hampshire Avenue</t>
  </si>
  <si>
    <t>Raise/bonus at employers discretion.</t>
  </si>
  <si>
    <t>P-400-22249-456650</t>
  </si>
  <si>
    <t>azaleski@lancasterlandscapes.com</t>
  </si>
  <si>
    <t>Lawn Maintenance Laborer</t>
  </si>
  <si>
    <t>Salado Green Solutions, LLC</t>
  </si>
  <si>
    <t>Green Solutions, LLC</t>
  </si>
  <si>
    <t>3950 State Hwy 95</t>
  </si>
  <si>
    <t>Quinten</t>
  </si>
  <si>
    <t>john.talbert@greensolutions.biz</t>
  </si>
  <si>
    <t>raise/bonus at employer's discretion. Opportunity for higher pay depending on experience.</t>
  </si>
  <si>
    <t>P-400-22215-395088</t>
  </si>
  <si>
    <t>Ste C</t>
  </si>
  <si>
    <t>Stanley Cary Inc</t>
  </si>
  <si>
    <t>Five Star Lawn Management</t>
  </si>
  <si>
    <t>127 Space Park South</t>
  </si>
  <si>
    <t>Mailing: 3320 Country Hill Rd Antioch, TN 37013</t>
  </si>
  <si>
    <t>P-400-22227-416130</t>
  </si>
  <si>
    <t>Galveston</t>
  </si>
  <si>
    <t>JOEL</t>
  </si>
  <si>
    <t>Aumsville</t>
  </si>
  <si>
    <t>Assistant General Manager</t>
  </si>
  <si>
    <t>CLALLAM</t>
  </si>
  <si>
    <t>H-400-22335-613985</t>
  </si>
  <si>
    <t>Sequoia Maintenance Services LLC</t>
  </si>
  <si>
    <t>2013 N. Broadway St</t>
  </si>
  <si>
    <t>christy@sequoiadfw.com</t>
  </si>
  <si>
    <t>P-400-22255-466859</t>
  </si>
  <si>
    <t>NONE. Employer may assist with finding and/or securing housing, employer is not providing housing.</t>
  </si>
  <si>
    <t xml:space="preserve">Cardinal Stone Enterprises, Inc. </t>
  </si>
  <si>
    <t xml:space="preserve">1608 US Hwy 221 North </t>
  </si>
  <si>
    <t>Maloney</t>
  </si>
  <si>
    <t>James B. (Jim)</t>
  </si>
  <si>
    <t>Secretary/ Treasurer/ General Counsel</t>
  </si>
  <si>
    <t>jim.maloney@jrvannoy.com</t>
  </si>
  <si>
    <t>1781 NC Hwy 16 S (Report to Work)</t>
  </si>
  <si>
    <t>P-400-22199-359637</t>
  </si>
  <si>
    <t>phil.absher@jrvannoy.com</t>
  </si>
  <si>
    <t>Baker Grounds Care LLC</t>
  </si>
  <si>
    <t>The Grounds Guys of East Wichita</t>
  </si>
  <si>
    <t>1805 Lakeland Drive</t>
  </si>
  <si>
    <t>Mailing: PO Box 1251, El Dorado, KS 67042</t>
  </si>
  <si>
    <t>jeffbaker@groundsguys.com</t>
  </si>
  <si>
    <t>Able to lift 50lbs, Ability to work in a variety of weather conditions, Post-Accident Drug Testing, Monday-Thursday, Schedule Varies, Some Fridays and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t>
  </si>
  <si>
    <t>1816 N Wabash St.</t>
  </si>
  <si>
    <t>P-400-22214-391194</t>
  </si>
  <si>
    <t>eastwichita@groundsguys.com</t>
  </si>
  <si>
    <t>Guest Experience Associate</t>
  </si>
  <si>
    <t>P-400-22195-352547</t>
  </si>
  <si>
    <t>Infinity Lawn and Landscape, LLC</t>
  </si>
  <si>
    <t>Infinity Lawnscape</t>
  </si>
  <si>
    <t>4400 State Hwy 121</t>
  </si>
  <si>
    <t>Ste 900</t>
  </si>
  <si>
    <t>fernanda.edington@infinitylawnscape.com</t>
  </si>
  <si>
    <t xml:space="preserve">Monday-Friday, some Saturdays required, schedule varies, and start/end times vary, overtime varies. Able to lift 50lbs. Pre-hire background check required. 
All background checks are performed equally as to U.S. workers and H-2B workers, and all fees are paid for by the company.
See the additional document attached for further details about the administration of our background check policy.
</t>
  </si>
  <si>
    <t>2151 West Parker Rd</t>
  </si>
  <si>
    <t>Raise/bonus at employer's discretion. Opportunity for additional pay dependent upon experience.</t>
  </si>
  <si>
    <t>P-400-22208-378940</t>
  </si>
  <si>
    <t>seasonalwork@infinitylawnscape.com</t>
  </si>
  <si>
    <t>502 East 7th Street</t>
  </si>
  <si>
    <t>Woonsocket</t>
  </si>
  <si>
    <t>McWhorter</t>
  </si>
  <si>
    <t>macscarnival@gmail.com</t>
  </si>
  <si>
    <t>OOLTEWAH NURSERY  &amp; LANDSCAPING CO INC</t>
  </si>
  <si>
    <t>5829 MAIN ST</t>
  </si>
  <si>
    <t>OOLTEWAH</t>
  </si>
  <si>
    <t>WHITENER</t>
  </si>
  <si>
    <t>GINA</t>
  </si>
  <si>
    <t>5829 MAIN STREET</t>
  </si>
  <si>
    <t>gina@ooltewahnursery.com</t>
  </si>
  <si>
    <t>MUST BE ABLE TO LIFT 40 POUNDS. POST-HIRE DRUG SCREEN AT EMPLOYERS EXPENSE. EXTENSIVE WALKING, FREQUENT STOOPING. EXPOSURE TO EXTREME TEMPERATURES.
SCHEDULE VARIES, OVERTIME AVAILABLE AS NEEDED.</t>
  </si>
  <si>
    <t>P-400-22279-514284</t>
  </si>
  <si>
    <t>Gina@Ooltewahnursery.com</t>
  </si>
  <si>
    <t>H-400-22335-613990</t>
  </si>
  <si>
    <t>Site Landscape Development, LLC</t>
  </si>
  <si>
    <t>251 Huffines Blvd</t>
  </si>
  <si>
    <t>Dawson</t>
  </si>
  <si>
    <t>sdawson@siteld.com</t>
  </si>
  <si>
    <t>P-400-22255-466848</t>
  </si>
  <si>
    <t>https://www.workintexas.com/vosnet/Default.aspxV</t>
  </si>
  <si>
    <t>SNOHOMISH</t>
  </si>
  <si>
    <t>H-400-22335-615157</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</si>
  <si>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</si>
  <si>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SACRAMENTO</t>
  </si>
  <si>
    <t>WINCHESTER</t>
  </si>
  <si>
    <t>BROOKLYN</t>
  </si>
  <si>
    <t>irina.engel@iworkmarket.com</t>
  </si>
  <si>
    <t>H-400-22335-614594</t>
  </si>
  <si>
    <t>H-400-22335-614242</t>
  </si>
  <si>
    <t>Ecoscape Solutions Group, LLC_Sterling</t>
  </si>
  <si>
    <t>42701 Trade West Drive</t>
  </si>
  <si>
    <t xml:space="preserve">Requires three months of previous landscape experience. Must lift/carry 50 lbs., when necessary.  Saturday and Sunday work required, when necessary.  Employer-paid drug testing required of foreign and domestic workers prior to commencing work and post-hire at random, upon suspicion of use, and post-accident. Post-hire background checks may be required of foreign and domestic workers based on contract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</si>
  <si>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P-400-22257-470859</t>
  </si>
  <si>
    <t>Emplyr makes all payroll deductions req by law. Emplyr does not envision other wrkfrce-wide payroll deductions. If req, emplyr helps non-local wrkrs secure wrkr-paid lodging. Employer deducts reasonable fair market value cost of rent/utilities based on # of occupants for wrkrs electing to reside in emplyr-provided housing. Vol advances and/or loans made to workers,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and/or health insurance premiums for wrkrs vol participating in plan(s). Uniform provided at no cost. Emplyr may deduct cost for vol purchase of additional uniforms for worker's benefit.  Emplyr may also deduct for vol boot purchase program. Emplyr provides incidental transportation between worksites as necessary.</t>
  </si>
  <si>
    <t>H-400-22335-614239</t>
  </si>
  <si>
    <t>Ecoscape Solutions Group, LLC_NJ</t>
  </si>
  <si>
    <t>50 Route 46 West</t>
  </si>
  <si>
    <t>Hackettstown</t>
  </si>
  <si>
    <t>P-400-22278-510942</t>
  </si>
  <si>
    <t>Employer makes all payroll deductions required by law. Employer does not envision other workforce-wide payroll deductions. If requested, employer helps non-local workers secure worker-paid lodging (not to exceed fair market value, based on number of occupants). Housing costs paid directly to landlord and are not payroll deducted.  Voluntary advances and/or loans made to workers, if any, may be repaid by pre-authorized payroll deductions.  Employer may deduct retirement/savings plan contributions and/or health insurance premiums for workers voluntarily participating in plan(s). Uniform provided at no cost. Employer may deduct cost for voluntary purchase of additional uniforms for worker's benefit.  Employer may also deduct for voluntary boot purchase program. No daily transportation to/from work provided. Employer provides incidental transportation between worksites as necessary. Such transportation complies with all applicable Federal, State, and local laws/regulations.</t>
  </si>
  <si>
    <t>FRONT DESK</t>
  </si>
  <si>
    <t xml:space="preserve">Mayely </t>
  </si>
  <si>
    <t>Bus Driver</t>
  </si>
  <si>
    <t>H-400-22335-613714</t>
  </si>
  <si>
    <t>Epic Landscapes and Maintenance LLC</t>
  </si>
  <si>
    <t>978 South Sandbar Way</t>
  </si>
  <si>
    <t>nic.epiclandscapes@gmail.com</t>
  </si>
  <si>
    <t xml:space="preserve">Must be able to tolerate extreme temperatures, loud noises; lift heavy equipment up to 50 lbs. and exhibit stamina.  Operate equipment while sober. Employer-paid post-employment drug test may be administered.
Work days:  Mon-Fri
Hours per week: 40
Work Schedule: 7:30 AM - 4 PM; possible weekends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No
</t>
  </si>
  <si>
    <t>84 W. Arrowhead Trail</t>
  </si>
  <si>
    <t>P-400-22263-481482</t>
  </si>
  <si>
    <t>H-400-22312-574027</t>
  </si>
  <si>
    <t>aamacchialandscaping@aol.com</t>
  </si>
  <si>
    <t>H-400-22321-592777</t>
  </si>
  <si>
    <t>Irrigation laborer</t>
  </si>
  <si>
    <t>American Irrigation Repair LLC</t>
  </si>
  <si>
    <t>3560 E University Ave</t>
  </si>
  <si>
    <t>justin@fixmyheads.com</t>
  </si>
  <si>
    <t>NONNE</t>
  </si>
  <si>
    <t>P-400-22216-396421</t>
  </si>
  <si>
    <t>H-400-22300-555288</t>
  </si>
  <si>
    <t>Extreme Food and Beverage, Inc.</t>
  </si>
  <si>
    <t>585 North State</t>
  </si>
  <si>
    <t>UKIAH</t>
  </si>
  <si>
    <t>Delahoyde</t>
  </si>
  <si>
    <t>fivestarphil21@yahoo.com</t>
  </si>
  <si>
    <t>Ukiah</t>
  </si>
  <si>
    <t>P-400-22256-469541</t>
  </si>
  <si>
    <t xml:space="preserve">Employer will make all deductions from the worker’s paycheck required by law. Optional housing (valued at $150.00 per week) and local convenience travel (valued at $25.00 per week) are available at no cost to the worker. </t>
  </si>
  <si>
    <t>H-400-22326-601942</t>
  </si>
  <si>
    <t>Pro Lawn Service LLC</t>
  </si>
  <si>
    <t>548 Walnut Hill Rd.</t>
  </si>
  <si>
    <t>1925 Esther Dr.</t>
  </si>
  <si>
    <t>McCullough</t>
  </si>
  <si>
    <t>548 Walnut Hill Road</t>
  </si>
  <si>
    <t>1925 Esther Drive</t>
  </si>
  <si>
    <t>scott4126@me.com</t>
  </si>
  <si>
    <t>548 WALNUT HILL ROAD</t>
  </si>
  <si>
    <t>CENTRALIA</t>
  </si>
  <si>
    <t>East Central Illinois nonmetropolitan area</t>
  </si>
  <si>
    <t>Character limit:  overtime is not guaranteed but if worked rate is paid at time and a half per hour above 40...</t>
  </si>
  <si>
    <t>P-400-22234-429877</t>
  </si>
  <si>
    <t>Character limit: Shared housing available to only seasonal full-time employees, not offered to non-employees. Employees may make their own arrangements at their own expense. If they opt to live in employer provided housing rent (utilities included) charged at $60.00/week.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t>
  </si>
  <si>
    <t>H-400-22327-604052</t>
  </si>
  <si>
    <t>Pizza On A Stick Inc.</t>
  </si>
  <si>
    <t>8651 N Orangebud Terr</t>
  </si>
  <si>
    <t>Crystal River</t>
  </si>
  <si>
    <t>Swain</t>
  </si>
  <si>
    <t>janiceswains@yahoo.com</t>
  </si>
  <si>
    <t>Must be 18 due to travel. Must show proof of legal authorization to work in the United States. Drug/alcohol/tobacco free work zone.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t>
  </si>
  <si>
    <t xml:space="preserve"> 8334 Fannin St.  (Report to Work)</t>
  </si>
  <si>
    <t>P-400-22271-498859</t>
  </si>
  <si>
    <t>H-400-22321-593137</t>
  </si>
  <si>
    <t>Fazzone Construction Co., Inc.</t>
  </si>
  <si>
    <t>1302 W Blanco Rd</t>
  </si>
  <si>
    <t>Montalvo</t>
  </si>
  <si>
    <t>2008 Windy Terrace</t>
  </si>
  <si>
    <t>Cedar Park</t>
  </si>
  <si>
    <t>accounting@fazzoneconstruction.com</t>
  </si>
  <si>
    <t>P-400-22192-342752</t>
  </si>
  <si>
    <t>H-400-22310-571491</t>
  </si>
  <si>
    <t>POOL LABORER HELPER</t>
  </si>
  <si>
    <t>3707 E SOUTHERN AVE</t>
  </si>
  <si>
    <t xml:space="preserve">THREE MONTHS OF EXPERIENCE AS HELPER OF POOL LABORER IN A RESIDENTIAL CONSTRUCTION SETTING. MUST BEND, LIFT, AND SUSTAIN UP TO 50 LBS, WORK UNDER EXTREME WEATHER CONDITIONS. NO TRAVEL IS REQUIRED OUTSIDE THE METROPOLITAN AREA, ON-THE-JOB TRAINING AVAILABLE, NO EDUCATION IS REQUIRED. POST-HIRE DRUG TEST REQUIRED PAID BY THE EMPLOYER, ALL US AND GUEST WORKERS WILL BE SCREENED EQUALLY.
</t>
  </si>
  <si>
    <t>if overtime needed it will be payed at 25.11</t>
  </si>
  <si>
    <t>P-400-22146-212890</t>
  </si>
  <si>
    <t>* Deductions by the law.
* Shared group rental housing of $70 to $75 per week depending on housing location, and a refundable security deposit of $75; $30 per week company-provided transportation to and from housing if worker wants company housing and/or transport and it is available. Housing, if provided, will be in the Phoenix Metropolitan area.</t>
  </si>
  <si>
    <t>H-400-22335-613745</t>
  </si>
  <si>
    <t>H-400-22286-529160</t>
  </si>
  <si>
    <t>Dlugosch III LLC</t>
  </si>
  <si>
    <t xml:space="preserve">The Texan Stores </t>
  </si>
  <si>
    <t>507 East Main Street</t>
  </si>
  <si>
    <t>Naranjo</t>
  </si>
  <si>
    <t xml:space="preserve">Financial Manager </t>
  </si>
  <si>
    <t>maggie.naranjo@thetexanstores.com</t>
  </si>
  <si>
    <t xml:space="preserve">Texas </t>
  </si>
  <si>
    <t>25 N Kessler</t>
  </si>
  <si>
    <t>Schulenburg</t>
  </si>
  <si>
    <t>P-400-22195-353748</t>
  </si>
  <si>
    <t>The Employer will not provide workers with board, lodging, or other facilities. However, if
needed, the employer will assist workers in securing board, lodging, or other facilities.
There is no specific lodging required by the Employer, all workers will have the option of
where he or she chooses to stay. The Employer will make all payroll deductions required by
law and will not make any deductions which are not required by law.</t>
  </si>
  <si>
    <t>H-400-22335-613803</t>
  </si>
  <si>
    <t>H-400-22335-613772</t>
  </si>
  <si>
    <t>1 MONTH EXPERIENCE AS A GENERAL LABORER</t>
  </si>
  <si>
    <t>H-400-22307-566465</t>
  </si>
  <si>
    <t>Wood Ent Co., Inc.</t>
  </si>
  <si>
    <t>111 Osiana Drive</t>
  </si>
  <si>
    <t>woodentco@aol.com</t>
  </si>
  <si>
    <t>806 SE Route 1604</t>
  </si>
  <si>
    <t>P-400-22201-365212</t>
  </si>
  <si>
    <t>Optional mobile housing ($150/week)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t>
  </si>
  <si>
    <t>H-400-22346-635457</t>
  </si>
  <si>
    <t xml:space="preserve">No minimum education or experience required. Applicants must complete an employment application. Must be able to work at least 5-day work schedule, including weekends and holidays as required. Must be able to stand and bend repetitively during entire shift. Employer will offer 40 hours per week. Resort open 7 days a week, workdays vary Sunday through Saturday. Shift: 7:00 AM  3:00 PM, 11:00 AM to 7:00 PM, or 3:00PM  11:00 PM. Hours and shifts may vary with occupancy. Must be able to work a 5-day work week schedule including weekends and holidays. Basic wage rate of pay $11.08 per hour. Employer may increase wage based on experience, market conditions and/or provide additional pay for performance and tenure. Overtime may be available at wage rate $16.62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and deduct approved cost of housing if worker elects. Optional employee shared housing, including utilities, approximate cost $150 per week. Daily transportation provided between employer housing and worksite at no cost to employee.  Employer will provide worker at no charge all tools, supplies, and equipment required to perform job. Required uniform provided at no cost to employee.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</si>
  <si>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H-400-22321-592187</t>
  </si>
  <si>
    <t>Runyon Landscape Management, Inc.</t>
  </si>
  <si>
    <t>17517 Orrville Rd.</t>
  </si>
  <si>
    <t>runyonlandscape@yahoo.com</t>
  </si>
  <si>
    <t>17517 Orrville Rd. (Report to Work)</t>
  </si>
  <si>
    <t>P-400-22211-386618</t>
  </si>
  <si>
    <t>H-400-22307-568030</t>
  </si>
  <si>
    <t>Greener Turf Management, LLC</t>
  </si>
  <si>
    <t>531 Brumar Dr</t>
  </si>
  <si>
    <t>Mailing: 186 Hoffman Rd., Barto, PA 19504</t>
  </si>
  <si>
    <t>Troyer</t>
  </si>
  <si>
    <t>troyer@greenerturfmgt.com</t>
  </si>
  <si>
    <t xml:space="preserve">Must be able to work a 5-day workweek, weekends and holidays may be required.
Applicants must complete an employment application.
</t>
  </si>
  <si>
    <t>342 W 4th Avenue</t>
  </si>
  <si>
    <t>P-400-22262-480607</t>
  </si>
  <si>
    <t>The employer will make all deductions from the worker's paycheck required by law. Employer will assist worker to find affordable housing.</t>
  </si>
  <si>
    <t>H-400-22321-592906</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</si>
  <si>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Employer will offer 40 hours of work per week. Resort is open 7 days a week, workdays will vary Sunday through Saturday. Normal shifts: 7am-4pm, 10am-7pm, and 3pm-12am (includes 30 minute unpaid break). Workdays and shift times may vary with events and occupancy. Basic wage rate: $15.00 per hour. Employer may increase wage based on experience, market conditions,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Workers will be paid bi-weekly. 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</si>
  <si>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P-400-22153-236816</t>
  </si>
  <si>
    <t>H-400-22320-590374</t>
  </si>
  <si>
    <t>Angelo's Lawn-Scape of Louisiana, Inc.</t>
  </si>
  <si>
    <t>13750 Jefferson Highway</t>
  </si>
  <si>
    <t>Distefano</t>
  </si>
  <si>
    <t>tony@angeloslg.com</t>
  </si>
  <si>
    <t>13750 Jefferson Highway (Report to Work)</t>
  </si>
  <si>
    <t>P-400-22214-391535</t>
  </si>
  <si>
    <t>Shared housing may be available – if used, up to $175/wk will be deducted from paycheck.  At Employer’s sole discretion: possible cash advances (if applicable/requested by worker, potential deduction from worker’s paycheck).</t>
  </si>
  <si>
    <t>monica@angeloslg.com</t>
  </si>
  <si>
    <t>H-400-22307-566934</t>
  </si>
  <si>
    <t>PDSCo, Inc.</t>
  </si>
  <si>
    <t>Cowboy Mining Co</t>
  </si>
  <si>
    <t>301 N Cowboy Mining Rd</t>
  </si>
  <si>
    <t xml:space="preserve"> Newsom</t>
  </si>
  <si>
    <t>105 W. Sharp</t>
  </si>
  <si>
    <t>rob@pdscoinc.com</t>
  </si>
  <si>
    <t>P-400-22215-393291</t>
  </si>
  <si>
    <t>H-400-22306-565506</t>
  </si>
  <si>
    <t>JAPANESE AND COLOMBIAN FUSION FOOD</t>
  </si>
  <si>
    <t xml:space="preserve">Deductions required by law </t>
  </si>
  <si>
    <t>H-400-22307-566766</t>
  </si>
  <si>
    <t>Classic Tejas Construction Inc</t>
  </si>
  <si>
    <t>3120 S. Precinct Line Rd</t>
  </si>
  <si>
    <t>Mailing: PO Box 429, Euless, TX 76039</t>
  </si>
  <si>
    <t>elizabeth@classictejas.com</t>
  </si>
  <si>
    <t>Pre-hire background check required; Random drug testing during employment; Pre-employment drug testing required,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t>
  </si>
  <si>
    <t>P-400-22234-430724</t>
  </si>
  <si>
    <t>H-400-22308-570248</t>
  </si>
  <si>
    <t>Commonwealth Event Co.</t>
  </si>
  <si>
    <t>5611 Greendale Road</t>
  </si>
  <si>
    <t>Tomlin</t>
  </si>
  <si>
    <t xml:space="preserve"> 5611 Greendale Road</t>
  </si>
  <si>
    <t>tomlin@commonwealthevent.com</t>
  </si>
  <si>
    <t>Must be able to lift/carry 50lbs and work in bending and standing positions for extended periods and in all types of weather.  Disclosed hours include lunch break.</t>
  </si>
  <si>
    <t>5611 Greendale Rd</t>
  </si>
  <si>
    <t>Min wage may be higher based on tenure, skills/abilities and or work performance</t>
  </si>
  <si>
    <t>P-400-22164-273798</t>
  </si>
  <si>
    <t>SAENZ</t>
  </si>
  <si>
    <t>WORKFORCE ADVANTAGE</t>
  </si>
  <si>
    <t>H-400-22307-565978</t>
  </si>
  <si>
    <t>Goodwin Pro Turf, Inc.</t>
  </si>
  <si>
    <t>6945 W. 152nd Terrace</t>
  </si>
  <si>
    <t>Program Administrator</t>
  </si>
  <si>
    <t>brittany@goodwinproturf.com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</si>
  <si>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55lbs.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</si>
  <si>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6945 W. 152nd Terrace (Report to Work)</t>
  </si>
  <si>
    <t>P-400-22212-386642</t>
  </si>
  <si>
    <t>https://www.kansasworks.com</t>
  </si>
  <si>
    <t>H-400-22307-565990</t>
  </si>
  <si>
    <t>Southern Design Irrigation, LLC</t>
  </si>
  <si>
    <t>1122 Hwy. 190 W</t>
  </si>
  <si>
    <t>Olen</t>
  </si>
  <si>
    <t>len@southerndesignirrgation.com</t>
  </si>
  <si>
    <t>1122 Hwy. 190 W (Report to Work)</t>
  </si>
  <si>
    <t>P-400-22212-386757</t>
  </si>
  <si>
    <t>len@southerndesignirrigation.com</t>
  </si>
  <si>
    <t>H-400-22278-511418</t>
  </si>
  <si>
    <t>Crawfish Enterprises, Inc.</t>
  </si>
  <si>
    <t>146 Highway 758</t>
  </si>
  <si>
    <t>Prudhomme</t>
  </si>
  <si>
    <t>Chad.Prudhomme@icloud.com</t>
  </si>
  <si>
    <t xml:space="preserve">Extensive sitting and repetitive movements.
</t>
  </si>
  <si>
    <t>An employee may earn above hourly wage based on piece rate ($2.25/lb) performance</t>
  </si>
  <si>
    <t>P-400-22160-263721</t>
  </si>
  <si>
    <t>The deductions the employer intends to make from paycheck, which is not required by law, would be the deduction of $50.00 per week for the optional housing provided by the employer, if chosen by the employee.</t>
  </si>
  <si>
    <t>crawfishenterprises@outlook.com</t>
  </si>
  <si>
    <t>H-400-22259-478602</t>
  </si>
  <si>
    <t>Refrigeration Tech (Cooling &amp; Freezing equip. operators ...)</t>
  </si>
  <si>
    <t>329 Katlian St</t>
  </si>
  <si>
    <t>H-400-22283-520517</t>
  </si>
  <si>
    <t xml:space="preserve">ALL WORK IS PERFORMED OUTDOORS DURING ALL TYPES OF WEATHER CONDITIONS.
WORKERS MAY BE REQUESTED TO SUBMIT TO RANDOM DRUG AND ALCOHOL TESTS AT NO COST TO THE WORKER.
FAILURE TO COMPLY WITH THE REQUEST OR TESTING POSITIVE MAY RESULT IN IMMEDIATE TERMINATION.
NEGATIVE RESULT MAY BE REQUIRED POST-HIRE AND BEFORE COMMENCING WORK.
MUST BE ABLE TO LIFT AND CARRY 75 LBS.
MUST BE ABLE TO LIFT 75 LBS. TO SHOULDER HEIGHT.
REQUIRES MINIMUM 3 MONTHS VERIFIABLE WORK EXPERIENCE AS A LANDSCAPING &amp; GROUNDSKEEPING WORKER I.
</t>
  </si>
  <si>
    <t>384 Davant Dr</t>
  </si>
  <si>
    <t>Raises, bonuses, and/or incentive pay may be offered at the employer’s sole discretion</t>
  </si>
  <si>
    <t>P-400-22227-416762</t>
  </si>
  <si>
    <t>H-400-22187-333286</t>
  </si>
  <si>
    <t>2790 Sandy Plains Road</t>
  </si>
  <si>
    <t>P-400-22124-135707</t>
  </si>
  <si>
    <t>All required deductions as per Federal, state and local laws including Withholding and FICA.</t>
  </si>
  <si>
    <t>H-400-22184-329561</t>
  </si>
  <si>
    <t>Maintenance Helpers</t>
  </si>
  <si>
    <t xml:space="preserve">M.A. Patout &amp; Son, Limited </t>
  </si>
  <si>
    <t>3512 J Patout Burns Road</t>
  </si>
  <si>
    <t>Jeanerette</t>
  </si>
  <si>
    <t>Safety and Human Resources</t>
  </si>
  <si>
    <t>whenderson@mapatout.com</t>
  </si>
  <si>
    <t>IBERIA</t>
  </si>
  <si>
    <t>P-400-22125-141108</t>
  </si>
  <si>
    <t>H-400-22245-454200</t>
  </si>
  <si>
    <t>Tovar Snow Professionals</t>
  </si>
  <si>
    <t xml:space="preserve">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F.A.5-F.A.6. : Hours average 35 per week; normal schedule 10 am to 5 pm, must be available 24/7 on-call as needed (when there is 30% chance or more for a storm, workers must be able to make it out to where they are needed to labor in less than two hours from when they are notified to report at the location.
</t>
  </si>
  <si>
    <t>2175 S 3140 W</t>
  </si>
  <si>
    <t>P-400-22195-352269</t>
  </si>
  <si>
    <t>H-400-22307-566388</t>
  </si>
  <si>
    <t>Elite Lawn &amp; Landscaping</t>
  </si>
  <si>
    <t>4412 West Ave.</t>
  </si>
  <si>
    <t>Suite #200</t>
  </si>
  <si>
    <t>Moczygemba</t>
  </si>
  <si>
    <t>beth@eliteprolawn.com</t>
  </si>
  <si>
    <t xml:space="preserve">Monday-Friday, some Saturdays required, schedule varies, start/end times vary, additional overtime varies. Able to lift 50lbs. Must be able to work in excessive heat. Pre-employment drug testing required;Post-Accident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</si>
  <si>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Potential for raise/bonus at employer's discretion. Oppty to earn more based on experience, tenure, or job performance.</t>
  </si>
  <si>
    <t>P-400-22222-408349</t>
  </si>
  <si>
    <t>Employer may make payroll deductions at employee's request.
Employer facilitates voluntary housing arrangements upon worker request along with corresponding payroll deductions, $67.50-$130/weekly for rent and utilities.</t>
  </si>
  <si>
    <t>H-400-22307-565952</t>
  </si>
  <si>
    <t>wbartels@tantoirrigation.com</t>
  </si>
  <si>
    <t>H-400-22234-431064</t>
  </si>
  <si>
    <t xml:space="preserve">Commercial Truck Driver </t>
  </si>
  <si>
    <t>Rosstavi Freight Transport, Inc.</t>
  </si>
  <si>
    <t>9950 Union St.</t>
  </si>
  <si>
    <t>Jurupa Valley</t>
  </si>
  <si>
    <t xml:space="preserve">Castillo </t>
  </si>
  <si>
    <t xml:space="preserve">Ana </t>
  </si>
  <si>
    <t xml:space="preserve">9950 Union St. </t>
  </si>
  <si>
    <t>info@rosstavi.com</t>
  </si>
  <si>
    <t xml:space="preserve">Commercial Driver License with a minimum of a year of experience. 
</t>
  </si>
  <si>
    <t>9950 Union St</t>
  </si>
  <si>
    <t>P-400-22188-337953</t>
  </si>
  <si>
    <t xml:space="preserve">Employer will make all required State and Federal Deductions. </t>
  </si>
  <si>
    <t>https://rosstavi.com</t>
  </si>
  <si>
    <t>H-400-22257-472416</t>
  </si>
  <si>
    <t xml:space="preserve">	Ability to Obtain Washington Food Handler's Permit
	Ability to stand for long periods of time
	Ability to work nights, weekends, and holidays.
On the job training will be provided.
35 hours per week. Shifts available 7 days a week including weekends and holidays. 6am-2pm, 7am-4pm, 8am-4pm, 8am-5pm, 10am-6pm, 11am-8pm, 12pm-9pm, 2pm-11pm.
Wage: $20.04 - $23.99 hourly.  Overtime possible at $30.06 - $35.99
Annual merit increases based on performance review.
</t>
  </si>
  <si>
    <t>based on performance review.  The Employer will provide sick leave to employees. The employee will accrue paid sick leave at a minimum rate of 1 hour for every 40 hours worked. Employees are entitled to use accrued paid sick leave beginning on the 90th calendar day after the start of their employment, and sick leave will be paid at the employee’s normal hourly rate. Unused paid sick leave of 40 hours or less will be carried over to the following year for those workers returning to employment with the employer.</t>
  </si>
  <si>
    <t>P-400-22179-317526</t>
  </si>
  <si>
    <t xml:space="preserve">All deductions required by law will be made.
Optional Housing provided, deducted from paycheck. Biweekly amount from $180 to $450 based on specific location. Initial security deposit of $300 taken in two increments of $150.
Daily employee shuttle from housing provided.
Optional Deductions from Paycheck: Optional 401(k).
Benefits: 1 shift meal while on duty, Alterra Mtn Co ski pass, 40% discount on retail and Food &amp; Beverage venues, various industry pro-deals, friends &amp; family discount lift tickets.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 The employer will deduct a portion of worker’s compensation premium from workers’ pay as specified in Washington law at RCW 51.61.140. The employer will withhold from the employee’s wages the maximum amount for the portion of employee premium required under WA State RCW 50A.04, Paid Family and Medical Leave Program.
</t>
  </si>
  <si>
    <t>aknudson@skicrystal.com</t>
  </si>
  <si>
    <t>H-400-22224-414582</t>
  </si>
  <si>
    <t>Cook 3</t>
  </si>
  <si>
    <t>Northwood Hospitality, LLC</t>
  </si>
  <si>
    <t>Naples Grande Beach Resort</t>
  </si>
  <si>
    <t>1819 Wazee Street</t>
  </si>
  <si>
    <t>475 Seagate Drive</t>
  </si>
  <si>
    <t>wotero@naplesgrande.com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</si>
  <si>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</si>
  <si>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Wage: $16.75 per hour, paid bi-weekly.  See job description for additional detail.</t>
  </si>
  <si>
    <t>P-400-22165-279537</t>
  </si>
  <si>
    <t xml:space="preserve">Optional housing is offered on a first-come, first-serve basis for workers who are relocating to begin employment.  Cost of housing, if accepted, is up to $30.00 per day.  If used, total cost of housing will be deducted from paycheck.
Additional, optional benefits may be offered to worker, for worker’s sole benefit, if worker meets eligibility requirements, including but not limited to meals, medical, dental, life insurance, and 401k plans.  If voluntarily elected by worker, employee costs/contributions for benefits will be deducted from paycheck.
</t>
  </si>
  <si>
    <t>hr@naplesgrande.com</t>
  </si>
  <si>
    <t>H-400-22267-492514</t>
  </si>
  <si>
    <t xml:space="preserve">Great Lakes Forestry LLC </t>
  </si>
  <si>
    <t>800 Wisconsin Street</t>
  </si>
  <si>
    <t>Bldg D02 Ste 425 Mailbox 92</t>
  </si>
  <si>
    <t xml:space="preserve">Eau Claire </t>
  </si>
  <si>
    <t xml:space="preserve">Alfredo </t>
  </si>
  <si>
    <t>greatlakesforestryllc@gmail.com</t>
  </si>
  <si>
    <t>395 Western Ave. (Report to Work)</t>
  </si>
  <si>
    <t>P-400-22131-159777</t>
  </si>
  <si>
    <t>https://joblink.maine.gov</t>
  </si>
  <si>
    <t>H-400-22245-453560</t>
  </si>
  <si>
    <t>Sadie Dog, LLC</t>
  </si>
  <si>
    <t>The Pitcher Inn at Warren and The Warren Store</t>
  </si>
  <si>
    <t>275 Main Street</t>
  </si>
  <si>
    <t>Dorsey</t>
  </si>
  <si>
    <t>5070 Highway A1A</t>
  </si>
  <si>
    <t>Suite 330</t>
  </si>
  <si>
    <t>Vero Beach</t>
  </si>
  <si>
    <t>edgewood@pitcherinn.com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</si>
  <si>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Applicant must provide proof of COVID-19 vaccination.
</t>
  </si>
  <si>
    <t>Wage: $19.00 - $25.00 per hour, paid bi-weekly.  See job description.</t>
  </si>
  <si>
    <t>P-400-22196-355842</t>
  </si>
  <si>
    <t>Optional housing is offered on a first come, first-serve basis for workers who are relocating to begin employment.  Cost of housing, if accepted, is $600.00 per month.  If used, total cost of housing will be deducted from paycheck. Additional, optional benefits may be offered to worker, for worker’s sole benefit, including but not limited to health insurance.  If voluntarily elected by worker, employee costs/contributions for benefits will be deducted from paycheck.</t>
  </si>
  <si>
    <t>tracy@Pitcherinn.com</t>
  </si>
  <si>
    <t>H-400-22281-518683</t>
  </si>
  <si>
    <t>Pride Amusements of Missouri, Inc.</t>
  </si>
  <si>
    <t>Pride Amusements</t>
  </si>
  <si>
    <t>3834 W 7th</t>
  </si>
  <si>
    <t>(Mail: PO Box 486, Joplin MO 64802)</t>
  </si>
  <si>
    <t>Joplin</t>
  </si>
  <si>
    <t>Sondra</t>
  </si>
  <si>
    <t>slb3811@gmail.com</t>
  </si>
  <si>
    <t>Joplin, MO</t>
  </si>
  <si>
    <t>P-400-22217-399474</t>
  </si>
  <si>
    <t>H-400-22235-431855</t>
  </si>
  <si>
    <t>Wyndham Vacation Ownership</t>
  </si>
  <si>
    <t>The Village at Steamboat Condominium Association, Inc.</t>
  </si>
  <si>
    <t>900 Pine Grove Circle</t>
  </si>
  <si>
    <t>MAILING: PO Box 775168</t>
  </si>
  <si>
    <t>Franson</t>
  </si>
  <si>
    <t>dawn.franson@wyn.com</t>
  </si>
  <si>
    <t>No minimum education or experience required.
Workers are subject to pre-employment criminal background checks, paid by employer and applied equally to all workers, U.S. and foreign/H-2B.
Must be able to work weekends &amp; holidays as required.
Applicant must complete an employment application.
Must be able to lift 50 lbs.</t>
  </si>
  <si>
    <t xml:space="preserve">Steamboat Springs </t>
  </si>
  <si>
    <t>P-400-22103-066850</t>
  </si>
  <si>
    <t xml:space="preserve">A single workweek will be used to compute wages due. Pay received bi-weekly.  
Employer will make all deductions from the worker's paycheck required by law and deduct approved cost of housing if worker elects. Optional employee shared housing, including utilities, approx. rate $75 per week. Public transportation located ¼ mi. from worksite. 
</t>
  </si>
  <si>
    <t xml:space="preserve">https://careers.wyndhamdestinations.com/ </t>
  </si>
  <si>
    <t>H-400-22236-435541</t>
  </si>
  <si>
    <t>Autobuses Ejecutivos LLC</t>
  </si>
  <si>
    <t>Omnibus Express</t>
  </si>
  <si>
    <t>3200 Telephone Rd</t>
  </si>
  <si>
    <t>laguilar@autobusesejecutivos.us</t>
  </si>
  <si>
    <t>123 NORTHPOINT DR STE 150</t>
  </si>
  <si>
    <t xml:space="preserve">Must have or be able to obtain a Class A or Class B license with passenger endorsement or foreign equivalent. Spanish is preferred.
Pre-employment physical exam, drug testing, and background check (criminal record) is required at the company's expense and will be carried out equally between U.S. and H2B workers. Lodging and food are provided when needed (lodging is optional). 
Drivers must rest 8 consecutive hrs after driving for a maximum of 10 hours in accordance with FMSA regulations. the bus driver generally rests 8 hours by returning to the initial worksite location as a passenger on the bus that is equipped with sleeping quarters, although, overnight stays may be required and the employer will provide all lodging at no cost to the worker during overnight stays. 
It is the driver's option to stay in our sleeping quarters during rest requirements.  It is also the driver's option to stay at our sleeping quarters during days off at no charge.
</t>
  </si>
  <si>
    <t>P-400-22160-262528</t>
  </si>
  <si>
    <t>all required state and federal taxes required by law</t>
  </si>
  <si>
    <t>H-400-22259-478601</t>
  </si>
  <si>
    <t>100 Front 9 Drive</t>
  </si>
  <si>
    <t>St. Augustine</t>
  </si>
  <si>
    <t>ST JOHNS</t>
  </si>
  <si>
    <t>P-400-22179-318162</t>
  </si>
  <si>
    <t>H-400-22264-485437</t>
  </si>
  <si>
    <t>Phills Concessions</t>
  </si>
  <si>
    <t>40 Mount Vernon Circle</t>
  </si>
  <si>
    <t>[MAIL: 40 Mount Vernon Circle Sandy Springs, GA 30318]</t>
  </si>
  <si>
    <t>phillipg@peachtreerides.com</t>
  </si>
  <si>
    <t>P-400-22159-259359</t>
  </si>
  <si>
    <t>H-400-22259-478175</t>
  </si>
  <si>
    <t>Cook III</t>
  </si>
  <si>
    <t xml:space="preserve">The Petitioner will consider for employment any person who possesses at least one (1) year of culinary experience in a fine-dining or high-volume environment at a high-end restaurant, resort, or private club.
Applicant may be required to provide proof of COVID-19 vaccination.
</t>
  </si>
  <si>
    <t>Wage: $22.00 - $27.50 per hour, paid bi-weekly.  See job description for additional information.</t>
  </si>
  <si>
    <t>P-400-22188-336460</t>
  </si>
  <si>
    <t>H-400-22199-357958</t>
  </si>
  <si>
    <t>Gulf Copper &amp; Manufacturing Corporation</t>
  </si>
  <si>
    <t>Gulf Copper Dry Dock and Rig Repair</t>
  </si>
  <si>
    <t xml:space="preserve">5700 Procter Street Extension </t>
  </si>
  <si>
    <t>In-House Counsel</t>
  </si>
  <si>
    <t>2920 Todd Road</t>
  </si>
  <si>
    <t>jkelley@gulfcopper.com</t>
  </si>
  <si>
    <t>ORourke</t>
  </si>
  <si>
    <t>5847 San Felipe</t>
  </si>
  <si>
    <t>Suite 2950</t>
  </si>
  <si>
    <t>porourke@gzimmigration.com</t>
  </si>
  <si>
    <t xml:space="preserve">Plate Welder 1st Class (PLW1) - Welder capable of welding SMAW &amp; FCAW on plate/structural with ASME or AWS plate test (2G+3G+4G).
</t>
  </si>
  <si>
    <t>P-400-22151-228418</t>
  </si>
  <si>
    <t>foreignlabor@twc.texas.gov</t>
  </si>
  <si>
    <t>twc.texas.gov</t>
  </si>
  <si>
    <t>O'Rourke</t>
  </si>
  <si>
    <t>Gee &amp; Zhang, LLP</t>
  </si>
  <si>
    <t>H-400-22214-389487</t>
  </si>
  <si>
    <t>Prep/Line Cooks</t>
  </si>
  <si>
    <t>THE PETITIONER WILL CONSIDER ANY PERSON FOR EMPLOYMENT WHO POSSESSES AT LEAST THREE (3) MONTHS OF CULINARY EXPERIENCE IN A FINE-DINING OR HIGH-VOLUME ENVIRONMENT AT A HIGH-END RESTAURANT, RESORT, OR PRIVATE CLUB. 
Work week is Monday-Sunday. WORK SCHEDULE CAN INCLUDE EVENING, WEEKEND, AND HOLIDAY HOURS. WORK MAY BE PERFORMED ON ANY DAY OF THE WEEK FROM MONDAY THROUGH SUNDAY. DAYS OFF VARY. Example shifts are 7am  4pm, 9am  6pm, 2pm  11pm. (Start times are subject to change).</t>
  </si>
  <si>
    <t>P-400-22172-301441</t>
  </si>
  <si>
    <t>HOUSING IS OFFERED AND OPTIONAL. COST OF HOUSING, IF ACCEPTED, IS $125.00 PER WEEK AND INCLUDES UTLITIES. IF USED, TOTAL COST OF HOUSING WILL BE DEDUCTED DIRECTLY FROM PAYCHECK.</t>
  </si>
  <si>
    <t>H-400-22245-452240</t>
  </si>
  <si>
    <t>B &amp; J CONCESSIONS LLC</t>
  </si>
  <si>
    <t>B &amp; J CONCESSIONS</t>
  </si>
  <si>
    <t>7133 W. CARIBBEAN LN.</t>
  </si>
  <si>
    <t>sanderschefs@gmail.com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</si>
  <si>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 days/wk. Post-employment/post injury or incident drug test required, cost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Employer will provide workers at no charge all tools, supplies and equipment required to perform job. On the job training provided.
</t>
  </si>
  <si>
    <t>16601 N Pima Rd</t>
  </si>
  <si>
    <t xml:space="preserve">Scottsdale </t>
  </si>
  <si>
    <t>P-400-22133-169590</t>
  </si>
  <si>
    <t>Employer will make all deductions from worker’s paycheck required by law. Employer optional shared housing is provided at no cost to the worker valued at ($120/wk.), local convenience travel valued at ($20/wk.), 2 meals provided per shift and food available for wage credit and/or deduction, or any lesser amount to the maximum extent not prohibited by law.</t>
  </si>
  <si>
    <t>https://www.azjobconnection.gov/ada/r/home</t>
  </si>
  <si>
    <t>H-400-22245-454126</t>
  </si>
  <si>
    <t xml:space="preserve">Background check is required upon hire, and is completed as part of new hire paperwork. The background check takes place post-hire of the job opportunity and is carried out equally among all workers, including all U.S. workers and H-2B/international workers. 
</t>
  </si>
  <si>
    <t>Continued under F.a.4</t>
  </si>
  <si>
    <t>P-400-22182-329257</t>
  </si>
  <si>
    <t>H-400-22255-467332</t>
  </si>
  <si>
    <t>General Maintenance Workers</t>
  </si>
  <si>
    <t>Mac's Carnival and Attractions</t>
  </si>
  <si>
    <t xml:space="preserve">Must be able to lift at least 50 lbs.  Have manual dexterity.  Be able to evaluate and problem solve.
</t>
  </si>
  <si>
    <t>103 Stable Rd</t>
  </si>
  <si>
    <t>P-400-22209-382783</t>
  </si>
  <si>
    <t>There will be no deduction for optional housing.</t>
  </si>
  <si>
    <t>H-400-22184-329615</t>
  </si>
  <si>
    <t>Cordex Construction Corp.</t>
  </si>
  <si>
    <t>130 Calle Federico Costa #3</t>
  </si>
  <si>
    <t>Lilliam</t>
  </si>
  <si>
    <t>lsanchez@cordexcorp.com</t>
  </si>
  <si>
    <t xml:space="preserve">Knowledge in Handling of Plumb, Drills, Nail Guns, Blades To Cut Gypsum, Tools To Remove Slabs.
As for the Hourly Work Schedule, please be advised that the 7:00AM to 4:00PM schedule contemplates one hour break.
</t>
  </si>
  <si>
    <t>State Road 944, Km 0.6</t>
  </si>
  <si>
    <t>Rio Grande</t>
  </si>
  <si>
    <t>N/A  2 H-2B worker will be assigned to this project.</t>
  </si>
  <si>
    <t>P-400-22111-095455</t>
  </si>
  <si>
    <t>None
Workers will be provided with free transportation to and from the job site in a private vehicle with driver, in compliance with all applicable Federal, State and local laws.</t>
  </si>
  <si>
    <t>H-400-22269-495154</t>
  </si>
  <si>
    <t>Gill Bros Xpress Inc</t>
  </si>
  <si>
    <t>2564 N. Constance Ave.</t>
  </si>
  <si>
    <t>Sukhjinder</t>
  </si>
  <si>
    <t>gillbrosxpress@gmail.com</t>
  </si>
  <si>
    <t>Sully</t>
  </si>
  <si>
    <t>8080 N. Palm Ave.</t>
  </si>
  <si>
    <t>sully@wilneroreilly.com</t>
  </si>
  <si>
    <t>Wilner &amp; O'Reilly</t>
  </si>
  <si>
    <t>Iowa Supreme Court</t>
  </si>
  <si>
    <t xml:space="preserve">Ability to obtain a California Commercial Driver's License (CDL).
Travel throughout all U.S. states (excluding Alaska and Hawaii) is required 60% of the time.
</t>
  </si>
  <si>
    <t>P-400-22213-389387</t>
  </si>
  <si>
    <t>H-400-22245-454199</t>
  </si>
  <si>
    <t>444 S. Flower Street</t>
  </si>
  <si>
    <t>P-400-22182-329253</t>
  </si>
  <si>
    <t>H-400-22246-454517</t>
  </si>
  <si>
    <t xml:space="preserve">Six months of experience as a server or dining room attendant in a fine dining environment. Must be available to work all shifts, including weekends, evenings, and holidays. 
</t>
  </si>
  <si>
    <t>P-400-22182-328684</t>
  </si>
  <si>
    <t>Employer will make all deductions from workers’ paycheck required by law; and optional onsite employee housing. Potential elective deductions to be preauthorized in writing if applicable are as follows: Voluntary advances and/or loans made to workers, if any, may be repaid by pre-authorized payroll deductions. Housing:  Optional onsite employee housing is available for a fee. Cost of housing is between $50 to $150 weekly. Prices vary based on type of accommodations available single or shared room). Housing is paid through payroll deductions. Daily Transportation: Transportation is only provided to employees who elect to live in onsite employee house, at no additional cost.</t>
  </si>
  <si>
    <t>H-400-22246-454598</t>
  </si>
  <si>
    <t>Horse Show Groom</t>
  </si>
  <si>
    <t>Huntover</t>
  </si>
  <si>
    <t>3678 Sunset Valley Road</t>
  </si>
  <si>
    <t>Moorpark</t>
  </si>
  <si>
    <t>Kirwin</t>
  </si>
  <si>
    <t>Owner/Trainer</t>
  </si>
  <si>
    <t>5400 Lindley Ave</t>
  </si>
  <si>
    <t>Number 221</t>
  </si>
  <si>
    <t>Encino</t>
  </si>
  <si>
    <t>huntover.team@gmail.com</t>
  </si>
  <si>
    <t>Galliath</t>
  </si>
  <si>
    <t>Lillian</t>
  </si>
  <si>
    <t>1902 Wright Place</t>
  </si>
  <si>
    <t>law@llglawgroup.com</t>
  </si>
  <si>
    <t>LLG Attorney at Law</t>
  </si>
  <si>
    <t>California State Supreme Court</t>
  </si>
  <si>
    <t xml:space="preserve">Travel and transportation is a business necessity and requirement.
Reference checks will be conducted and are a hiring requirement.
</t>
  </si>
  <si>
    <t>Desert Horse Park</t>
  </si>
  <si>
    <t>85555 Airport Blvd</t>
  </si>
  <si>
    <t>P-400-22162-270697</t>
  </si>
  <si>
    <t>H-400-22259-477933</t>
  </si>
  <si>
    <t>Steward/Prep Cook</t>
  </si>
  <si>
    <t xml:space="preserve">Ability to communicate oral or written directions in English required.
</t>
  </si>
  <si>
    <t>Wage: $22.00- $25.00 per hour, paid bi-weekly. Please see job description for additional information.</t>
  </si>
  <si>
    <t>P-400-22216-396245</t>
  </si>
  <si>
    <t>H-400-22291-536611</t>
  </si>
  <si>
    <t>Timber Trees, LLC</t>
  </si>
  <si>
    <t>1950 Bluegrass Drive</t>
  </si>
  <si>
    <t xml:space="preserve">Karen Bricel </t>
  </si>
  <si>
    <t>timbertreesor@gmail.com</t>
  </si>
  <si>
    <t>1950 Bluegrass Dr (Report to Work)</t>
  </si>
  <si>
    <t>central point</t>
  </si>
  <si>
    <t>P-400-22187-334440</t>
  </si>
  <si>
    <t>H-400-22300-555531</t>
  </si>
  <si>
    <t xml:space="preserve">Great American Ventures, Inc. </t>
  </si>
  <si>
    <t>SEIVERS CONCESSIONS</t>
  </si>
  <si>
    <t>141 AMSTERDAM RD</t>
  </si>
  <si>
    <t>seiversconcessions@yahoo.com</t>
  </si>
  <si>
    <t>141 Amsterdam Rd.</t>
  </si>
  <si>
    <t>P-400-22250-460068</t>
  </si>
  <si>
    <t>H-400-22255-467765</t>
  </si>
  <si>
    <t>jlawrie@holidayinnclub.com</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</si>
  <si>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t>
  </si>
  <si>
    <t xml:space="preserve">A single workweek will be used in computing wages due. Workers will be paid weekly. 
Employer will make all deductions from the worker's paycheck required by law and deduct approved cost of housing if worker elects. Optional employee only shared housing, utilities, Wifi, cable included, approx. $110/wk. 
</t>
  </si>
  <si>
    <t>https://www.employnv.gov/</t>
  </si>
  <si>
    <t>H-400-22234-430176</t>
  </si>
  <si>
    <t xml:space="preserve">Bennie L Wooley </t>
  </si>
  <si>
    <t>35 Road 5018</t>
  </si>
  <si>
    <t>Wooley</t>
  </si>
  <si>
    <t>Benny</t>
  </si>
  <si>
    <t>cwracing1@yahoo.com</t>
  </si>
  <si>
    <t>Turf Paradise</t>
  </si>
  <si>
    <t>1501 W Bell Rd</t>
  </si>
  <si>
    <t>P-400-22130-157114</t>
  </si>
  <si>
    <t>H-400-22259-477987</t>
  </si>
  <si>
    <t>TOWER HOSPITALITY LLC</t>
  </si>
  <si>
    <t>AMERICINN HOTEL AND SUITES</t>
  </si>
  <si>
    <t>7010 TOWER ROAD</t>
  </si>
  <si>
    <t>KHAN</t>
  </si>
  <si>
    <t>ZANFAR</t>
  </si>
  <si>
    <t>zanfar.khan@hilton.com</t>
  </si>
  <si>
    <t>P-400-22191-341850</t>
  </si>
  <si>
    <t>H-400-22298-550451</t>
  </si>
  <si>
    <t>Tower Technician - Wireless Construction</t>
  </si>
  <si>
    <t>Butler America LLC</t>
  </si>
  <si>
    <t>Pioneer Communications Group</t>
  </si>
  <si>
    <t>3820 State St Suite B</t>
  </si>
  <si>
    <t>Santa Barbar</t>
  </si>
  <si>
    <t>Smylie</t>
  </si>
  <si>
    <t>Levi</t>
  </si>
  <si>
    <t>Radman</t>
  </si>
  <si>
    <t>Santa Barbara</t>
  </si>
  <si>
    <t>lsmylie@butlertelecomllc.com</t>
  </si>
  <si>
    <t xml:space="preserve">	Minimum 1-3 years of tower of telecom tower climbing experience
	High School Diploma or Equivalent
	Valid Drivers License (if driving required) &amp; Clean Driving Record
	OSHA 10, CPR/First Aid and RF Awareness certificate
	NWSA Certification Preferred
	Must be COMTRAIN or equivalent climb certified.
	PIM, SWEEP, FIBER certified or willing to get.
	Aerial lift Certified
	Computer literate with specific experience with MS Excel, Word &amp; Outlook.
	Strong written and oral communication skills
	Ability to lift 70 lbs
	Ability to work effectively in a team environment, assisting the Tower Foreman on the ground and leading top side activities
	Working knowledge of basic hand tools, mechanical equipment &amp; electro-mechanical equipment
	Experience with Anritsu Site Master, Andrew, PPC, tower mapping &amp; antenna equipment, RF Awareness, replacement and maintenance i.e. Coax, jumpers, TMAs connectors &amp; weatherproofing
	Highly organized with the ability to effectively provide verbal and written reports to upper management
	Knowledgeable with the hazards associated with tower climbing, construction equipment, and working on or near energized lines and equipment.
	The ability to climb tall structures (100 feet or more) with 50 lb. load.
	Analyzes situations accurately and adopts an appropriate course of action.
	Communicates orally and in writing.
	Recognizes safety hazards and performs duties in a safe, efficient manner.  Safety is a top Priority at Butler and we take our safety record seriously.
.
	Knowledge of custom tower rigging techniques
	Proficient with topside testing procedures (sweeps, PIM, fiber testing etc.)
	Proficient with installation of antennas, RRHs, ground kits, RET systems
	Troubleshoots RET systems
	Basic knowledge of microwave dish and radio installations and path alignment
	Ability to train lower-level tower techs.
	Ability to complete closeout packages according to field requirements
</t>
  </si>
  <si>
    <t>13430 NE 177th Pl</t>
  </si>
  <si>
    <t>PWD case number - P-400-22263-483974</t>
  </si>
  <si>
    <t>P-400-22263-483974</t>
  </si>
  <si>
    <t>Taxes, workers comp</t>
  </si>
  <si>
    <t>recruiting@butlertelecomllc.com</t>
  </si>
  <si>
    <t>https://piogrp.com/</t>
  </si>
  <si>
    <t>H-400-22279-513443</t>
  </si>
  <si>
    <t>Navarro Landscape, LLC.</t>
  </si>
  <si>
    <t>2506 West 440 South</t>
  </si>
  <si>
    <t>navalandscape12@gmail.com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</si>
  <si>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and/or overtime.
</t>
  </si>
  <si>
    <t>177 North 2830 West</t>
  </si>
  <si>
    <t>P-400-22238-439223</t>
  </si>
  <si>
    <t>H-400-22217-399647</t>
  </si>
  <si>
    <t>Light &amp; Foliage Supply LLC</t>
  </si>
  <si>
    <t>4220  Emory Rd</t>
  </si>
  <si>
    <t xml:space="preserve">Kimberely </t>
  </si>
  <si>
    <t>4220 Emory Rd.</t>
  </si>
  <si>
    <t>kimmycano@yahoo.com</t>
  </si>
  <si>
    <t xml:space="preserve">11009 Alterra Parkway </t>
  </si>
  <si>
    <t>Apt 1406</t>
  </si>
  <si>
    <t>4220 EMORY RD</t>
  </si>
  <si>
    <t>P-400-22161-269242</t>
  </si>
  <si>
    <t>kimmycano2@yahoo.com</t>
  </si>
  <si>
    <t>H-400-22256-469893</t>
  </si>
  <si>
    <t>Kodiak Landscaping and Construction, LLC</t>
  </si>
  <si>
    <t>447 West Woodbury Dr</t>
  </si>
  <si>
    <t>Ordonez</t>
  </si>
  <si>
    <t>447 W Woodbury Dr</t>
  </si>
  <si>
    <t>kodiaklandscapingut@gmail.com</t>
  </si>
  <si>
    <t>447 W Woodbury dr</t>
  </si>
  <si>
    <t>P-400-22202-367883</t>
  </si>
  <si>
    <t>H-400-22281-518748</t>
  </si>
  <si>
    <t>Calligraphers</t>
  </si>
  <si>
    <t>Fine Artists, Including Painters, Sculptors, and Illustrators</t>
  </si>
  <si>
    <t>Memphis Dawah ASSOCIATION</t>
  </si>
  <si>
    <t>3415 Millbranch Rd</t>
  </si>
  <si>
    <t>Patton Bey</t>
  </si>
  <si>
    <t>Moulay</t>
  </si>
  <si>
    <t>Hassan</t>
  </si>
  <si>
    <t>memphisdawah@gmail.com</t>
  </si>
  <si>
    <t>Akalan</t>
  </si>
  <si>
    <t xml:space="preserve">Yasin </t>
  </si>
  <si>
    <t>Bilgehan</t>
  </si>
  <si>
    <t>490 Route 304</t>
  </si>
  <si>
    <t>New City</t>
  </si>
  <si>
    <t>yakalan@akalanlaw.com</t>
  </si>
  <si>
    <t>Akalan Law Firm PLLC</t>
  </si>
  <si>
    <t>Second Judicial Dpt. Appellate Court of the State of NY</t>
  </si>
  <si>
    <t>P-400-22215-393051</t>
  </si>
  <si>
    <t>All deductions from the worker’s paycheck required by law will be made.</t>
  </si>
  <si>
    <t>Yasin</t>
  </si>
  <si>
    <t>H-400-22244-450331</t>
  </si>
  <si>
    <t>Line cook/Prep cook</t>
  </si>
  <si>
    <t>MVHF, LLC</t>
  </si>
  <si>
    <t>1111 North Ocean Drive</t>
  </si>
  <si>
    <t>Arevalo</t>
  </si>
  <si>
    <t>aarevalo@mhbr.com</t>
  </si>
  <si>
    <t>THE PETITIONER WILL CONSIDER ANY PERSON FOR EMPLOYMENT WHO POSSESSES AT LEAST SIX (6) MONTHS OF CULINARY EXPERIENCE IN A FINE-DINING OR HIGH-VOLUME ENVIRONMENT AT A HIGH-END RESTAURANT, RESORT, OR PRIVATE CLUB.  APPLICANT MUST PROVIDE OUT OF COUNTRY POLICE REPORT AND COMPLETE PRE-EMPLOYMENT DRUG SCREENING.
APPLICANT MUST ALSO HOLD "SERVESAFE" CERTIFICATION. Not mandatory upon hire, but preferred, will help obtain.
Work schedule can vary and can include evening, weekend, and holiday hours. Work may be performed on any day of the week from Monday through Sunday. Shifts may vary. Sample shifts: 7:00am-3:30pm, 8:00am-4:30pm, 9:00am-5:30pm. Double shifts and OT offered and available.</t>
  </si>
  <si>
    <t xml:space="preserve">1111 North Ocean Drive </t>
  </si>
  <si>
    <t xml:space="preserve">+DOE.  One free meal per shift. Optional discounted bus pass offered for $25. </t>
  </si>
  <si>
    <t>P-400-22181-325967</t>
  </si>
  <si>
    <t>Housing is offered and optional. Optional housing is offered on a first-come, first-serve basis. Cost of housing, if accepted, is $850.00 per month. If used, total cost of housing will be deducted from paycheck. A $850.00 refundable security deposit is required, to be deducted from paycheck in four (4) equal installments from employee’s first four (4) paychecks.
Additional, optional benefits may be offered to worker, for worker’s sole benefit, including but not limited to Medical, Dental, Vision, 401K, STD, LTD, Life Insurance, Critical Illness, Accident Insurance, Hospital Indemnity, FSA, HSA, Legal Insurance, Automobile and Home Insurance, and Pet Insurance. If voluntarily elected by worker, employee costs/contributions for benefits will be deducted from paycheck. 
After completing 90 days of employment, full-time employees will receive 3 days (24 hours) paid sick time. Optional discounted bus pass offered for $25, if chosen cost will be deducted from paycheck. 
All health benefits will be effective on the 1st day of the month following from 60 days of employment.</t>
  </si>
  <si>
    <t>aargoitia@mhbr.com</t>
  </si>
  <si>
    <t>H-400-22224-413741</t>
  </si>
  <si>
    <t>Frisco Restaurant LLC</t>
  </si>
  <si>
    <t>Ristorante Ti Amo</t>
  </si>
  <si>
    <t>40928 South Hwy 6 (physical)</t>
  </si>
  <si>
    <t>PO Box 4342, Eagle, CO 81631 (mailing)</t>
  </si>
  <si>
    <t>Yenerich</t>
  </si>
  <si>
    <t>winegeek68@live.com</t>
  </si>
  <si>
    <t xml:space="preserve">Work week is Monday-Sunday, 8am - 10am. Combined Single and Split shifts. A workday will either be a split shift, working 8am- 2pm and 5pm - 10pm, or a single shift of 2pm - 10 pm. 5 days a week.
</t>
  </si>
  <si>
    <t>40928 South Highway 6 (physical)</t>
  </si>
  <si>
    <t>PO Box 4324, Eagle, CO 81631 (mailing)</t>
  </si>
  <si>
    <t>P-400-22145-209660</t>
  </si>
  <si>
    <t>winegeek@live.com</t>
  </si>
  <si>
    <t>H-400-22265-488512</t>
  </si>
  <si>
    <t xml:space="preserve">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</si>
  <si>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P-400-22196-356573</t>
  </si>
  <si>
    <t>H-400-22240-441874</t>
  </si>
  <si>
    <t xml:space="preserve">CRIMINAL BACKGROUND CHECK - SAME AS ALL US CITIZEN AND WORK AUTHORIZED APPLICANTS
</t>
  </si>
  <si>
    <t>LAUNDRY DEPT</t>
  </si>
  <si>
    <t>P-400-22195-353060</t>
  </si>
  <si>
    <t>All statutory deductions such as state and federal taxes.  If the employee chooses to reside at our employee housing, there will be a $275.00 per paycheck deduction for just 2x per month (for housing occupancy fees equaling $550 per month).</t>
  </si>
  <si>
    <t>CDLE_STEAMBOAT_SPRINGS_WFC@State.co.us</t>
  </si>
  <si>
    <t>H-400-22249-456906</t>
  </si>
  <si>
    <t>Mac Contracting, Inc.</t>
  </si>
  <si>
    <t>1528 South Point Road</t>
  </si>
  <si>
    <t>Belmont</t>
  </si>
  <si>
    <t>McHenry III</t>
  </si>
  <si>
    <t>James M.</t>
  </si>
  <si>
    <t>1528 South Pine Road (Report to Work)</t>
  </si>
  <si>
    <t>P-400-22114-100700</t>
  </si>
  <si>
    <t>maccontracting@yahoo.com</t>
  </si>
  <si>
    <t>H-400-22280-516950</t>
  </si>
  <si>
    <t>Katie Mitchell Stanley</t>
  </si>
  <si>
    <t>Coast to Coast Entertainment, LLC</t>
  </si>
  <si>
    <t>7031 Furay Ave</t>
  </si>
  <si>
    <t>Mitchell Stanley</t>
  </si>
  <si>
    <t>candykate21@yahoo.com</t>
  </si>
  <si>
    <t>P-400-22193-345983</t>
  </si>
  <si>
    <t>H-400-22251-461381</t>
  </si>
  <si>
    <t>J.D. Abrams L.P.</t>
  </si>
  <si>
    <t>5811 Trade Center DR</t>
  </si>
  <si>
    <t>Bldg 1</t>
  </si>
  <si>
    <t>5811 Trade Center Dr</t>
  </si>
  <si>
    <t>7300 U.S. 183 South</t>
  </si>
  <si>
    <t xml:space="preserve">Employer will make all deductions required by law from each paycheck as well as a $15 check fee if no direct deposit. </t>
  </si>
  <si>
    <t>P-400-22194-349019</t>
  </si>
  <si>
    <t xml:space="preserve">Assistance finding and securing lodging is not available.  
Employer will make all deductions required by law from each paycheck as well as a $15 check fee if no direct deposit. 
Employer will advance against pay up to $100 for boat loans if needed. 
</t>
  </si>
  <si>
    <t>apeters@jdabrams.com</t>
  </si>
  <si>
    <t>H-400-22282-518805</t>
  </si>
  <si>
    <t>Belle City Amusements, Inc.</t>
  </si>
  <si>
    <t>1901 S. R. 419</t>
  </si>
  <si>
    <t>{Mail:  P O Box 6269 Deltona, FL  32728}</t>
  </si>
  <si>
    <t>Longwood</t>
  </si>
  <si>
    <t>Panacek, Jr.</t>
  </si>
  <si>
    <t>1901 S. R.419</t>
  </si>
  <si>
    <t>{Mail:  P O Box 6269  Deltona FL  32728}</t>
  </si>
  <si>
    <t>bellecityamusements@hotmail.com</t>
  </si>
  <si>
    <t xml:space="preserve">1301 17th Street West </t>
  </si>
  <si>
    <t>Palmetto</t>
  </si>
  <si>
    <t>P-400-22221-406036</t>
  </si>
  <si>
    <t>H-400-22298-550508</t>
  </si>
  <si>
    <t>Tower Technician</t>
  </si>
  <si>
    <t>3820 State Street, Suite B</t>
  </si>
  <si>
    <t xml:space="preserve">	Minimum 1-3 years of tower of telecom tower climbing experience
	High School Diploma or Equivalent
	Valid Drivers License (if driving required) &amp; Clean Driving Record
	OSHA 10, CPR/First Aid and RF Awareness certificate
	NWSA Certification Preferred
	Must be COMTRAIN or equivalent climb certified.
	PIM, SWEEP, FIBER certified or willing to get.
	Aerial lift Certified
	Computer literate with specific experience with MS Excel, Word &amp; Outlook.
	Strong written and oral communication skills
	Ability to lift 70 lbs
	Ability to work effectively in a team environment, assisting the Tower Foreman on the ground and leading top side activities
	Working knowledge of basic hand tools, mechanical equipment &amp; electro-mechanical equipment
	Experience with Anritsu Site Master, Andrew, PPC, tower mapping &amp; antenna equipment, RF Awareness, replacement and maintenance i.e. Coax, jumpers, TMAs connectors &amp; weatherproofing
	Highly organized with the ability to effectively provide verbal and written reports to upper management
	Knowledgeable with the hazards associated with tower climbing, construction equipment, and working on or near energized lines and equipment.
	The ability to climb tall structures (100 feet or more) with 50 lb. load.
	Analyzes situations accurately and adopts an appropriate course of action.
	Follows instructions accurately and completes assigned course of action.
	Recognizes safety hazards and performs duties in a safe, efficient manner.  Safety is a top Priority at Butler and we take our safety record seriously.
	Knowledge of custom tower rigging techniques
	Proficient with topside testing procedures (sweeps, PIM, fiber testing etc.)
	Performs GPS antenna installation
	Proficient with installation of antennas, RRHs, ground kits, RET systems
	Troubleshoots RET systems
	Runs required lines to top of the tower; grounds coax lines and builds different sizes and types of connectors.
	Basic knowledge of microwave dish and radio installations and path alignment
	Ability to train lower-level tower techs.
	Ability to complete closeout packages according to field requirements
</t>
  </si>
  <si>
    <t>1643 W Orange Grove Ave</t>
  </si>
  <si>
    <t xml:space="preserve">Orange </t>
  </si>
  <si>
    <t>P-400-22277-510892</t>
  </si>
  <si>
    <t>Taxes, Worker's Comp</t>
  </si>
  <si>
    <t>https://butlertelecomllc.com/careers/</t>
  </si>
  <si>
    <t>H-400-22276-506756</t>
  </si>
  <si>
    <t>Franco Reforestation Inc.</t>
  </si>
  <si>
    <t>8457 Darley Rd SE</t>
  </si>
  <si>
    <t>mzfrancoforestry@gmail.com</t>
  </si>
  <si>
    <t>777 NW Garden Valley Blvd (Report to Work)</t>
  </si>
  <si>
    <t>Roseburg</t>
  </si>
  <si>
    <t>P-400-22199-358609</t>
  </si>
  <si>
    <t>H-400-22321-592028</t>
  </si>
  <si>
    <t xml:space="preserve">Kennel Assistance </t>
  </si>
  <si>
    <t xml:space="preserve">Lakeside Boarding Kennels LLC </t>
  </si>
  <si>
    <t xml:space="preserve">14900 Colorado Rd </t>
  </si>
  <si>
    <t xml:space="preserve">Dixon </t>
  </si>
  <si>
    <t>Cortes</t>
  </si>
  <si>
    <t xml:space="preserve">Olivia </t>
  </si>
  <si>
    <t>info@lakesideboardingkennels.com</t>
  </si>
  <si>
    <t xml:space="preserve">High School Graduated, basic math skills, attention to details, able to lift 50lbs, able to stand for long periods of times. </t>
  </si>
  <si>
    <t>P-400-22278-511163</t>
  </si>
  <si>
    <t>na</t>
  </si>
  <si>
    <t>https://www.lakesideboardingkennels.com/</t>
  </si>
  <si>
    <t>H-400-22322-595446</t>
  </si>
  <si>
    <t>Omni-ChampionsGate Resort Hotel LP</t>
  </si>
  <si>
    <t>Omni Orlando Resort at ChampionsGate</t>
  </si>
  <si>
    <t>1500 Masters Blvd</t>
  </si>
  <si>
    <t>ChampionsGate</t>
  </si>
  <si>
    <t>Mabel</t>
  </si>
  <si>
    <t xml:space="preserve">No minimum education or experience required. Workers are subject to post-employment criminal background checks, paid by employer and applied equally to all workers, U.S. and foreign/H-2B. Must be able to work 5-day schedule, including weekends and holidays as required. Applicants must complete an employment application. Employer will offer 40 hours of work per week. Resort is open 7 days a week, workdays vary Sunday-Saturday. Rotating schedule, shift times 8am-4:30pm (includes 30-minute unpaid break). Workdays and shift times may vary with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</si>
  <si>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P-400-22280-517244</t>
  </si>
  <si>
    <t xml:space="preserve">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t>
  </si>
  <si>
    <t>H-400-22321-593369</t>
  </si>
  <si>
    <t>Clippers LLC</t>
  </si>
  <si>
    <t>3354-R Patuxent River Rd.</t>
  </si>
  <si>
    <t xml:space="preserve"> Davidsonville</t>
  </si>
  <si>
    <t>Area Sr. HR Generalist</t>
  </si>
  <si>
    <t>3354 R Patuxent River Road</t>
  </si>
  <si>
    <t>Davidsonville</t>
  </si>
  <si>
    <t>avelasquez@jrgm.com</t>
  </si>
  <si>
    <t xml:space="preserve">Lift/carry up to 50 pounds.  Employer paid drug test is Pre-Employment, Post-Employment Random, Post Accident, Post-Employment Upon Suspicion.  Employer paid post-hire criminal background check.  
</t>
  </si>
  <si>
    <t>3354-R Patuxent River Road</t>
  </si>
  <si>
    <t>See Addendum:  Overtime is not guaranteed but if worked rate is paid at time and a half per hour above 40 hours per ...</t>
  </si>
  <si>
    <t>P-400-22236-434621</t>
  </si>
  <si>
    <t>info@clippersllc.com</t>
  </si>
  <si>
    <t>www.clipperslandscape.com</t>
  </si>
  <si>
    <t>H-400-22335-614422</t>
  </si>
  <si>
    <t>J.W. TOWNSEND, INC.</t>
  </si>
  <si>
    <t>J.W. TOWNSEND LANDSCAPES</t>
  </si>
  <si>
    <t>3980 SEMINOLE TRAIL</t>
  </si>
  <si>
    <t>CHARLOTTESVILLE</t>
  </si>
  <si>
    <t>TOWNSEND</t>
  </si>
  <si>
    <t>LEIGH</t>
  </si>
  <si>
    <t>LEIGH@TOWNSENDLANDSCAPE.COM</t>
  </si>
  <si>
    <t>Repetitive movements, extensive pushing/pulling, extensive walking, frequent stooping, exposure to extreme temperatures 
Schedule Varies, overtime available as needed. Higher pay and/or other incentives available based on performance.</t>
  </si>
  <si>
    <t xml:space="preserve">CHARLOTTESVILLE </t>
  </si>
  <si>
    <t>P-400-22199-359142</t>
  </si>
  <si>
    <t>jwt@townsendlandscape.com</t>
  </si>
  <si>
    <t>H-400-22337-619365</t>
  </si>
  <si>
    <t>H-400-22335-613820</t>
  </si>
  <si>
    <t>QUIET VILLAGE LANDSCAPING CO</t>
  </si>
  <si>
    <t>9810 PAGE AVENUE</t>
  </si>
  <si>
    <t xml:space="preserve">ST LOUIS </t>
  </si>
  <si>
    <t>EVANS</t>
  </si>
  <si>
    <t>P-400-22201-364248</t>
  </si>
  <si>
    <t>dennis.evans@quietvillagelandscaping.com</t>
  </si>
  <si>
    <t>Cullman</t>
  </si>
  <si>
    <t>CULLMAN</t>
  </si>
  <si>
    <t>Barker</t>
  </si>
  <si>
    <t>Superior Midway Games, LLC</t>
  </si>
  <si>
    <t>Elsperman</t>
  </si>
  <si>
    <t>Heidi</t>
  </si>
  <si>
    <t>heidisuperior@gmail.com</t>
  </si>
  <si>
    <t>P-400-22215-394179</t>
  </si>
  <si>
    <t>Suite F</t>
  </si>
  <si>
    <t>H-400-22336-616481</t>
  </si>
  <si>
    <t>P-400-22230-424505</t>
  </si>
  <si>
    <t>PFLUGERVILLE</t>
  </si>
  <si>
    <t>H-400-22304-558475</t>
  </si>
  <si>
    <t>9 Medford St</t>
  </si>
  <si>
    <t>Jeaneliemainville12@gmail.com</t>
  </si>
  <si>
    <t xml:space="preserve">Requirements and skills for Front Desk:
One year offretated experience, hotel preferred 
Excellent verbal and written communications skills
Strong organizational skills and attention to detail
Superior interpersonal and customer service sill's ability to deal with difficult guests
Familiarity with local area, ability to provide directions and destinations 
Proficient with Microsoft Office suite and common Computer Software programs and operate property management system 
Willingness to work 7 days rotational work schedule including nights, weekends, and holidays
Proven experience as front desk representative, agent or relevant position
Familiarity with office machines (e.g. fax, printer etc.)
Knowledge of office management and basic bookkeeping
Proficient in English (oral and written)
Excellent knowledge of MS Office (especially Excel and Word)
Strong communication and people skills
Good organizational and multi-tasking abilities
Problem-solving skills
Customer service orientation
High School diploma additional qualifications will be a plus
Excellent organizational and multi-tasking abilities
Keep front desk clean, tidy and supplied with all the necessary supplies
Greet, communicate with and welcome guests
Answer all the customers' questions and address their complaints
Answer all incoming calls, redirect them when needed
Receive letters, packages and send them to appropriate destination
Prepare and manage outgoing mail 
Check, sort and forward emails
Monitor office supplies 
Make supply orders when needed
Monitor and update records and files
Monitor and log office expenses and costs
Employment history and education verification 
Drug testing 
Criminal background check 
</t>
  </si>
  <si>
    <t>245 revere beach  pkwy</t>
  </si>
  <si>
    <t>Revere</t>
  </si>
  <si>
    <t>AMESBURY</t>
  </si>
  <si>
    <t>P-400-22179-318032</t>
  </si>
  <si>
    <t xml:space="preserve">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
</t>
  </si>
  <si>
    <t>H-400-22335-614909</t>
  </si>
  <si>
    <t>Brothers Landscape LLC</t>
  </si>
  <si>
    <t>10911 N Sara Rd</t>
  </si>
  <si>
    <t>Yukon</t>
  </si>
  <si>
    <t>Rodrigo</t>
  </si>
  <si>
    <t>rodrigomartinez1867@yahoo.com</t>
  </si>
  <si>
    <t xml:space="preserve">Able to lift 50lbs, M-F, Overtime Varies, Some Weekends required.
</t>
  </si>
  <si>
    <t>P-400-22242-446496</t>
  </si>
  <si>
    <t>H-400-22335-615847</t>
  </si>
  <si>
    <t>Johnson's Rides &amp; Concessions LLC</t>
  </si>
  <si>
    <t>316 North Ripley Road</t>
  </si>
  <si>
    <t>kenneth@johnsonsrides.com</t>
  </si>
  <si>
    <t>P-400-22271-499475</t>
  </si>
  <si>
    <t>H-400-22335-613777</t>
  </si>
  <si>
    <t>LANDSCAPERS AND GROUNDSKEEPERS</t>
  </si>
  <si>
    <t>Smoketree Landscape Services, Inc.</t>
  </si>
  <si>
    <t>13384 SEYMOUR MYERS BLVD</t>
  </si>
  <si>
    <t>Driscoll</t>
  </si>
  <si>
    <t>13384 Seymour Myers Blvd</t>
  </si>
  <si>
    <t>melissa@smoketreelandscape.com</t>
  </si>
  <si>
    <t xml:space="preserve">MUST BE ABLE TO TOLERATE EXTREME TEMPERATURES, LOUD NOISES; LIFT HEAVY EQUIPMENT up to 50 lbs, and stand or walk for upwards of 6 hours per day.  AND EXHIBIT STAMINA. OPERATE EQUIPMENT WHILE SOBER.  POST-EMPLOYMENT EMPLOYER-PAID DRUG TEST MAY BE ADMINISTERED. Must be available entire work contract.
Work days: M-F, Sat.depending on weather  
Hours per week: 40-45
Work Schedule: 6:45am  4:45pm 
Additional information about wage:
Employer may offer a raise or bonus depending on experience and merit.
Pay Assurance: 
Employer will pay the highest of all prevailing wages for all worksite locations throughout the entire period of employment. 
All worksite locations are within driving distance of primary worksite location.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No
</t>
  </si>
  <si>
    <t xml:space="preserve">Covington </t>
  </si>
  <si>
    <t>P-400-22250-457702</t>
  </si>
  <si>
    <t>smoketree@att.net</t>
  </si>
  <si>
    <t>smoketreelandscape.com</t>
  </si>
  <si>
    <t>H-400-22335-613928</t>
  </si>
  <si>
    <t>JOSE FLORES LANDSCAPING INC</t>
  </si>
  <si>
    <t>63 DREXEL AVENUE</t>
  </si>
  <si>
    <t>P-400-22262-479773</t>
  </si>
  <si>
    <t>JOSEFLORESLANDSCAPING@GMAIL.COM</t>
  </si>
  <si>
    <t>H-400-22335-613808</t>
  </si>
  <si>
    <t>Enviro-Scapes LLC</t>
  </si>
  <si>
    <t>214 Shady Grove Rd</t>
  </si>
  <si>
    <t>mark@enviro-scapesllc.com</t>
  </si>
  <si>
    <t xml:space="preserve">No minimum education or experience required.
Must be able to lift 50 lbs. 
Applicants must complete an employment application. 
If the worker completes 50 percent of the work contract period, the employer will reimburse the worker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to/from housing/worksite in Nashville at no cost to employee. The employer will then provide daily transportation among worksite locations in Davidson, Robertson, Rutherford, Sumner, Williamson and Wilson counties.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worker.  
The employer guarantees to offer work for hours equal to at least three-fourths of the workdays in each 12-week period of the total employment period.
</t>
  </si>
  <si>
    <t>214 Shady Grove Road</t>
  </si>
  <si>
    <t>P-400-22154-241403</t>
  </si>
  <si>
    <t xml:space="preserve">The employer will provide on-the-job training.
A single workweek will be used in computing wages due. Workers will be paid weekly. 
The employer will make all deductions from the worker's paycheck required by law. 
Optional employee shared housing available, including utilities, at a rate of approximately $50 per week, payroll deducted if worker elects. Optional uniform laundering available, cost $8.20 per week payroll deducted if worker elects. 
</t>
  </si>
  <si>
    <t>H-400-22335-613893</t>
  </si>
  <si>
    <t>BLUBAUGH ENTERPRISES INC</t>
  </si>
  <si>
    <t>28288 NE 2250TH ROAD</t>
  </si>
  <si>
    <t>GREELEY</t>
  </si>
  <si>
    <t>BLUBAUGH</t>
  </si>
  <si>
    <t xml:space="preserve">28288 NE 2250TH ROAD </t>
  </si>
  <si>
    <t>P-400-22192-344441</t>
  </si>
  <si>
    <t>charlesblubaugh@gmail.com</t>
  </si>
  <si>
    <t>H-400-22335-614833</t>
  </si>
  <si>
    <t>Squire Creek Country Club &amp; Development, LLC</t>
  </si>
  <si>
    <t>360 Squire Creek Parkway</t>
  </si>
  <si>
    <t>Choudrant</t>
  </si>
  <si>
    <t>Maier</t>
  </si>
  <si>
    <t>rickmaier@squirecreek.com</t>
  </si>
  <si>
    <t>P-400-22255-466842</t>
  </si>
  <si>
    <t>Offer daily lunch $10 a week deducted from pay if elected. $200 advance pay available, to be repaid at an agreed upon amount and timeframe between individual employee and company, option to deduct from pay; and 5 uniforms provided at no cost to employee. . Deductions will not drop the overall wage below the UDSOL minimum, if the deductions are too great they will not be made.  Employer may assist workers with finding and/or securing housing, employer is NOT providing housing.</t>
  </si>
  <si>
    <t>Billy</t>
  </si>
  <si>
    <t>H-400-22335-615944</t>
  </si>
  <si>
    <t>B &amp; K Carnival Company, Inc.</t>
  </si>
  <si>
    <t>2704 Hwy 378 West</t>
  </si>
  <si>
    <t>{Mail:  P O Box 28  Gresham, SC  29546}</t>
  </si>
  <si>
    <t>Gresham</t>
  </si>
  <si>
    <t>bitnerbeak@aol.com</t>
  </si>
  <si>
    <t>2704 Hwy 378 W</t>
  </si>
  <si>
    <t>P-400-22195-353412</t>
  </si>
  <si>
    <t>P-400-22258-473688</t>
  </si>
  <si>
    <t>WASATCH</t>
  </si>
  <si>
    <t>PHOENIX</t>
  </si>
  <si>
    <t>GROUNDWORKS LANDSCAPING INC</t>
  </si>
  <si>
    <t>530 MONTAUK HIGHWAY</t>
  </si>
  <si>
    <t>HREN</t>
  </si>
  <si>
    <t>P-400-22195-351258</t>
  </si>
  <si>
    <t>KIM@GROUNDWORKSLANDSCAPING.COM</t>
  </si>
  <si>
    <t>Texas Nativescapes, LLC</t>
  </si>
  <si>
    <t>5398 FM 2484</t>
  </si>
  <si>
    <t>Mailing: 18 Rough Rider Ct., Belton, TX 76513</t>
  </si>
  <si>
    <t>Burr</t>
  </si>
  <si>
    <t>Mailing: 18 Rough Rider Ct, Belton, TX 76513</t>
  </si>
  <si>
    <t>josh@texasnativescapesllc.com</t>
  </si>
  <si>
    <t>P-400-22258-475336</t>
  </si>
  <si>
    <t>Employer may make payroll deductions at employee's request. Employer facilitates voluntary housing arrangements with no monetary involvement.</t>
  </si>
  <si>
    <t>office@texasnativescapesllc.com</t>
  </si>
  <si>
    <t>H-400-22335-614861</t>
  </si>
  <si>
    <t>Villascapes LLC</t>
  </si>
  <si>
    <t>1101 Tracy Michelle Dr</t>
  </si>
  <si>
    <t>Villa</t>
  </si>
  <si>
    <t>roman@vslandscapes.com</t>
  </si>
  <si>
    <t>P-400-22255-466606</t>
  </si>
  <si>
    <t>NONE.  Employer may assist workers with finding and/or securing housing, employer is NOT providing housing.</t>
  </si>
  <si>
    <t>SPENCER</t>
  </si>
  <si>
    <t>RM Aztec Construction LLC</t>
  </si>
  <si>
    <t>Aztec Construction</t>
  </si>
  <si>
    <t>5003 52nd St.</t>
  </si>
  <si>
    <t>Mata</t>
  </si>
  <si>
    <t>rmaztecconstructionllc@outlook.com</t>
  </si>
  <si>
    <t xml:space="preserve">Able to lift 50lbs, Must be able to work at heights of 10'. Monday-Friday, some Saturdays are required, schedules varies, end time varies, overtime varies 
</t>
  </si>
  <si>
    <t>5003 52nd St</t>
  </si>
  <si>
    <t>raises at employer's discretion, opportunity for higher pay depending on performance and experience.</t>
  </si>
  <si>
    <t>P-400-22252-463496</t>
  </si>
  <si>
    <t>raises at employer's discretion</t>
  </si>
  <si>
    <t xml:space="preserve">H&amp;W Benefits may apply. Optional Housing available at no cost. Wage may vary. Depends on Experience. </t>
  </si>
  <si>
    <t>H-400-22350-646967</t>
  </si>
  <si>
    <t>Roofing Laborer</t>
  </si>
  <si>
    <t>Advanced Roofing, Inc.</t>
  </si>
  <si>
    <t>1950 NW 22 Street</t>
  </si>
  <si>
    <t>Rodriguez - Vargas</t>
  </si>
  <si>
    <t>Director, Human Resources</t>
  </si>
  <si>
    <t>jennyr@advancedroofing.com</t>
  </si>
  <si>
    <t xml:space="preserve">Saturday and Sunday work required, when necessary.  Employer-paid drug testing required of foreign and domestic workers prior to commencing work and post-hire upon suspicion of use and post-accident. Post-hire background check and employment eligibility (e-Verify) check required of foreign and domestic workers.
</t>
  </si>
  <si>
    <t>P-400-22350-645506</t>
  </si>
  <si>
    <t>Employer makes all payroll deductions required by law. Voluntary deductions must be pre-authorized and may include: reasonable fair market value cost of board, lodging, and utilities (available to non-local workers), based on number of occupants electing to live in optional employer-offered housing (cost TBD); retirement/savings plan contributions and/or health insurance premiums for workers voluntarily participating in plan(s); and/or voluntary purchase of additional uniforms for worker's benefit (initial uniform provided at no cost). Employer offers free daily transportation to/from worksite from designated pick-up location. Use of transportation is voluntary. Employer provides incidental transportation between worksites as necessary.</t>
  </si>
  <si>
    <t>careers@advancedroofing.com</t>
  </si>
  <si>
    <t>LandCare USA LLC - Austin</t>
  </si>
  <si>
    <t>12819 Dessau Rd</t>
  </si>
  <si>
    <t>P-400-22277-508431</t>
  </si>
  <si>
    <t>CJ's Concrete Construction, LLC</t>
  </si>
  <si>
    <t>707 N. Hwy 36 Bypass</t>
  </si>
  <si>
    <t>Gatesville</t>
  </si>
  <si>
    <t>Smalley</t>
  </si>
  <si>
    <t>christi.mooney@cjsconcretellc.com</t>
  </si>
  <si>
    <t>Pre-hire background check required; Random drug testing during employment; Pre-employment drug testing required; Post-Accident Drug Testing, Able to lift 75lbs, Monday-Friday, schedule varies. Saturdays as needed,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</si>
  <si>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CORYELL</t>
  </si>
  <si>
    <t>P-400-22196-355535</t>
  </si>
  <si>
    <t>H-400-22335-613846</t>
  </si>
  <si>
    <t>Full Care of Louisville, Inc.</t>
  </si>
  <si>
    <t>2750 Constant Comment Place</t>
  </si>
  <si>
    <t>MAILING: 974 Breckenridge Lane #226, Louisville, KY 40207</t>
  </si>
  <si>
    <t>tim@fullcareinc.com</t>
  </si>
  <si>
    <t xml:space="preserve">Must be able to lift 50 lbs and work in adverse weather conditions. 
Must pass a post-employment criminal background check and post-employment, post-injury or incident drug test, paid by employer and applied equally to all workers, U.S. and foreign/H-2B.
Applicants must complete an employment application.
</t>
  </si>
  <si>
    <t>P-400-22159-258320</t>
  </si>
  <si>
    <t>https://focuscareer.ky.gov</t>
  </si>
  <si>
    <t>H-400-22335-614428</t>
  </si>
  <si>
    <t>CEMENT MASONS AND CONCRETE FINISHERS</t>
  </si>
  <si>
    <t>MG CONSTRUCTION COMPANY, LLC</t>
  </si>
  <si>
    <t>2522 BELLS HWY</t>
  </si>
  <si>
    <t>GARDNER</t>
  </si>
  <si>
    <t>mike@mgconstruct.com</t>
  </si>
  <si>
    <t>MUST BE ABLE TO BEND, STOOP, STAND AND LIFT 100 POUNDS FREQUENTLY. MUST BE ABLE TO WORK IN HOT/COLD WEATHER . POST -HIRE DRUG SCREEN AT EMPLOYERS EXPENSE.
SCHEDULE VARIES, OVERTIME AVAILABLE AS NEEDED.</t>
  </si>
  <si>
    <t>P-400-22199-359217</t>
  </si>
  <si>
    <t>greg@mgconstruct.com</t>
  </si>
  <si>
    <t>H-400-22335-614445</t>
  </si>
  <si>
    <t>Material Handler/Driver</t>
  </si>
  <si>
    <t xml:space="preserve">Monday-Sunday, 40 hour workweek, rotating schedule, schedule varies, overtime varies. Able to lift 50lbs. Able to lift and carry heavy items up and down stairs. Must be able to obtain a valid non-CDL drivers license. Pre-hire background check required.
All background checks are performed equally as to U.S. workers and H-2B workers, and all fees are paid for by the company.
See the additional document attached for further details about the administration of our background check policy.
</t>
  </si>
  <si>
    <t>P-400-22192-342585</t>
  </si>
  <si>
    <t>H-400-22335-614514</t>
  </si>
  <si>
    <t>Environmental Landscape Design, LLC</t>
  </si>
  <si>
    <t>2040 Highway 35 Ste 4</t>
  </si>
  <si>
    <t>Noorigian</t>
  </si>
  <si>
    <t>mhowe@eldlandscape.com</t>
  </si>
  <si>
    <t xml:space="preserve">Drug testing during employment for cause; Post-Accident Drug Testing, Able to lift 50lbs, Monday-Friday, some Saturdays as needed,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</si>
  <si>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P-400-22235-433153</t>
  </si>
  <si>
    <t>Hwy Maintenance Worker</t>
  </si>
  <si>
    <t>Vizcaino, LP</t>
  </si>
  <si>
    <t>2210 W. 16th Street</t>
  </si>
  <si>
    <t>vizcainolp@att.net</t>
  </si>
  <si>
    <t>P-400-22210-384806</t>
  </si>
  <si>
    <t>Employer facilitates corresponding deductions for available health benefits.</t>
  </si>
  <si>
    <t>Nanda</t>
  </si>
  <si>
    <t>Anjali</t>
  </si>
  <si>
    <t>Suite 303</t>
  </si>
  <si>
    <t>anjali.nanda@bal.com</t>
  </si>
  <si>
    <t>llovgren@bal.com</t>
  </si>
  <si>
    <t>Prosper</t>
  </si>
  <si>
    <t>GEORGIAN HOSPITALITY LLC</t>
  </si>
  <si>
    <t>GEORGIAN LAKESIDE RESORT</t>
  </si>
  <si>
    <t>384 CANADA STREET</t>
  </si>
  <si>
    <t>KENNY</t>
  </si>
  <si>
    <t>DKENNY@GEORGIANRESORT.COM</t>
  </si>
  <si>
    <t>P-400-22192-344227</t>
  </si>
  <si>
    <t>Denkers Property Maintenance, LLC.</t>
  </si>
  <si>
    <t>1740 W 1500 S</t>
  </si>
  <si>
    <t>Denkers</t>
  </si>
  <si>
    <t>blake.denkers@q.com</t>
  </si>
  <si>
    <t>1799 Pen Argyl Rd.</t>
  </si>
  <si>
    <t>Pen Argyl</t>
  </si>
  <si>
    <t>zavalalandscape@hotmail.com</t>
  </si>
  <si>
    <t>H-400-22334-613235</t>
  </si>
  <si>
    <t>Nate's Tree Service, LLC</t>
  </si>
  <si>
    <t>2220 E. 6th Ave</t>
  </si>
  <si>
    <t>Priest</t>
  </si>
  <si>
    <t>Barrett</t>
  </si>
  <si>
    <t>nate@natestreeservice.com</t>
  </si>
  <si>
    <t xml:space="preserve">Must be able to pass pre-employment background screening as per our policies, post-employment random drug testing may be required, at no cost to the worker. The job requires the applicant to be qualified, ready, willing, able and available to perform during the entire employment at all the designated worksites; and to follow workplace rules.
</t>
  </si>
  <si>
    <t>2220 E. 6TH AVE.</t>
  </si>
  <si>
    <t xml:space="preserve">Merit increases and/or bonuses may be awarded at employer discretion.  </t>
  </si>
  <si>
    <t>P-400-22283-519584</t>
  </si>
  <si>
    <t xml:space="preserve">Employer will make all deductions from the worker’s paycheck required by law.  Payment for housing and any included utilities will be deducted from the worker’s pay. This deduction is estimated to be $50.00 per week.
On an optional basis, employer will assist those employees who opt in, in securing housing. </t>
  </si>
  <si>
    <t>office@natestreeservice.com</t>
  </si>
  <si>
    <t>H-400-22335-614803</t>
  </si>
  <si>
    <t>F&amp;F Landscaping and Lawn Services, LLC.</t>
  </si>
  <si>
    <t>3125 Spring Creek Trail</t>
  </si>
  <si>
    <t>Isela</t>
  </si>
  <si>
    <t>martinezisela88@yahoo.com</t>
  </si>
  <si>
    <t>P-400-22277-509120</t>
  </si>
  <si>
    <t>NONE. Employer may assist workers with finding and/or securing housing, Employer is NOT providing housing.</t>
  </si>
  <si>
    <t>H-400-22335-613951</t>
  </si>
  <si>
    <t>Dream Lawn Solutions, LLC</t>
  </si>
  <si>
    <t>946 Woodbourne Rd</t>
  </si>
  <si>
    <t>Tobar</t>
  </si>
  <si>
    <t>Benigno Gabriel</t>
  </si>
  <si>
    <t>340 Cottonwood Dr</t>
  </si>
  <si>
    <t>dreamlawnsolutionsllc@gmail.com</t>
  </si>
  <si>
    <t>P-400-22215-393311</t>
  </si>
  <si>
    <t>NONE. Employer may assist with finding and/or securing housing, employer is not provide housing.</t>
  </si>
  <si>
    <t>Daytona Beach</t>
  </si>
  <si>
    <t>Mohonk Mountain House</t>
  </si>
  <si>
    <t>1000 Mountain Rest Road</t>
  </si>
  <si>
    <t>McMahon</t>
  </si>
  <si>
    <t>New Paltz</t>
  </si>
  <si>
    <t>hr@mohonk.com</t>
  </si>
  <si>
    <t>www.mohonkjobs.com</t>
  </si>
  <si>
    <t>MAGNOLIA LANDSCAPING INC</t>
  </si>
  <si>
    <t>46 NORTH SHORE ROAD</t>
  </si>
  <si>
    <t>COPPOLA</t>
  </si>
  <si>
    <t>P-400-22200-360583</t>
  </si>
  <si>
    <t>COPPOLA19@OPTONLINE.NET</t>
  </si>
  <si>
    <t>El Campo</t>
  </si>
  <si>
    <t>WHARTON</t>
  </si>
  <si>
    <t>H-400-22335-613780</t>
  </si>
  <si>
    <t>Food and Beverage Assistant</t>
  </si>
  <si>
    <t>P-400-22216-395458</t>
  </si>
  <si>
    <t xml:space="preserve">Employer will make all deductions from the worker's paycheck required by law and deduct approved cost of housing if worker elects. Optional employee shared housing, approximate rate $130 per week plus $200 refundable deposit. Includes utilities, trash, pest control, cable, internet and transportation to and from work. Multiple variations of insurance plans available for Medical, Dental, Vision, payroll deduct if worker elects, approximate costs: $3.00-$300 depending on options employee chooses. Other optional insurances available include short-and long-term disability, extended life insurance, death and dismemberment, etc. Payroll deduction per pay check $5.00-$50.00 depending on options employee chooses. Optional employee HSA/FSA, contribution amount up to employee.
Employer will provide worker at no charge all tools, supplies, equipment, and uniform required to perform job. 
</t>
  </si>
  <si>
    <t>H-400-22335-614818</t>
  </si>
  <si>
    <t xml:space="preserve">Deductions will not drop the overall wage below the UDSOL minimum, if the deductions are too great they will not be made. Advance pay and housing to be deducted from pay, housing varies based on local rates (subject to change based on local inflation), deductions are optional. 
</t>
  </si>
  <si>
    <t>H-400-22335-613953</t>
  </si>
  <si>
    <t>MICKEY'S LAWNSCAPES INC</t>
  </si>
  <si>
    <t>60 NORTH SHORE RD</t>
  </si>
  <si>
    <t>P-400-22252-465102</t>
  </si>
  <si>
    <t>ACCOUNTING@MICKEYSCO.COM</t>
  </si>
  <si>
    <t>H-400-22335-614391</t>
  </si>
  <si>
    <t xml:space="preserve">Able to lift 50lbs. Monday-Friday, Some Saturdays may be required, schedule varies, overtime varies, 3 months experience required in landscape services
</t>
  </si>
  <si>
    <t>H-400-22322-595686</t>
  </si>
  <si>
    <t xml:space="preserve">No minimum education or experience required. Workers are subject to post-employment criminal background checks, paid by employer and applied equally to all workers, U.S. and foreign/H-2B.  Applicant must complete an employment application.  Must be able to work weekends and holidays. Employer will offer 40 hours per week. Resort open 7 days a week. Rotating schedule Sunday through Saturday, shifts vary: 8:30AM  5:00 PM, 4:00PM  12:30AM (includes 30-minute unpaid break).  Hours and shifts may vary with occupancy. Basic wage rate of pay $15.00 per hour. Employer may increase wage based on experience, market conditions and/or provide additional pay for performance and tenure. Overtime may be available at wage rate $22.50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Employer will assist worker to find housing. Public transportation available less than a mile from worksites. Employer will provide worker at no charge all tools, supplies, and equipment required to perform job.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
  </si>
  <si>
    <t>6924 Grand Vacations Way</t>
  </si>
  <si>
    <t>P-400-22257-472187</t>
  </si>
  <si>
    <t xml:space="preserve">
Employer will make all deductions from the worker's paycheck required by law. Employer will assist worker to find housing. Public transportation available less than a mile from worksites.
</t>
  </si>
  <si>
    <t>H-400-22307-567128</t>
  </si>
  <si>
    <t>WaterView Casino &amp; Hotel</t>
  </si>
  <si>
    <t>VIcksburg</t>
  </si>
  <si>
    <t xml:space="preserve">No minimum education or experience required.
Workers are subject to post-employment criminal background checks, paid by employer and applied equally to all workers, U.S. and foreign/H-2B. 
Workers are subject to post-employment and post-injury/incident drug test, paid by employer and applied equally to all workers, U.S. and foreign/H-2B. 
Must be able to work at least 5-day work schedule, including weekends and holidays as required.
Must be able to lift 50 lbs.
Applicant must complete an employment application.
</t>
  </si>
  <si>
    <t>P-400-22251-461910</t>
  </si>
  <si>
    <t>A single workweek will be used in computing wages due. Workers will be paid bi-weekly. The employer will make all deductions from the worker's paycheck required by law. Optional employee shared housing is available, including utilities, at approx. $100 per week, available for payroll deduction if employee elects.</t>
  </si>
  <si>
    <t>careers-waterviewcasino.icims.com</t>
  </si>
  <si>
    <t>H-400-22325-599051</t>
  </si>
  <si>
    <t>MATHIS LANDSCAPES WNC, INC.</t>
  </si>
  <si>
    <t>3211 HWY 107 N</t>
  </si>
  <si>
    <t>GLENVILLE</t>
  </si>
  <si>
    <t>MATHIS</t>
  </si>
  <si>
    <t>ERIKA</t>
  </si>
  <si>
    <t>ERMATHIS@GMAIL.COM</t>
  </si>
  <si>
    <t>MUST BE ABLE TO LIFT 50LBS, REPETITIVE MOVMENTS, EXTENSIVE PUSHING/PULLING, EXTENSIVE WALKING, FREQUENT STOOPING, EXPOSURE TO EXTREME TEMPERATURES. 
SCHEDULE VARIES, OVERTIME AVAILABLE AS NEEDED.</t>
  </si>
  <si>
    <t>P-400-22224-413284</t>
  </si>
  <si>
    <t>employment@mathislandscapes.com</t>
  </si>
  <si>
    <t>Pineville</t>
  </si>
  <si>
    <t>H-400-22321-592411</t>
  </si>
  <si>
    <t>Stock Clerks</t>
  </si>
  <si>
    <t>Grandy Farm Market</t>
  </si>
  <si>
    <t>6264 Caratoke Highway</t>
  </si>
  <si>
    <t>P. O. Box 673</t>
  </si>
  <si>
    <t>Colon</t>
  </si>
  <si>
    <t>6264 Caratoke HWY</t>
  </si>
  <si>
    <t>P.O. Box 673 Grandy, NC 27939</t>
  </si>
  <si>
    <t>grandyfarmmkt@hotmail.com</t>
  </si>
  <si>
    <t xml:space="preserve">Lift/carry up to 50 pounds.  Employer paid Post Accident drug test.  Clean physical appearance required as employees will be working alongside customers of Grandy Farm Market.  ***Employer was forced to complete online form in a way that does not reflect the whole picture regarding hours offered.  The work offered is based on rotating shifts to include 12-hour days.  The total hours per week offered each worker is 48 hours.  We are clarifying this item here because the system does not allow us to amend the ETA9142 form to reflect actual hours offered.  Workers do not work all shifts and all shifts are not offered to all workers.  Thus, the need to clarify the 48 hours is offered to each worker each workweek.  Workers will be given days off each week. 
</t>
  </si>
  <si>
    <t>P-400-22234-429185</t>
  </si>
  <si>
    <t xml:space="preserve">Shared housing available to only seasonal full-time employees, not offered to non-employees. Employees may make their own arrangements at their own expense. If they opt to live in employer provided housing rent (utilities included) charged at $60.00/week.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</si>
  <si>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H-400-22315-581991</t>
  </si>
  <si>
    <t>Greater Midwest Shows, LLC</t>
  </si>
  <si>
    <t>717 Auburn Place NW</t>
  </si>
  <si>
    <t>(Mail to: 32451 Hwy 16, Amite, LA 70422)</t>
  </si>
  <si>
    <t>tannersrides@aol.com</t>
  </si>
  <si>
    <t>P-400-22250-458492</t>
  </si>
  <si>
    <t>H-400-22307-566421</t>
  </si>
  <si>
    <t>Random drug testing during employment; Drug testing during employment for cause; Post-Accident Drug Testing; Able to lift 50lbs, Must be able to work in inclement weather, Monday-Thursday, Some Fridays and/or weekends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t>
  </si>
  <si>
    <t>H-400-22307-566392</t>
  </si>
  <si>
    <t xml:space="preserve">DRIVER  AND HELPER </t>
  </si>
  <si>
    <t>JLA ANDRES SERVICES CORP</t>
  </si>
  <si>
    <t xml:space="preserve">1461 jerome av </t>
  </si>
  <si>
    <t xml:space="preserve">Newark </t>
  </si>
  <si>
    <t>VILLAFANA</t>
  </si>
  <si>
    <t>258 WADSWORTH AV</t>
  </si>
  <si>
    <t>CANDYTAXCORP@GMAIL.COM</t>
  </si>
  <si>
    <t xml:space="preserve">NEED TO KNOW HOW TO USE A CELL PHONE AND TABLET 
</t>
  </si>
  <si>
    <t>50 Hartz</t>
  </si>
  <si>
    <t>Secaucus</t>
  </si>
  <si>
    <t>P-400-22167-287359</t>
  </si>
  <si>
    <t xml:space="preserve">FEDERAL TAXES AND STATE TAXES </t>
  </si>
  <si>
    <t>CANDY TAX CORP</t>
  </si>
  <si>
    <t>H-400-22311-571643</t>
  </si>
  <si>
    <t xml:space="preserve">Social Support Aid </t>
  </si>
  <si>
    <t>Northshore Haitian American Associations, Inc.</t>
  </si>
  <si>
    <t>8 Trinity Avenue</t>
  </si>
  <si>
    <t>Hyppolite</t>
  </si>
  <si>
    <t>noshaa01@gmail.com</t>
  </si>
  <si>
    <t>P-400-22255-465554</t>
  </si>
  <si>
    <t>Cost of lodging that will deducted is $125.00</t>
  </si>
  <si>
    <t>https://www.noshaa.org/</t>
  </si>
  <si>
    <t>H-400-22321-592433</t>
  </si>
  <si>
    <t>K &amp; D Rounds Landscape Services, Inc.</t>
  </si>
  <si>
    <t xml:space="preserve">Lift/carry up to 50 pounds.  Employer paid drug test is Pre-Employment, Post-Employment Random, Post Accident, Post-
Employment Upon Suspicion.
</t>
  </si>
  <si>
    <t>Shared housing available to only seasonal F/T employees. Housing is not offered to non-employees.   Employees may make their own arrangements at their own expense. However, if they opt to live in employer provided housing they will be charged $85/week. Utilities are included. The employer will make the following deductions from the worker's wages: all deductions required by law, rent (where applicable), cash advances and repayment of loans, repayment of overpayment of wages to worker, payment for articles which worker has voluntarily purchased from the employer, long distance telephone charges, recovery of any loss to the employer due to worker's damage (beyond normal wear and tear) or loss of equipment or housing items where it is shown that worker is responsible, and any other reasonable deductions expressly authorized by the worker in writing. No deduction not required by law will be made that brings the workers hourly earnings below the FLSA Federal statutory minimum wage.</t>
  </si>
  <si>
    <t>H-400-22335-613762</t>
  </si>
  <si>
    <t>DILEO LANDSCAPING LTD</t>
  </si>
  <si>
    <t>93 EAST MARIE STREET</t>
  </si>
  <si>
    <t>PO BOX 328 PLAINVIEW NY 11803</t>
  </si>
  <si>
    <t>DILEO</t>
  </si>
  <si>
    <t>DANIELE</t>
  </si>
  <si>
    <t>P-400-22193-346198</t>
  </si>
  <si>
    <t>DILEODOESITALL@GMAIL.COM</t>
  </si>
  <si>
    <t>H-400-22307-567874</t>
  </si>
  <si>
    <t>Perche Creek Golf, LLC</t>
  </si>
  <si>
    <t>Midway Golf and Games</t>
  </si>
  <si>
    <t>5500 Van Horn Tavern Rd.</t>
  </si>
  <si>
    <t>Neisen</t>
  </si>
  <si>
    <t>P-400-22217-400871</t>
  </si>
  <si>
    <t>neisen42@yahoo.com</t>
  </si>
  <si>
    <t>H-400-22340-623191</t>
  </si>
  <si>
    <t>FIELD SERVICE TECHNICIAN</t>
  </si>
  <si>
    <t>CORNWELL LAWN &amp; LANDSCAPING LLC</t>
  </si>
  <si>
    <t>3360 VALLEYVIEW DRIVE</t>
  </si>
  <si>
    <t>CORNWELL</t>
  </si>
  <si>
    <t>NICHOLAS</t>
  </si>
  <si>
    <t>NICK@CORNWELLLAWN.COM</t>
  </si>
  <si>
    <t xml:space="preserve">Overtime hours are available as needed and range from 1-10 hours. Work on Saturdays may be required when necessary. </t>
  </si>
  <si>
    <t>P-400-22286-527799</t>
  </si>
  <si>
    <t>nick@cornwelllawn.com</t>
  </si>
  <si>
    <t>H-400-22321-592146</t>
  </si>
  <si>
    <t>Alamo Amusements, Inc.</t>
  </si>
  <si>
    <t>722 Colwyn Pass</t>
  </si>
  <si>
    <t>alamoamusements@msn.com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</si>
  <si>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Employer will provide workers at no charge all tools, supplies and equipment required to perform job. On the job training provided.
</t>
  </si>
  <si>
    <t>4902 Roosevelt Ave</t>
  </si>
  <si>
    <t>P-400-22166-284550</t>
  </si>
  <si>
    <t xml:space="preserve">Pay received weekly, single workweek used for computing wages. 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
Travel provided to all events as per itinerary. Must commute from home at prior worksite to next worksite. Optional transportation to worksites provided at no cost to the worker. Work is performed outside in all weather.
</t>
  </si>
  <si>
    <t>H-400-22335-613669</t>
  </si>
  <si>
    <t>H-400-22319-588230</t>
  </si>
  <si>
    <t xml:space="preserve">M-F, Overtime varies. Able to lift 50lbs. Must be able to handle tools properly.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</si>
  <si>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Raise/bonus at employer's discretion. Oppty for more pay based on exp, driver's lic, able to communicate with clients.</t>
  </si>
  <si>
    <t>H-400-22307-565979</t>
  </si>
  <si>
    <t xml:space="preserve">Post-employment and post-injury/incident drug testing required cost paid by employer and applied equally to all workers, U.S. and foreign/H-2B. Must be able to work a 5 day schedule, may include weekends and holidays. Applicants must complete an employment application. </t>
  </si>
  <si>
    <t xml:space="preserve">Employer will make all deductions from the worker's paycheck required by law and deduct approved cost of housing if worker elects. Optional employee only shared housing, approximate cost including utilities $50 per week No deposit required.
Employer will provide worker at no charge all tools, supplies, equipment and uniform required to perform job. 
</t>
  </si>
  <si>
    <t>www.unioncountyjobs.org</t>
  </si>
  <si>
    <t>H-400-22332-608138</t>
  </si>
  <si>
    <t xml:space="preserve">Lear 60 Airline Co-Pilot </t>
  </si>
  <si>
    <t>Airline Pilots, Copilots, and Flight Engineers</t>
  </si>
  <si>
    <t>Florida Jet Service, Inc.</t>
  </si>
  <si>
    <t>2665 N.W. 56 Street</t>
  </si>
  <si>
    <t>Hangar 54</t>
  </si>
  <si>
    <t>Ft Lauderdale</t>
  </si>
  <si>
    <t>Graeler-Elias</t>
  </si>
  <si>
    <t>Human Resources (HR)</t>
  </si>
  <si>
    <t xml:space="preserve">2665 N.W. 56th Street </t>
  </si>
  <si>
    <t>kateg@floridajet.com</t>
  </si>
  <si>
    <t>Shaune</t>
  </si>
  <si>
    <t>1000 5th Street</t>
  </si>
  <si>
    <t>Suite 1311</t>
  </si>
  <si>
    <t>shaune@fraserpllc.com</t>
  </si>
  <si>
    <t>Fraser Immigration Law PLLC</t>
  </si>
  <si>
    <t xml:space="preserve">Florida Supreme Court </t>
  </si>
  <si>
    <t xml:space="preserve">Pilot's license, Commerical Pilot Certificate (CPC) with multi engine IFR with first class medical license.
</t>
  </si>
  <si>
    <t>2665 NW 56th Street</t>
  </si>
  <si>
    <t>P-400-22263-482093</t>
  </si>
  <si>
    <t>Not Known.</t>
  </si>
  <si>
    <t>Kateg@floridajet.com</t>
  </si>
  <si>
    <t xml:space="preserve">Fraser Immigration Law PLLC </t>
  </si>
  <si>
    <t>Shaune@fraserpllc.com</t>
  </si>
  <si>
    <t>H-400-22307-565996</t>
  </si>
  <si>
    <t>Bay Country Services LLC</t>
  </si>
  <si>
    <t>Bay Country Landscape</t>
  </si>
  <si>
    <t>227 S. Bridge Street</t>
  </si>
  <si>
    <t>Bathon</t>
  </si>
  <si>
    <t>wbathon@baycountrylandscape.com</t>
  </si>
  <si>
    <t xml:space="preserve">Must be able to work a 5-day schedule.
Applicants must complete an employment application.
</t>
  </si>
  <si>
    <t>P-400-22189-341211</t>
  </si>
  <si>
    <t xml:space="preserve">The employer will make all deductions from the worker's paycheck required by law. Optional employee shared housing available, including utilities, approximate cost $95.00 per week.  Housing cost payroll deducted if worker elects. 
Daily transportation provided to/from employee only housing to the the main worksite in Elkton and then to and from multiple worksite locations in Cecil County, MD and Kent &amp; New Castle Counties, DE. 
The employer will provide worker at no charge all tools, supplies, and equipment required to perform job. Uniform provided at no charge to the worker.  
</t>
  </si>
  <si>
    <t>H-400-22335-613686</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</si>
  <si>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stand, sit, and reach with hands and arms. 
Must be able to walk and stoop, kneel, crouch, or crawl.
Must be able to lift 20 lbs and move up to 75 lbs.
Must be able to be exposed to severe weather conditions such as rain, wind and other harsh climatic conditions. 
Must be able to work in environment where noise level may exceed the moderate threshold. 
Must be able to be exposed to various industrial chemicals, cleaning agents, etc. 
Must be able to be exposed to strong odors.
The employer will provide worker at no charge all tools, supplies, and equipment required to perform job. Uniform pieces provided at no cost to employee.
Employer will provide on-the-job training.
</t>
  </si>
  <si>
    <t>P-400-22213-388020</t>
  </si>
  <si>
    <t xml:space="preserve">Employer will make all deductions from the worker's paycheck required by law. Optional employee only shared housing available onsite, including utilities, at approximately $100 per week. Housing cost payroll deducted if worker elects.
A single workweek will be used in computing wages due. Workers will be paid weekly. 
</t>
  </si>
  <si>
    <t>H-400-22307-565965</t>
  </si>
  <si>
    <t>7115 Treaschwig Road (Report to Work)</t>
  </si>
  <si>
    <t>P-400-22253-465242</t>
  </si>
  <si>
    <t>Optional shared, furnished housing available to the worker (including utilities); if housing is agreed upon by the worker, $83.22 to be deducted from worker's weekly paycheck.
At Employer’s sole discretion: possible cash advances (if applicable/requested by worker, potential deduction from worker’s paycheck).</t>
  </si>
  <si>
    <t>jwhitt@ruppertcompanies.com</t>
  </si>
  <si>
    <t>H-400-22309-571281</t>
  </si>
  <si>
    <t>Big O Entertainment LLC</t>
  </si>
  <si>
    <t>1585 County Road 155</t>
  </si>
  <si>
    <t>{Mail: 25542 Madison St.  Astatula, FL  34705}</t>
  </si>
  <si>
    <t>Cardington</t>
  </si>
  <si>
    <t>{Mail:  25542 Madison Street Astatula, FL  34705}</t>
  </si>
  <si>
    <t>judyott123@hotmail.com</t>
  </si>
  <si>
    <t>P-400-22266-489816</t>
  </si>
  <si>
    <t xml:space="preserve">Employer will make all deductions from the worker’s paycheck required by law.  Optional housing (valued at $150.00 per week) and local convenience travel (valued at $15.00 per week) are available at no cost to the worker. </t>
  </si>
  <si>
    <t>H-400-22305-562721</t>
  </si>
  <si>
    <t>Pugh's Concessions, Inc.</t>
  </si>
  <si>
    <t>1645 SW MAPP RD</t>
  </si>
  <si>
    <t>PALM CITY</t>
  </si>
  <si>
    <t>Pugh</t>
  </si>
  <si>
    <t>Beau</t>
  </si>
  <si>
    <t>beaupugh@gmail.com</t>
  </si>
  <si>
    <t>1645 SW Mapp Rd.</t>
  </si>
  <si>
    <t>P-400-22262-480945</t>
  </si>
  <si>
    <t>H-400-22230-425421</t>
  </si>
  <si>
    <t>P-400-22179-317438</t>
  </si>
  <si>
    <t>Hatfield</t>
  </si>
  <si>
    <t>H-400-22230-425435</t>
  </si>
  <si>
    <t>Notch Hotel, LLC</t>
  </si>
  <si>
    <t>DBA Residence Inn by Marriott</t>
  </si>
  <si>
    <t>1800 Wilkes Ridge Circle</t>
  </si>
  <si>
    <t xml:space="preserve">Must lift/carry 50 lbs., when necessary.  Work schedule is at least 5 days/week with work days varying by week to include Saturday and Sunday. Must be available to work all shifts: 7AM-3:30PM; 8AM-4:30PM; 9AM-5:30PM; 11AM-7:30PM.
</t>
  </si>
  <si>
    <t>P-400-22179-317459</t>
  </si>
  <si>
    <t>H-400-22280-517599</t>
  </si>
  <si>
    <t xml:space="preserve">Babysitter </t>
  </si>
  <si>
    <t>Nannies</t>
  </si>
  <si>
    <t xml:space="preserve">Brandon boyne </t>
  </si>
  <si>
    <t>483 E 96th street</t>
  </si>
  <si>
    <t>Boyne</t>
  </si>
  <si>
    <t xml:space="preserve">Sujia </t>
  </si>
  <si>
    <t xml:space="preserve">483 E 96th street </t>
  </si>
  <si>
    <t>brandonboyne@rocketmail.com</t>
  </si>
  <si>
    <t>jamaican dilect,
jamaican customs and way of life</t>
  </si>
  <si>
    <t>P-400-22256-470712</t>
  </si>
  <si>
    <t>BRANDONBOYNE@ROCKETMAIL.COM</t>
  </si>
  <si>
    <t>boyne</t>
  </si>
  <si>
    <t>brandon</t>
  </si>
  <si>
    <t>BRANDON BOYNE</t>
  </si>
  <si>
    <t>H-400-22221-405347</t>
  </si>
  <si>
    <t>2301 WEST SAMPLE ROAD</t>
  </si>
  <si>
    <t>7100 W. Camino Real</t>
  </si>
  <si>
    <t xml:space="preserve">Must be able to lift 20 lbs.
Able to work standing up for 8 hrs. with a break
Able to stoop to pick up items and to clean
Rotate mattresses 
</t>
  </si>
  <si>
    <t>701 NW 53RD STREET</t>
  </si>
  <si>
    <t>BOCA RATON</t>
  </si>
  <si>
    <t>P-400-22140-196636</t>
  </si>
  <si>
    <t>H-400-22256-470277</t>
  </si>
  <si>
    <t>Silveira Landscapes, Inc</t>
  </si>
  <si>
    <t>10701 Smithville Place</t>
  </si>
  <si>
    <t xml:space="preserve">McKinney </t>
  </si>
  <si>
    <t>Authorized Agent</t>
  </si>
  <si>
    <t>Immigration@fisherBroyles.com</t>
  </si>
  <si>
    <t>P-400-22188-337637</t>
  </si>
  <si>
    <t xml:space="preserve">Assistance finding lodging is available, and optional, at no additional charge to the worker. 
Employer will make all deductions required by law from each paycheck.
</t>
  </si>
  <si>
    <t>angie@silveiraindustries.com</t>
  </si>
  <si>
    <t>H-400-22224-412624</t>
  </si>
  <si>
    <t xml:space="preserve">Must be able to lift 30 pounds. Must be able to handle temperature extremes. 
</t>
  </si>
  <si>
    <t>Wage rate may vary based on experience and/or merit. Up  to 10 hours overtime may be available but not guaranteed</t>
  </si>
  <si>
    <t xml:space="preserve">All deductions from the worker's paycheck will be made as required by law. Any advance will be deducted with the consent of the employee. </t>
  </si>
  <si>
    <t>H-400-22239-441749</t>
  </si>
  <si>
    <t>POLISHER</t>
  </si>
  <si>
    <t xml:space="preserve">RIDDLE'S GROUP, INC. </t>
  </si>
  <si>
    <t>2707 MT RUSHMORE ROAD</t>
  </si>
  <si>
    <t>WESTERGAARD</t>
  </si>
  <si>
    <t>EXECUTIVE VICE PRESIDENT / C.F.O.</t>
  </si>
  <si>
    <t>P-400-22158-252239</t>
  </si>
  <si>
    <t>The employer will make all deductions from workers’ paychecks that are required by law. No deductions not required by law will
be made.</t>
  </si>
  <si>
    <t>davew@teamridco.com</t>
  </si>
  <si>
    <t>H-400-22225-415212</t>
  </si>
  <si>
    <t>LANDSCAPERS</t>
  </si>
  <si>
    <t>Landscape Architects</t>
  </si>
  <si>
    <t>ADMIRE LANDSCAPING AND LAWN CARE LLC</t>
  </si>
  <si>
    <t>950 EAST 81ST STREET</t>
  </si>
  <si>
    <t>MOISE</t>
  </si>
  <si>
    <t xml:space="preserve">PIERRE ROODY </t>
  </si>
  <si>
    <t>DESIR</t>
  </si>
  <si>
    <t>gardens@admirelandscaping.com</t>
  </si>
  <si>
    <t>P-400-22116-108273</t>
  </si>
  <si>
    <t xml:space="preserve">Housing is optional and is available for $2000 per month. Not deducted from payroll. </t>
  </si>
  <si>
    <t>H-400-22256-469860</t>
  </si>
  <si>
    <t>Presto Kitchen Service, Inc</t>
  </si>
  <si>
    <t>15-18 130th Street</t>
  </si>
  <si>
    <t>College Point</t>
  </si>
  <si>
    <t>Acosta</t>
  </si>
  <si>
    <t>edison@prestokitchens.com</t>
  </si>
  <si>
    <t xml:space="preserve">***RFI Response***
Physical Requirements:
Lifting 50-75 lbs. with or without assistance Climbing up to 8 ft. with ladder
Occasional roof access may be necessary Kneeling, squatting, bending, pushing/pulling
Exposure to noise, heat, cold, slippery, wet, conditions
We note that no license is required for the position. No drivers license is required as a
condition of employment for the position. If the prospective worker already possesses a
standard, noncommercial drivers license they may be asked to drive a vehicle, as needed.
However, in full compliance, the Gross Vehicle Weight for the truck the worker may drive,
if licensed, is 8,600 pounds. If the worker has a drivers license, the worker may drive crew
vehicle to jobsites to perform core duties for projects, as needed. Driving is not a position
requirement or daily duty."
***Original F.b.5.a.(iv)***
Physical Requirements:
Lifting 50-75 lbs. with or without assistance
Climbing up to 8 ft. with ladder
Occasional roof access may be necessary
Kneeling, squatting, bending, pushing/pulling
Exposure to noise, heat, cold, slippery, wet, conditions
We note that no license is required for the position. No drivers license is required as a condition  of employment for the position. If the prospective worker already possesses a standard, noncommercial  drivers license they may be asked to drive a vehicle, as needed. However, in  full compliance, the Gross Vehicle Weight for the truck the worker may drive, if licensed, is 8,600 pounds. 
</t>
  </si>
  <si>
    <t xml:space="preserve">A single work week will be used to compute wages due. Workers will be paid weekly on Thursday. </t>
  </si>
  <si>
    <t>P-400-22192-343583</t>
  </si>
  <si>
    <t xml:space="preserve">A single work week will be used to compute wages due. Workers will be paid weekly on Thursday. EMPLOYER WILL MAKE ALL DEDUCTIONS REQUIRED BY LAW AND NO OTHERS without written consent from worker. Employer will NOT assist workers in securing board, lodging, or other facilities. </t>
  </si>
  <si>
    <t>H-400-22250-459925</t>
  </si>
  <si>
    <t xml:space="preserve">The Petitioner will consider for employment any person who possesses at least one (1) year of culinary experience in a fine-dining or high-volume environment at a high-end restaurant, resort, or private club. 
</t>
  </si>
  <si>
    <t xml:space="preserve">Wage: $16.50 - $25.00 per hour, paid weekly.  Overtime is available at $24.75 - $37.50 per hour.  </t>
  </si>
  <si>
    <t>P-400-22180-321901</t>
  </si>
  <si>
    <t>H-400-22307-567693</t>
  </si>
  <si>
    <t>P-400-22250-458895</t>
  </si>
  <si>
    <t>H-400-22297-546873</t>
  </si>
  <si>
    <t xml:space="preserve">Transportation provided to job sites from Central location located in Jackson, TN.  Employer paid post hire drug test required. 
</t>
  </si>
  <si>
    <t>H-400-22299-552143</t>
  </si>
  <si>
    <t>Larry Cushing Entertainment Ltd</t>
  </si>
  <si>
    <t>Cushing Amusements</t>
  </si>
  <si>
    <t>196 Wildwood St.</t>
  </si>
  <si>
    <t>Cushing</t>
  </si>
  <si>
    <t>peter@cushingamusement.com</t>
  </si>
  <si>
    <t xml:space="preserve">196 Wildwood St. </t>
  </si>
  <si>
    <t>WILMINGTON</t>
  </si>
  <si>
    <t>P-400-22258-474522</t>
  </si>
  <si>
    <t xml:space="preserve">Optional housing (valued at $125.00 per week) and local convenience travel (valued at $25.00 per week) are available at no cost to the worker. </t>
  </si>
  <si>
    <t>larry@cushingamusement.com</t>
  </si>
  <si>
    <t>H-400-22307-566289</t>
  </si>
  <si>
    <t xml:space="preserve">James River Grounds Management, LLC. </t>
  </si>
  <si>
    <t>3127 Ballard Avenue</t>
  </si>
  <si>
    <t>11008 Washington Highway</t>
  </si>
  <si>
    <t xml:space="preserve">Lift/carry up to 50 pounds. Pre-Employment, Random (post-employment), Post Accident, Upon Suspicion (Post Employment) employer paid drug testing required. Employer paid post hire criminal background check required.  Show past certification for herbicide and fertilizer application (as required by the Commonwealth of VA).  Work in bending and standing positions for extended periods in all types of weather (extreme heat &amp; cold).  
</t>
  </si>
  <si>
    <t>P-400-22234-429225</t>
  </si>
  <si>
    <t>Shared housing available to only seasonal full-time employees, not offered to non-employees. Employees may make their own arrangements at their own expense. If they opt to live in employer provided housing rent (utilities included) charged at $87.50/week.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</si>
  <si>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jobs@jrgm.com</t>
  </si>
  <si>
    <t>https://jrgm.com/join-our-team/</t>
  </si>
  <si>
    <t>H-400-22215-393347</t>
  </si>
  <si>
    <t>Nail Forestry Services, INC</t>
  </si>
  <si>
    <t>733-B Highway 6 East</t>
  </si>
  <si>
    <t>Nail</t>
  </si>
  <si>
    <t>Supervisor/President</t>
  </si>
  <si>
    <t>733 b Highway 6 East</t>
  </si>
  <si>
    <t xml:space="preserve">CONSTANT BENDING AND STOOPING. 1 HR LUNCH PAID. AFTER WEEK MUST BE ABLE TO PLANT 2000 SEEDLINGS PER 8 HRS. WILL FREQUENTLY LIFT AND CARRY 50 LBS. NO OVERTIME PROMISED.
</t>
  </si>
  <si>
    <t>733-b Highway 6 East</t>
  </si>
  <si>
    <t>P-400-22147-220280</t>
  </si>
  <si>
    <t xml:space="preserve">All deductions as required by law. Advance wages, if any. </t>
  </si>
  <si>
    <t>H-400-22264-487037</t>
  </si>
  <si>
    <t>Valley Rain Construction Corp.</t>
  </si>
  <si>
    <t>1614 E Curry Rd</t>
  </si>
  <si>
    <t>Tempe</t>
  </si>
  <si>
    <t>Brodland</t>
  </si>
  <si>
    <t>Carin</t>
  </si>
  <si>
    <t>HR/Payroll Specialist</t>
  </si>
  <si>
    <t>cbrodland@valleyrain.com</t>
  </si>
  <si>
    <t>P-400-22195-352013</t>
  </si>
  <si>
    <t>H-400-22195-352972</t>
  </si>
  <si>
    <t>Sawmill Operator</t>
  </si>
  <si>
    <t>Irving Forest Products, Inc.</t>
  </si>
  <si>
    <t>300 Union Street</t>
  </si>
  <si>
    <t>Mailing: PO Box 5777, Saint John, Canada</t>
  </si>
  <si>
    <t>Saint John</t>
  </si>
  <si>
    <t>CANADA</t>
  </si>
  <si>
    <t>1218 Portage Road</t>
  </si>
  <si>
    <t>Mailing: PO Box 389 , Ashland, ME 04732</t>
  </si>
  <si>
    <t>Nashville Plantation</t>
  </si>
  <si>
    <t>Heilmann1139@maslabor.com</t>
  </si>
  <si>
    <t xml:space="preserve">Must lift/carry 50 lbs., when necessary.  Standard workweek is 4 days per week. Friday, Saturday, and Sunday work required, when necessary. Shift work requiring alternating weeks of 3 or 4 days worked per week.  Hours worked in excess of 40 in a work week paid at overtime rate. Employer-paid drug testing required of foreign and domestic workers prior to commencing work and post-hire upon suspicion of use and post-accident. Post-hire background check required of foreign and domestic workers.
</t>
  </si>
  <si>
    <t>NASHVILLE PLANTATION</t>
  </si>
  <si>
    <t>P-400-22138-182962</t>
  </si>
  <si>
    <t xml:space="preserve">The employer will make all deductions from worker's paycheck required by law. The employer does not envision other workforce-wide payroll deductions. Potential elective deductions to be pre-authorized in writing if applicable are as follows: Optional lodging facilities and board (meals) are equally available to foreign and non-local workers from outside normal commuting distance.  Employer will deduct for the reasonable fair market value cost of room and board including meals based on number of occupants for those employees who voluntarily elect to live in employer-offered housing. The employer offers optional employee health insurance to its workers; participation in any such plan is voluntary.   Employer will offer daily transportation to and from the worksite from a centralized designated pick-up place at no cost to workers.  Use of this transportation is voluntary. </t>
  </si>
  <si>
    <t>H-400-22252-462849</t>
  </si>
  <si>
    <t>Kenneth McPeek Racing Stables, Inc.</t>
  </si>
  <si>
    <t xml:space="preserve">2651 Russell Cave Rd. </t>
  </si>
  <si>
    <t>Pachuta</t>
  </si>
  <si>
    <t>Lauryn</t>
  </si>
  <si>
    <t>2651 Russell Cave Rd.</t>
  </si>
  <si>
    <t>office@mcpeekracing.com</t>
  </si>
  <si>
    <t>4516 South 700 East, Suite 280</t>
  </si>
  <si>
    <t>Job is split shift so the workers work from 5 a.m. to 11:00  a.m. and then return in the afternoons from 4:00 to 5:00 to feed the horses.  Day off is rotated.  There is some lifting and pulling, or carring tack and/or buckets and hay, must be able to lift up to 50 lbs.</t>
  </si>
  <si>
    <t xml:space="preserve">Gulfstream Park Racing </t>
  </si>
  <si>
    <t>901 S. Federal Hwy.</t>
  </si>
  <si>
    <t>Hallendale Beach</t>
  </si>
  <si>
    <t>Overtime hours may vary depending on weather or other conditions.</t>
  </si>
  <si>
    <t>P-400-22187-334077</t>
  </si>
  <si>
    <t>All required state and federal deductions including FICA and Withholding.  The racing facility will provide tack rooms to the trainer who in turn provides them to the workers at no cost and it is optional for the workers.  There is also a kitchen and laundry facilities provided for workers in the back area of the racing facility.</t>
  </si>
  <si>
    <t>H-400-22244-449577</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</si>
  <si>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Must lift/carry 50 lbs., when necessary.  
</t>
  </si>
  <si>
    <t>777 Casino Dr. Cherokee</t>
  </si>
  <si>
    <t>P-400-22188-336125</t>
  </si>
  <si>
    <t xml:space="preserve">•	The employer will make all deductions from worker's paycheck required by law. 
•	Optional &amp; Voluntary 3rd party housing may be available at $125 - $150/ WK and may be voluntarily payroll deducted biweekly or direct deposit into provider's account
•	Waterloo could act as guarantor for timely rent payment however, lease is directly with 3rd party &amp; between employees &amp; housing company as Waterloo has no housing of its own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weeks rent is non-refundable. </t>
  </si>
  <si>
    <t>H-400-22276-506544</t>
  </si>
  <si>
    <t>Wade Shows, Inc.</t>
  </si>
  <si>
    <t>4277 E M-36</t>
  </si>
  <si>
    <t>(Mail: PO Box 51730, Livonia MI 48151)</t>
  </si>
  <si>
    <t>Pinckney</t>
  </si>
  <si>
    <t>P-400-22188-338355</t>
  </si>
  <si>
    <t>Joanna@wadeshowsinc.com</t>
  </si>
  <si>
    <t>H-400-22262-479680</t>
  </si>
  <si>
    <t>P-400-22204-372297</t>
  </si>
  <si>
    <t>H-400-22270-497561</t>
  </si>
  <si>
    <t xml:space="preserve">Child Caregiver and Domestic </t>
  </si>
  <si>
    <t>Anna Hall</t>
  </si>
  <si>
    <t>3214 114TH ST SE</t>
  </si>
  <si>
    <t>annamstoner@gmail.com</t>
  </si>
  <si>
    <t xml:space="preserve">Philippines Caregiver Certification
Personal Health Support Worker Caregiver Certificate
Fluent in Tagalog
</t>
  </si>
  <si>
    <t>P-400-22129-148267</t>
  </si>
  <si>
    <t>Lodging $1500
Food $500
Mobile phone plan $25</t>
  </si>
  <si>
    <t>https://employer.worksourcewa.com/jpw/jobs/jobspreviewpopup.aspx?post=</t>
  </si>
  <si>
    <t>H-400-22245-452739</t>
  </si>
  <si>
    <t xml:space="preserve">UniSea, Inc. </t>
  </si>
  <si>
    <t>15400 NE 90th Street</t>
  </si>
  <si>
    <t>Redmond</t>
  </si>
  <si>
    <t>Languille</t>
  </si>
  <si>
    <t>Corporate Human Resource Manager</t>
  </si>
  <si>
    <t>kathryn.languille@unisea.com</t>
  </si>
  <si>
    <t xml:space="preserve">Two shifts: 6:00AM - 6:00PM or 6:00PM - 6:00AM
Days/shifts may vary
Optional employer housing is available at a cost of $15/day
A pre-employment drug screen will be required. 
Employer reserves the right to pay a higher wage rate or bonus to any worker, in their sole discretion, based on performance, skill, tenure, or experience. 
Transportation to and from the worksite will be provide to the worker at no cost. 
Up to 44 hours of overtime per week available as needed. </t>
  </si>
  <si>
    <t>88 Salmon Way</t>
  </si>
  <si>
    <t>OT will be paid for working greater than 40 hours in any given week, or greater than 8 hours in any given day.</t>
  </si>
  <si>
    <t>P-400-22147-221391</t>
  </si>
  <si>
    <t>jobs@unisea.com</t>
  </si>
  <si>
    <t>https://www.unisea.com/join-our-team/job-listings/</t>
  </si>
  <si>
    <t>H-400-22291-535898</t>
  </si>
  <si>
    <t>Odyssey Foods, LLC</t>
  </si>
  <si>
    <t>11634 S Warpaint Drive</t>
  </si>
  <si>
    <t>Palmieri</t>
  </si>
  <si>
    <t>11634 S Warpaint Dr</t>
  </si>
  <si>
    <t>dominic@rcsfun.com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</si>
  <si>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Post-employment/post-injury or incident and reasonable suspicion drug test required, cost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commute from home at prior worksite to next worksite. Optional transportation to worksites provided at no cost to the worker. Work is performed outside in all weather.
Employer will provide workers at no charge all tools, supplies, equipment and uniform required to perform job. On the job training provided.
</t>
  </si>
  <si>
    <t>1826 W McDowell Rd</t>
  </si>
  <si>
    <t>P-400-22161-265495</t>
  </si>
  <si>
    <t>H-400-22231-427729</t>
  </si>
  <si>
    <t>P-400-22104-072881</t>
  </si>
  <si>
    <t>H-400-22250-459251</t>
  </si>
  <si>
    <t>P-400-22207-377670</t>
  </si>
  <si>
    <t>H-400-22265-488479</t>
  </si>
  <si>
    <t>Vince</t>
  </si>
  <si>
    <t>Senior Vice President &amp; General Manager</t>
  </si>
  <si>
    <t xml:space="preserve">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</si>
  <si>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P-400-22196-356565</t>
  </si>
  <si>
    <t>H-400-22253-465345</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</si>
  <si>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</si>
  <si>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P-400-22202-367998</t>
  </si>
  <si>
    <t>H-400-22199-358656</t>
  </si>
  <si>
    <t xml:space="preserve">Temporary Produce Packers-Hand </t>
  </si>
  <si>
    <t>Continental Connect, LLC</t>
  </si>
  <si>
    <t>172 Center Street, Suite 202</t>
  </si>
  <si>
    <t>Monnin</t>
  </si>
  <si>
    <t>Chief Revenue Officer</t>
  </si>
  <si>
    <t>ContinentalConnect2019@gmail.com</t>
  </si>
  <si>
    <t>Workers must endure working in a cold work environment, stand, bend, and walk for long periods of time to perform duties, and willing to undergo pre-employment Drug Screening and random Drug Screening at the employers expense.</t>
  </si>
  <si>
    <t>16 Forest Parkway #J</t>
  </si>
  <si>
    <t>Forest Park</t>
  </si>
  <si>
    <t>Workers do not work more than 40 hours a week. Workers are given 1/2 lunch and
2 (15 minute breaks during the day) paid. Workers are working 6 hours and are
given 1/2 hour lunch and 1 15 minute breaks during the day.</t>
  </si>
  <si>
    <t>P-400-22091-029594</t>
  </si>
  <si>
    <t>Employer will have lodging available for workers at the Efficiency Lodge, Forest Park, GA 3029, with fully furnished rooms with a small kitchenette for workers to prepare their meals at the cost of $125.00 per week if the worker chooses to accept lodging.
All deductions from workers’ paychecks required by law will be made.</t>
  </si>
  <si>
    <t>H-400-22257-472062</t>
  </si>
  <si>
    <t>Representative Fundraiser in Florida</t>
  </si>
  <si>
    <t>Fundraisers</t>
  </si>
  <si>
    <t>PALMA ,ARGENTA 57, FRACC CD VALLE DE LAS PALMAS ,</t>
  </si>
  <si>
    <t>Tijuana</t>
  </si>
  <si>
    <t>MEXICO</t>
  </si>
  <si>
    <t>TJ</t>
  </si>
  <si>
    <t xml:space="preserve">Fanfan </t>
  </si>
  <si>
    <t xml:space="preserve">Rose carmene </t>
  </si>
  <si>
    <t xml:space="preserve">Representative affiliated in Florida </t>
  </si>
  <si>
    <t xml:space="preserve">15335 west dixie hwy </t>
  </si>
  <si>
    <t xml:space="preserve">North Miami Beach </t>
  </si>
  <si>
    <t>Yahwah583@fondationhaitelmex.org</t>
  </si>
  <si>
    <t>certifications,</t>
  </si>
  <si>
    <t xml:space="preserve">15335 WEST DIXIE HWY </t>
  </si>
  <si>
    <t xml:space="preserve">NORTH MIAMI BEACH </t>
  </si>
  <si>
    <t>P-400-22211-386528</t>
  </si>
  <si>
    <t xml:space="preserve">“None” </t>
  </si>
  <si>
    <t>H-400-22256-469600</t>
  </si>
  <si>
    <t>Reforestation Laborer</t>
  </si>
  <si>
    <t>Whitepine Forestry, Inc.</t>
  </si>
  <si>
    <t>112 Beulah Drive</t>
  </si>
  <si>
    <t>Longview</t>
  </si>
  <si>
    <t>LINO</t>
  </si>
  <si>
    <t>112 BEULAH DRIVE</t>
  </si>
  <si>
    <t>LONGVIEW</t>
  </si>
  <si>
    <t>LARA0074@COMCAST.NET</t>
  </si>
  <si>
    <t xml:space="preserve">VERIFIABLE EXP + CHARACTER REFERENCES. NO ON THE JOB TRAINING PROVIDED. MUST BE: AVAILABLE TO WORK ENTIRE SEASON WITH CREW AT ALL LOCATIONS; ABLE TO LIFT UP TO 50 LBS OF TREE SEEDLINGS BOXES FROM COOLER TO TREE TRANSPORT TRUCK + HANDLE STRENUOUS PHYSICAL TASKS; ABLE TO WORK IN ROUGH TERRAIN, INCL CONDITIONS THAT MAY BE COLD, HOT, DIRTY, WET, + NOISY, WITH POSSIBILITIES OF FALLING OBJECTS FROM FOREST SURROUNDINGS;  WILLING TO TAKE RANDOM DRUG/ALCOHOL TESTS +/OR CRIMINAL BACKGROUND CHECKS UPON HIRE AS WORK CONTRACTS REQUIRE; WILLING TO WEAR ALL REQUIRED CLOTHING + PROTECTIVE GEAR PER JOB CLASSIFICATIONS.
</t>
  </si>
  <si>
    <t>Various Tree Stands</t>
  </si>
  <si>
    <t>P-400-22199-359715</t>
  </si>
  <si>
    <t>PARKER BUTTE AND LANE PC</t>
  </si>
  <si>
    <t>H-400-22239-441809</t>
  </si>
  <si>
    <t>Snake River Lodge Hotel Investors, LLC</t>
  </si>
  <si>
    <t>DBA Snake River Lodge and Spa</t>
  </si>
  <si>
    <t>7710 Granite Loop Rd</t>
  </si>
  <si>
    <t xml:space="preserve">Must lift/carry 50 lbs., when necessary. Basic level English skills required. Work schedule will vary and will include evenings, holidays, and Saturdays and Sundays. Work may be performed on any day of the week from Monday through Sunday. Example shifts: 9:00am to 4:00 pm, 2:00 pm to 9:00 pm, and 5:00 pm to 12:00 am. Shift hours may vary.
</t>
  </si>
  <si>
    <t>7710 Granite Loop Road</t>
  </si>
  <si>
    <t>P-400-22157-247014</t>
  </si>
  <si>
    <t xml:space="preserve">The employer will make all deductions from worker's paycheck required by law. The employer does not envision other workforce-wide payroll deductions. Potential elective deductions to be pre-authorized in writing if applicable are as follows:
If needed, employer intends to assist foreign and non-local U.S. workers hired pursuant to this job order to secure optional worker-paid lodging not to exceed reasonable fair market value cost based on number of occupants. Housing-related expenses are paid directly to facility owner/operator and are not payroll deducted. The employer offers optional employee health insurance and retirement plans to its workers; participation in any such plan is voluntary. Daily transportation to and from worksites is provided in the form of a free bus pass. The use of this transportation is voluntary. 
</t>
  </si>
  <si>
    <t>H-400-22294-543698</t>
  </si>
  <si>
    <t>PAN Concessions LLC</t>
  </si>
  <si>
    <t>25939 Streisand Street</t>
  </si>
  <si>
    <t>(Mail: 999 E Basse Rd #180-480, San Antonio TX 78209)</t>
  </si>
  <si>
    <t xml:space="preserve">25939 Streisand Street </t>
  </si>
  <si>
    <t>panmidwayent@yahoo.com</t>
  </si>
  <si>
    <t>P-400-22231-427050</t>
  </si>
  <si>
    <t>panmidwayent@gmail.com</t>
  </si>
  <si>
    <t>H-400-22236-435618</t>
  </si>
  <si>
    <t xml:space="preserve">Bus Driver </t>
  </si>
  <si>
    <t>517 E Jefferson Blvd</t>
  </si>
  <si>
    <t xml:space="preserve">Spanish preferred. Must have or be able to obtain a Class A or Class B license with passenger endorsement or the foreign equivalent. Pre-employment physical exam, drug testing, and background check (criminal record) is required at the company's expense and will be carried out equally between U.S. and H2B workers. Lodging and food are provided when needed (lodging is optional). 
Drivers must rest 8 consecutive hrs after driving for a maximum of 10 hours in accordance with FMSA regulations. the bus driver generally rests 8 hours by returning to the initial worksite location as a passenger on the bus that is equipped with sleeping quarters, although, overnight stays may be required and the employer will provide all lodging at no cost to the worker during overnight stays. 
It is the driver's option to stay in our sleeping quarters during rest requirements.  It is also the driver's option to stay at our sleeping quarters during days off at no charge.
</t>
  </si>
  <si>
    <t>P-400-22160-262552</t>
  </si>
  <si>
    <t>H-400-22285-526208</t>
  </si>
  <si>
    <t>Caretaker, Inc.</t>
  </si>
  <si>
    <t>Caretaker</t>
  </si>
  <si>
    <t>741 N Monterey St</t>
  </si>
  <si>
    <t>pmyers@caretakerinc.com</t>
  </si>
  <si>
    <t>P-400-22171-297876</t>
  </si>
  <si>
    <t>H-400-22237-436607</t>
  </si>
  <si>
    <t>Guest Environment Expert</t>
  </si>
  <si>
    <t xml:space="preserve">See job description. </t>
  </si>
  <si>
    <t>P-400-22181-326733</t>
  </si>
  <si>
    <t>H-400-22250-458923</t>
  </si>
  <si>
    <t>Mendoza Construction LLC</t>
  </si>
  <si>
    <t>Mendoza Construction</t>
  </si>
  <si>
    <t>12805 Old Pueblo Rd</t>
  </si>
  <si>
    <t>Fountain</t>
  </si>
  <si>
    <t>President and Owner</t>
  </si>
  <si>
    <t>Mendoza_Construction@live.com</t>
  </si>
  <si>
    <t xml:space="preserve">All Equipment Certification, provided by Employer. Must be able to lift up to 50 pounds, and stand or bend for all or most of work shift.
</t>
  </si>
  <si>
    <t>6172 NE Frontage Rd</t>
  </si>
  <si>
    <t>P-400-22207-376182</t>
  </si>
  <si>
    <t>Employer pays for housing and food while at the job site.</t>
  </si>
  <si>
    <t xml:space="preserve"> Mendoza_Construction@live.com</t>
  </si>
  <si>
    <t>H-400-22283-519632</t>
  </si>
  <si>
    <t>DAYS/SHIFTS WILL VARY
TRANSPORTATION TO AND FROM THE WORKSITE WILL BE PROVIDED AT NO COST TO THE WORKER
OPTIONAL EMPLOYEE HOUSING IS AVAILABLE TO THE WORKER AT A COST OF $15/DAY
EMPLOYER RESERVES THE RIGHT TO PAY A HIGHER WAGE RATE OR BONUS TO ANY WORKER, IN THEIR SOLE DISCRETION, BASED ON PERFORMANCE, SKILL, TENURE,
OR EXPERIENCE.
UP TO 44 HOURS OF OVERTIME PER WEEK AVAILABLE AS NEEDED.</t>
  </si>
  <si>
    <t xml:space="preserve">Overtime is paid for working greater than 8 hours in any given day, or 40 hours in any given week. </t>
  </si>
  <si>
    <t>H-400-22284-522797</t>
  </si>
  <si>
    <t>Prowant Specialty Company, Inc.</t>
  </si>
  <si>
    <t>108 West Cedar Street</t>
  </si>
  <si>
    <t>(Mail: 1407 Amherst Rd., Springfield OH 45504)</t>
  </si>
  <si>
    <t xml:space="preserve">Dupont </t>
  </si>
  <si>
    <t>Prowant</t>
  </si>
  <si>
    <t>Anissa</t>
  </si>
  <si>
    <t>108 West Cedar St.</t>
  </si>
  <si>
    <t>prospecialty@gmail.com</t>
  </si>
  <si>
    <t>P-400-22210-384749</t>
  </si>
  <si>
    <t>H-400-22250-459883</t>
  </si>
  <si>
    <t xml:space="preserve">Front of House Server </t>
  </si>
  <si>
    <t xml:space="preserve">The Petitioner will consider for employment any person who possesses at least six (6) months of service experience in a fine-dining or high-volume environment at a high-end restaurant, resort, or private club.  
</t>
  </si>
  <si>
    <t>Tipped position with guaranteed wage of $14.66 per hour, paid weekly.  See job description</t>
  </si>
  <si>
    <t>P-400-22180-321902</t>
  </si>
  <si>
    <t>H-400-22228-418110</t>
  </si>
  <si>
    <t>The Floridian Club, Inc.</t>
  </si>
  <si>
    <t>9467 Gulf Shore Drive</t>
  </si>
  <si>
    <t>Regional Director of Operations</t>
  </si>
  <si>
    <t>rob.wright@soave.com</t>
  </si>
  <si>
    <t>Sandham</t>
  </si>
  <si>
    <t>#477</t>
  </si>
  <si>
    <t>ynv@yournextvisa.com</t>
  </si>
  <si>
    <t>Your Next Visa, LLC</t>
  </si>
  <si>
    <t>The Floridian Club, Inc. and its worksites will consider for employment anyone with at least Six (6) months of experience as a cook.
All applicants are required to pass pre-employment drug test and background check; this includes domestic and H2B visa employees in seasonal or full-time and annual positions and is applied to all applicants regardless of their national origin, race, gender. 
On-the job training is not provided
The employer will provide workers at no charge all tools, supplies, and equipment required to perform the job. Minimum age requirement of 18.</t>
  </si>
  <si>
    <t xml:space="preserve"> The hourly wage is $16.75 - $18.00 per hour, paid bi-weekly.</t>
  </si>
  <si>
    <t>P-400-22173-304680</t>
  </si>
  <si>
    <t xml:space="preserve">A single workweek will be used to compute wages due.
Optional housing is offered on a first come, first serve basis for workers who are relocating to begin employment.  Cost of housing, including utilities and Wi-Fi, if accepted, is $450 per month.  If used the total cost of housing will be deducted from the paycheck. 
All deductions from paycheck required by law will be made.
H-2B workers will be reimbursed in the first workweek for all visa, visa processing, border crossing, and other related fees, including those mandated by government (excluding passport fees).
Daily transportation to and from worksite is provided at no charge.
</t>
  </si>
  <si>
    <t>abadis.ruiz@soave.com</t>
  </si>
  <si>
    <t>H-400-22230-423096</t>
  </si>
  <si>
    <t xml:space="preserve">4000 E Scyene Rd. </t>
  </si>
  <si>
    <t>P-400-22148-222752</t>
  </si>
  <si>
    <t>H-400-22276-508099</t>
  </si>
  <si>
    <t>LANDSCAPE SNOW LABOR</t>
  </si>
  <si>
    <t>PROSECUTIVE ENTERPRISE INC</t>
  </si>
  <si>
    <t>1042 East Fort Union Blvd</t>
  </si>
  <si>
    <t>Suite #412</t>
  </si>
  <si>
    <t>POULSEN</t>
  </si>
  <si>
    <t>DARREN</t>
  </si>
  <si>
    <t>CLAYNE</t>
  </si>
  <si>
    <t>CUSTOMERSERVICE@PROSECUTIVE.COM</t>
  </si>
  <si>
    <t xml:space="preserve">PLEASE SEE ADDENDUM
ADDENDUM FOR SECTION F.A.11: SPECIAL REQUIREMENTS
RAISES AND/OR BONUSES AT EMPLOYER'S DISCRETION. RETURNING WORKERS AND WORKERS WITH MORE EXPERIENCE MAY BE PAID HIGHER WAGE RATES.
OPPORTUNITY FOR HIGHER PAY DEPENDENT UPON EXPERIENCE.
</t>
  </si>
  <si>
    <t>611 WEST 6825 SOUTH</t>
  </si>
  <si>
    <t>P-400-22181-324436</t>
  </si>
  <si>
    <t>PROSECUTIVE ENTERPRISE WILL MAKE ALL DEDUCTIONS REQUIRED BY LAW FROM EACH PAYCHECK</t>
  </si>
  <si>
    <t>H-400-22251-460712</t>
  </si>
  <si>
    <t xml:space="preserve">Utility Workers </t>
  </si>
  <si>
    <t>Smiley Brothers Inc</t>
  </si>
  <si>
    <t>Employment Manager</t>
  </si>
  <si>
    <t xml:space="preserve">1000 Mountain Rest Road </t>
  </si>
  <si>
    <t>m.mcmahon@mohonk.com</t>
  </si>
  <si>
    <t>Employer will conduct background check prior to offer of employment.  COVID 19 vaccine required.</t>
  </si>
  <si>
    <t>P-400-22131-162411</t>
  </si>
  <si>
    <t>EMPLOYER WILL MAKE ALL DEDUCTIONS FROM THE WORKER'S PAYCHECK AS REQUIRED BY LAW. WORKERS HAVE THE OPTION TO LIVE IN EMPLOYER PROVIDED HOUSING. EMPLOYEE HOUSING WILL BE AVAILABLE WITH COSTS AT $86.50 WEEKLY. INCLUDES 3 MEALS PER DAY. HOUSING COSTS WILL BE PAYROLL DEDUCTED IF EMPLOYEE ELECTS TO MAKE USE OF THEM.</t>
  </si>
  <si>
    <t>H-400-22276-506964</t>
  </si>
  <si>
    <t xml:space="preserve">
No minimum education or experience required.
Must pass a post-employment criminal background check, paid by employer and applied equally to all workers, U.S. and foreign/H-2B. 
Must be able to work weekends and holidays.
Applicants must complete an employment application. 
</t>
  </si>
  <si>
    <t>Tip Position. Employer may increase wage based on experience, market conditions, and/or provide additional pay for perfo</t>
  </si>
  <si>
    <t>P-400-22159-256808</t>
  </si>
  <si>
    <t>H-400-22304-558468</t>
  </si>
  <si>
    <t>Job Requirements:
Prior experience as a cleaner or housekeeper 
Hotel experience preferred 
Detail-oriented and thorough
Remain discreet and respect privacy of guest, work with the highest level of integrity
Perform consistent work to the highest standard
Ability to work quickly without compromising quality
Ability to work with little supervision and maintain a high level of performance 
Ability to interact with guests in a pleasant and friendly way
6 months of housekeeping experience
Ability to manage your time efficiently.
Work well unsupervised.
Ability to lift at least 25 pounds.
Handle basic maintenance and cleaning.
High school diploma.
Ability to maintain a professional appearance and interact positively with hotel guests.
Hard worker.
Skills:
Understands oral and written instructions
Prioritizes work
Learns and practices cleaning techniques and procedures
Friendly guest interactions
Teamwork</t>
  </si>
  <si>
    <t>1657 WORCESTER ROAD</t>
  </si>
  <si>
    <t>FRAMINGHAM</t>
  </si>
  <si>
    <t>ABINGTON</t>
  </si>
  <si>
    <t>P-400-22208-378264</t>
  </si>
  <si>
    <t>H-400-22321-593130</t>
  </si>
  <si>
    <t>Town Scapes, LLC</t>
  </si>
  <si>
    <t>117 Sykes Avenue</t>
  </si>
  <si>
    <t>DOUG</t>
  </si>
  <si>
    <t>117 SYKES AVENUE</t>
  </si>
  <si>
    <t>VIRGINIA BEACH</t>
  </si>
  <si>
    <t>DOUG@TOWNSCAPES.NET</t>
  </si>
  <si>
    <t>Must be able to lift/carry 50lbs and work in both bending and standing positions for extended periods of time and in all types of weather</t>
  </si>
  <si>
    <t>117 Sykes Ave</t>
  </si>
  <si>
    <t>Min Wage may be higher based on tenure, skills/abilities, and /or work performance</t>
  </si>
  <si>
    <t>P-400-22243-447847</t>
  </si>
  <si>
    <t>doug@townscapes.net</t>
  </si>
  <si>
    <t>P-400-22271-500050</t>
  </si>
  <si>
    <t>H-400-22343-631763</t>
  </si>
  <si>
    <t>ROOFING LABORER</t>
  </si>
  <si>
    <t>HERZOG ROOFING INC.</t>
  </si>
  <si>
    <t>2580 MAIN AVENUE</t>
  </si>
  <si>
    <t>HVIDSTON</t>
  </si>
  <si>
    <t>CHRISTINE</t>
  </si>
  <si>
    <t>CHRISTINE@HERZOGROOFING.COM</t>
  </si>
  <si>
    <t xml:space="preserve">The job will require the worker to perform physical activities that require considerable use of arms and legs and moving the whole body, such as lifting, balancing, walking, climbing, extensive bending, stooping, reaching, pushing, and pulling required. Must be able to lift 60 pounds. 
</t>
  </si>
  <si>
    <t xml:space="preserve">Overtime hours are available and vary from 1-10 hours. Saturday work required when necessary. </t>
  </si>
  <si>
    <t>P-400-22304-559446</t>
  </si>
  <si>
    <t>christine@herzogroofing.com</t>
  </si>
  <si>
    <t>H-400-22309-571339</t>
  </si>
  <si>
    <t>Medical Assistant</t>
  </si>
  <si>
    <t>Medical Assistants</t>
  </si>
  <si>
    <t>Chesapeake Pain &amp; Spine Center LLC</t>
  </si>
  <si>
    <t>Advanced Pain Management</t>
  </si>
  <si>
    <t>9620 Deereco Rd</t>
  </si>
  <si>
    <t>Lutherville Timonium</t>
  </si>
  <si>
    <t>Abed</t>
  </si>
  <si>
    <t>Practice Manager</t>
  </si>
  <si>
    <t>advancedpainnow@gmail.com</t>
  </si>
  <si>
    <t>No special license or certification is required
Strong verbal and written communication skills
Ability to prioritize and multi-task
Excellent customer service</t>
  </si>
  <si>
    <t>P-400-22267-492531</t>
  </si>
  <si>
    <t>H-400-22327-604936</t>
  </si>
  <si>
    <t>Hunter Landscape Company</t>
  </si>
  <si>
    <t>4906 Dillehay Dr. #800</t>
  </si>
  <si>
    <t>Cummings</t>
  </si>
  <si>
    <t>hunterlandscapecompany@gmail.com</t>
  </si>
  <si>
    <t>Wiley</t>
  </si>
  <si>
    <t>P-400-22256-469186</t>
  </si>
  <si>
    <t>Please note we are not providing or charging rent for housing merely assisting with securing housing.</t>
  </si>
  <si>
    <t>H-400-22321-592158</t>
  </si>
  <si>
    <t>GroundsPRO LLC</t>
  </si>
  <si>
    <t>9405 Sutton Place</t>
  </si>
  <si>
    <t>twilson@groundspro.com</t>
  </si>
  <si>
    <t xml:space="preserve">Must be able to lift 50 lbs.
Workers are subject to post-injury/incident drug testing, paid by employer and applied equally to all workers, U.S. and foreign/H-2B. 
Must be able to work a 5-day workweek.
Applicants must complete an employment application.
</t>
  </si>
  <si>
    <t>Employer may increase wage based on experience, changes in market conditions and/or provide additional pay for performan</t>
  </si>
  <si>
    <t>P-400-22146-216718</t>
  </si>
  <si>
    <t xml:space="preserve">The employer will make all deductions from the worker’s paycheck required by law. Optional employee shared housing available at approximately $60 per week, payroll deducted if worker elects. Cost of utilities is divided equally among occupants, approximately $10 per month per person. Optional Medical/Dental/Vision insurance approx $30-$75 per pay period, payroll deducted if worker elects.
Daily transportation provided at no charge to worker between housing and the main worksite in West Chester. The employer will then provide daily transportation among worksite locations in Butler, Clermont, Hamilton &amp; Warren Counties, OH and Boone, Campbell &amp; Kenton Counties, KY.
The employer will provide worker at no charge all tools, supplies, and equipment required to perform job. Uniform and PPE provided at no cost to the worker. 
</t>
  </si>
  <si>
    <t>Argyle</t>
  </si>
  <si>
    <t>New Albany</t>
  </si>
  <si>
    <t>H-400-22335-615544</t>
  </si>
  <si>
    <t>Martin J. Grunder Jr. Inc.</t>
  </si>
  <si>
    <t>DBA Grunder Landscaping Company</t>
  </si>
  <si>
    <t>1900 Old Byers Road</t>
  </si>
  <si>
    <t>Miamisburg</t>
  </si>
  <si>
    <t>Hardesty</t>
  </si>
  <si>
    <t>Jenny.hardesty@grunderlandscaping.com</t>
  </si>
  <si>
    <t>1900 Old Byers Rd,</t>
  </si>
  <si>
    <t>P-400-22238-439796</t>
  </si>
  <si>
    <t>careers@grunderlandscaping.com</t>
  </si>
  <si>
    <t>H-400-22335-614441</t>
  </si>
  <si>
    <t xml:space="preserve">STEVEN BUCK LAWN MAINTENANCE, LLC </t>
  </si>
  <si>
    <t>451 WASHINGTON PIKE</t>
  </si>
  <si>
    <t>WELLSBURG</t>
  </si>
  <si>
    <t>West Virginia</t>
  </si>
  <si>
    <t>BUCK</t>
  </si>
  <si>
    <t>PJBUCK@YAHOO.COM</t>
  </si>
  <si>
    <t>BROOKE</t>
  </si>
  <si>
    <t>P-400-22199-359497</t>
  </si>
  <si>
    <t>pjbuck@yahoo.com</t>
  </si>
  <si>
    <t>Event Equipment Attendant</t>
  </si>
  <si>
    <t>Chester Leasing Inc.</t>
  </si>
  <si>
    <t>8020 Mayfield Rd</t>
  </si>
  <si>
    <t>sdolan@ccmrental.com</t>
  </si>
  <si>
    <t xml:space="preserve">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</si>
  <si>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8020 Mayfield Road  (Report to Work)</t>
  </si>
  <si>
    <t xml:space="preserve">Chesterland </t>
  </si>
  <si>
    <t>P-400-22194-350401</t>
  </si>
  <si>
    <t>H-400-22335-614413</t>
  </si>
  <si>
    <t>DiStefano Landscape Services, Inc.</t>
  </si>
  <si>
    <t>181 Robbins Road</t>
  </si>
  <si>
    <t>DiStefano</t>
  </si>
  <si>
    <t>donalddistefano@gmail.com</t>
  </si>
  <si>
    <t xml:space="preserve">Requires three months of previous landscape experience. Must lift/carry 50 lbs., when necessary.  Saturday work required, when necessary. Post-hire employment eligibility (e-Verify) check required of foreign and domestic workers. Employer may offer more than the stated work hours depending on weather, business needs, and other conditions. Extreme heat, cold, rain, or drought may affect exact working hours.
</t>
  </si>
  <si>
    <t>P-400-22234-428976</t>
  </si>
  <si>
    <t>H-400-22320-589366</t>
  </si>
  <si>
    <t>Town and Country Lawn Care, Inc.</t>
  </si>
  <si>
    <t>177 Red Oak Lane</t>
  </si>
  <si>
    <t>177 Red Oak Drive</t>
  </si>
  <si>
    <t>tandc9000@aol.com</t>
  </si>
  <si>
    <t>P-400-22271-498097</t>
  </si>
  <si>
    <t>3303 Harris Park Ave</t>
  </si>
  <si>
    <t>H-400-22335-613894</t>
  </si>
  <si>
    <t>GROUNDSKEEPING</t>
  </si>
  <si>
    <t>ROTATING SHIFTS MON-SUN 6am-2pm, MUST WORK WEEKENDS &amp; HOLIDAYS. BONUSES MAY BE GIVEN BASED ON PERFORMANCE.</t>
  </si>
  <si>
    <t>P-400-22269-492839</t>
  </si>
  <si>
    <t>H-400-22335-614585</t>
  </si>
  <si>
    <t xml:space="preserve">Lift/carry up to 50 pounds. Post Accident employer paid drug testing required.
</t>
  </si>
  <si>
    <t>Weiss Landscaping Services, LLC</t>
  </si>
  <si>
    <t>117 Pittstown Rd</t>
  </si>
  <si>
    <t>Mailing: 5 Lenape Springs Road, Pittstown, NJ 08867</t>
  </si>
  <si>
    <t>Pittstown</t>
  </si>
  <si>
    <t>Pasculli</t>
  </si>
  <si>
    <t>tonyp015@aol.com</t>
  </si>
  <si>
    <t xml:space="preserve">Monday-Friday, Schedule Varies, Some Saturdays may be required, Start/End times vary, Additional overtime varies
</t>
  </si>
  <si>
    <t>117 Pittstown Road</t>
  </si>
  <si>
    <t>P-400-22278-511444</t>
  </si>
  <si>
    <t>H-400-22335-613771</t>
  </si>
  <si>
    <t xml:space="preserve">No minimum education or experience required. Must be able to lift, push, and pull 50 lbs. Must be able to obtain ServSafe Food Handlers and Alcohol Certifications. Must be at least 21 years old. Must be able to work weekends and holidays. Applicants must complete an employment application. Employer will offer 40 hours of work per week. Resort is open 7 days a week, workdays vary Sunday-Saturday. Rotating schedule, shift times 6am-3pm, 8am-5pm, 11am-8pm, and 3pm-12am (includes 1-hour unpaid break). Workdays and shift times may vary with occupancy. Basic wage rate: $10.82 per hour. Employer may increase wage based on experience and/or provide additional pay for performance and tenure. Overtime hours may be available at $16.23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</si>
  <si>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P-400-22152-231526</t>
  </si>
  <si>
    <t>H-400-22337-619579</t>
  </si>
  <si>
    <t>Banquet Supervisor</t>
  </si>
  <si>
    <t xml:space="preserve">Must be minimum of 18 years old. 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 Past Banquet Captain and Supervisory experience preferred. 
</t>
  </si>
  <si>
    <t>P-400-22297-546175</t>
  </si>
  <si>
    <t xml:space="preserve">Employer will make all deductions from the worker's paycheck required by law. Optional dormitory style shared housing for employees only, approximate cost $100-200 per week, and includes utilities. $300 deposit payroll deducted if worker elects. $200 of housing deposit is refundable if you complete the full contract and the housing is clean. Housing cost varies with unit size, amenities and number of occupants. Optional daily transportation between employer housing and worksite, approximate cost $25 per week payroll deducted if worker elects. Optional meal tickets available for approximately $3-$6, payroll deducted if worker elects. Cost of additional shoes payroll deducted if worker elects. Optional Medical Insurance available and payroll deducted if the worker elects, cost is $40-$109 biweekly.
Employer will provide worker at no charge all tools, supplies, and equipment required to perform job. Required uniform provided at no charge. </t>
  </si>
  <si>
    <t>Houma</t>
  </si>
  <si>
    <t>514 Tremont Circle</t>
  </si>
  <si>
    <t>Manager of Recruiting</t>
  </si>
  <si>
    <t>with opportunity to earn more with experience. Raise/bonus at employer's discretion. Percentage of health care offered.</t>
  </si>
  <si>
    <t>H-400-22335-614941</t>
  </si>
  <si>
    <t>RM Lawn &amp; Landscaping LLC</t>
  </si>
  <si>
    <t>9901 NW 122nd Street</t>
  </si>
  <si>
    <t>Ricardo</t>
  </si>
  <si>
    <t>9901 NW 122nd St</t>
  </si>
  <si>
    <t>rmlawnsandlandscaping@gmail.com</t>
  </si>
  <si>
    <t xml:space="preserve">Able to lift 50lbs, M-F, Overtime Varies, Some weekends required.
</t>
  </si>
  <si>
    <t>P-400-22242-446539</t>
  </si>
  <si>
    <t>H-400-22335-614270</t>
  </si>
  <si>
    <t>Yellowstone Landscape - Southeast, LLC_Augusta</t>
  </si>
  <si>
    <t>702 McKnight Industrial Blvd</t>
  </si>
  <si>
    <t>P-400-22284-521199</t>
  </si>
  <si>
    <t>H-400-22335-613723</t>
  </si>
  <si>
    <t xml:space="preserve">No minimum education or experience required. Must be able to lift, push, and pull 50 lbs. Must be 21 years of age or older. Must be able to work weekends and holidays. Must be able to obtain ServSafe Food Handlers and Alcohol Certifications. Applicants must complete an employment application. Employer will offer 40 hours of work per week. Resort is open 7 days a week, workdays vary Sunday-Saturday. Rotating schedule, shift times 8am-5pm, 12pm-9pm, and 3pm-12am (includes 1-hour unpaid break). Workdays and shift times may vary with occupancy. Basic wage rate: $11.50 per hour. Employer may increase wage based on experience and/or provide additional pay for performance and tenure. Overtime hours may be available at $17.25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$13.17 per day during travel to a maximum of $55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</si>
  <si>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P-400-22152-230524</t>
  </si>
  <si>
    <t>Employer makes all payroll deductions required by law. Employer does not envision other workforce-wide payroll deductions. Voluntary advances and/or loans made to workers, if any, may be repaid by pre-authorized payroll deductions. No daily transportation to/from work provided. Employer provides incidental transport between job sites. Such transportation complies with all applicable Federal, State, and local laws/regulations.</t>
  </si>
  <si>
    <t>K&amp;K Concrete</t>
  </si>
  <si>
    <t>1551 Ogden Rd</t>
  </si>
  <si>
    <t>drew.abbott@kkconcreteco.com</t>
  </si>
  <si>
    <t xml:space="preserve">1900 Wazee Street </t>
  </si>
  <si>
    <t>Berry Appleman &amp; Leiden</t>
  </si>
  <si>
    <t>H-400-22335-614632</t>
  </si>
  <si>
    <t>Yard Laborer</t>
  </si>
  <si>
    <t>Glover Nursery Inc</t>
  </si>
  <si>
    <t>9275 South Temple Drive</t>
  </si>
  <si>
    <t>Glover</t>
  </si>
  <si>
    <t>accounting@glovernursery.com</t>
  </si>
  <si>
    <t xml:space="preserve">Able to lift 50lbs. Must be able to work in inclement weather and extreme temperature. Monday-Friday, some Saturdays required, start times may vary, overtime varies.
</t>
  </si>
  <si>
    <t>9275 South 1300 West</t>
  </si>
  <si>
    <t>P-400-22203-370551</t>
  </si>
  <si>
    <t>H-400-22335-613757</t>
  </si>
  <si>
    <t>BOTANIC NURSERY INC</t>
  </si>
  <si>
    <t>120 MERCHANTS PATH</t>
  </si>
  <si>
    <t>PO BOX 316</t>
  </si>
  <si>
    <t>JAWIN</t>
  </si>
  <si>
    <t xml:space="preserve"> PO BOX 316</t>
  </si>
  <si>
    <t>US  AMERICANS  INC</t>
  </si>
  <si>
    <t>P-400-22192-344450</t>
  </si>
  <si>
    <t>RONJAWIN@GMAIL.COM</t>
  </si>
  <si>
    <t>11844 Bandera Rd.</t>
  </si>
  <si>
    <t>Helotes</t>
  </si>
  <si>
    <t>H-400-22335-613749</t>
  </si>
  <si>
    <t>Palmetto Market Attendant</t>
  </si>
  <si>
    <t xml:space="preserve">No minimum education or experience required. Must be able to lift, push, and pull 20 lbs. Must be able to stand entire shift. Must be at least 21 years old. Must be able to obtain ServSafe Food Handlers &amp; Alcohol Certifications. Must be able to work weekends and holidays. Applicants must complete an employment application. Employer will offer 40 hours of work per week. Resort is open 7 days a week, workdays vary Sunday-Saturday. Rotating schedule, shift times 6am-2pm, 8am-4pm, 3pm-11pm.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worksite.The employer will reimburse H-2B workers in the first workweek for all visa, visa processing, border crossing, and other related fees, including those mandated by the government (excluding passport fees).The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</si>
  <si>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P-400-22152-231397</t>
  </si>
  <si>
    <t>11950 Missouri Bottom Rd</t>
  </si>
  <si>
    <t>Hazelwood</t>
  </si>
  <si>
    <t>H-400-22332-606757</t>
  </si>
  <si>
    <t xml:space="preserve">Monday-Friday, some Saturdays required, end times vary, overtime varies. Able to lift 50lbs. Pre-hire background check required;Post-Accident Drug Testing.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</si>
  <si>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H-400-22315-583154</t>
  </si>
  <si>
    <t>Mario Serey</t>
  </si>
  <si>
    <t>488 Waverly Pl.</t>
  </si>
  <si>
    <t>Long Branch</t>
  </si>
  <si>
    <t>Serey</t>
  </si>
  <si>
    <t>488 Waverly Pl</t>
  </si>
  <si>
    <t>diana@mdhorsemen.com</t>
  </si>
  <si>
    <t>P-400-22262-480688</t>
  </si>
  <si>
    <t>Ambereen Lawns Unlimited LLC</t>
  </si>
  <si>
    <t>11 Sage Meadows Court</t>
  </si>
  <si>
    <t>O’Fallon</t>
  </si>
  <si>
    <t>ambereenlawns@gmail.com</t>
  </si>
  <si>
    <t>P-400-22216-396179</t>
  </si>
  <si>
    <t xml:space="preserve">Optional housing available at $90 per week to be deducted from pay if elected. </t>
  </si>
  <si>
    <t>Steve Klesaris Racing Stable</t>
  </si>
  <si>
    <t>83 Joyce Drive</t>
  </si>
  <si>
    <t>Klesaris</t>
  </si>
  <si>
    <t>steveklesaris@yahoo.com</t>
  </si>
  <si>
    <t>H-400-22335-615229</t>
  </si>
  <si>
    <t xml:space="preserve">No minimum education or experience required. Must be able to obtain ServSafe Food Handlers Certification. Must be able to work at least 5-day work schedule, including weekends and holidays. Applicants must complete an employment application.  Employer will offer a minimum of 35 hours of work per week. Resort is open 7 days a week, workdays will vary Sunday through Saturday. Shifts: 10am-6:30pm, 10am-8:30pm (includes 30 minute unpaid break). Workdays and shift times may vary with events and occupancy. Basic wage rate: $14.00 per hour. Employer may increase wage based on experience, market conditions, and/or provide additional pay for performance and tenure. Overtime hours may be available at $21.00 per hour. An overtime premium will be paid when required by Federal, State, or local law, including at time-and-a-half after 40 hours per workweek.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</si>
  <si>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P-400-22280-517271</t>
  </si>
  <si>
    <t>H-400-22319-586845</t>
  </si>
  <si>
    <t>Certified Traditional Thai Massage Therapist</t>
  </si>
  <si>
    <t>Thai Therapeutic &amp; Body Works LLC</t>
  </si>
  <si>
    <t>Raksa Thai Wellness</t>
  </si>
  <si>
    <t>4832 Park Road Suite I</t>
  </si>
  <si>
    <t>Karakit</t>
  </si>
  <si>
    <t>Tipwaree</t>
  </si>
  <si>
    <t>OLIVE</t>
  </si>
  <si>
    <t>4305 W Nassau Street</t>
  </si>
  <si>
    <t>RaksaThaiWellness@gmail.com</t>
  </si>
  <si>
    <t xml:space="preserve">Certificate accredited by the Thailand Ministry of Education
or NCBTMB approved
Thai, Laotian, and English
Skilled in using knees, bare feet, and  elbow in order to apply pressure on client muscles, soft tissues, tendons, and joints.
Ability to assist client for passive range of motion
Knowledge in using proper body mechanics. 
</t>
  </si>
  <si>
    <t>Enhancement commission 20%</t>
  </si>
  <si>
    <t>P-400-22276-505793</t>
  </si>
  <si>
    <t>RAKSAWELLNESSRECRUITMENT@GMAIL.COM</t>
  </si>
  <si>
    <t>WWW.CAROLINATHAIMASSAGE.COM</t>
  </si>
  <si>
    <t xml:space="preserve">KARAKIT </t>
  </si>
  <si>
    <t>TIPWAREE</t>
  </si>
  <si>
    <t>OLI</t>
  </si>
  <si>
    <t>THAI THERAPEUTIC &amp; BODY WORKS LLC</t>
  </si>
  <si>
    <t>RAKSATHAIWELLNESS@GMAIL.COM</t>
  </si>
  <si>
    <t>Jefferson City</t>
  </si>
  <si>
    <t>Jefferson City, MO</t>
  </si>
  <si>
    <t>H-400-22348-639406</t>
  </si>
  <si>
    <t>P-400-22294-544792</t>
  </si>
  <si>
    <t>H-400-22322-595127</t>
  </si>
  <si>
    <t>Ledden Palimeno Landscaping &amp; Maintenance Co Inc</t>
  </si>
  <si>
    <t>102 Blackwood Barnsboro Rd</t>
  </si>
  <si>
    <t>Sewell</t>
  </si>
  <si>
    <t>Palimeno</t>
  </si>
  <si>
    <t>102 Blackwood Barnsboro Road</t>
  </si>
  <si>
    <t>lisah@leddenpalimeno.com</t>
  </si>
  <si>
    <t xml:space="preserve">Able to lift 70lbs, Pre-hire background check required, Random drug testing during employment, Pre-employment drug testing required, Drug testing during employment for cause, Mon-Fri, Overtime varies, Some Saturdays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</si>
  <si>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P-400-22196-354420</t>
  </si>
  <si>
    <t>H-400-22319-587138</t>
  </si>
  <si>
    <t>Bluegrass Lawncare of St. Louis, LLC</t>
  </si>
  <si>
    <t>Bluegrass Landscape &amp; Snow Management</t>
  </si>
  <si>
    <t>13852 Ferguson Lane</t>
  </si>
  <si>
    <t>DeLong</t>
  </si>
  <si>
    <t>Bryon</t>
  </si>
  <si>
    <t>Senior Account Manager</t>
  </si>
  <si>
    <t>bryon.delong@bluegrasslawn.com</t>
  </si>
  <si>
    <t>Drug testing during employment for cause; Post-Accident Drug Testing, Able to lift 80bs, Monday-Thursday, Fridays &amp; Saturdays as needed. Some Sundays, overtime varies.
All drug testing is performed without regard to an employees citizenship or immigration status, and all testing is paid for by the company. See the additional document attached for further details about the administration of our drug testing policy.</t>
  </si>
  <si>
    <t>P-400-22221-404906</t>
  </si>
  <si>
    <t>Employer may make payroll deductions at employee's request. Employer facilitates corresponding deductions for available health benefits. Employer facilitates voluntary housing arrangements along with corresponding payments of $75/weekly for rent and utilities.</t>
  </si>
  <si>
    <t>H-400-22321-592148</t>
  </si>
  <si>
    <t>Professional Irrigation Systems, LLC</t>
  </si>
  <si>
    <t>304 TCW COURT</t>
  </si>
  <si>
    <t>LAKE ST. LOUIS</t>
  </si>
  <si>
    <t>LAUER</t>
  </si>
  <si>
    <t>JON.LAUER@PROIRRIGATION.COM</t>
  </si>
  <si>
    <t xml:space="preserve">Post-employment drug test required, cost paid by employer and applied equally to all workers, U.S. and Foreign/H-2B. Must be able to work a 6 day schedule, including weekends and holidays as required. Applicants must complete an employment application. </t>
  </si>
  <si>
    <t>304 TCW Court</t>
  </si>
  <si>
    <t>Lake St. Louis</t>
  </si>
  <si>
    <t>P-400-22152-233844</t>
  </si>
  <si>
    <t xml:space="preserve">Employer will make all deductions from the worker's paycheck required by law. Employer will assist worker to find appropriate and affordable housing.
Employer will provide worker at no charge all tools, supplies, equipment and uniform required to perform job. </t>
  </si>
  <si>
    <t>H-400-22308-571160</t>
  </si>
  <si>
    <t>P-400-22244-449427</t>
  </si>
  <si>
    <t>Patty</t>
  </si>
  <si>
    <t>H-400-22312-574028</t>
  </si>
  <si>
    <t>HERDER PLUMBING LLC</t>
  </si>
  <si>
    <t xml:space="preserve">THREE MONTHS OF EXPERIENCE AS HELPER OF POOL LABORER IN A RESIDENTIAL CONSTRUCTION SETTING. MUST BEND, LIFT AND SUSTAIN UP TO 50 LBS, WORK UNDER EXTREME WEATHER CONDITIONS. NO TRAVEL REQUIRED OUTSIDE THE METROPOLITAN AREA, NO EDUCATION REQUIRED, ON-THE-JOB TRAINING AVAILABLE. POST-HIRE DRUG TEST REQUIRED PAID BY THE EMPLOYER, ALL US AND GUEST WORKERS WILL BE SCREENED EQUALLY.
</t>
  </si>
  <si>
    <t>19801 SHINNING ISLE RUN</t>
  </si>
  <si>
    <t>If overtime needed it will be paid at 25.32</t>
  </si>
  <si>
    <t>P-400-22146-212866</t>
  </si>
  <si>
    <t xml:space="preserve">Deductions to paycheck required by law and may include shared group rental housing of $70 to $75 per week depending on housing location, and a refundable security deposit of $75; $30 per week company-provided transportation to and from housing if worker wants company housing and/or transport and it is available. Housing, if provided, will be in the Austin-Round Rock, TX Metropolitan area. 
If the worker completes 50% of the work contract period, employer will reimburse the worker for transportation and subsistence from the place of recruitment to the place of work. 
Upon completion of the work contract or where the worker is dismissed earlier, employer will provide or pay for worker’s reasonable costs of return transportation and subsistence back home or to the place the worker originally departed to work, except where the worker will not return due to subsequent employment with another employer. 
</t>
  </si>
  <si>
    <t>H-400-22322-596801</t>
  </si>
  <si>
    <t>Eich's LLC</t>
  </si>
  <si>
    <t>10013 Alafia St.</t>
  </si>
  <si>
    <t>Eich</t>
  </si>
  <si>
    <t>toddeich72@yahoo.com</t>
  </si>
  <si>
    <t>P-400-22263-483196</t>
  </si>
  <si>
    <t>P-400-22279-513366</t>
  </si>
  <si>
    <t>H-400-22308-568817</t>
  </si>
  <si>
    <t>Care Giver</t>
  </si>
  <si>
    <t>Rayda P Alcantra</t>
  </si>
  <si>
    <t>Paradise Trinity Homes LLC</t>
  </si>
  <si>
    <t xml:space="preserve">Attentive to assigned duties
Interested in performing the job
Assertive to better perform the job
Dependable
</t>
  </si>
  <si>
    <t>9972 Javelin Way</t>
  </si>
  <si>
    <t>P-400-22248-454830</t>
  </si>
  <si>
    <t>Regular mandatory federal, state and local payroll deductions</t>
  </si>
  <si>
    <t>paradisetrinityhomesd@gmail.com</t>
  </si>
  <si>
    <t>N&amp;R Business Services</t>
  </si>
  <si>
    <t>H-400-22310-571603</t>
  </si>
  <si>
    <t>T&amp;R Properties, Inc.</t>
  </si>
  <si>
    <t>3895 Stonebridge Ln</t>
  </si>
  <si>
    <t>Haynes</t>
  </si>
  <si>
    <t>3895 Stoneridge Ln</t>
  </si>
  <si>
    <t>jhaynes@trprop.com</t>
  </si>
  <si>
    <t>Have general mechanical and maintenance skills, this should include but not limited to, general understanding of HVAC systems, appliance repair, counter top and cabinet installation, carpet and vinyl  installation, general building upkeep (power washing siding, repair fences, repair curbs, prune and cut-down shrubs and trees).
These are general requirements and the candidate does not need to possess all qualifications but should possess as many as possible.</t>
  </si>
  <si>
    <t>4363 Bayberry Cove</t>
  </si>
  <si>
    <t>Bellbrook</t>
  </si>
  <si>
    <t>We will pay the prevailing wage.</t>
  </si>
  <si>
    <t>P-400-22257-472032</t>
  </si>
  <si>
    <t>All deductions will be required by state or federal law.  If the employee chooses to live in an apartment owned and operated by T&amp;R Properties, rent can be deducted.</t>
  </si>
  <si>
    <t>hr@trprop.com</t>
  </si>
  <si>
    <t>H-400-22329-606164</t>
  </si>
  <si>
    <t>H-400-22306-563315</t>
  </si>
  <si>
    <t>Truck Driver and Loader</t>
  </si>
  <si>
    <t>Keddys Transport Services LLC</t>
  </si>
  <si>
    <t>1170 Sussex Drive</t>
  </si>
  <si>
    <t>Apt 1106</t>
  </si>
  <si>
    <t>North Lauderdale</t>
  </si>
  <si>
    <t>Walsh Whyte</t>
  </si>
  <si>
    <t>Kedeisha</t>
  </si>
  <si>
    <t>keddys.transportservicesllc@gmail.com</t>
  </si>
  <si>
    <t xml:space="preserve">Class E driver lisence and 6 months to 1 year driving experience. </t>
  </si>
  <si>
    <t xml:space="preserve">1170 Sussex Drive </t>
  </si>
  <si>
    <t xml:space="preserve">North Lauderdale </t>
  </si>
  <si>
    <t>P-400-22246-454439</t>
  </si>
  <si>
    <t>Keddys.transportservicesllc@gmail.com</t>
  </si>
  <si>
    <t xml:space="preserve">Walsh Whyte </t>
  </si>
  <si>
    <t xml:space="preserve">Kedeisha </t>
  </si>
  <si>
    <t xml:space="preserve">Keddy's Transport LLC </t>
  </si>
  <si>
    <t>H-400-22307-565975</t>
  </si>
  <si>
    <t>Quality Lawn &amp; Garden, Inc.</t>
  </si>
  <si>
    <t>6632 Christopher Drive</t>
  </si>
  <si>
    <t>Kaiser</t>
  </si>
  <si>
    <t>cdkaiser@qualitylawnandgarden.com</t>
  </si>
  <si>
    <t>6632 Christopher Drive (Report to Work)</t>
  </si>
  <si>
    <t>P-400-22212-386746</t>
  </si>
  <si>
    <t xml:space="preserve">
Optional shared housing available at up to $75.00 a week to be deducted from employee's paycheck. At Employer’s sole discretion: possible cash advances (if applicable/requested by worker, potential deduction from worker’s paycheck).</t>
  </si>
  <si>
    <t>info@qualitylawnandgarden.com</t>
  </si>
  <si>
    <t>H-400-22335-613692</t>
  </si>
  <si>
    <t>Guest Engagement Associate</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</si>
  <si>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Employer will provide on-the-job training.
</t>
  </si>
  <si>
    <t>P-400-22218-401165</t>
  </si>
  <si>
    <t>H-400-22306-564165</t>
  </si>
  <si>
    <t>Proffer Wholesale Produce Inc</t>
  </si>
  <si>
    <t>920 5th St</t>
  </si>
  <si>
    <t>Mailing: PO Box 625 , Park Hills, MO 63601</t>
  </si>
  <si>
    <t>Park Hills</t>
  </si>
  <si>
    <t>Proffer</t>
  </si>
  <si>
    <t>Benjy</t>
  </si>
  <si>
    <t>mblackwell@profferproduce.com</t>
  </si>
  <si>
    <t xml:space="preserve">Must lift/carry 60 lbs., when necessary. Requires physical stamina and manual dexterity. Saturday and Sunday work required, when necessary. Post-hire employment eligibility (e-Verify) check required of foreign and domestic workers. Day and night delivery work required. CDL class A or Class B with air brake license. Must unload customer orders with hand truck or pallet jacks, maintain all driver logs, bills of lading, proof of delivery and receipts, 10 hour DOT required breaks are not paid. Employer-paid drug testing required of foreign and domestic workers prior to commencing work and post-hire at random, upon suspicion of use, and post-accident. 
</t>
  </si>
  <si>
    <t>920 5th St.</t>
  </si>
  <si>
    <t>ST FRANCOIS</t>
  </si>
  <si>
    <t>P-400-22263-483325</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</si>
  <si>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Optional lodging available at no cost to all non-local workers. Employer will deduct for the reasonable fair market value cost of rent and utilities based on number of occupants for workers who voluntarily elect to live in employer-offered housing.  Uniforms not required. Workers may voluntarily choose to purchase work clothing from employer at-cost for own benefit and convenience. Employer may deduct reasonable costs for any voluntary worker purchases of work clothing.  </t>
  </si>
  <si>
    <t>hr@profferproduce.com</t>
  </si>
  <si>
    <t>H-400-22311-572704</t>
  </si>
  <si>
    <t>Easyway Concessions LLC</t>
  </si>
  <si>
    <t>8021 NW 44th Ct</t>
  </si>
  <si>
    <t>Lauderhill</t>
  </si>
  <si>
    <t>bbprc954@gmail.com</t>
  </si>
  <si>
    <t>P-400-22258-473694</t>
  </si>
  <si>
    <t>H-400-22308-571050</t>
  </si>
  <si>
    <t>Charlie Atkins, Inc.</t>
  </si>
  <si>
    <t>128 Frio St</t>
  </si>
  <si>
    <t>[MAIL: 130 S. US Hwy 1 STE F5 #159 Jupiter, FL 33477]</t>
  </si>
  <si>
    <t>La Grange</t>
  </si>
  <si>
    <t>atkinsct@gmail.com</t>
  </si>
  <si>
    <t>P-400-22265-489430</t>
  </si>
  <si>
    <t>H-400-22307-566680</t>
  </si>
  <si>
    <t xml:space="preserve">Pre-hire background check required; Random drug testing during employment, Able to lift 50lbs, Monday-Friday, overtime varies, Overtime not guaranteed. Schedule varies. Holidays and weekends may be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</si>
  <si>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H-400-22263-483034</t>
  </si>
  <si>
    <t>Diesel Truck Mechanic</t>
  </si>
  <si>
    <t>Kelly's Truck Repair</t>
  </si>
  <si>
    <t>495 Hester Street</t>
  </si>
  <si>
    <t>San Leandro</t>
  </si>
  <si>
    <t>Filal</t>
  </si>
  <si>
    <t>Amine</t>
  </si>
  <si>
    <t>amine@kellystruck.com</t>
  </si>
  <si>
    <t>The ability to diagnos and repair all trucks and diesel engines</t>
  </si>
  <si>
    <t>P-400-22221-405914</t>
  </si>
  <si>
    <t>kellystruck.com</t>
  </si>
  <si>
    <t>H-400-22276-505965</t>
  </si>
  <si>
    <t>North American Midway Entertainment-Astro Amusement, LLC</t>
  </si>
  <si>
    <t>2500 West Higgins Dr., Suite 250</t>
  </si>
  <si>
    <t>2500 West Higgins Drive, Suite 205</t>
  </si>
  <si>
    <t>2301 N Caesar Chavez Road</t>
  </si>
  <si>
    <t>P-400-22186-332829</t>
  </si>
  <si>
    <t>H-400-22264-485948</t>
  </si>
  <si>
    <t>Forest&amp;Conservation Worker</t>
  </si>
  <si>
    <t>Timberland Forestry Service</t>
  </si>
  <si>
    <t>Mitchell Presson DBA Timberland Forestry Service</t>
  </si>
  <si>
    <t>8001 Harper Rd.</t>
  </si>
  <si>
    <t>Hixson</t>
  </si>
  <si>
    <t>Presson</t>
  </si>
  <si>
    <t>8001 Harper rd.</t>
  </si>
  <si>
    <t>tfsmp@comcast.net</t>
  </si>
  <si>
    <t>Worker must be able to walk all day and carry 40-50 pounds of pine seedlings and walk in all types of terrain. Worker must work in all types of weather rain, snow, etc.</t>
  </si>
  <si>
    <t>101 -A mercer Drive</t>
  </si>
  <si>
    <t>LAURENS</t>
  </si>
  <si>
    <t>Pay is by piece rate$30.00 to $33.00 per thousand trees planted workers will make no less than the prevailing wage rate.</t>
  </si>
  <si>
    <t>P-400-22187-334490</t>
  </si>
  <si>
    <t xml:space="preserve">Timberland will make all deductions from the workers check required by law. Timberland will not take any other deductions from the workers check. </t>
  </si>
  <si>
    <t>H-400-22251-462683</t>
  </si>
  <si>
    <t xml:space="preserve">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HOURS AVERAGE 35 PER WEEK; NORMAL SCHEDULE 10 AM TO 5 PM, MUST BE AVAILABLE 24/7 ON-CALL AS NEEDED (WHEN THERE IS 30% CHANCE ORMORE FOR A STORM, WORKERS MUST BE ABLE TO MAKE IT OUT TO WHERE THEY ARE NEEDED TO LABOR IN LESS THAN TWO HOURS FROM WHEN THEY ARE NOTIFIED TO REPORT AT THE LOCATION.
</t>
  </si>
  <si>
    <t>4140 W Washington St</t>
  </si>
  <si>
    <t>P-400-22203-371833</t>
  </si>
  <si>
    <t xml:space="preserve">Workers can elect to have employer secure housing if needed, in which case the worker's pro rata share of the actual housing costs (rent, utilities, and renter's insurance), which will be reasonable and based on the fair value of such benefit, will be deducted from the worker's paycheck. Current monthly housing cost is $372, including rent, utilities, and renter's insurance. The employer will provide workers, without charge or deposit charge, all tools, supplies, and equipment required to perform the job.
</t>
  </si>
  <si>
    <t>H-400-22259-477452</t>
  </si>
  <si>
    <t>GT Landworks, LLC</t>
  </si>
  <si>
    <t>Gemma</t>
  </si>
  <si>
    <t>P-400-22175-311374</t>
  </si>
  <si>
    <t>H-400-22251-462588</t>
  </si>
  <si>
    <t>Service Attendant</t>
  </si>
  <si>
    <t xml:space="preserve">Must have or be willing to obtain a valid Food Handler permit.
Must be able to lift 50 lbs.
Must be able to stand for extended periods of time 
Must be able to work at least 5 days per week, including weekends and holidays.
Applicants must complete an employment application. </t>
  </si>
  <si>
    <t>P-400-22210-386268</t>
  </si>
  <si>
    <t>Optional employee shared housing available at approximately $140-$200 per person per week, depending on location. Housing cost includes utilities/services. Optional housing requires a $600 deposit, of which $525 is refundable at the end of contract and $75 is non-refundable for cleaning fee after departure. Cost of housing and deposit payroll deducted if worker elects.
The employer may also make the following deductions: recovery of any loss to the employer due to the worker’s damage (beyond normal wear and tear) or loss of equipment or uniform where it is shown that the worker is responsible, and any other reasonable deductions expressly authorized by the worker in writing. No deduction not required by law will be made that brings the worker’s hourly earnings below the FLSA Federal statutory minimum wage.</t>
  </si>
  <si>
    <t>H-400-22276-508114</t>
  </si>
  <si>
    <t>Snow Removal Laborers</t>
  </si>
  <si>
    <t>Stevens Erosion Control Inc.</t>
  </si>
  <si>
    <t>5275 Oak Crest Hill Rd.</t>
  </si>
  <si>
    <t xml:space="preserve">P.O. Box 98 </t>
  </si>
  <si>
    <t>Sams</t>
  </si>
  <si>
    <t>Accounting Controller/HR Director</t>
  </si>
  <si>
    <t>nate.sams@stevenserosion.com</t>
  </si>
  <si>
    <t xml:space="preserve">LABORERS/HELPERS MUST HAVE DRIVING LICENSE CLASS C TO DRIVE TRUCKS BETWEEN THE WORKSITES TO BRING MAINTENANCE MATERIALS WITHIN 90 MILES OF THE COMPANY'S HEADQUARTERS AT 5275 OAKCREST HILL RD, SE HILLS, IA
</t>
  </si>
  <si>
    <t>5275 Oak Crest Hill Rd</t>
  </si>
  <si>
    <t>P-400-22229-422456</t>
  </si>
  <si>
    <t>ALL DEDUCTIONS FROM THE WORKERS PAYCHECK WILL BE MADE AS REQUIRED BY LAW. THE EMPLOYER WILL
USE A SINGLE WORK WEEK AS ITS STANDARD FOR COMPUTING WAGES AND PAY WEEKLY BY CHECK.</t>
  </si>
  <si>
    <t>office@stevenserosion.com</t>
  </si>
  <si>
    <t>H-400-22307-566335</t>
  </si>
  <si>
    <t xml:space="preserve">Laborers and Freight, Stock, and Material Movers, Hand </t>
  </si>
  <si>
    <t>ALLSTAR TENTS &amp; EVENTS, INC.</t>
  </si>
  <si>
    <t>176 Bettis Academy Road</t>
  </si>
  <si>
    <t>Graniteville</t>
  </si>
  <si>
    <t>mary@asrtents.com</t>
  </si>
  <si>
    <t xml:space="preserve">Random drug testing may be required, at no cost to the worker. The job requires the applicant to be qualified, ready, willing, able, &amp; available to perform during the entire employment at all the designated worksite; and to follow workplace rules. Work hours &amp; days: 40 hours per week , typically 8:00 AM to 5:00 PM, M-F. This may vary from 35 to 45 hours per week, some Saturdays and/or Sundays, due to weather and workload.
</t>
  </si>
  <si>
    <t>Potential pay increases based upon length of time on the job, quantity and quality of work produced, dependability.</t>
  </si>
  <si>
    <t>P-400-22194-350188</t>
  </si>
  <si>
    <t xml:space="preserve">Employer will make all deductions from the worker’s paycheck required by law.  
In addition, the employer intends to make the following deductions from the worker’s paycheck which are not required by law:  
If the employee opts in on optional housing, the negotiated and agreed upon housing fee will be deducted from pay. For those employees who do not maintain a residence within normal commuting distance, on an optional basis, employer will assist those employees who opt in, in securing housing and contracting for utilities.  Employer and employee will execute an agreement whereby the employer prepays the rent, utilities, security deposits and other applicable charges for the housing and utilities.  These expenses (on a prorated basis) will be deducted from the employee’s paycheck as per the executed agreement.  Potential pay increases based upon length of time on the job, quantity and quality of work produced, dependability and adherence to procedures and policies.
</t>
  </si>
  <si>
    <t>H-400-22307-565958</t>
  </si>
  <si>
    <t>Orr Contracting, Inc.</t>
  </si>
  <si>
    <t>156 East Main Street</t>
  </si>
  <si>
    <t>Barbie</t>
  </si>
  <si>
    <t>orrhouse@hughes.net</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</si>
  <si>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Overtime not required. </t>
  </si>
  <si>
    <t>4058 Sweetwater Road (Report to Work)</t>
  </si>
  <si>
    <t>P-400-22151-227094</t>
  </si>
  <si>
    <t>H-400-22298-548083</t>
  </si>
  <si>
    <t>Molte Group Inc.</t>
  </si>
  <si>
    <t>Zaza Italian Gastrobar</t>
  </si>
  <si>
    <t>122 Broad Street</t>
  </si>
  <si>
    <t>Maykidani</t>
  </si>
  <si>
    <t>Legal Consultant</t>
  </si>
  <si>
    <t>83-40 Britton Avenue</t>
  </si>
  <si>
    <t>Apt# 4C</t>
  </si>
  <si>
    <t>cmfinanceservices@gmail.com</t>
  </si>
  <si>
    <t>1) Knowledgeable about drinks. A professional must know their craft.
2) Maintains cleanliness.
3) Good customer service skills.
4) Great time management and memory.
5) Situational awareness.</t>
  </si>
  <si>
    <t>P-400-22196-354005</t>
  </si>
  <si>
    <t>indeed.com</t>
  </si>
  <si>
    <t>H-400-22290-533415</t>
  </si>
  <si>
    <t>LABORERS AND FREIGHT, STOCK, AND MATERIAL MOVERS, HAND</t>
  </si>
  <si>
    <t>CORNETT RESTORATION LLC</t>
  </si>
  <si>
    <t>CORNETT ROOFING SYSTEMS</t>
  </si>
  <si>
    <t>1442 AMY LANE 2</t>
  </si>
  <si>
    <t>CORNETT</t>
  </si>
  <si>
    <t>CHANNING</t>
  </si>
  <si>
    <t xml:space="preserve">1442 AMY LANE </t>
  </si>
  <si>
    <t>laura@cornettroofing.com</t>
  </si>
  <si>
    <t xml:space="preserve">EXPERIENCE	Some previous work-related skill, knowledge, or experience is usually needed. MINIMUM a 1  year of experience
EDUCATION	No knowledge met the minimum score.
SKILLS &amp; INTERESTS	No skills met the minimum score.
</t>
  </si>
  <si>
    <t>1442 Amy Lane</t>
  </si>
  <si>
    <t>P-400-22240-441865</t>
  </si>
  <si>
    <t>EMPLOYER BENEFITS (Health insurance, 401K)</t>
  </si>
  <si>
    <t>DAVILA</t>
  </si>
  <si>
    <t>p</t>
  </si>
  <si>
    <t>Cornett Roofing Systems</t>
  </si>
  <si>
    <t>H-400-22307-565964</t>
  </si>
  <si>
    <t>4425 Lilburn Industrial Way (Report to Work)</t>
  </si>
  <si>
    <t>P-400-22256-470144</t>
  </si>
  <si>
    <t>Optional shared, furnished housing available to the worker (including utilities); if housing is agreed upon by the worker, $88.90 to be deducted from worker's weekly paycheck. 
At Employer’s sole discretion: possible cash advances (if applicable/requested by worker, potential deduction from worker’s paycheck).</t>
  </si>
  <si>
    <t>H-400-22307-565984</t>
  </si>
  <si>
    <t>Krause Landscape Contractors, Inc.</t>
  </si>
  <si>
    <t>13201 Indian Hill Rd.</t>
  </si>
  <si>
    <t>13201 Indian Hill Rd. (Report to Work)</t>
  </si>
  <si>
    <t>POTTER</t>
  </si>
  <si>
    <t>P-400-22210-386293</t>
  </si>
  <si>
    <t>Optional shared housing available at up to $125.00 bi-weekly to be deducted from employee's paycheck.  At Employer’s sole discretion: possible cash advances (if applicable/requested by worker, potential deduction from worker’s paycheck).</t>
  </si>
  <si>
    <t>kelci@krauselandscape.com</t>
  </si>
  <si>
    <t>H-400-22290-532746</t>
  </si>
  <si>
    <t>George's Fun Foods, LLC</t>
  </si>
  <si>
    <t>7005 MOTTIE RD</t>
  </si>
  <si>
    <t>[PO BOX 420 GIBSONTON, FL 33534]</t>
  </si>
  <si>
    <t>georgesfunfoods@yahoo.com</t>
  </si>
  <si>
    <t>7005 Mottie Rd</t>
  </si>
  <si>
    <t>P-400-22235-433749</t>
  </si>
  <si>
    <t>H-400-22228-417939</t>
  </si>
  <si>
    <t>The Floridian Club, Inc. Community Association, Inc/The Club At Kalea Bay will consider for employment anyone with at least twelve (12) months of experience as a Waiter, Waitress or Server in a Restaurant.  On-the job training is not provided.
All applicants are required to pass pre-employment drug test and background check; this includes domestic and H2B visa employees in seasonal or full-time and annual positions and is applied to all applicants regardless of their national origin, race, gender.  The employer will provide workers at no charge all tools, supplies, and equipment required to perform the job. Minimum age requirement of 18.
Hours Vary - 35 hours offered per week. Days vary, Monday Sunday along with rotating shifts from 9:00am 9:00pm.</t>
  </si>
  <si>
    <t>13940 Old Coast Road</t>
  </si>
  <si>
    <t>Hourly wage is $7.98 per hr plus tips or the prevailing wage or higher.. Employer guarantees wage equal to or higher</t>
  </si>
  <si>
    <t>P-400-22173-304776</t>
  </si>
  <si>
    <t>The hourly wage is $7.98 per hour plus tips or the prevailing wage or higher. Employer guarantees a wage equal to or higher than the prevailing wage rate of $15.02 per hour, paid bi-weekly for any given workweek when total of tip hourly rate plus actual tip compensation does not meet prevailing wage. Overtime may be available and guaranteed at no less than $22.53 per hour.  A single workweek will be used to compute wages due. 
Optional housing is offered on a first come, first serve basis for workers who are relocating to begin employment.  Cost of housing, including utilities and Wi-Fi, if accepted, is $450 per month.  If used the total cost of housing will be deducted from the paycheck.  All deductions from paycheck required by law will be made. 
Daily transportation to and from worksite is provided at no charge.</t>
  </si>
  <si>
    <t>H-400-22236-436440</t>
  </si>
  <si>
    <t>professional groom</t>
  </si>
  <si>
    <t>boston equestrian center, inc</t>
  </si>
  <si>
    <t>44 McIntyre Rd</t>
  </si>
  <si>
    <t>north oxford</t>
  </si>
  <si>
    <t>Eljadidi</t>
  </si>
  <si>
    <t>Jamal</t>
  </si>
  <si>
    <t>jamaleljadidi1@gmail.com</t>
  </si>
  <si>
    <t>Horseback riding</t>
  </si>
  <si>
    <t xml:space="preserve">north oxford </t>
  </si>
  <si>
    <t>P-400-22178-313610</t>
  </si>
  <si>
    <t>Room and board $500</t>
  </si>
  <si>
    <t>http://www.bostonequestriancenter.com/</t>
  </si>
  <si>
    <t>H-400-22270-497741</t>
  </si>
  <si>
    <t>Thoroughbred Racehorse Exercise Rider</t>
  </si>
  <si>
    <t>Kenneth McPeek Racing Stable, Inc.</t>
  </si>
  <si>
    <t>2651 Russell Cove Rd.</t>
  </si>
  <si>
    <t>Gulfstream Park Racing</t>
  </si>
  <si>
    <t>P-400-22229-421694</t>
  </si>
  <si>
    <t xml:space="preserve">Will make all deductions required by law including withholding and FICA. The racing facility will provide tack rooms to the trainer who is turns provides them to the grooms at no cost and it is optional for workers. There is also a kitchen and laundry facilities provided for workers in the back area of the racing facility. </t>
  </si>
  <si>
    <t>H-400-22289-532140</t>
  </si>
  <si>
    <t xml:space="preserve">Pre-hire background check required, Drug testing during employment for cause, Pre-employment drug testing required, Able to lift 75lbs, Able to work in inclement weather, M-F, overtime varies, 40 hour workweek, Rotating Schedule, schedule varies, some Saturdays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</si>
  <si>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H-400-22227-416619</t>
  </si>
  <si>
    <t>Veterinary Assistant</t>
  </si>
  <si>
    <t>Veterinary Assistants and Laboratory Animal Caretakers</t>
  </si>
  <si>
    <t>Steinbeck Country Equine Clinic, Inc.</t>
  </si>
  <si>
    <t>15881 Toro Hills Avenue</t>
  </si>
  <si>
    <t>15881 Toro Hills</t>
  </si>
  <si>
    <t>3355 Bee Cave</t>
  </si>
  <si>
    <t>FisherBroyles, LLp</t>
  </si>
  <si>
    <t>15881 Toto Hills Avenue</t>
  </si>
  <si>
    <t>P-400-22145-211238</t>
  </si>
  <si>
    <t>shared housing available to only seasonal full time employees at fee of $30/wk.</t>
  </si>
  <si>
    <t>H-400-22235-432611</t>
  </si>
  <si>
    <t>3C's Construction Services, LLC</t>
  </si>
  <si>
    <t>Suite 486</t>
  </si>
  <si>
    <t>Palos</t>
  </si>
  <si>
    <t>6400 Grissom Rd</t>
  </si>
  <si>
    <t>P-400-22139-190902</t>
  </si>
  <si>
    <t xml:space="preserve">Employer will make all deductions required by law from each paycheck. 
</t>
  </si>
  <si>
    <t>susanna.guzman@3csconstructionservices.com</t>
  </si>
  <si>
    <t>H-400-22276-508176</t>
  </si>
  <si>
    <t>R. Franco Restoration Inc.</t>
  </si>
  <si>
    <t>11083 W. Stayton Rd SE</t>
  </si>
  <si>
    <t>Rosario</t>
  </si>
  <si>
    <t>rfrancorestoration@gmail.com</t>
  </si>
  <si>
    <t xml:space="preserve">Must be 18 due to state labor laws.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</si>
  <si>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11083 West Stayton Rd (Report to Work)</t>
  </si>
  <si>
    <t>P-400-22201-365927</t>
  </si>
  <si>
    <t>rfrancorestoration@hotmail.com</t>
  </si>
  <si>
    <t>H-400-22264-484422</t>
  </si>
  <si>
    <t>GED or High  School Diploma , no licenses required on the Job</t>
  </si>
  <si>
    <t>FTW: 10% FICA  Wagesx0.124, Wages x 0.029</t>
  </si>
  <si>
    <t>H-400-22276-505955</t>
  </si>
  <si>
    <t>Mid-America Shows Delaware, LLC</t>
  </si>
  <si>
    <t>109 South Main Street</t>
  </si>
  <si>
    <t>Farmland</t>
  </si>
  <si>
    <t>109 South Main Streeet</t>
  </si>
  <si>
    <t>401 W. Henry Street</t>
  </si>
  <si>
    <t>P-400-22186-332790</t>
  </si>
  <si>
    <t>H-400-22230-424214</t>
  </si>
  <si>
    <t xml:space="preserve">COOK </t>
  </si>
  <si>
    <t>DELRAY BEACH CLUB</t>
  </si>
  <si>
    <t>2001 S Ocean Blvd</t>
  </si>
  <si>
    <t>Delray Beach</t>
  </si>
  <si>
    <t>FRIAS</t>
  </si>
  <si>
    <t>KRISTI</t>
  </si>
  <si>
    <t>PETRINA GROUP INTERNATIONAL INC.</t>
  </si>
  <si>
    <t xml:space="preserve">Experience must be verifiable.
Pre-hire drug test and background check, carried out equally between the U.S. workers and the H-2B workers.
Must be available to work split-shifts, nights, weekends &amp; holidays as needed.
Must be able to lift, pull, push or carry up to 25 lbs or more, and walk or stand for long periods of time. 
Professional appearance, able to communicate in English.
</t>
  </si>
  <si>
    <t>Raises and/or bonuses may be offered to any worker in the specified occupation at the company’s sole discretion based on</t>
  </si>
  <si>
    <t>P-400-22186-333060</t>
  </si>
  <si>
    <t xml:space="preserve">Optional housing will be available. If elected, rent will be at 0 cost. No deposit will be required. </t>
  </si>
  <si>
    <t>Kristi@TheDelrayBeachClub.com</t>
  </si>
  <si>
    <t>H-400-22211-386556</t>
  </si>
  <si>
    <t>all legally required deductions</t>
  </si>
  <si>
    <t>H-400-22221-405220</t>
  </si>
  <si>
    <t>Superscapes Opco, LLC</t>
  </si>
  <si>
    <t>1500 Capital Dr.</t>
  </si>
  <si>
    <t>Mirabal</t>
  </si>
  <si>
    <t xml:space="preserve">$16.30 – 22.00/hr. based on experience and performance $24.45 – 33.00 O.T. </t>
  </si>
  <si>
    <t>P-400-22174-307635</t>
  </si>
  <si>
    <t xml:space="preserve">Employer will make all deductions required by law from each paycheck as well as for negligent loss or damage to property or tools. Optional Health Insurance – 100% employer paid (minimum essential coverage). $15,000 employer paid group life insurance. </t>
  </si>
  <si>
    <t>H-400-22277-508860</t>
  </si>
  <si>
    <t>Palm Meadows Thoroughbred Training Center</t>
  </si>
  <si>
    <t>8898 Lyons Road</t>
  </si>
  <si>
    <t>BOYNTON BEACH</t>
  </si>
  <si>
    <t>P-400-22152-231347</t>
  </si>
  <si>
    <t>H-400-22259-477537</t>
  </si>
  <si>
    <t xml:space="preserve">Wage: $19.90 per hour, paid weekly.  Overtime is available at $29.85 per hour. </t>
  </si>
  <si>
    <t>P-400-22188-337832</t>
  </si>
  <si>
    <t>H-400-22279-514378</t>
  </si>
  <si>
    <t>Seafood Processing Technician (Surimi and Roe)</t>
  </si>
  <si>
    <t>VP of HR and Administration</t>
  </si>
  <si>
    <t xml:space="preserve">Have technical knowledge of surimi and pollock roe processing and ability to work independently.  Must be able to grade surimi and pollock roe products for Japanese market and must be able to quickly identify and resolve any problems that arise during surimi and pollock roe processing operations. Must be willing to work up to 12 or more hours per day, 7 days per week, depending on fish availability. Must be willing to work up to 12 or more hours per day, 6 days per week, depending on fish availability, with minimum guarantee of 35 hours per week.
</t>
  </si>
  <si>
    <t xml:space="preserve">1200 Captain’s Bay Road </t>
  </si>
  <si>
    <t>P-400-22200-360711</t>
  </si>
  <si>
    <t>None except required by law or employee benefits requested by worker; employer will provide room and board at the shore plant or nearby at no cost to the worker; employer-provided housing is optional.</t>
  </si>
  <si>
    <t>H-400-22298-548821</t>
  </si>
  <si>
    <t>Siciliano Landscape Company</t>
  </si>
  <si>
    <t>247 Bridge Avenue</t>
  </si>
  <si>
    <t>Red Bank</t>
  </si>
  <si>
    <t>Siciliano</t>
  </si>
  <si>
    <t>karen@sicilianolandscape.com</t>
  </si>
  <si>
    <t>P-400-22215-392999</t>
  </si>
  <si>
    <t>karensiciliano@me.com</t>
  </si>
  <si>
    <t>H-400-22275-505700</t>
  </si>
  <si>
    <t>2000 Sandy Lane</t>
  </si>
  <si>
    <t>Must pass a post-employment criminal background check, post-employment random and project specific drug testing required, paid by employer and applied equally to all workers, U.S. and foreign/H-2B. Applicants must complete an employment application.</t>
  </si>
  <si>
    <t>P-400-22152-232556</t>
  </si>
  <si>
    <t xml:space="preserve">Employer will make all deductions from the worker's paycheck required by law. Optional health, dental, and vision insurance available, approximate cost $1-$17 per week, payroll deducted if worker elects. Employer will assist worker in finding appropriate and affordable housing.
Employer will provide worker at no charge all tools, supplies, equipment and uniform required to perform job. Optional work boots available for purchase from approved vendor, cost can be payroll deducted if worker elects.  
</t>
  </si>
  <si>
    <t>H-400-22290-532596</t>
  </si>
  <si>
    <t>Amusement &amp; Recreation Attendant – Traveling Carnival Fast F</t>
  </si>
  <si>
    <t>Evans United Shows, Inc.</t>
  </si>
  <si>
    <t>2997 NW Plotsky</t>
  </si>
  <si>
    <t>(Mail: PO Box 126, Plattsburg MO 64477)</t>
  </si>
  <si>
    <t>Plattsburg</t>
  </si>
  <si>
    <t>(PO Box 126, Plattsburg MO 64477)</t>
  </si>
  <si>
    <t>erinevans44@aol.com</t>
  </si>
  <si>
    <t>P-400-22193-346320</t>
  </si>
  <si>
    <t>H-400-22291-534818</t>
  </si>
  <si>
    <t>323 Lynn Dr.</t>
  </si>
  <si>
    <t>P-400-22202-367618</t>
  </si>
  <si>
    <t>H-400-22271-499443</t>
  </si>
  <si>
    <t>P-400-22169-295293</t>
  </si>
  <si>
    <t xml:space="preserve">Employer will make all deductions from the worker’s paycheck required by law.  Optional housing (valued at $175.00 per week) and local convenience travel (valued at $15.00 per week) are available at no cost to the worker. </t>
  </si>
  <si>
    <t>caseyrides2020@gmail.com</t>
  </si>
  <si>
    <t>www.caseysridesinc.com</t>
  </si>
  <si>
    <t>H-400-22259-478607</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</si>
  <si>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Delivery and availability of seafood product from fisherman may result in possible downtimes due to weather conditions. Overtime possible, but not required or guaranteed.
</t>
  </si>
  <si>
    <t>329 Katlian St (Report to work)</t>
  </si>
  <si>
    <t>P-400-22206-373982</t>
  </si>
  <si>
    <t>H-400-22259-478612</t>
  </si>
  <si>
    <t>Refrigeration Technician (Cooling and Freezing equipt...</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</si>
  <si>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Delivery and availability of seafood product from fisherman may result in possible downtimes due to weather conditions. Overtime possible, but not required or guaranteed. 
</t>
  </si>
  <si>
    <t>Mile 1.5 AK Penninsula Hwy (Report to Work)</t>
  </si>
  <si>
    <t>P-400-22206-373819</t>
  </si>
  <si>
    <t>H-400-22212-386690</t>
  </si>
  <si>
    <t>Commonwealth Plywood Inc.</t>
  </si>
  <si>
    <t>10070 State Route 4</t>
  </si>
  <si>
    <t>jjones@cpiwhitehall.com</t>
  </si>
  <si>
    <t>Mayan Labor Connection</t>
  </si>
  <si>
    <t>Must be able to lift 30 pounds.</t>
  </si>
  <si>
    <t>Shift 1 time: 6:00am to 2:30pm/$17.36;  Shift 2 time: 3:00pm to 11:30pm/$18.36</t>
  </si>
  <si>
    <t>P-400-22151-227090</t>
  </si>
  <si>
    <t>All mandatory Federal and State deductions apply.</t>
  </si>
  <si>
    <t>sdunster@cpiwhitehall.com</t>
  </si>
  <si>
    <t>H-400-22243-448761</t>
  </si>
  <si>
    <t>Mailing: PO BOX 1428, Stowe, Vermont 05672</t>
  </si>
  <si>
    <t>Mailing: PO Box 1428, Stowe, VT 05672</t>
  </si>
  <si>
    <t xml:space="preserve">THE PETITIONER WILL CONSIDER ANY PERSON FOR EMPLOYMENT WHO POSSESSES AT LEAST SIX (6) MONTHS OF CULINARY EXPERIENCE IN A FINE-DINING OR HIGH-VOLUME ENVIRONMENT AT A HIGH-END RESTAURANT, RESORT, OR PRIVATE CLUB.  APPLICANT MUST COMPLETE a PRE-EMPLOYMENT BACKGROUND CHECK AND SHOW PROOF OF COVID-19 VACCINATION
Work schedule can vary and can include evening, weekend, and holiday hours.  Work is performed on any day of the week from Monday through Sunday.  Days off vary. Shifts may vary. Shifts times: 8am  4pm, 9am  5pm, 2pm- 10pm. 3pm-11pm. Shifts are subject to change for special events or due to need. 
</t>
  </si>
  <si>
    <t>+DOE. Potential tips/gratuities.  1 free meal per shift. 20% discount for restaurant &amp; retail. Free activities included.</t>
  </si>
  <si>
    <t>P-400-22175-311079</t>
  </si>
  <si>
    <t>H-400-22280-517017</t>
  </si>
  <si>
    <t>Winter Maintenance Worker</t>
  </si>
  <si>
    <t>Weavertown 79 Partners, LLC</t>
  </si>
  <si>
    <t>214 Weavertown Road</t>
  </si>
  <si>
    <t>Mailing: 1920 Ellsworth Ave, Heidelberg, PA 15106</t>
  </si>
  <si>
    <t>McShane</t>
  </si>
  <si>
    <t>Must lift/carry 50 lbs., when necessary.  Saturday and Sunday work required, when necessary.  Employer-paid drug testing required of foreign and domestic workers prior to commencing work and post-hire at random.  Must possess or be able to obtain U.S. driver's license within 30 days of hire. Employer may offer more than the stated work hours depending on weather, business needs, and other conditions. Extreme heat, cold, rain, or drought may affect exact working hours.</t>
  </si>
  <si>
    <t>P-400-22151-227610</t>
  </si>
  <si>
    <t xml:space="preserve">If requested, employer assists non-local workers with securing worker-paid lodging. Employer deducts reasonable fair market value cost of rent/utilities based on number of occupants for workers electing to reside in employer-provided housing.  Employer may deduct reasonable costs for daily transportation to/from worksite from designed pick-up location. Use of employer-provided transportation is voluntary.       </t>
  </si>
  <si>
    <t>H-400-22275-505772</t>
  </si>
  <si>
    <t>C.H. and Sons Enterprises LLC</t>
  </si>
  <si>
    <t>705 s Richelle st</t>
  </si>
  <si>
    <t>317 San Pascual Ave</t>
  </si>
  <si>
    <t>Apt 2</t>
  </si>
  <si>
    <t>chandsonsenterprises@gmail.com</t>
  </si>
  <si>
    <t>Commercial driver license. certification, training and experience driving a trailer</t>
  </si>
  <si>
    <t>705 S Richelle St</t>
  </si>
  <si>
    <t>P-400-22234-428627</t>
  </si>
  <si>
    <t>H-400-22274-505671</t>
  </si>
  <si>
    <t xml:space="preserve">Superior AJ Forestry </t>
  </si>
  <si>
    <t>2161 Taylor Rd</t>
  </si>
  <si>
    <t>Aguilar-Jurado</t>
  </si>
  <si>
    <t>Karina</t>
  </si>
  <si>
    <t>superioraj.forestry@gmail.com</t>
  </si>
  <si>
    <t xml:space="preserve">Must be 18 due to travel. Must show proof of legal authorization to work in the United States. Drug/alcohol/tobacco free work zone. Must walk substantially (up to 15 miles/day), also stoop, bend while carrying a pack (up to 80lbs)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</si>
  <si>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2165 Lotus Ln (Report to Work)</t>
  </si>
  <si>
    <t>P-400-22158-254739</t>
  </si>
  <si>
    <t>Superioraj.forestry@gmail.com</t>
  </si>
  <si>
    <t>H-400-22231-427677</t>
  </si>
  <si>
    <t>Housekeeping Supervisor/Inspector</t>
  </si>
  <si>
    <t xml:space="preserve">16400 Southcenter Pkwy #100 </t>
  </si>
  <si>
    <t>P-400-22104-072814</t>
  </si>
  <si>
    <t>H-400-22186-332992</t>
  </si>
  <si>
    <t>Employer will make all deductions from worker's paycheck required by law. Housing will be available to the worker. The employer will conduct bi-weekly payroll deductions for the reasonable cost or fair value of board, lodging, and facilities furnished. The offered housing is optional to workers.</t>
  </si>
  <si>
    <t>H-400-22278-512651</t>
  </si>
  <si>
    <t>Primetime Amusements LLC</t>
  </si>
  <si>
    <t>1709 A #379 Gornto Road</t>
  </si>
  <si>
    <t>(Mail: 18108 Lithia Ranch Road, Lithia FL 33547)</t>
  </si>
  <si>
    <t>Stine</t>
  </si>
  <si>
    <t>funzone@primetimecarnival.com</t>
  </si>
  <si>
    <t>8491 Highway 84</t>
  </si>
  <si>
    <t>Quitman</t>
  </si>
  <si>
    <t>Valdosta, GA</t>
  </si>
  <si>
    <t>P-400-22183-329458</t>
  </si>
  <si>
    <t>funzone@primetimeacarnival.com</t>
  </si>
  <si>
    <t>H-400-22252-464526</t>
  </si>
  <si>
    <t>LCD TRANSPORTATION LLC</t>
  </si>
  <si>
    <t>268 Mcbride Ave, Apt. 1-8</t>
  </si>
  <si>
    <t>Paterson</t>
  </si>
  <si>
    <t>CABRAL</t>
  </si>
  <si>
    <t>268 Mcbride Ave , Apt 1-8</t>
  </si>
  <si>
    <t>lc@lcdtransportation.com</t>
  </si>
  <si>
    <t>Cella</t>
  </si>
  <si>
    <t>1187 Main Ave, Suite 3F</t>
  </si>
  <si>
    <t>tattim@cellalaw.com</t>
  </si>
  <si>
    <t>Cella &amp; Associates LLC</t>
  </si>
  <si>
    <t>12 months of truck driving experience</t>
  </si>
  <si>
    <t>382 NJ-15</t>
  </si>
  <si>
    <t>Wharton</t>
  </si>
  <si>
    <t>P-400-22187-334768</t>
  </si>
  <si>
    <t>LCD Transportation LLC provides optional low-cost rent at the residential house that consists of 4 bedroom and 2 bathrooms. The monthly cost is 875. The employer will cover 50% of the rent. No deductions will be made from paycheck. The employer will pay directly to the employer once a month</t>
  </si>
  <si>
    <t>JosepH</t>
  </si>
  <si>
    <t>H-400-22293-540586</t>
  </si>
  <si>
    <t>Cutting and Slicing Machine Setters, Operators, and Tenders</t>
  </si>
  <si>
    <t>Ocean Peace, Inc. (OPI223)</t>
  </si>
  <si>
    <t>4201 21st Ave West</t>
  </si>
  <si>
    <t>Rillos</t>
  </si>
  <si>
    <t>Autumn</t>
  </si>
  <si>
    <t>arillos@oceanpeaceinc.com</t>
  </si>
  <si>
    <t xml:space="preserve">***Cont from F.b.2***
***Original F.a.2***
4. Packing
In this area, fish factory processors perform the following tasks:
 Weigh fillets or processed fish/fish product and place into pans after inspecting the product to ensure it meets specified weight and appearance and other quality control standards.
 May trim product in order to meet established quality control standards.
5. Freezer Area
In this area, fish processors perform the following tasks:
 Place freezer pans or trays holding bulk fish or fish products such as surimi into plate freezers which extend from floor level to above eye level for a predetermined period of time.
Pull freezer trays with frozen product from the plate freezer by hand or the use of a work aid and physically separate the product from the freezer pan by hitting it against an immovable object. Operate a series of controls that move plate freezers or which operate a packing or packaging machine.
Job Description-- Fish Processor (Factory Trawler)
---See attached----
***Original F.b.5.a.(iv)***
"-Must be capable of entering and exiting a vessel without assistance by walking up or climbing a gangplank, the stern ramp of a F/T, or a vertical ladder. May also enter and exit a skiff from a dock or a boat unassisted.
Must be capable of following specific written, oral, and visual directions in the event of an emergency. Must meet at designated locations to receive instructions and place on a life vest or jacket and/or a survival suit without assistance. Must also walk without assistance to any designated lifeboat station.
Must climb or descend one or more set of steep stairs or vertical ladders both inside and outside in all weather conditions and in at temperatures ranging from normal room temperature to 30 degrees below zero F.
Must assist in all loading and unloading operations at the start and end of all trips and in all storage and hold areas.
Must assist in the daily cleaning of the factory processing area and any other area as directed using shovels, buckets, brooms, and pressure hoses.
Must assist other F/T crew members including deck hands, engineers, galley staff, technicians, and officers as directed at any time in the performance of their respective duties.
-Must be capable of performing common and specific tasks at any time of the day or night for extended periods of time in all weather conditions including subzero temperatures.
Must be able to share room assignments and bathroom facilities and eat in a common dining area with other crew. Must be capable of using an upper bunk without the aid of a ladder.
Must be capable of living on board a vessel for extended periods of up to several weeks without having access to a hospital or medical treatment other than first aid or paramedic services.
ADDITIONAL INFORMATION:
Work days: Monday - Sunday
Hours per week: 112
Work Schedule: Monday - Sunday, rotating shifts; 8-5pm, 3pm-11pm, 11pm-8am; Employees will be on call for the remaining hours of the day after completing their shift to fulfill the average 112 hr per pay period mark. crew members will be rotated off duty for rest after accumulating 75-100 days at sea.  Rest period is generally 3-4 weeks.
Basic Hourly Wage: $21.96/hr
Overtime Hourly Wage: $21.96 (under Jones Act - Exempt from Overtime pay.)
Pay Frequency: Biweekly
Workers may receive a raise depending on performance and may receive a crew-share bonus.
Does employer offer a ride to primary worksite location to workers living within a reasonable
commute: N/A
Overtime available?  Yes
On-the-Job Training provided?  Yes, we provide safety training, orientation, deck, operator and factory training.
Employer-Provided Tools and Equipment provided?  Yes
Board, Lodging or Other Facilities provided?:  Yes
Deductions: 
$20/day to a potential maximum of $2000 per month for housing and meals - required while on vessel.
</t>
  </si>
  <si>
    <t>P-400-22222-408959</t>
  </si>
  <si>
    <t>$20/day to a potential maximum of $2000 per month for housing and meals - required while on vessel.</t>
  </si>
  <si>
    <t>H-400-22221-405551</t>
  </si>
  <si>
    <t>U.S 1 at Mile Marker 68.5</t>
  </si>
  <si>
    <t>Long Key</t>
  </si>
  <si>
    <t>P-400-22143-201339</t>
  </si>
  <si>
    <t>H-400-22281-518682</t>
  </si>
  <si>
    <t>Louis &amp; Claire Concessions LLC</t>
  </si>
  <si>
    <t>3010 Govalle Ave</t>
  </si>
  <si>
    <t>(PO Box 90816, Austin TX 78709)</t>
  </si>
  <si>
    <t>Petree</t>
  </si>
  <si>
    <t>katpetree@gmail.com</t>
  </si>
  <si>
    <t>172 W. HWY 21</t>
  </si>
  <si>
    <t>Cedar Creek</t>
  </si>
  <si>
    <t>P-400-22210-384632</t>
  </si>
  <si>
    <t>H-400-22280-516207</t>
  </si>
  <si>
    <t>J &amp; A Foods LLC</t>
  </si>
  <si>
    <t>3502 E. EQUESTRIAN TRAIL</t>
  </si>
  <si>
    <t>KASTL</t>
  </si>
  <si>
    <t>ANNAMARIE</t>
  </si>
  <si>
    <t>ANNIE@RCSFUN.COM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</si>
  <si>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equally to all workers, US and foreign/H2B.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Travel provided to all events as per itinerary. Must commute from home at prior worksite to next worksite. Optional transportation to worksites provided at no cost to the worker. Work is performed outside in all weather.
Employer will provide workers at no charge all tools, supplies and equipment required to perform job. On the job training provided.
</t>
  </si>
  <si>
    <t xml:space="preserve">1826 W. McDowell Rd </t>
  </si>
  <si>
    <t>P-400-22161-267899</t>
  </si>
  <si>
    <t>Pay received weekly, single workweek used for computing wages. Employer will make all deductions from worker’s paycheck required by law. Employer’s optional shared housing is provided at no cost to the worker valued at ($120/wk.) and local convenience travel valued at ($20/wk.).</t>
  </si>
  <si>
    <t>H-400-22246-454516</t>
  </si>
  <si>
    <t xml:space="preserve">Two years of experience as a therapist. Must be available to work all shifts, including weekends, evenings, and holidays.
</t>
  </si>
  <si>
    <t>P-400-22202-368936</t>
  </si>
  <si>
    <t xml:space="preserve">Employer will make all deductions from workers’ paycheck required by law. Potential elective deductions to be preauthorized in writing if applicable are as follows: Voluntary advances and/or loans made to workers, if any, may be repaid by pre-authorized payroll deductions. Housing:  All employee will be provided housing, in a shared space.  Daily Transportation: Transportation is only provided to employees who elect to live in onsite employee house, at no additional cost.
</t>
  </si>
  <si>
    <t>H-400-22259-478318</t>
  </si>
  <si>
    <t>13031 Ritz Carlton Highlands Court</t>
  </si>
  <si>
    <t>P-400-22187-333845</t>
  </si>
  <si>
    <t>Cost of housing if accepted, is up to $140 per week
payable to third party housing provider via voluntary payroll deduction.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All deductions from paycheck will be made in accordance with and as required by law including but not limited proper deduction to ensure wages do not improperly fall below prevailing wage.</t>
  </si>
  <si>
    <t>H-400-22258-473704</t>
  </si>
  <si>
    <t>MDM Hotel Group Ltd</t>
  </si>
  <si>
    <t>9090 S. Dadeland Blvd.</t>
  </si>
  <si>
    <t>Corporate Director of Human Resources</t>
  </si>
  <si>
    <t>flavio.mello@mdmusa.com</t>
  </si>
  <si>
    <t xml:space="preserve">$15.00/hr. O/T $22.50/hr.  Eligible for multiple benefits </t>
  </si>
  <si>
    <t>P-400-22180-322640</t>
  </si>
  <si>
    <t xml:space="preserve">Housing provided inside hotel. 1 room for 2 workers. $500 per month per person deducted from paycheck. Breakfast, lunch and dinner provided at no cost in associate cafeteria. All deductions from worker’s paycheck required by law will be made. </t>
  </si>
  <si>
    <t>H-400-22214-389583</t>
  </si>
  <si>
    <t>Venice Yacht Club, Inc.</t>
  </si>
  <si>
    <t>Venice Yacht Club</t>
  </si>
  <si>
    <t>1330 Tarpon Center Drive</t>
  </si>
  <si>
    <t>Furman</t>
  </si>
  <si>
    <t>gm@veniceyachtclub.com</t>
  </si>
  <si>
    <t xml:space="preserve">Six months of experience as a cook is required. All applicants are required to pass pre-employment drug test and background check; this includes domestic and H2B visa employees in seasonal or fulltime and annual positions and is applied to all applicants regardless of their national origin, race, gender. Must be available to work all shifts, including weekends, evenings, and holidays. Hours: Hours Vary - 35 hours offered per week. Days vary, Monday Sunday along with rotating shifts from 9:00am 9:00pm. </t>
  </si>
  <si>
    <t>P-400-22162-270932</t>
  </si>
  <si>
    <t>The employer will make all deductions from the worker’s paycheck required by law.  Optional housing is offered on a first-come, first serve basis for workers who are relocating to begin employment. Cost of housing, including utilities and Wi-Fi, if accepted, is $75 per week. If used the total cost of housing will be deducted from the paycheck.</t>
  </si>
  <si>
    <t>https://veniceyachtclub.com/</t>
  </si>
  <si>
    <t>H-400-22322-595445</t>
  </si>
  <si>
    <t xml:space="preserve">None
F.a.5 A-H: 7:30 am-4:30 pm; M-F, (up to 10 hours of OT may be available) 
</t>
  </si>
  <si>
    <t>H-400-22311-573069</t>
  </si>
  <si>
    <t>P-400-22202-367689</t>
  </si>
  <si>
    <t>H-400-22335-615888</t>
  </si>
  <si>
    <t>Activities Coordinator/Pool Attendant</t>
  </si>
  <si>
    <t xml:space="preserve">No minimum education or experience required. Workers are subject to post-employment criminal background checks, paid by employer and applied equally to all workers, U.S. and foreign/H-2B. Applicant must complete an employment application.  Must be able to work at least 5-day work schedule, including weekends and holidays as required. Employer will offer 40 hours per week. Resort open 7 days a week. Rotating schedule Sunday through Saturday, shifts vary: 8am-5pm, 4pm-12am, 11am-7pm (includes 1-hour unpaid break).  Hours and shifts may vary with occupancy and events. Basic wage rate of pay $12.00 per hour. Employer may increase wage based on experience, market conditions and/or provide additional pay for performance and tenure. Overtime may be available at wage rate $18.00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Employer will assist worker to find housing. Public transportation available less than a mile from worksites. Employer will provide worker at no charge all tools, supplies, and equipment required to perform job.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
  </si>
  <si>
    <t>P-400-22292-539258</t>
  </si>
  <si>
    <t>Employer will make all deductions from the worker's paycheck required by law. Employer will assist worker to find housing.</t>
  </si>
  <si>
    <t>H-400-22335-615093</t>
  </si>
  <si>
    <t>Yellowstone Landscape - Southeast, LLC_Palm Coast</t>
  </si>
  <si>
    <t>3235 North State Street</t>
  </si>
  <si>
    <t>Bunnell</t>
  </si>
  <si>
    <t>FLAGLER</t>
  </si>
  <si>
    <t>P-400-22284-521223</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</si>
  <si>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and/or health insurance premiums for workers vol participating in plan(s). Uniform provided at no cost. Emplyr may deduct cost for vol purchase of additional uniforms for wrkr's benefit.  Emplyr may also deduct for vol boot purchase prgram. Employer provides incidental transportation between worksites as necessary.</t>
  </si>
  <si>
    <t>H-400-22335-614249</t>
  </si>
  <si>
    <t>Yellowstone Landscape - Southeast, LLC_Atlanta</t>
  </si>
  <si>
    <t>4806 Wright Drive, Suite B</t>
  </si>
  <si>
    <t>P-400-22284-521196</t>
  </si>
  <si>
    <t>H-400-22335-614003</t>
  </si>
  <si>
    <t>Brick Mason Helper</t>
  </si>
  <si>
    <t>Verastegui Brothers Masonry LLC</t>
  </si>
  <si>
    <t>196 Normandy Hts Rd</t>
  </si>
  <si>
    <t>Taylorsville</t>
  </si>
  <si>
    <t>Verastegui</t>
  </si>
  <si>
    <t>antoniooverastegui@gmail.com</t>
  </si>
  <si>
    <t>P-400-22255-466617</t>
  </si>
  <si>
    <t xml:space="preserve">Optional housing provided at a cost of $200 a month, $50 a pay check if optional deductions from pay are selected. Deductions will not drop the overall wage below the UDSOL minimum, if the deductions are too great they will not be made. </t>
  </si>
  <si>
    <t>H-400-22335-614613</t>
  </si>
  <si>
    <t>D A Hoerr &amp; Sons Inc</t>
  </si>
  <si>
    <t>Hoerr Nursery</t>
  </si>
  <si>
    <t>8020 N. Shade Tree Dr</t>
  </si>
  <si>
    <t>Hoerr</t>
  </si>
  <si>
    <t>jjhoerr@hoerrnursery.com</t>
  </si>
  <si>
    <t xml:space="preserve">Monday-Friday, occasional Saturdays may be required; schedule varies, end time varies, overtime varies
</t>
  </si>
  <si>
    <t>P-400-22291-536434</t>
  </si>
  <si>
    <t>H-400-22335-613845</t>
  </si>
  <si>
    <t>eric@procarelandscaping.com</t>
  </si>
  <si>
    <t>H-400-22335-613863</t>
  </si>
  <si>
    <t>Wyndham Destinations, Inc</t>
  </si>
  <si>
    <t>WorldMark Moab</t>
  </si>
  <si>
    <t>1435 North Main Street</t>
  </si>
  <si>
    <t xml:space="preserve">No minimum education or experience required.
Workers are subject to post-employment criminal background checks, paid by employer and applied equally to all workers, U.S. and foreign/H-2B.
Must be able to work at least 5-day work schedule, including weekends &amp; holidays as required.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the H2B worker in the first workweek for all visa, visa processing, border crossing, and other related fees, including those mandated by the government, incurred by the H2B worker (but need not include passport expenses or other charges primarily for the benefit of the worker). 
</t>
  </si>
  <si>
    <t>Employer may increase wage based on experience, changes in current market conditions and/or provide additional pay for p</t>
  </si>
  <si>
    <t>P-400-22195-351901</t>
  </si>
  <si>
    <t xml:space="preserve">Basic rate of pay $20.00 per hour. Employer may increase wage based on experience, changes in current market conditions and/or provide additional pay for performance and tenure. Overtime rate of pay $30.00 per hour. Overtime may be available, but not guaranteed. An overtime premium will be paid when required by Federal, State, or local law, including at time-and-a-half after 40 hours per workweek.
The employer will provide on-the-job training.
A single workweek will be used to compute wages due. Pay received bi-weekly.  
Employer will make all deductions from the worker's paycheck required by law and deduct approved cost of housing if worker elects. Optional employee shared housing, including utilities, approx. rate $110 per week. 
Employer will provide worker at no charge all tools, supplies, and equipment required to perform job. Uniform provided at no cost to employee. 
</t>
  </si>
  <si>
    <t>https://careers.wyndhamhotels.com/</t>
  </si>
  <si>
    <t>Golf Preservations, Inc.</t>
  </si>
  <si>
    <t>2107 Cumberland Ave.</t>
  </si>
  <si>
    <t>Middlesboro</t>
  </si>
  <si>
    <t>DeAnna</t>
  </si>
  <si>
    <t>golfpreservations@yahoo.com</t>
  </si>
  <si>
    <t xml:space="preserve">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</si>
  <si>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2107 Cumberland Ave. (Report to Work)</t>
  </si>
  <si>
    <t>East Kentucky nonmetropolitan area</t>
  </si>
  <si>
    <t>P-400-22213-388094</t>
  </si>
  <si>
    <t>golfperservations@yahoo.com</t>
  </si>
  <si>
    <t>CALLAHAN</t>
  </si>
  <si>
    <t>DIRECTOR OF GOLF COURSE &amp; GROUNDS</t>
  </si>
  <si>
    <t>P-400-22244-450236</t>
  </si>
  <si>
    <t>H-400-22337-619578</t>
  </si>
  <si>
    <t xml:space="preserve">Minimum of 21 years of age required to be able to mix and serve alcohol. 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
</t>
  </si>
  <si>
    <t>P-400-22297-546205</t>
  </si>
  <si>
    <t>H-400-22335-614575</t>
  </si>
  <si>
    <t>Better Lawns and Gardens Inc.</t>
  </si>
  <si>
    <t>8600 Cunningham Lake Rd</t>
  </si>
  <si>
    <t>Munsey Jr.</t>
  </si>
  <si>
    <t>david@betterlawnsar.com</t>
  </si>
  <si>
    <t>Able to lift 50lbs, Post-Accident Drug Testing, Monday-Friday, Schedule varies, Some Saturdays may be required, Start/end times may vary,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</si>
  <si>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8600 Cunningham Lake Rd.</t>
  </si>
  <si>
    <t>Raises and bonuses at employer's discretion based on performance and evaluation of skill sets</t>
  </si>
  <si>
    <t>P-400-22236-435499</t>
  </si>
  <si>
    <t>info@betterlawnsar.com</t>
  </si>
  <si>
    <t>H-400-22322-595442</t>
  </si>
  <si>
    <t>Shepherd's Landscape Maintenance LLC</t>
  </si>
  <si>
    <t>13945 Lucia Riverbend Hwy</t>
  </si>
  <si>
    <t>P. O. Box 681448, Charlotte, NC 28216</t>
  </si>
  <si>
    <t>Mt. Holly</t>
  </si>
  <si>
    <t>Garmon</t>
  </si>
  <si>
    <t>office@shepherdslandscape.com</t>
  </si>
  <si>
    <t xml:space="preserve">Lift/carry up to 50 pounds.  Pre-Employment, Random (post-employment) employer paid drug testing required.       
</t>
  </si>
  <si>
    <t>13945 Lucia Riverbend Hwy.</t>
  </si>
  <si>
    <t>P-400-22235-432689</t>
  </si>
  <si>
    <t xml:space="preserve">CHARACTER LIMIT: 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</si>
  <si>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TCB Quality Landscaping, Inc.</t>
  </si>
  <si>
    <t>545 Private Rd 914</t>
  </si>
  <si>
    <t>Compton</t>
  </si>
  <si>
    <t>tcblandscaping@cs.com</t>
  </si>
  <si>
    <t>P-400-22192-343300</t>
  </si>
  <si>
    <t>H-400-22335-613781</t>
  </si>
  <si>
    <t>UNITED LANDSCAPE SERVICES, INC</t>
  </si>
  <si>
    <t>729 Bellaire Ave</t>
  </si>
  <si>
    <t>MCFARLANE</t>
  </si>
  <si>
    <t>729 BELLAIRE AVE</t>
  </si>
  <si>
    <t>sem@unitedlandscape.net</t>
  </si>
  <si>
    <t xml:space="preserve">Must be able to tolerate extreme temperatures, loud noises; lift heavy equipment and exhibit stamina.  MUST PASS EMPLOYER-PAID POST-EMPLOYMENT DRUG TEST if assessed.
Work days:  Mon - Friday weather dependent. Occasional Saturday work.
Hours per week: 40
Work Schedule: 7:30 am to 4:00 pm
All worksite locations are within driving distance of primary worksite location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NO
</t>
  </si>
  <si>
    <t>729 Bellaire Ave.</t>
  </si>
  <si>
    <t>P-400-22258-475453</t>
  </si>
  <si>
    <t>www.unitedlandscape.net</t>
  </si>
  <si>
    <t>Camp</t>
  </si>
  <si>
    <t>H-400-22335-615167</t>
  </si>
  <si>
    <t>Yellowstone Landscape - Southeast, LLC_Sarasota</t>
  </si>
  <si>
    <t>6108 33rd Street East</t>
  </si>
  <si>
    <t>Bradenton</t>
  </si>
  <si>
    <t>P-400-22284-521228</t>
  </si>
  <si>
    <t>Emplyr makes all payroll deductions req by law. Emplyr does not envision other wrkfrce-wide payroll deductions. If req, emplyr helps non-local wrkrs secure worker-paid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and/or health insurance premiums for wrkrs vol participating in plan(s). Uniform provided at no cost. Employer may deduct cost for vol purchase of additional uniforms for worker's benefit. Emplyr may also deduct for voluntary boot purchase program. Emplyr provides incidental transportation between worksites as needed.</t>
  </si>
  <si>
    <t>H-400-22335-614650</t>
  </si>
  <si>
    <t>1936 N 81st Street</t>
  </si>
  <si>
    <t>P-400-22196-355531</t>
  </si>
  <si>
    <t>Housekeeper/Room Attendant</t>
  </si>
  <si>
    <t>ALFORD</t>
  </si>
  <si>
    <t>Toby</t>
  </si>
  <si>
    <t>B. DeMichele, Inc.</t>
  </si>
  <si>
    <t>390 Parkmount Rd</t>
  </si>
  <si>
    <t>DeMichele</t>
  </si>
  <si>
    <t>Blase</t>
  </si>
  <si>
    <t>demicheleinc@verizon.net</t>
  </si>
  <si>
    <t>Pre-employment drug testing required, Drug testing during employment for cause, Able to lift 50lbs, M-F, Overtime potential, Saturdays as needed.
All drug testing is performed without regard to an employees citizenship or immigration status, and all testing is paid for by the company. See the additional document attached for further details about the administration of our drug testing policy.</t>
  </si>
  <si>
    <t>P-400-22246-454556</t>
  </si>
  <si>
    <t>demicheleinc@comcast.net</t>
  </si>
  <si>
    <t>Jim Dunphy's Landscaping LLC</t>
  </si>
  <si>
    <t>3 Applewood Court</t>
  </si>
  <si>
    <t>Mailing: P.O. Box 363, Mt. Laurel, NJ 08054</t>
  </si>
  <si>
    <t>Hainesport</t>
  </si>
  <si>
    <t>Dunphy</t>
  </si>
  <si>
    <t>denise@jimdunphyslandscaping.com</t>
  </si>
  <si>
    <t>4101 Bridgeboro Rd</t>
  </si>
  <si>
    <t>Raises at employer's discretion. Opportunity for higher pay depending on experience.</t>
  </si>
  <si>
    <t>P-400-22199-357726</t>
  </si>
  <si>
    <t>Landscape/Hardscape Laborer</t>
  </si>
  <si>
    <t>H-400-22335-614894</t>
  </si>
  <si>
    <t>Ascend Landscaping and Irrigation, Inc</t>
  </si>
  <si>
    <t>19150 E 118th Ave</t>
  </si>
  <si>
    <t>Hitch</t>
  </si>
  <si>
    <t>Jevard</t>
  </si>
  <si>
    <t>mainoffice@ascendlandscaping.net</t>
  </si>
  <si>
    <t>Pre-hire background check required; Drug testing during employment for cause, Able to lift 75lbs, Repetitive bending or stooping, able to stand on feet for long hours, working in hot/cold/humid weather. 3 months experience required as landscape laborer, M-F, Overtime Varies, Some weekends maybe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</si>
  <si>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Raise at employer's discretion. Percentage of health care offered.</t>
  </si>
  <si>
    <t>P-400-22249-456861</t>
  </si>
  <si>
    <t>H-400-22333-610074</t>
  </si>
  <si>
    <t>Forest &amp; Conservation Worker</t>
  </si>
  <si>
    <t xml:space="preserve">Worker must have 1 months Experience bagging of the pine tree flowers .Worker must be in excellent physical condition.
</t>
  </si>
  <si>
    <t>1830 County Rd.20</t>
  </si>
  <si>
    <t>WILCOX</t>
  </si>
  <si>
    <t>P-400-22234-429964</t>
  </si>
  <si>
    <t>Timberland will only take deductions from the workers check required by law. Timberland will not take any other deductions from the workers check.</t>
  </si>
  <si>
    <t>H-400-22337-619411</t>
  </si>
  <si>
    <t xml:space="preserve">Cooks </t>
  </si>
  <si>
    <t>H-400-22335-614394</t>
  </si>
  <si>
    <t xml:space="preserve">No minimum education or experience required.Workers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Employer will offer 40 hours per week. Resorts open 7 days a week, workdays vary Sunday through Saturday. Normal shift time: 9:00am-5:30pm (includes 30-minute unpaid break). Workdays and shift times may vary with occupancy, events, and business demands. Basic rate of pay: $12.06 per hour. Employer may increase wage based on experience, market conditions, and/or provide additional pay for performance and tenure. Overtime may be available at $18.09 per hour. An overtime premium will be paid when required by Federal, State, or local law, including at time-and-a-half after 40 hours per workweek. Piece Rate Housekeeper: Payable by piece rate with a guaranteed base rate of $12.06 per hour. Allowed piece rate applied per FLSA guidelines to meet offered wage. Rooms are individually priced out based on size, square footage, and property. Piece rate after first week of training. Piece rate ranges depending on the resort and square footage, at $32 per 2-bedroom unit with kitchen. Workers are required to clock-in and clock-out at the beginning and end of each shift. This allows for the tracking of hours to ensure that worker is paid at or above the guaranteed base rate of $12.06 per hour and overtime rate of pay is $18.09 per hour. Employer will provide on the job training. A single workweek will be used to compute wages due. Pay received bi-weekly.  Employer will make all deductions from the worker's paycheck required by law. Optional employee shared housing available, including utilities, approx. $154-168 per week, available for payroll deduction if employee elects. Transportation is available to/from worksite for $35 per week.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</si>
  <si>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41 S Forest Beach Drive</t>
  </si>
  <si>
    <t>P-400-22215-394661</t>
  </si>
  <si>
    <t xml:space="preserve">Employer will make all deductions from the worker's paycheck required by law. Optional employee shared housing available, including utilities, approx. $154-168 per week, available for payroll deduction if employee elects. Transportation is available to/from worksite for $35 per week. 
</t>
  </si>
  <si>
    <t>H-400-22335-613732</t>
  </si>
  <si>
    <t xml:space="preserve">Employer will make all deductions from the worker's paycheck required by law and deduct approved cost of housing if worker elects. Optional employee only dormitory style shared housing, approximate cost $60 per week, including utilities.
Employer will provide, at no charge to worker, all tools, supplies, and equipment required to perform job. Required uniform provided at no charge to the worker. 
</t>
  </si>
  <si>
    <t>Enriquez</t>
  </si>
  <si>
    <t>https://www.pacareerlink.pa.gov/jponline/</t>
  </si>
  <si>
    <t>H-400-22335-613716</t>
  </si>
  <si>
    <t>H-400-22335-613832</t>
  </si>
  <si>
    <t>P-400-22266-490401</t>
  </si>
  <si>
    <t xml:space="preserve">
Employer will make all deductions from the worker's paycheck required by law. Employer will assist worker to find housing. Public transportation available less than a mile from worksites.
</t>
  </si>
  <si>
    <t>Employer will make all deductions required by law from each paycheck as well as for optional advances against pay up to $75/day at end of each workday for room and board at no interest for first 2 weeks, and for optional uniform cleaning expense at $35/mo. Other benefits provided to U.S. and H2B workers are the following: year-end bonuses based on performance/quality of job.</t>
  </si>
  <si>
    <t>H-400-22335-616440</t>
  </si>
  <si>
    <t>P-400-22230-424544</t>
  </si>
  <si>
    <t>H-400-22325-598325</t>
  </si>
  <si>
    <t>CVAC Lawn Care LLC</t>
  </si>
  <si>
    <t>195 New Bethlehem Church Rd.</t>
  </si>
  <si>
    <t>Vacca</t>
  </si>
  <si>
    <t>cvaclawncare@gmail.com</t>
  </si>
  <si>
    <t>P-400-22241-443548</t>
  </si>
  <si>
    <t xml:space="preserve">CHARACTER LIMIT: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</si>
  <si>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H-400-22322-594613</t>
  </si>
  <si>
    <t>Landry's Professional Lawn &amp; Landscape, Inc.</t>
  </si>
  <si>
    <t>8943 Buzbee Drive</t>
  </si>
  <si>
    <t xml:space="preserve">Employer paid post hire drug test required. Employer paid post hire background check.
</t>
  </si>
  <si>
    <t>P-400-22192-343258</t>
  </si>
  <si>
    <t>Medical, dental and vision coverage may be available to qualifying employees. Assistance with housing and local transportation may be available for employees unable to return to their homes at the end of the day at a cost of $200 per pay period for housing, and $80 per pay period for transportation to be paid via option payroll deduction (amounts subject to change based on local inflation).</t>
  </si>
  <si>
    <t xml:space="preserve">Christian </t>
  </si>
  <si>
    <t>H-400-22321-593012</t>
  </si>
  <si>
    <t>P-400-22192-342730</t>
  </si>
  <si>
    <t>H-400-22321-592299</t>
  </si>
  <si>
    <t>Triple T Amusements</t>
  </si>
  <si>
    <t>5310 Old Buena Vista Road</t>
  </si>
  <si>
    <t>tripletamusements@gmail.com</t>
  </si>
  <si>
    <t>P-400-22196-355003</t>
  </si>
  <si>
    <t>tttbackoffice@gmail.com</t>
  </si>
  <si>
    <t>H-400-22322-595355</t>
  </si>
  <si>
    <t>Webb's Lawn Service LLC</t>
  </si>
  <si>
    <t>20 Whisk Drive</t>
  </si>
  <si>
    <t>info@webbslawnservice.net</t>
  </si>
  <si>
    <t xml:space="preserve">Lift/carry up to 50 pounds. Lift/carry up to 50 pounds Post Accident, Post Employment employer paid drug testing required. Employer paid post hire criminal background check.
</t>
  </si>
  <si>
    <t>1459 Ocran Road</t>
  </si>
  <si>
    <t>P-400-22235-432825</t>
  </si>
  <si>
    <t>Shared housing available to only seasonal full-time employees, not offered to non-employees. Employees may make their own arrangements at their own expense. If they opt to live in employer provided housing rent (utilities included) charged at $60.00/week.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t>
  </si>
  <si>
    <t>H-400-22321-592167</t>
  </si>
  <si>
    <t>S.L. Acquisitions Company</t>
  </si>
  <si>
    <t>Superior Landscapes</t>
  </si>
  <si>
    <t>2000 Lone Star Drive</t>
  </si>
  <si>
    <t>Wilschetz</t>
  </si>
  <si>
    <t>swilschetz@superiorlandscapes.biz</t>
  </si>
  <si>
    <t>P-400-22189-340631</t>
  </si>
  <si>
    <t>H-400-22335-613706</t>
  </si>
  <si>
    <t>TWO WORK LOCATIONS, 290 OLD MONTAUK HIGHWAY AND 32 STAR ISLAND ROAD MONTAUK NY 11954
6 MONTHS EXPERIENCE NEEDED</t>
  </si>
  <si>
    <t xml:space="preserve"> AVAILABLE HOUSING IS OPTIONAL AND AVAILABLE FOR 125.00-150.00/WEEK PAID BY EMPLOYEE DIRECTLY TO EMPLOYER IF ACCEPTED</t>
  </si>
  <si>
    <t xml:space="preserve"> AVAILABLE HOUSING IS OPTIONAL AND AVAILABLE FOR 125.00-150.00/WEEK PAID BY EMPLOYEE DIRECTLY TO EMPLOYER IF ACCEPTED. A 200.00 REFUNDABLE SECURITY DEPOSIT IN MADE AT TIME OF HIRING </t>
  </si>
  <si>
    <t>H-400-22335-614448</t>
  </si>
  <si>
    <t xml:space="preserve">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Employer will offer 40 hours per week. Resorts open 7 days a week, workdays vary Sunday through Saturday. Normal shift time: 9:00am-5:30pm (includes 30-minute unpaid break). Workdays and shift times may vary with occupancy, events, and business demands. Basic rate of pay: $12.00 per hour. Employer may increase wage based on experience and/or provide additional pay for performance and tenure. Overtime may be available at $18.00 per hour. An overtime premium will be paid when required by Federal, State, or local law, including at time-and-a-half after 40 hours per workweek. Employer will provide on the job training. A single workweek will be used to compute wages due. Pay received bi-weekly.  Employer will make all deductions from the worker's paycheck required by law. Optional employee shared housing available, including utilities, approx. $150-$160 per week, available for payroll deduction if employee elects. Transportation is available to/from worksite for $35 per week.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</si>
  <si>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2600 N Ocean Blvd</t>
  </si>
  <si>
    <t>P-400-22215-394643</t>
  </si>
  <si>
    <t xml:space="preserve">Employer will make all deductions from the worker's paycheck required by law. Optional employee shared housing available, including utilities, approx. $150-$160 per week, available for payroll deduction if employee elects. Transportation is available to/from worksite for $35 per week. 
</t>
  </si>
  <si>
    <t>H-400-22335-613687</t>
  </si>
  <si>
    <t>P-400-22192-342546</t>
  </si>
  <si>
    <t>H-400-22335-613779</t>
  </si>
  <si>
    <t>NONE-</t>
  </si>
  <si>
    <t>H-400-22274-505561</t>
  </si>
  <si>
    <t>BELLASFOODS 2</t>
  </si>
  <si>
    <t>SOFRITOS RESTAURANT</t>
  </si>
  <si>
    <t>1757 WOODRUFF RD STE A</t>
  </si>
  <si>
    <t>BATISTA</t>
  </si>
  <si>
    <t>HECTOR</t>
  </si>
  <si>
    <t xml:space="preserve">1757 WOODRUFF RD </t>
  </si>
  <si>
    <t>info@sofritorestaurant.com</t>
  </si>
  <si>
    <t>COOKING SKILLS,  CLEANLINESS AND A TEAM PLAYER WITH GOOD COMMUNICATIONS SKILL</t>
  </si>
  <si>
    <t>1757 WOODRUFF RD STE-A</t>
  </si>
  <si>
    <t>P-400-22214-389988</t>
  </si>
  <si>
    <t>FEDERAL, STATE, SOCIAL SECURITY, MEDICARE WITHHOLDING TAXES</t>
  </si>
  <si>
    <t xml:space="preserve">ABC MULTISERVICE </t>
  </si>
  <si>
    <t>AJDIAZ9@CS.COM</t>
  </si>
  <si>
    <t>H-400-22298-548991</t>
  </si>
  <si>
    <t>Roe Technician</t>
  </si>
  <si>
    <t>5303 Shilshole Ave.</t>
  </si>
  <si>
    <t>lschmidt@tridentseafoods.com</t>
  </si>
  <si>
    <t>Ste. 3300</t>
  </si>
  <si>
    <t>206-757-8354</t>
  </si>
  <si>
    <t>Must possess 24 months of experience, which must include work with all processing procedures described in the job description. Verifiable work experience required. All Trident employees must complete a pre-employment drug test. Employees are exempt from this drug test only if they have been separated from Trident for less than 1 year before returning to work for Trident. Pre-employment drug tests are completed using an instant result urine analysis collection method, performed either by a member of the Trident recruiting team or in a laboratory (based on location of applicant). Post-employment drug testing is not carried out. Trident performs post-accident drug testing for all employees. Criminal background checks are carried out for all applicants. The criminal background check is completed after the drug testing. Employees are exempt from the criminal background check only if they have been separated from Trident for less than 1
year before returning to work for Trident. Employees separated less than I year must undergo a background check before returning if there was an incident or change in their criminal history status after employment began.</t>
  </si>
  <si>
    <t>73 Trident Way</t>
  </si>
  <si>
    <t>Depending on fish availability. Health insurance and potential for bonus.</t>
  </si>
  <si>
    <t>P-400-22178-313242</t>
  </si>
  <si>
    <t>Employer will make all deductions from the worker's paycheck required by law, including applicable state or federal taxes. No other deductions will be made except as requested, approved by worker for health insurance or other employee benefits.</t>
  </si>
  <si>
    <t>H-400-22335-614701</t>
  </si>
  <si>
    <t>H-400-22335-613678</t>
  </si>
  <si>
    <t>DAYS VARY MONDAY-SUNDAY. 3/1/23-12/1/23. 12AM-12AM, ROTATING SHIFTS.  6 MONTHS EXPERIENCE AS DISHWASHER</t>
  </si>
  <si>
    <t>P-400-22199-358304</t>
  </si>
  <si>
    <t>HOUSING IS OPTIONAL AND AVAILABLE FOR 125.00-150.00/WEEK PAID BY EMPLOYEE DIRECTLY TO EMPLOYER IF ACCEPTED. A 200.00 REFUNDABLE SECURITY DEPOSIT IS MADE AT TIME OF HIRING.</t>
  </si>
  <si>
    <t>H-400-22340-625133</t>
  </si>
  <si>
    <t>LandCare USA LLC - Houston</t>
  </si>
  <si>
    <t>13608 Rankin Circle East</t>
  </si>
  <si>
    <t>P-400-22277-510742</t>
  </si>
  <si>
    <t>Employer makes all payroll deductions required by law. Employer does not envision other workforce-wide payroll deductions. If requested, emplyr helps non-local workers secure worker-paid lodging (not to exceed fair market value, based on # occupants). Housing costs paid directly to landlord &amp; are not payroll deducted.  Voluntary advances and/or loans made to workers, if any, may be repaid by pre-authorized payroll deducts.  Emplyr may deduct retirement/savings plan contributions &amp;/or health ins premiums for workers voluntarily participating in plan(s). Uniform provided at no cost. Emplyr may deduct cost for voluntary purchase of add’l uniforms for worker's benefit.  Emplyr offers paid time off (PTO) to all eligible workers in position. No daily transportation to/from work provided.  Employer provides incidental transport between worksites as necessary. Such transport complies with all applicable Federal, State, &amp; local laws/regulations.</t>
  </si>
  <si>
    <t>H-400-22335-613823</t>
  </si>
  <si>
    <t>H-400-22307-565968</t>
  </si>
  <si>
    <t>3801 Centurion Drive (Report to Work)</t>
  </si>
  <si>
    <t>P-400-22253-465237</t>
  </si>
  <si>
    <t>Optional shared, furnished housing available to the worker (including utilities); if housing is agreed upon by the worker, $82.97 to be deducted from worker's weekly paycheck.
At Employer’s sole discretion: possible cash advances (if applicable/requested by worker, potential deduction from worker’s paycheck).</t>
  </si>
  <si>
    <t>larellano@ruppertcompanies.com</t>
  </si>
  <si>
    <t>H-400-22307-565981</t>
  </si>
  <si>
    <t>Thompson Landscape Services, Inc.</t>
  </si>
  <si>
    <t>409 International Pkwy, Suite 300</t>
  </si>
  <si>
    <t>autumn@thompson-landscape.com</t>
  </si>
  <si>
    <t>409 International Pkwy, Suite 300 (Report to Work)</t>
  </si>
  <si>
    <t>P-400-22211-386597</t>
  </si>
  <si>
    <t>H-400-22307-566535</t>
  </si>
  <si>
    <t>Bahena Construction Company, Inc.</t>
  </si>
  <si>
    <t>1105 W. Broadway</t>
  </si>
  <si>
    <t>Winnsboro</t>
  </si>
  <si>
    <t>Exum</t>
  </si>
  <si>
    <t>Clarisa</t>
  </si>
  <si>
    <t>cbfussell@yahoo.com</t>
  </si>
  <si>
    <t>P-400-22196-355555</t>
  </si>
  <si>
    <t>H-400-22298-548079</t>
  </si>
  <si>
    <t>Chef</t>
  </si>
  <si>
    <t>Kitchen skills. A chef needs to run a smooth-operating kitchen.
Food preparation skills.
Business skills.
Knowledge of nutrition.
Attention to detail.
Creativity.
A high level of discipline.
Strong leadership and management skills.</t>
  </si>
  <si>
    <t>P-400-22196-354001</t>
  </si>
  <si>
    <t>H-400-22335-613698</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</si>
  <si>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The employer will provide worker at no charge all tools, supplies, and equipment required to perform job. Uniform pieces provided at no cost to employee.
Employer will provide on-the-job training. 
Public transportation is located in front of worksite. Employee is responsible for their own transportation to and from the worksite. </t>
  </si>
  <si>
    <t>H-400-22312-575501</t>
  </si>
  <si>
    <t>Facility Services Company of Maryland, Inc.</t>
  </si>
  <si>
    <t>14607 Rothgeb Drive</t>
  </si>
  <si>
    <t>Andalla</t>
  </si>
  <si>
    <t>Helen</t>
  </si>
  <si>
    <t>fsc.landscapes@gmail.com</t>
  </si>
  <si>
    <t xml:space="preserve">Must lift/carry 50 lbs., when necessary.   Employer-paid drug test required of foreign and domestic workers prior to commencing work. Employer may offer more than the stated work hours, depending on weather, business needs, and other conditions. Extreme heat, cold, rain, or drought may affect exact working hours.
</t>
  </si>
  <si>
    <t>P-400-22250-458123</t>
  </si>
  <si>
    <t>rockville.fsc.hire@gmail.com</t>
  </si>
  <si>
    <t>H-400-22308-569554</t>
  </si>
  <si>
    <t>Morris J. Vivona Amusement Co. Inc.</t>
  </si>
  <si>
    <t>SOUTH CAROLINA</t>
  </si>
  <si>
    <t>P-400-22234-429975</t>
  </si>
  <si>
    <t>P-400-22262-479626</t>
  </si>
  <si>
    <t>manuel@eltatakisushi.com</t>
  </si>
  <si>
    <t xml:space="preserve">130 N Central Ave </t>
  </si>
  <si>
    <t>Ankeny Law</t>
  </si>
  <si>
    <t>H-400-22260-478732</t>
  </si>
  <si>
    <t xml:space="preserve">Some weekends work. Must be able to lift 75lbs. for 50 yards. Must be able to handle temperature extremes.
</t>
  </si>
  <si>
    <t>P-400-22209-383462</t>
  </si>
  <si>
    <t>The employer will provide housing as an option to the employees.  Employees who elect to live in the housing will have an additional $75.00 deducted per weekly paycheck for rent and utilities.</t>
  </si>
  <si>
    <t>H-400-22276-507983</t>
  </si>
  <si>
    <t xml:space="preserve">Seafood Processing Technician (Pollock Roe) </t>
  </si>
  <si>
    <t>Nippon Suisan (U.S.A.), Inc.</t>
  </si>
  <si>
    <t>Nissui</t>
  </si>
  <si>
    <t>Yoshida</t>
  </si>
  <si>
    <t>Naoto</t>
  </si>
  <si>
    <t>Secretary and Treasurer</t>
  </si>
  <si>
    <t>naoto.yoshida@unisea.com</t>
  </si>
  <si>
    <t xml:space="preserve">Must have technical knowledge of pollock roe processing and ability to work independently. Must be able to grade pollock roe products according to established grading rules and must be able to quickly identify and resolve any problems that arise during pollock roe processing operations.  Must be willing to work up to 12 or more hours per day, 6 days per week, depending on fish availability, with minimum guarantee of 35 hours per week.  Applications and/or resumes must include required work experience and information must be verifiable.
</t>
  </si>
  <si>
    <t>Unisea plant</t>
  </si>
  <si>
    <t>Health insurance and potential bonus.  Basic minimum and overtime wage rates depending on experience.</t>
  </si>
  <si>
    <t>P-400-22189-340037</t>
  </si>
  <si>
    <t xml:space="preserve">None except required by law, except as requested, approved by worker for health insurance or other employee benefits.  Employer will provide room and board at the Unisea plant. </t>
  </si>
  <si>
    <t>H-400-22255-467807</t>
  </si>
  <si>
    <t>Golf Maintenance</t>
  </si>
  <si>
    <t>Fiddlesticks Country Club</t>
  </si>
  <si>
    <t>15391 Canongate Drive</t>
  </si>
  <si>
    <t>Satizabal</t>
  </si>
  <si>
    <t xml:space="preserve">Alejandro </t>
  </si>
  <si>
    <t>Food and Beverage Director</t>
  </si>
  <si>
    <t>15391 CANONGATE DR</t>
  </si>
  <si>
    <t>FORT MYERS</t>
  </si>
  <si>
    <t>ASatizabal@fiddlestickscc.com</t>
  </si>
  <si>
    <t xml:space="preserve">Post injury/incident drug test required, cost paid by employer and applied equally to all workers, U.S. and foreign/H-2B. Must be able to work a 5 day Schedule. Applicant must complete an employment application. 
</t>
  </si>
  <si>
    <t>P-400-22199-358471</t>
  </si>
  <si>
    <t xml:space="preserve">Employer will make all deductions from the worker's paycheck required by law and deduct approved cost of housing if worker elects. Optional employee shared housing, including utilities, approximate rate $95 per week, plus $300 refundable deposit required. Deposit will be returned upon inspection of property after move-out and mailed to employee. 
Employer will provide worker at no charge all tools, supplies, equipment and uniform required to perform job. One meal provided during shift at no cost to employee. 
</t>
  </si>
  <si>
    <t>H-400-22256-470776</t>
  </si>
  <si>
    <t>El Tataki Express, LLC</t>
  </si>
  <si>
    <t>El Tataki Express</t>
  </si>
  <si>
    <t>790 North Estrella Parkway</t>
  </si>
  <si>
    <t>Goodyear</t>
  </si>
  <si>
    <t xml:space="preserve">Manuel </t>
  </si>
  <si>
    <t>Suite 309</t>
  </si>
  <si>
    <t>jason@ankenylawcorp.com</t>
  </si>
  <si>
    <t>Must be available to work weekends, evenings, and holidays. Must be able to lift, push, pull and carry up to 50 lb. Must be able to work 36 hours per week. Schedule will vary weekly based on business needs from Monday to Sunday between 10:00 a.m. to 11:00 p.m. Overtime possible.</t>
  </si>
  <si>
    <t>P-400-22194-350334</t>
  </si>
  <si>
    <t>https://eltatakisushi.com/</t>
  </si>
  <si>
    <t>H-400-22276-505991</t>
  </si>
  <si>
    <t>Kastl Amusements</t>
  </si>
  <si>
    <t>965 N. Burris Road</t>
  </si>
  <si>
    <t>(Mail: 2820 N. Pinal Ave, Ste 12 #305, Casa Grande AZ 85122)</t>
  </si>
  <si>
    <t>Kastl</t>
  </si>
  <si>
    <t>kastlamusements@yahoo.com</t>
  </si>
  <si>
    <t>P-400-22182-328324</t>
  </si>
  <si>
    <t>H-400-22277-509725</t>
  </si>
  <si>
    <t>Proz, Inc.</t>
  </si>
  <si>
    <t>Proz Lakeside at the Cove</t>
  </si>
  <si>
    <t>1012 Woodland Dr.</t>
  </si>
  <si>
    <t>PO Box 855</t>
  </si>
  <si>
    <t>Prozinski</t>
  </si>
  <si>
    <t>Ability to lift 50 lbs.
45+ hours per week, M-Sun, Workdays/hours vary depending on shift : 7a-4p, 2p-10p, 10a-8p, 11a-9p, 12p-10p, 2p-11p, 30 min lunch break.</t>
  </si>
  <si>
    <t>1012 Woodland Dr</t>
  </si>
  <si>
    <t>Mailing: PO Box 855</t>
  </si>
  <si>
    <t>P-400-22214-391260</t>
  </si>
  <si>
    <t xml:space="preserve">  Employer will make all deductions required by law.  Other deductions may be taken at employee's written request, i.e. internet, cable, cash advances, medical expenses, etc. See addendum.</t>
  </si>
  <si>
    <t>https://www.prozlakesideatthecove.com/Jobs/</t>
  </si>
  <si>
    <t>H-400-22295-545776</t>
  </si>
  <si>
    <t xml:space="preserve"> Amusement &amp; Recreation Attendant – Traveling Carnival-Fast </t>
  </si>
  <si>
    <t>Big Rock Amusements LLC</t>
  </si>
  <si>
    <t>3063 Kennedy Drive</t>
  </si>
  <si>
    <t>McDonagh</t>
  </si>
  <si>
    <t>mattmcdonagh@me.com</t>
  </si>
  <si>
    <t>245 Churchgrove Road</t>
  </si>
  <si>
    <t>Frankenmuth</t>
  </si>
  <si>
    <t>SAGINAW</t>
  </si>
  <si>
    <t>Saginaw, MI</t>
  </si>
  <si>
    <t>P-400-22217-399173</t>
  </si>
  <si>
    <t xml:space="preserve">Employer will make all deductions from the worker’s paycheck required by law.  Optional mobile housing (valued at $175.00 per week) and local convenience travel (valued at $15.00 per week) are available at no cost to the worker.  </t>
  </si>
  <si>
    <t>H-400-22297-547911</t>
  </si>
  <si>
    <t>Prep Chef</t>
  </si>
  <si>
    <t>Idletyme Brewing Company</t>
  </si>
  <si>
    <t>1859 Mountain Road</t>
  </si>
  <si>
    <t>cgrimes@idletymebrewing.com</t>
  </si>
  <si>
    <t>We will train, no experience required.</t>
  </si>
  <si>
    <t xml:space="preserve">1859 Mountain Road </t>
  </si>
  <si>
    <t>P-400-22256-470483</t>
  </si>
  <si>
    <t>www.idletymebrewing.com</t>
  </si>
  <si>
    <t>H-400-22308-569288</t>
  </si>
  <si>
    <t>Rost Superior Services, LLC</t>
  </si>
  <si>
    <t>Superior Irrigation</t>
  </si>
  <si>
    <t>8050 W. Hwy 40</t>
  </si>
  <si>
    <t>Rost</t>
  </si>
  <si>
    <t>jrlgjones@aol.com</t>
  </si>
  <si>
    <t>8050 W. Hwy 40 (Report to Work)</t>
  </si>
  <si>
    <t>P-400-22220-403613</t>
  </si>
  <si>
    <t>H-400-22298-548067</t>
  </si>
  <si>
    <t>Waitress</t>
  </si>
  <si>
    <t>P-400-22196-354004</t>
  </si>
  <si>
    <t>State and City Taxes</t>
  </si>
  <si>
    <t>Indeed.com</t>
  </si>
  <si>
    <t>H-400-22307-565972</t>
  </si>
  <si>
    <t>Lake Charles Country Club</t>
  </si>
  <si>
    <t>3350 Country Club Dr.</t>
  </si>
  <si>
    <t>McCallum</t>
  </si>
  <si>
    <t>chrismccallums@yahoo.com</t>
  </si>
  <si>
    <t>3350 Country Club Dr. (Report to Work)</t>
  </si>
  <si>
    <t>P-400-22220-401977</t>
  </si>
  <si>
    <t>Optional shared housing available at up to $100 biweekly to be deducted from the employee's paycheck. At Employer’s sole discretion: possible cash advances (if applicable/requested by worker, potential deduction from worker’s paycheck).</t>
  </si>
  <si>
    <t>H-400-22307-567494</t>
  </si>
  <si>
    <t>NMN Express Inc</t>
  </si>
  <si>
    <t>904 S 20th St</t>
  </si>
  <si>
    <t>6747 Foxbriar Dr</t>
  </si>
  <si>
    <t xml:space="preserve">Ability to lift 20lbs
</t>
  </si>
  <si>
    <t>920 S 20th St</t>
  </si>
  <si>
    <t>t a minimum, both domestic and foreign workers will earn the prevailing hourly wage; however, the employer SEE ADDENDUM</t>
  </si>
  <si>
    <t>P-400-22245-454317</t>
  </si>
  <si>
    <t>Employer will provide optional housing to workers and deduct $175/paycheck for rent.
Employer may charge the worker for reasonable costs related to the worker's refusal or negligent failure to return any property furnished by the employer or due to such worker's willful damage or destruction of such property. Deductions may be taken per employee's request.</t>
  </si>
  <si>
    <t>H-400-22298-550480</t>
  </si>
  <si>
    <t>house keeper</t>
  </si>
  <si>
    <t>Asheville geriatric llc</t>
  </si>
  <si>
    <t>Richmond Hill rest home</t>
  </si>
  <si>
    <t>95 Richmond Hill Rd</t>
  </si>
  <si>
    <t>vupadhyayula</t>
  </si>
  <si>
    <t>phani</t>
  </si>
  <si>
    <t>manager</t>
  </si>
  <si>
    <t>ashevillegeriatric@gmail.com</t>
  </si>
  <si>
    <t xml:space="preserve">Basic life support
CPR certification
</t>
  </si>
  <si>
    <t>P-400-22253-465340</t>
  </si>
  <si>
    <t>TAXES
CHILD SUPPORT</t>
  </si>
  <si>
    <t>ASHEVILLEGERIATRIC@GMAIL.COM</t>
  </si>
  <si>
    <t>H-400-22307-566010</t>
  </si>
  <si>
    <t>Homefront S&amp;D, LLC</t>
  </si>
  <si>
    <t>3208 Commander Dr.</t>
  </si>
  <si>
    <t>3208 Commander Dr. (Report to Work)</t>
  </si>
  <si>
    <t>P-400-22210-385477</t>
  </si>
  <si>
    <t>Optional shared housing available at up to $195.60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</si>
  <si>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H-400-22313-578605</t>
  </si>
  <si>
    <t>Chauffeur</t>
  </si>
  <si>
    <t>Taxi Drivers and Chauffeurs</t>
  </si>
  <si>
    <t>Black Bird Limousine LLC</t>
  </si>
  <si>
    <t>Bridger Taxi Service</t>
  </si>
  <si>
    <t>708 halfpipe str , unit A</t>
  </si>
  <si>
    <t>Lupanciuc</t>
  </si>
  <si>
    <t>708 halfpipe st , unit A</t>
  </si>
  <si>
    <t>blackbirdcarservice@gmail.com</t>
  </si>
  <si>
    <t xml:space="preserve">Valid drivers license and or consecutive of 5years driving experience inside or outside the country
English
</t>
  </si>
  <si>
    <t>708 halfpipe st unit A</t>
  </si>
  <si>
    <t>P-400-22119-119396</t>
  </si>
  <si>
    <t>$500.00 per month for housing.</t>
  </si>
  <si>
    <t>Blackbirdcarservice@gmail.com</t>
  </si>
  <si>
    <t>H-400-22307-565988</t>
  </si>
  <si>
    <t>One Vision, LLC</t>
  </si>
  <si>
    <t>95 Main St.</t>
  </si>
  <si>
    <t>Stoltman Jr.</t>
  </si>
  <si>
    <t>bob@1visioncorp.com</t>
  </si>
  <si>
    <t>95 Main St. (Report to Work)</t>
  </si>
  <si>
    <t>P-400-22212-386744</t>
  </si>
  <si>
    <t>Optional shared housing available at up to $65.00 a week to be deducted from employee's paycheck.
 At Employer’s sole discretion: possible cash advances (if applicable/requested by worker, potential deduction from worker’s paycheck).</t>
  </si>
  <si>
    <t>H-400-22291-536042</t>
  </si>
  <si>
    <t>H-400-22252-463907</t>
  </si>
  <si>
    <t>Bishop Amusement Rides</t>
  </si>
  <si>
    <t>850 FM 2537</t>
  </si>
  <si>
    <t>NancyB2150@aol.com</t>
  </si>
  <si>
    <t>P-400-22210-385054</t>
  </si>
  <si>
    <t xml:space="preserve">Optional housing (valued at $175.00 per week) and local convenience travel (valued at $15.00 per week) are available at no cost to the worker.  Employer will make all deductions from the worker’s paycheck required by law.  </t>
  </si>
  <si>
    <t>H-400-22251-462522</t>
  </si>
  <si>
    <t>Laborer-Landscape</t>
  </si>
  <si>
    <t xml:space="preserve">Winter Service Group, Inc. </t>
  </si>
  <si>
    <t xml:space="preserve">250 Quincy Street </t>
  </si>
  <si>
    <t>Grandville</t>
  </si>
  <si>
    <t xml:space="preserve">VanderSlik Jr. </t>
  </si>
  <si>
    <t>250 Quincy Street</t>
  </si>
  <si>
    <t>winterservicegroupinc@gmail.com</t>
  </si>
  <si>
    <t>Post-employment, random, and post-accident drug testing and background checks may be required, at no cost to the worker.  The job requires the applicant to be qualified, ready, willing, able, and available to perform during the entire employment at all the designated worksites; and to follow workplace rules.</t>
  </si>
  <si>
    <t>3460 E. Ellsworth Rd. Ste 200</t>
  </si>
  <si>
    <t>P-400-22185-330561</t>
  </si>
  <si>
    <t xml:space="preserve">Employer will make all deductions from the worker’s paycheck required by law.  
In addition, the employer intends to make the following deductions from the worker’s paycheck which are not required by law: 
For those employees who do not maintain a residence within normal commuting distance, on an optional basis, employer will assist those employees who opt in, in securing housing and contracting for utilities. Employer and employee will execute an agreement whereby the employer prepays the rent, utilities, security deposits and other applicable charges for the housing and utilities. These expenses (on a prorated basis) will be deducted from the employee’s paycheck as per the executed agreement. 
</t>
  </si>
  <si>
    <t>admin@winterservicesgroup.com</t>
  </si>
  <si>
    <t>H-400-22244-449766</t>
  </si>
  <si>
    <t xml:space="preserve">Petitioner will consider for employment any person who possesses at least six (6) months of culinary experience in a fine-dining or high-volume environment at a high-end restaurant, resort, or private club.  Applicant must complete pre-employment background check.
</t>
  </si>
  <si>
    <t xml:space="preserve">Wage: $16.11 - $18.50 per hour, paid bi-weekly.  Overtime is available at $24.17 - $27.75 per hour. </t>
  </si>
  <si>
    <t>P-400-22179-318258</t>
  </si>
  <si>
    <t xml:space="preserve">Optional housing is offered on a first-come, first-serve basis for workers who are relocating to begin employment.  Cost of housing, if accepted, is $325.00 per month deducted from paycheck. 
Additional, optional benefits may be offered to worker, for worker’s sole benefit, including but not limited to a bus pass (cost of bus pass, if accepted, is $21.60 per month).  If voluntarily elected by worker, employee costs/contributions will be deducted from paycheck. 
</t>
  </si>
  <si>
    <t>H-400-22280-516509</t>
  </si>
  <si>
    <t>Noel's Foods, Inc.</t>
  </si>
  <si>
    <t>5837 E. Brundage Lane</t>
  </si>
  <si>
    <t>Arredondo</t>
  </si>
  <si>
    <t>noelsfoodsmarco@att.net</t>
  </si>
  <si>
    <t>5837 East Brundage Lane</t>
  </si>
  <si>
    <t>P-400-22182-328075</t>
  </si>
  <si>
    <t>noelsfoods@att.net</t>
  </si>
  <si>
    <t>H-400-22256-468151</t>
  </si>
  <si>
    <t>Allan Dennis Concessions Inc</t>
  </si>
  <si>
    <t>3484 CR 2744</t>
  </si>
  <si>
    <t>Camellia</t>
  </si>
  <si>
    <t>dennisconcessions@yahoo.com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</si>
  <si>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Employer will provide workers at no charge all tools, supplies and equipment required to perform job. On the job training provided. </t>
  </si>
  <si>
    <t>P-400-22152-232748</t>
  </si>
  <si>
    <t>H-400-22223-409914</t>
  </si>
  <si>
    <t>Dyna-Mist Construction</t>
  </si>
  <si>
    <t>2808 Capital Street</t>
  </si>
  <si>
    <t>Office Capital Street</t>
  </si>
  <si>
    <t>iimigration@fisherbroyles.com</t>
  </si>
  <si>
    <t>$16.49 -18.00/hr. based on experience and performance $24.74 – 27.00 O.T. 40hr/wk 8hrs shifts b/w 7am–5pm, M-Sat., as sc</t>
  </si>
  <si>
    <t>P-400-22138-184608</t>
  </si>
  <si>
    <t>Employer will advance against pay up to $75/day at the end of each work day for room and board at no interest for the first 2 weeks if needed and requested.</t>
  </si>
  <si>
    <t>kay@dyna-mist.com</t>
  </si>
  <si>
    <t>H-400-22207-375140</t>
  </si>
  <si>
    <t xml:space="preserve">Ennabe Logistics Inc </t>
  </si>
  <si>
    <t>30650 Route 53</t>
  </si>
  <si>
    <t>Ennabe</t>
  </si>
  <si>
    <t>ennabelogistics@hotmail.com</t>
  </si>
  <si>
    <t xml:space="preserve">Must be able to carry 75 lbs for 75 yards. Must have CDL Class A experience.
</t>
  </si>
  <si>
    <t>Wage rate may vary based on merit and/or experience.</t>
  </si>
  <si>
    <t>P-400-22165-279094</t>
  </si>
  <si>
    <t xml:space="preserve">$75 for housing a week. </t>
  </si>
  <si>
    <t>H-400-22265-488149</t>
  </si>
  <si>
    <t>DAV Transport Services LLC</t>
  </si>
  <si>
    <t>376 Walnut Creek</t>
  </si>
  <si>
    <t>De Alba</t>
  </si>
  <si>
    <t>1422 Allison Drive</t>
  </si>
  <si>
    <t>guillermo@davtransportservices.com</t>
  </si>
  <si>
    <t>Commercial Driver License (CDL) or a Licencia Federal de Constructor are required.</t>
  </si>
  <si>
    <t>P-400-22161-267707</t>
  </si>
  <si>
    <t>H-400-22259-477326</t>
  </si>
  <si>
    <t>KMR RACING STABLE</t>
  </si>
  <si>
    <t>630 TRAINING CENTER DRIVE</t>
  </si>
  <si>
    <t>Rubley</t>
  </si>
  <si>
    <t>krubley1@yahoo.com</t>
  </si>
  <si>
    <t>Fair Grounds Race Course</t>
  </si>
  <si>
    <t>1751 Gentilly BLVD</t>
  </si>
  <si>
    <t>P-400-22157-248756</t>
  </si>
  <si>
    <t>State and Federal Taxes.  Optional employer-offered housing in the backstretch at no cost to the worker.</t>
  </si>
  <si>
    <t>krubley@yahoo.com</t>
  </si>
  <si>
    <t>H-400-22210-386127</t>
  </si>
  <si>
    <t>BEP LYMAN LLC</t>
  </si>
  <si>
    <t xml:space="preserve">Must be able to lift and carry 75 lbs. for 75 yards. Must be able to pass a pre-employment drug screening. Must be able to handle temperature extremes. 
</t>
  </si>
  <si>
    <t xml:space="preserve"> Wage rate may vary based on experience and/or merit.10 Hours overtime may be available, but not guaranteed. </t>
  </si>
  <si>
    <t>P-400-22133-169405</t>
  </si>
  <si>
    <t xml:space="preserve">ALL DEDUCTIONS FROM THE WORKER’S PAYCHECK WILL BE MADE AS REQUIRED BY LAW. THE EMPLOYER WILL USE A SINGLE WORKWEEK AS ITS STANDARD FOR COMPUTING WAGES AND PAY BI-WEEKLY BY CHECK. THE EMPLOYER WILL PROVIDE OPTIONAL HOUSING AND TRANSPORTATION AT THE DEDUCTION OF $170.00 PER BI-WEEKLY PAYCHECK. ANY ADVANCES WILL BE DEDUCTED WITH THE EMPLOYEE’S CONSENT.
</t>
  </si>
  <si>
    <t>H-400-22268-492677</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</si>
  <si>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t>
  </si>
  <si>
    <t>2550 Golden Nugget Blvd</t>
  </si>
  <si>
    <t>P-400-22188-336127</t>
  </si>
  <si>
    <t xml:space="preserve">The employer will make all deductions from worker's paycheck required by law. 
Voluntary/Optional, Third-Party Rent/housing: Provided by a third party company
•	Optional &amp; Voluntary 3rd party housing may be available at $125 - $150/ WK and may be voluntarily payroll deducted biweekly or direct deposit into provider's account
•	Waterloo could act as guarantor for timely rent payment however, lease is directly with 3rd party service provider &amp; between employees &amp; housing company as Waterloo has no housing of its own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weeks rent is non-refundable. 
</t>
  </si>
  <si>
    <t>H-400-22270-495992</t>
  </si>
  <si>
    <t xml:space="preserve">Hellas Bakery &amp; Pita, Inc. </t>
  </si>
  <si>
    <t xml:space="preserve">Hellas Restaurant &amp; Bakery </t>
  </si>
  <si>
    <t>785 Dodecanese Blvd.</t>
  </si>
  <si>
    <t>Mailing: 307 Roosevelt Blvd., Tarpon Springs, FL 34689</t>
  </si>
  <si>
    <t xml:space="preserve">Tarpon Springs </t>
  </si>
  <si>
    <t>Laurie</t>
  </si>
  <si>
    <t>Laurie@hellasbakery.com</t>
  </si>
  <si>
    <t xml:space="preserve">F.a.5 A-H. - F.a.6b: Sunday-Saturday, days and shifts vary. 2 days off. Shifts from 8:00am to 4:00pm and 4:00pm to 11:00pm (or to 12:00am on Friday and Saturday). Up to 5 hours of overtime possible. </t>
  </si>
  <si>
    <t>785 Dodecanese Blvd</t>
  </si>
  <si>
    <t xml:space="preserve">Tarpon Spring </t>
  </si>
  <si>
    <t>P-400-22221-404668</t>
  </si>
  <si>
    <t>laurie@hellasbakery.com</t>
  </si>
  <si>
    <t>H-400-22285-524360</t>
  </si>
  <si>
    <t>Mystras Concessions LLC</t>
  </si>
  <si>
    <t>5371 Layton Drive</t>
  </si>
  <si>
    <t>Demetri</t>
  </si>
  <si>
    <t>demetristrates1@gmail.com</t>
  </si>
  <si>
    <t>P-400-22210-385860</t>
  </si>
  <si>
    <t xml:space="preserve">Optional mobile housing ($125/week) is provided.  The employer will pay the cost of housing to the extent such costs would reduce the pay below the offered wage rate for the areas of intended employment.  Local convenience travel ($25/week) is available for wage credit and/or deduction, or any lesser amount to the maximum extent not prohibited by law.  </t>
  </si>
  <si>
    <t>H-400-22246-454564</t>
  </si>
  <si>
    <t>LAKEWOOD RACING, LLC</t>
  </si>
  <si>
    <t>20941 NE 38th Avenue</t>
  </si>
  <si>
    <t>McGaughey, III</t>
  </si>
  <si>
    <t>Claude</t>
  </si>
  <si>
    <t>20941 NE 38TH AVE</t>
  </si>
  <si>
    <t>PAYSON PARK THOROUGHBRED TRAINING CENTER</t>
  </si>
  <si>
    <t>9700 SW Kanner Hwy</t>
  </si>
  <si>
    <t xml:space="preserve">Indiantown </t>
  </si>
  <si>
    <t>P-400-22146-217128</t>
  </si>
  <si>
    <t>H-400-22279-515486</t>
  </si>
  <si>
    <t>Snow Dogs, LLC</t>
  </si>
  <si>
    <t>352 Greenwood Dr.</t>
  </si>
  <si>
    <t>Chestnutridge</t>
  </si>
  <si>
    <t>Haro</t>
  </si>
  <si>
    <t>Otoniel</t>
  </si>
  <si>
    <t>352 Greenwood Rd</t>
  </si>
  <si>
    <t>harotony64@gmail.com</t>
  </si>
  <si>
    <t>Post-employment random drug testing and background checks may be required, at no cost to the worker.  We service a variety of commercial facilities and some may have policies that require us to prove that the workers providing services at their facilities are both drug free and do not have items in their backgrounds that would prohibit their presence at the facility (such as schools or military bases).</t>
  </si>
  <si>
    <t>352 Greenwood Rd.</t>
  </si>
  <si>
    <t>P-400-22236-434895</t>
  </si>
  <si>
    <t xml:space="preserve">Employer will make all deductions from the worker’s paycheck required by law.  
Employer will assist in securing affordable housing for all workers who do not maintain a residence within normal commuting distance of the worksite.
Housing will be on an optional basis. Workers may also secure their own housing.  If workers opt in for the available housing, it will be provided at no cost to the workers
</t>
  </si>
  <si>
    <t>H-400-22236-435944</t>
  </si>
  <si>
    <t>Volleyball Coach &amp; Trainer</t>
  </si>
  <si>
    <t>GLV, INC</t>
  </si>
  <si>
    <t>Atlanta Performance Volleyball</t>
  </si>
  <si>
    <t>1045 Research Center Dr SW</t>
  </si>
  <si>
    <t>DIRECTOR / OWNER</t>
  </si>
  <si>
    <t>1045 Research Center Drive SW</t>
  </si>
  <si>
    <t>rcbm123@hotmail.com</t>
  </si>
  <si>
    <t>LE</t>
  </si>
  <si>
    <t>TRAM DEBBY</t>
  </si>
  <si>
    <t>1950 N Park Place</t>
  </si>
  <si>
    <t>Suite 550</t>
  </si>
  <si>
    <t>DEBBY@ELKHALILLAW.COM</t>
  </si>
  <si>
    <t>ELKHALIL LAW PC</t>
  </si>
  <si>
    <t xml:space="preserve">This position requires a coach with an extensive background in teaching, training and developing young players to play at the highest level possible.
</t>
  </si>
  <si>
    <t>P-400-22165-279595</t>
  </si>
  <si>
    <t>https://atlantapvb.com/</t>
  </si>
  <si>
    <t>H-400-22282-518929</t>
  </si>
  <si>
    <t>anna.stoner@paccar.com</t>
  </si>
  <si>
    <t>H-400-22279-513753</t>
  </si>
  <si>
    <t>P-400-22232-428443</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</si>
  <si>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</si>
  <si>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H-400-22258-474948</t>
  </si>
  <si>
    <t>Tea Barista</t>
  </si>
  <si>
    <t>Globalink USA, Inc.</t>
  </si>
  <si>
    <t>ChiCha San Chen</t>
  </si>
  <si>
    <t>831 S Lark Ellen Ave.</t>
  </si>
  <si>
    <t>Azusa</t>
  </si>
  <si>
    <t>Chan</t>
  </si>
  <si>
    <t>phillip@chichasanchensocal.com</t>
  </si>
  <si>
    <t>505 N. Tustin Ave.</t>
  </si>
  <si>
    <t>Suite 155</t>
  </si>
  <si>
    <t>Santa Ana</t>
  </si>
  <si>
    <t>blewis@lewislawonline.com</t>
  </si>
  <si>
    <t>The Lewis Law Group</t>
  </si>
  <si>
    <t>301 W Valley Blvd</t>
  </si>
  <si>
    <t>Suite 116</t>
  </si>
  <si>
    <t>San Gabriel</t>
  </si>
  <si>
    <t>P-400-22200-362975</t>
  </si>
  <si>
    <t>paceast1@gmail.com</t>
  </si>
  <si>
    <t>https://www.chichasanchensocal.com/join-our-team.html</t>
  </si>
  <si>
    <t>H-400-22210-385189</t>
  </si>
  <si>
    <t>Tenax Enterprises, LLC</t>
  </si>
  <si>
    <t>1528 Peachtree Lane NW</t>
  </si>
  <si>
    <t>Peden</t>
  </si>
  <si>
    <t>craig@tenaxent.com</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</si>
  <si>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55lbs.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</si>
  <si>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1528 Peachtree Lane NW (Report to Work)</t>
  </si>
  <si>
    <t>P-400-22166-285008</t>
  </si>
  <si>
    <t>Optional housing available at, or up to, $200 to be deducted from each bi-weekly paycheck, if housing is agreed upon by the worker. Utilities included.  At Employer’s sole discretion: possible cash advances (if applicable/requested by worker, potential deduction from worker’s paycheck).</t>
  </si>
  <si>
    <t>H-400-22257-473284</t>
  </si>
  <si>
    <t>The employer will make all payroll deductions required by law and will not make any deductions, which are not required by law.</t>
  </si>
  <si>
    <t>http://www.employflorida.com</t>
  </si>
  <si>
    <t>H-400-22276-507330</t>
  </si>
  <si>
    <t>Pacific Seafood Group</t>
  </si>
  <si>
    <t>16797 SE 130th Avenue</t>
  </si>
  <si>
    <t>Hogg</t>
  </si>
  <si>
    <t>Brandie</t>
  </si>
  <si>
    <t>Vice President of Team Member Services</t>
  </si>
  <si>
    <t>bhogg@pacseafood.com</t>
  </si>
  <si>
    <t>Days/Shifts May Vary
A pre-employment drug screen will be required. 
Optional employer housing will be available at a cost of $15/day 
Employer will provide transportation to and from the worksite at no cost to the worker. 
Employer reserves the right to pay a higher wage rate or bonus to any worker, in their sole discretion, based on the performance, skill, tenure, or experience.
Up to 44 hours of overtime available per week as needed</t>
  </si>
  <si>
    <t>1200 Robert Bush Dr.</t>
  </si>
  <si>
    <t>P-400-22147-221188</t>
  </si>
  <si>
    <t>H-400-22244-450919</t>
  </si>
  <si>
    <t>Caldera Management LLC</t>
  </si>
  <si>
    <t>3275 Village Drive</t>
  </si>
  <si>
    <t>Kirkenmeier</t>
  </si>
  <si>
    <t>erickirkenmeier@calderahouse.com</t>
  </si>
  <si>
    <t>THE PETITIONER WILL CONSIDER ANY PERSON FOR EMPLOYMENT WHO POSSESSES AT LEAST THREE (3) MONTHS OF LUXURY HOSPITALITY EXPERIENCE IN A HIGH-VOLUME ENVIRONMENT AT A HIGH-END HOTEL, RESORT, OR PRIVATE CLUB.
Work schedule can vary and can include evening, weekend, and holiday hours.  Work may be performed on any day of the week from Monday through Sunday. Shift hours may vary. Shift: 9:00am  5:00pm</t>
  </si>
  <si>
    <t>P-400-22181-324099</t>
  </si>
  <si>
    <t xml:space="preserve">None but those required by law. </t>
  </si>
  <si>
    <t>KallyDziezyc@calderahouse.com</t>
  </si>
  <si>
    <t>H-400-22277-508255</t>
  </si>
  <si>
    <t>3737 Old Reliance Road</t>
  </si>
  <si>
    <t>Mailing: 3235 N. State St, PO Box 849, Bunnell, FL 32110</t>
  </si>
  <si>
    <t>P-400-22152-233706</t>
  </si>
  <si>
    <t xml:space="preserve">Employer will make all deductions from the worker's paycheck required by law and deduct approved cost of Medical/Dental/Vision/Accident/Critical Illness insurance if worker elects. Optional approx. cost of Medical $25.95 - $49.01; Dental $3.39 - $7.85; Vision $2.20; Accident $3.23 - $4.15; Critical Illness $0.87 - $26.12 per paycheck, depending on coverage.
Employer will provide worker at no charge all tools, supplies, and equipment required to perform job. Required uniform provided. 
</t>
  </si>
  <si>
    <t>H-400-22251-460388</t>
  </si>
  <si>
    <t>MB MT  Acquisition LLC</t>
  </si>
  <si>
    <t>Mailing: PO Box 161514, Big Sky, MT 59716</t>
  </si>
  <si>
    <t>Mailing: PO Box 161514, Big Sky, MT 59176-1514</t>
  </si>
  <si>
    <t>The petitioner will consider any person for employment who possesses at least three (3) months of experience in a fine-dining or high-volume environment at a high-end restaurant, resort, or private club.
Work schedule can vary and can include evening, weekend, and holiday hours.  Work may be performed on any day of the week from Monday through Sunday.  Example shifts: 9:00am  5:00pm, or 3:00pm  11:00pm.  Shift hours may vary.</t>
  </si>
  <si>
    <t>P-400-22201-363410</t>
  </si>
  <si>
    <t>H-400-22186-332976</t>
  </si>
  <si>
    <t>711 W 38th Street</t>
  </si>
  <si>
    <t>Suite E4</t>
  </si>
  <si>
    <t>P-400-22124-136078</t>
  </si>
  <si>
    <t>All required Federal, state and local tax deducstions including Withholding and FICA.</t>
  </si>
  <si>
    <t>H-400-22223-410390</t>
  </si>
  <si>
    <t>Jimmie Anderton</t>
  </si>
  <si>
    <t>7835 Private Road 2572</t>
  </si>
  <si>
    <t>Quinlan</t>
  </si>
  <si>
    <t>Jimmie</t>
  </si>
  <si>
    <t xml:space="preserve">7835 Private Road 2572 </t>
  </si>
  <si>
    <t>P-400-22187-333901</t>
  </si>
  <si>
    <t>H-400-22279-514280</t>
  </si>
  <si>
    <t>If necessary, any advances of pay, loans, and/or rents (where applicable), or any other agreed upon items will be deducted according to a pre-authorized agreement between employer and employee. Local housing for rent at $70/week which includes utilities if desired.</t>
  </si>
  <si>
    <t>H-400-22266-490222</t>
  </si>
  <si>
    <t>P-400-22182-328070</t>
  </si>
  <si>
    <t>H-400-22251-460395</t>
  </si>
  <si>
    <t>The petitioner will consider any person for employment who possesses at least three (3) months of experience in a fine-dining or high-volume environment at a high-end restaurant, resort, or private club. Applicant must complete pre-employment background check.
Work schedule can vary and can include evening, weekend, and holiday hours.  Work may be performed on any day of the week from Monday through Sunday.  Example shifts: 9:00am  5:00pm, or 3:00pm  11:00pm.  Shift hours may vary.</t>
  </si>
  <si>
    <t xml:space="preserve"> Big Sky</t>
  </si>
  <si>
    <t>P-400-22201-363416</t>
  </si>
  <si>
    <t>Optional housing is offered on a first-come, first-serve basis for workers who are relocating to begin employment.  Cost of housing, if accepted, is $600.00 per month.  If used, total cost of housing will be paid directly to employer by employee.  A $300.00 refundable security deposit is required to be paid directly to employer. Daily transportation to and from worksite is provided</t>
  </si>
  <si>
    <t>H-400-22320-591650</t>
  </si>
  <si>
    <t>G.T Services Inc</t>
  </si>
  <si>
    <t>Green Touch Services Inc</t>
  </si>
  <si>
    <t>6314 West Broadway</t>
  </si>
  <si>
    <t>McCordsville</t>
  </si>
  <si>
    <t>Vaughn</t>
  </si>
  <si>
    <t>7762 Depot St</t>
  </si>
  <si>
    <t>P-400-22277-509921</t>
  </si>
  <si>
    <t>eric@greentouchservices.com</t>
  </si>
  <si>
    <t>H-400-22335-614534</t>
  </si>
  <si>
    <t>2982 Varsity St.</t>
  </si>
  <si>
    <t>P-400-22255-467319</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</si>
  <si>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Voluntary advances and/or loans made to workers, if any, may be repaid by pre-authorized payroll deductions.  Uniform provided at no cost. Employer may deduct cost for voluntary purchase of additional uniforms for worker's benefit. No daily transportation to/from work provided. Employer provides incidental transportation between worksites as necessary. Such transportation complies with all applicable Federal, State, and local laws/regulations.</t>
  </si>
  <si>
    <t>H-400-22332-608226</t>
  </si>
  <si>
    <t>Gentle Giant Moving Company, Inc</t>
  </si>
  <si>
    <t>7 McKay Ave, 2nd Floor</t>
  </si>
  <si>
    <t>Winchester</t>
  </si>
  <si>
    <t>Pre-hire background check required, Able to lift 50lbs, Must be able to lift &amp; carry heavy items up &amp; down stairs. Monday-Saturday, Additional Overtime varies, rotating schedule, schedule varies, start/end times vary, Sundays as needed.
All background checks are performed equally as to U.S. workers and H-2B workers, and all fees are paid for by the company. See the additional document attached for further details about the administration of our background check policy.</t>
  </si>
  <si>
    <t>P-400-22227-416865</t>
  </si>
  <si>
    <t>H-400-22313-577520</t>
  </si>
  <si>
    <t>H-400-22320-591665</t>
  </si>
  <si>
    <t>Workers may be requested to submit to random drug and alcohol tests at no cost to the worker.  Failure to comply with the request or testing positive may result in immediate termination.  All testing will occur post-conditional offer of employment and is not a part of the interview process.  Negative result may be required post-hire and before commencing work.  Use of personal cell phone or other personal electronic device during working hours strictly prohibited except for work-related calls or emergencies and violation may result in immediate termination.  Must be able to lift and carry 50 lbs.  Must be able to lift 50 lbs. to shoulder height repetitively throughout the working day.  Must be 18 years of age.  Drug/Alcohol/Tobacco free work zone.  Must commit to work the entire contract period.</t>
  </si>
  <si>
    <t>P-400-22262-480549</t>
  </si>
  <si>
    <t>The employer will make the following deductions from the worker's wages:  FICA, Medicare and income taxes as required by law.  The employer may make authorized deductions required by law; made under a court order; that are for the reasonable cost or fair value of board, lodging, and facilities furnished that primarily benefit the employee (if applicable) (board, lodging or other facilities are optional to the workers); that are amounts paid to third parties authorized in writing by the employee or a collective bargaining agreement; repayment of cash advances or loans; repayment of overpayment of wages to the worker; payment for articles which the worker has voluntarily purchased from the employer; recovery of any loss to the employer due to the worker's damage, beyond normal wear and tear, or loss of equipment where it is shown that the worker is responsible. </t>
  </si>
  <si>
    <t>H-400-22344-633291</t>
  </si>
  <si>
    <t>H-400-22311-573171</t>
  </si>
  <si>
    <t>Milton Aguilar Bolanos and Evelyn Yesenia Hernandez Aguilar</t>
  </si>
  <si>
    <t>3604 Fayette Court</t>
  </si>
  <si>
    <t>Aguilar Bolanos</t>
  </si>
  <si>
    <t>Homeowner</t>
  </si>
  <si>
    <t>djmilton@live.com</t>
  </si>
  <si>
    <t>Torrez</t>
  </si>
  <si>
    <t>6094 Franconia Road</t>
  </si>
  <si>
    <t>a.torrez@torrezandsanchezlaw.com</t>
  </si>
  <si>
    <t>Torrez Law Group, PLLC</t>
  </si>
  <si>
    <t xml:space="preserve">
Must be able to create a safe and stimulating environment for children, put children to bed, dress children, change diapers, bathroom train children, do children's laundry, plan meals, prepare food, and feed children. 12 months of prior child care work required.</t>
  </si>
  <si>
    <t>P-400-22201-365291</t>
  </si>
  <si>
    <t>The employer will make all deductions from the nanny's paycheck required by law. No deductions will bemade for the reasonable cost of board, lodging, or other facilities.</t>
  </si>
  <si>
    <t>Milton.AguilarBolanos@bankwithunited.com</t>
  </si>
  <si>
    <t>Torrez and Sanchez PLLC</t>
  </si>
  <si>
    <t>United Forest Services, LLC</t>
  </si>
  <si>
    <t>112 Mayfair Drive</t>
  </si>
  <si>
    <t>Hamlet</t>
  </si>
  <si>
    <t>Flor</t>
  </si>
  <si>
    <t>unitedforestservices@gmail.com</t>
  </si>
  <si>
    <t>Job duties require moving your entire body, such as
climbing, lifting, balancing, walking, stooping and handling of materials. Extensive walking
through rough terrain.</t>
  </si>
  <si>
    <t>P-400-22143-199508</t>
  </si>
  <si>
    <t>H-400-22328-605688</t>
  </si>
  <si>
    <t>Bellperson</t>
  </si>
  <si>
    <t>Must possess a valid Class D Drivers License. 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t>
  </si>
  <si>
    <t>P-400-22160-264676</t>
  </si>
  <si>
    <t>H-400-22326-603135</t>
  </si>
  <si>
    <t>BODYMAN</t>
  </si>
  <si>
    <t>Automotive Body and Related Repairers</t>
  </si>
  <si>
    <t>WINNERSCC 2 LLC</t>
  </si>
  <si>
    <t>WINNERS CIRCLE COLLISION</t>
  </si>
  <si>
    <t>970 EMPIRE MESA WAY</t>
  </si>
  <si>
    <t>SCOTT@WINNERSCC.COM</t>
  </si>
  <si>
    <t>2830 S. Jones Blvd.</t>
  </si>
  <si>
    <t>john@johndleelaw.com</t>
  </si>
  <si>
    <t>JOHN D LEE PLLC</t>
  </si>
  <si>
    <t>Supreme Court of Nevada</t>
  </si>
  <si>
    <t>Mechanically inclined to disassemble and reassemble automotive parts and vehicles.  See job description for full details.</t>
  </si>
  <si>
    <t>piece rate may apply</t>
  </si>
  <si>
    <t>P-400-22262-480341</t>
  </si>
  <si>
    <t>scott@winnerscc.com</t>
  </si>
  <si>
    <t>H-400-22325-599650</t>
  </si>
  <si>
    <t>Prime Construction</t>
  </si>
  <si>
    <t>300 East Main St.</t>
  </si>
  <si>
    <t>Wilkesboro</t>
  </si>
  <si>
    <t>300 E Main St.</t>
  </si>
  <si>
    <t>primeconstruction@mac.com</t>
  </si>
  <si>
    <t>51 Eagles Nest Ln.</t>
  </si>
  <si>
    <t>P-400-22202-367753</t>
  </si>
  <si>
    <t>H-400-22327-605178</t>
  </si>
  <si>
    <t>Ecoscape Solutions Group, LLC_Charlotte</t>
  </si>
  <si>
    <t>11010 Metromont Parkway</t>
  </si>
  <si>
    <t>P-400-22257-470873</t>
  </si>
  <si>
    <t>H-400-22326-601024</t>
  </si>
  <si>
    <t>B. Rushing Lawn and Landscaping, Inc.</t>
  </si>
  <si>
    <t>Brandon Rushing Lawn &amp; Garden Care</t>
  </si>
  <si>
    <t>7805 Cinder Bed Road</t>
  </si>
  <si>
    <t>Rushing</t>
  </si>
  <si>
    <t>melissa@brandonrushing.com</t>
  </si>
  <si>
    <t xml:space="preserve">Mon-Thurs, Friday &amp; Saturday as needed. Overtime varies. Able to lift 50lbs. 
</t>
  </si>
  <si>
    <t>Raise at employer's discretion. Opportunity for additional pay based on experience.</t>
  </si>
  <si>
    <t>P-400-22200-360745</t>
  </si>
  <si>
    <t>https://www.brandonrushing.com/careers</t>
  </si>
  <si>
    <t>H-400-22335-613659</t>
  </si>
  <si>
    <t>M &amp; A Investments, Inc</t>
  </si>
  <si>
    <t>US Lawns of Northeast Mississippi</t>
  </si>
  <si>
    <t>915 Sam T Barkley Drive</t>
  </si>
  <si>
    <t>Kirk</t>
  </si>
  <si>
    <t>mike.kirk@uslawns.net</t>
  </si>
  <si>
    <t xml:space="preserve">Must be able to work a 5-day schedule, including holidays as required. Applicants must complete an employment application.
</t>
  </si>
  <si>
    <t>P-400-22279-515264</t>
  </si>
  <si>
    <t>Employer will make all deductions from the worker's paycheck required by law and deduct approved cost of housing if worker elects. Optional employee only shared housing, including utilities, approximate cost $75 per week.</t>
  </si>
  <si>
    <t xml:space="preserve">West </t>
  </si>
  <si>
    <t>H-400-22315-582180</t>
  </si>
  <si>
    <t>Diesel Mechanics/Techs</t>
  </si>
  <si>
    <t>Hamilton Truck and Tire Service LLC</t>
  </si>
  <si>
    <t xml:space="preserve">2041 Fairgrove Avenue </t>
  </si>
  <si>
    <t>Gill</t>
  </si>
  <si>
    <t>Harjinder</t>
  </si>
  <si>
    <t>2041 Fairgrove Avenue</t>
  </si>
  <si>
    <t>hamiltontrucktire@gmail.com</t>
  </si>
  <si>
    <t xml:space="preserve">-Work experience of at least 12 months
-Good communication skills
-Training will be of 6 months and he will get paid for this time as well.
-Punctual and professional and good energy </t>
  </si>
  <si>
    <t>P-400-22272-501494</t>
  </si>
  <si>
    <t>H-400-22335-614407</t>
  </si>
  <si>
    <t xml:space="preserve">Cook, Restaurant Service  </t>
  </si>
  <si>
    <t>DELTCORP INDUSTRIES, LLC</t>
  </si>
  <si>
    <t>AFEEA STAFFING</t>
  </si>
  <si>
    <t>21 N SPRING ST</t>
  </si>
  <si>
    <t>SPARTA</t>
  </si>
  <si>
    <t>DEL TORO</t>
  </si>
  <si>
    <t>jdeltoro@afeeastaffing.com</t>
  </si>
  <si>
    <t xml:space="preserve">N/A 
SCHEDULE VARIES, OVERTIME AVAILABLE AS NEEDED.
</t>
  </si>
  <si>
    <t>194 Churchill Dr</t>
  </si>
  <si>
    <t>Sparta</t>
  </si>
  <si>
    <t>P-400-22199-358233</t>
  </si>
  <si>
    <t>H-400-22335-613746</t>
  </si>
  <si>
    <t>LAWN MASTERS, LLC</t>
  </si>
  <si>
    <t>4101 TATES CREEK CENTER DR</t>
  </si>
  <si>
    <t>ASAY</t>
  </si>
  <si>
    <t>4101 TATES CREEK CENTER DR.</t>
  </si>
  <si>
    <t>masay1128@gmail.com</t>
  </si>
  <si>
    <t xml:space="preserve">TOLERATE EXTREME TEMPERATURES, LOUD NOISES; LIFTING HEAVY EQUIPMENT, EXHIBIT STAMINA. EMPLOYER-PAID POST-EMPLOYMENT DRUG TEST MAY BE ADMINISTERED.
Work days:  M-F. May work Saturday.
Hours per week: 40
Work Schedule: 7 am - 4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Employer will provide transportation to the worksite within a reasonable distance.
Overtime available?  Yes
On-the-Job Training provided?  No
Employer-Provided Tools and Equipment provided?  Yes
Board, Lodging or Other Facilities provided?:  No
</t>
  </si>
  <si>
    <t>933 National Avenue</t>
  </si>
  <si>
    <t>P-400-22258-475472</t>
  </si>
  <si>
    <t>Lawnmastersky.com</t>
  </si>
  <si>
    <t>H-400-22335-613962</t>
  </si>
  <si>
    <t>Hub Construction, Inc.</t>
  </si>
  <si>
    <t>Hwy 109 South</t>
  </si>
  <si>
    <t>hubinc@hughes.net</t>
  </si>
  <si>
    <t>CHOCTAW</t>
  </si>
  <si>
    <t>P-400-22277-509125</t>
  </si>
  <si>
    <t>H-400-22335-613673</t>
  </si>
  <si>
    <t>Yellowstone Landscape-Central, Inc.</t>
  </si>
  <si>
    <t>500 Huffines Blvd</t>
  </si>
  <si>
    <t>Mailing: 3235 N State St, PO Box 849 Bunnell, FL 32110</t>
  </si>
  <si>
    <t xml:space="preserve">Post-employment criminal background check may be performed in accordance with contractual obligations for US and Foreign workers. Pre-employment, post-injury/incident and reasonable suspicion drug test and e-verify required, cost paid by employer and applied equally to all workers, US and foreign/H2B. Must be able to work a 5-day schedule, may include weekends and holidays. Applicants must complete an employment application.
</t>
  </si>
  <si>
    <t>P-400-22146-215806</t>
  </si>
  <si>
    <t xml:space="preserve">Employer will make all deductions from the worker's paycheck required by law and deduct approved cost of Medical/Dental/Vision/Accident/Critical Illness insurance if worker elects. Optional approx. cost of Medical $35.57 - $46.51; Dental $3.39 - $7.85; Vision $2.20; Accident $3.23 - $4.15; Critical Illness $0.87 - $26.12 per paycheck, depending on coverage.  Employer will provide worker at no charge all tools, supplies, and equipment required to perform job. Required uniform provided. </t>
  </si>
  <si>
    <t>H-400-22335-613889</t>
  </si>
  <si>
    <t>STIX AND STONES LANDSCAPING INC</t>
  </si>
  <si>
    <t>38 LITTLE PLAINS ROAD</t>
  </si>
  <si>
    <t>KURZ</t>
  </si>
  <si>
    <t>Work days: Varies Mon-Fri</t>
  </si>
  <si>
    <t>P-400-22206-373089</t>
  </si>
  <si>
    <t>STIXANDSTONESLANDSCAPING@HOTMAIL.COM</t>
  </si>
  <si>
    <t>H-400-22335-615382</t>
  </si>
  <si>
    <t>Pickering Valley Landscape, Inc.</t>
  </si>
  <si>
    <t>804 N. Manor Road</t>
  </si>
  <si>
    <t>Mailing: P.O. Box 950 , Glenmoore, PA 19343</t>
  </si>
  <si>
    <t>Ensor</t>
  </si>
  <si>
    <t xml:space="preserve">Must lift/carry 50 lbs., when necessary.  Saturday and Sunday work required, when necessary.  Post-hire random, post-accident and upon suspicion of use drug testing required of foreign and domestic workers. Post-hire background checks and/or employment eligibility (e-Verify) check may be required of foreign and domestic workers based on contract requirements. Employer may offer more than the stated work hours depending on weather, business needs, and other conditions. Extreme heat, cold, rain, or drought may affect exact working hours.
</t>
  </si>
  <si>
    <t>804 N. Manor Rd.</t>
  </si>
  <si>
    <t>P-400-22258-475533</t>
  </si>
  <si>
    <t>Employer makes all payroll deductions required by law. Employer does not envision other workforce-wide payroll deductions. Employer offers free daily transportation to/from worksite from designated pick-up location. Use of transportation is voluntary. Employer provides incidental transportation between worksites as necessary.</t>
  </si>
  <si>
    <t>H-400-22335-616357</t>
  </si>
  <si>
    <t>824 County Rd. 1400</t>
  </si>
  <si>
    <t>P-400-22286-528876</t>
  </si>
  <si>
    <t>Shooter and Lindsey Inc</t>
  </si>
  <si>
    <t>27271 Katy Freeway</t>
  </si>
  <si>
    <t>Mailing: P.O. Box 516, Katy, TX 77492</t>
  </si>
  <si>
    <t>kschmitt@shooterandlindsey.com</t>
  </si>
  <si>
    <t xml:space="preserve">Pre-hire background check required; Random drug testing during employment; Pre-employment drug testing required; Drug testing during employment for cause; Post-Accident Drug Testing, M-F, Overtime Varies, Some Saturdays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</si>
  <si>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P-400-22215-392933</t>
  </si>
  <si>
    <t>H-400-22335-614453</t>
  </si>
  <si>
    <t xml:space="preserve">Pre-hire background check required; Random drug testing during employment; Pre-employment drug testing required; Drug testing during employment for cause; Post-Accident Drug Testing, Able to lift 50lbs, Monday-Friday, some Saturdays may be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</si>
  <si>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St. Albans</t>
  </si>
  <si>
    <t>H-400-22335-614213</t>
  </si>
  <si>
    <t>ABC Professional Tree Services, Inc - Fort McCoy</t>
  </si>
  <si>
    <t>14999 NE Highway 315,</t>
  </si>
  <si>
    <t>Fort McCoy</t>
  </si>
  <si>
    <t>P-400-22289-532160</t>
  </si>
  <si>
    <t>H-400-22325-598510</t>
  </si>
  <si>
    <t>ASPM LANDSCAPES, LLC</t>
  </si>
  <si>
    <t>2501 E OMAHA AVE</t>
  </si>
  <si>
    <t>WILKE</t>
  </si>
  <si>
    <t>matt.wilke@aspmlandscapes.com</t>
  </si>
  <si>
    <t>MUST BE ABLE TO LIFT 75 POUNDS.
SCHEDULE VARIES, OVERTIME AVAILABLE AS NEEDED.</t>
  </si>
  <si>
    <t>STANTON</t>
  </si>
  <si>
    <t>P-400-22252-464171</t>
  </si>
  <si>
    <t>info@aspmlandscapes.com</t>
  </si>
  <si>
    <t>H-400-22304-558467</t>
  </si>
  <si>
    <t>BANQUET CAPTAIN</t>
  </si>
  <si>
    <t>Job Requirements: Banquet Captain
Prior supervisory experience
Previous experience as a Banquet Server
Ability to work quickly and efficiently
Organizational and time management skills
Strong leadership skills
Excellent interpersonal and customer skills, ability to solve problems
Attention to detail Good attention to detail will keep events flowing smoothly and clients pleased with the environment
Educational Background 
The nature of Banquet Captain Jobs, candidates must have several years of hospitality experience, be a people person, and adapt to changing work dynamics
Certification:  Have a high school diploma a minimum of 6 months of experience in a Banquet related position
Demonstrate efficient problem-solving skills
Display a courteous and friendly attitude, even in high stress situations
Be a quick thinker who knows how to solve problems
Must be physically fit to move large equipment and stand for long period
Demonstrate critical leadership skills
Maintain a positive relationship with staff members and guest
Ability to plan and manage budgets
Process extensive knowledge of the hospitality industry
Work long hours and irregular shifts 
Environmental Factors: 
Ability to lift and carry items weighing up to 50 lbs.; walk and stand for extended periods
Must pass a background and criminal investigation
Analyze Banquet Event Orders (BEOs)
Effectively communicate with customers, managers, and associates to ensure that all room set-ups, equipment, and supplies, staffing and menus meet/exceed customer's expectations
Attend BEO meetings
Conduct monthly departmental meetings and pre-shift meetings with staff to go over functions, procedures, and assignments
Assemble the banquet service before mealtime and disassemble it thereafter
Ensure the banquet service space remains well-stocked at all times
Receive beverage orders and direct these to the kitchen as needed
Clearing cutlery and crockery from customers' tables
Clean and sanitize tables, countertops, and floors after each meal service
Coordinate quality of food service between cooking staff and floor staff.
Specific skills
Banquet
Catering Experience
Hospitality
Food Handler
Resort Experience
Manufacturing Sanitation
Communication Skills
Customer Service
Supervisory Experience
Service Orientation
All candidates must have reliable transportation be principal and appropriately present themselves</t>
  </si>
  <si>
    <t>28 PATRIOT PLACE</t>
  </si>
  <si>
    <t xml:space="preserve">FOXBOROUGH </t>
  </si>
  <si>
    <t>P-400-22211-386524</t>
  </si>
  <si>
    <t>H-400-22337-619333</t>
  </si>
  <si>
    <t>Shrimp Hunter 1, Inc.</t>
  </si>
  <si>
    <t>Henley Joy</t>
  </si>
  <si>
    <t>101 Tracey Road</t>
  </si>
  <si>
    <t>Maldenado</t>
  </si>
  <si>
    <t>Mateo</t>
  </si>
  <si>
    <t>kgarcitrawlers@yahoo.com</t>
  </si>
  <si>
    <t>P-400-22224-414181</t>
  </si>
  <si>
    <t>H-400-22335-613711</t>
  </si>
  <si>
    <t>Hotel Front Desk Clerk</t>
  </si>
  <si>
    <t xml:space="preserve">Capitol Reef Management Inc. </t>
  </si>
  <si>
    <t>DBA Days Inn of Capitol Reef</t>
  </si>
  <si>
    <t xml:space="preserve">825 E SR 24 </t>
  </si>
  <si>
    <t>Zohrab (Aram)</t>
  </si>
  <si>
    <t>825 E SR 24</t>
  </si>
  <si>
    <t xml:space="preserve">The ability to listen to and understand information and ideas presented through spoken words and sentences. The ability to communicate information and ideas clearly and understandably when speaking to others. Must report to work sober, post-employment employer paid drug testing may be administered. 
Work days:  7 days per week; rotating shifts
Hours per week: 35
Work Schedule:  6am-12am 
Education Required:  NONE
Training Required (months): NONE
Work Experience Required (months, occupation):  3 months. Desk Clerk.
Additional information about wage:
Employer may offer a raise or bonus depending on experience and merit.
Does employer offer a ride to primary worksite location to workers living within a reasonable
commute: No
Overtime available?  Yes
On-the-Job Training provided?  Yes
Employer-Provided Tools and Equipment provided?  Yes
Board, Lodging or Other Facilities provided?: Optional housing may be provided at market rate. May offer a discount.
Deductions: 
Optional housing may be provided at market rate. May offer a discount.
</t>
  </si>
  <si>
    <t>P-400-22263-481487</t>
  </si>
  <si>
    <t>Optional housing may be provided at market rate. May offer a discount.</t>
  </si>
  <si>
    <t>SIMONS PROPERTY MAINTENANCE, INC.</t>
  </si>
  <si>
    <t>3542 Boulden Blvd.</t>
  </si>
  <si>
    <t>Simons</t>
  </si>
  <si>
    <t>eddy@simonspropertymaintenance.com</t>
  </si>
  <si>
    <t>H-400-22335-615955</t>
  </si>
  <si>
    <t>Grandiflora Landscapes, LLC</t>
  </si>
  <si>
    <t>Grandscapes</t>
  </si>
  <si>
    <t>1196 Russell Dr</t>
  </si>
  <si>
    <t>Dukes</t>
  </si>
  <si>
    <t>office@grandscapes.com</t>
  </si>
  <si>
    <t>1196 Russell Drive (Report to Work)</t>
  </si>
  <si>
    <t>P-400-22217-398360</t>
  </si>
  <si>
    <t>JESUS</t>
  </si>
  <si>
    <t>Grounds Maintenance</t>
  </si>
  <si>
    <t>4T Total Lawn, Inc.</t>
  </si>
  <si>
    <t>Cover Master KC</t>
  </si>
  <si>
    <t>10960 Eicher Dr.</t>
  </si>
  <si>
    <t>jbeaver@4tlawn.com</t>
  </si>
  <si>
    <t>potential raises at employer's discretion</t>
  </si>
  <si>
    <t>P-400-22216-397483</t>
  </si>
  <si>
    <t>office@4tlawn.com</t>
  </si>
  <si>
    <t>H-400-22335-614922</t>
  </si>
  <si>
    <t>Yellowstone Landscape - Southeast, LLC_Orlando</t>
  </si>
  <si>
    <t>1773 Business Center Lane</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</si>
  <si>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based on client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</si>
  <si>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1773 Business Center Ln</t>
  </si>
  <si>
    <t>P-400-22284-521220</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</si>
  <si>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and/or health insurance premiums for wrkrs vol participating in plan(s). Uniform provided at no cost. Emplyr may deduct cost for voluntary purchase of additional uniforms for worker's benefit.  Emplyr may also deduct for vol boot purchase program. Emplyr provides incidental transportation between worksites as needed.</t>
  </si>
  <si>
    <t>GoreCon, Inc.</t>
  </si>
  <si>
    <t>3240 Bristol Road</t>
  </si>
  <si>
    <t>Brina</t>
  </si>
  <si>
    <t>brinasweet@goreconinc.com</t>
  </si>
  <si>
    <t>3240 Bristol Rd</t>
  </si>
  <si>
    <t>P-400-22217-399006</t>
  </si>
  <si>
    <t>Employer may make payroll deductions at employee's request; Employer facilitates voluntary housing arrangements, workers responsible for making the monthly payments on their own.</t>
  </si>
  <si>
    <t>H-400-22335-613755</t>
  </si>
  <si>
    <t>H-400-22335-613847</t>
  </si>
  <si>
    <t>H-400-22320-589511</t>
  </si>
  <si>
    <t>10202 New Bedford Ct</t>
  </si>
  <si>
    <t>Lakeside</t>
  </si>
  <si>
    <t>Devallon</t>
  </si>
  <si>
    <t>Berline</t>
  </si>
  <si>
    <t>Military Active duty</t>
  </si>
  <si>
    <t>devallon519@gmail.com</t>
  </si>
  <si>
    <t xml:space="preserve">PROFICIENT KNOWLEDGE OF HOME SAFETY AND FIRST AID.
PROFICIENT KNOWLEDGE OF HOUSEKEEPING AND MEAL PREPARATION.
OUTSTANDING VERBAL COMMUNICATION SKILLS.
OUTSTANDING ORGANIZATIONAL AND MULTITASKING ABILITIES.
AFFINITY FOR CHILDREN AND PETS.
GOOD MORAL CHARACTER AND PLEASANT DISPOSITION.
PHYSICALLY FIT, ENERGETIC, AGILE, AND DEXTEROUS.
</t>
  </si>
  <si>
    <t>P-400-22159-255541</t>
  </si>
  <si>
    <t>H-400-22321-592425</t>
  </si>
  <si>
    <t>Green Teams, Inc.</t>
  </si>
  <si>
    <t>731 Industrial Blvd.</t>
  </si>
  <si>
    <t>Len</t>
  </si>
  <si>
    <t xml:space="preserve">Must lift/carry 50 lbs., when necessary.  Saturday and Sunday work required, when necessary.  Post-hire upon suspicion of use and post-accident drug testing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</si>
  <si>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P-400-22229-420762</t>
  </si>
  <si>
    <t>Employer makes all deductions required by law. Elective deductions must be pre-authorized in writing and may include: Repayment of any voluntary advances and/or loans made to workers; optional health insurance and/or retirement plan contributions; and voluntary purchase of additional uniforms for worker's benefit (employer provides first set of uniforms at no cost). If needed, employer intends to assist foreign and non-local U.S. workers hired pursuant to this job order to secure optional worker-paid lodging not to exceed reasonable fair market value cost based on number of occupants. Housing-related expenses are paid directly to facility owner/operator and are not payroll deducted. No daily transportation to/from worksite provided. Employer provides incidental transportation between job sites. Such transportation complies with all applicable Federal, State and local laws and regulations.</t>
  </si>
  <si>
    <t>len@greenteamsinc.com</t>
  </si>
  <si>
    <t>H-400-22321-593122</t>
  </si>
  <si>
    <t>Windridge Landscaping Co, Inc.</t>
  </si>
  <si>
    <t>7150 Rockfish Valley Hwy</t>
  </si>
  <si>
    <t>HOWE</t>
  </si>
  <si>
    <t>7150 ROCKFISH VALLEY HIGHWAY</t>
  </si>
  <si>
    <t>AFTON</t>
  </si>
  <si>
    <t>CHOWE@WINDRIDGELANDSCAPING.COM</t>
  </si>
  <si>
    <t>Must be able to lift/carry 50lbs and work in both bending and standing positions for extended periods and in all types of weather.  The typical work Schedule is Monday - Thursday 9 hours from 7:30 AM - 4:30 PM and then Fridays and Saturdays as needed.</t>
  </si>
  <si>
    <t>Min wage may be higher based on tenure, skills/abilities, and /or work performance</t>
  </si>
  <si>
    <t>P-400-22195-352552</t>
  </si>
  <si>
    <t>chowe@windridgelandscaping.com</t>
  </si>
  <si>
    <t>H-400-22322-596402</t>
  </si>
  <si>
    <t>P-400-22258-476179</t>
  </si>
  <si>
    <t>H-400-22322-594600</t>
  </si>
  <si>
    <t xml:space="preserve">Employer paid post hire drug test required.
Post hire background check. </t>
  </si>
  <si>
    <t xml:space="preserve">Medical, dental and vision coverage may be available to qualifying employees. Assistance with housing and local transportation may be available for employees unable to return to their homes at the end of the day at a cost of $200 per pay period for housing, and $80 per pay period for transportation to be paid via option payroll deduction (amounts subject to change based on local inflation).  Elective deductions will only be made with the approval of the worker, and will not drop the workers overall wage rate below the USDOL required wage. </t>
  </si>
  <si>
    <t>H-400-22322-594616</t>
  </si>
  <si>
    <t>17669 Telge Road</t>
  </si>
  <si>
    <t xml:space="preserve">Employer paid post hire drug test required.  Employer paid post hire background check. 
</t>
  </si>
  <si>
    <t>P-400-22192-343277</t>
  </si>
  <si>
    <t>H-400-22299-552643</t>
  </si>
  <si>
    <t>PHD &amp; ME</t>
  </si>
  <si>
    <t>1937 N HORSEMAN CIR.</t>
  </si>
  <si>
    <t>[MAIL: 3623 Verbena Dr, Rialto, CA 92377]</t>
  </si>
  <si>
    <t>LAYTON</t>
  </si>
  <si>
    <t>Conny</t>
  </si>
  <si>
    <t>connyeverett@gmail.com</t>
  </si>
  <si>
    <t>1600 Exposition Blvd.</t>
  </si>
  <si>
    <t>P-400-22256-469687</t>
  </si>
  <si>
    <t>H-400-22318-585138</t>
  </si>
  <si>
    <t>P-400-22215-393299</t>
  </si>
  <si>
    <t>H-400-22335-613797</t>
  </si>
  <si>
    <t>PO BOX 696 SOUTHAMPTON NY 11969</t>
  </si>
  <si>
    <t xml:space="preserve"> PO BOX 696 SOUTHAMPTON NY 11969</t>
  </si>
  <si>
    <t>H-400-22321-592626</t>
  </si>
  <si>
    <t>CHARACTER LIMIT: 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</si>
  <si>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H-400-22335-613656</t>
  </si>
  <si>
    <t>3 MONTHS EXPERIENCE AS POOL CLEANER</t>
  </si>
  <si>
    <t>H-400-22307-566023</t>
  </si>
  <si>
    <t>Barnhill Outdoors, LLC</t>
  </si>
  <si>
    <t>2000 West Loop 340</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</si>
  <si>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Eventually driving a company vehicle or if a valid drivers license is presented, may be asked to drive a company vehicle.
</t>
  </si>
  <si>
    <t>2000 West Loop 340 (Report to Work)</t>
  </si>
  <si>
    <t>P-400-22210-384525</t>
  </si>
  <si>
    <t>Optional shared housing available at up to $174.96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</si>
  <si>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H-400-22316-583796</t>
  </si>
  <si>
    <t>Yard Mechanic</t>
  </si>
  <si>
    <t>P-400-22209-383247</t>
  </si>
  <si>
    <t xml:space="preserve">Employer will make all deductions from the worker's paycheck required by law. Optional health, dental, and vision insurance available, approximate cost $1-$17 per week, payroll deducted if worker elects. Employer will assist worker in finding appropriate and affordable housing.
Employer will provide worker at no charge all tools, supplies, equipment and uniform required to perform job. Optional work boots available for purchase from approved vendor, cost can be payroll deducted if worker elects.  
</t>
  </si>
  <si>
    <t>H-400-22307-565986</t>
  </si>
  <si>
    <t>Oberson's Nursery and Landscapes, Inc.</t>
  </si>
  <si>
    <t>2389 Hamilton Cleves Road</t>
  </si>
  <si>
    <t>Oberson</t>
  </si>
  <si>
    <t>chad@obersons.com</t>
  </si>
  <si>
    <t>2389 Hamilton Cleves Rd. (Report to Work)</t>
  </si>
  <si>
    <t>P-400-22222-409653</t>
  </si>
  <si>
    <t>Optional shared housing available at up to $100.00 bi-weekly to be deducted from employees paycheck. 
 At Employer’s sole discretion: possible cash advances (if applicable/requested by worker, potential deduction from worker’s paycheck).</t>
  </si>
  <si>
    <t>H-400-22335-614403</t>
  </si>
  <si>
    <t xml:space="preserve">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at least 5 days/week, weekends and holidays as required. Must lift/carry 50 lbs. when necessary and frequently work on hands and knees. Applicant must complete an employment application.  Employer will offer 40 hours per week. Resorts open 7 days a week, workdays vary Sunday through Saturday. Normal shift time: 9:00am-5:30pm (includes 30-minute unpaid break). Workdays and shift times may vary with occupancy, events, and business demands. Basic wage rate: $13.50 per hour. Employer may increase wage based on experience and/or provide additional pay for performance and tenure. Overtime may be available at $20.25 per hour. An overtime premium will be paid when required by Federal, State, or local law, including at time-and-a-half after 40 hours per workweek. Employer will provide on the job training. A single workweek will be used to compute wages due. Pay received bi-weekly.  Employer will make all deductions from the worker's paycheck required by law. Optional employee shared housing available, including utilities, approx. $150-$170 per week, plus $100 refundable deposit required, available for payroll deduction if employee elects. Transportation is available to/from worksite for $35 per week.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</si>
  <si>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12400 International Dr</t>
  </si>
  <si>
    <t>P-400-22215-394766</t>
  </si>
  <si>
    <t xml:space="preserve">Employer will make all deductions from the worker's paycheck required by law. Optional employee shared housing available, including utilities, approx. $150-$170 per week, plus $100 refundable deposit required, available for payroll deduction if employee elects. Transportation is available to/from worksite for $35 per week. 
</t>
  </si>
  <si>
    <t>H-400-22307-566624</t>
  </si>
  <si>
    <t xml:space="preserve">Pre-hire background check required; Random drug testing during employment; Drug testing during employment for cause; Post-Accident Drug Testing, Able to lift 50lbs, Monday-Friday, some Saturday's required, schedule varies, start/end times vary,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</si>
  <si>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Performance reviews raises, end of season bonus at employer's discretion. Opport for higher pay depending on experience</t>
  </si>
  <si>
    <t>H-400-22307-566295</t>
  </si>
  <si>
    <t>All State 38, Inc</t>
  </si>
  <si>
    <t>1903 Wald Road</t>
  </si>
  <si>
    <t xml:space="preserve">(Mail to: 512 W MLK Jr Blvd, Unit 313, Austin TX 78701) </t>
  </si>
  <si>
    <t>(Mail to: 512 W MLK Jr Blvd, Unit 313, Austin TX 78701)</t>
  </si>
  <si>
    <t>allstate38inc@hotmail.com</t>
  </si>
  <si>
    <t>P-400-22194-349323</t>
  </si>
  <si>
    <t>P-400-22231-427180</t>
  </si>
  <si>
    <t>H-400-22307-565961</t>
  </si>
  <si>
    <t>SOUTHERN BOTANICAL, INC.</t>
  </si>
  <si>
    <t>3151 HALIFAX ST.</t>
  </si>
  <si>
    <t>Silvers</t>
  </si>
  <si>
    <t xml:space="preserve">3151 Halifax Street </t>
  </si>
  <si>
    <t>Tommy.Silvers@southernbotanical.com</t>
  </si>
  <si>
    <t xml:space="preserve">Post-employment/post-injury or incident drug test required, cost paid by employer and applied equally to all workers, U.S. and foreign/H-2B. Must be able to work a 5 day schedule, may include weekends and holidays. Applicants must complete an employment application. 
</t>
  </si>
  <si>
    <t>3151 Halifax Street</t>
  </si>
  <si>
    <t>P-400-22214-389553</t>
  </si>
  <si>
    <t>Employer will make all deductions from the worker's paycheck required by law. Employer will assist worker to find housing. Optional health insurance is available and will be payroll deducted if worker elects.</t>
  </si>
  <si>
    <t>H-400-22335-614267</t>
  </si>
  <si>
    <t xml:space="preserve">No minimum education or experience required. 
Workers are subject to post-employment criminal background checks, paid by employer and applied equally to all workers, U.S. and foreign/H-2B. 
Applicant must complete an employment application.  
Must be able to work at least 5-day work schedule, including weekends and holidays as required.
Employer will offer 40 hours per week. Resort open 7 days a week. Rotating schedule Sunday through Saturday, shifts vary: 7am to 3:30pm, 11am to 7:30 pm and 3pm to 11:30pm (includes 30-minute unpaid break).  Hours and shifts may vary with occupancy and events. 
Basic wage rate of pay $12.50 per hour. Employer may increase wage based on experience, market conditions and/or provide additional pay for performance and tenure. Overtime may be available at wage rate $18.75 per hour. An overtime premium will be paid when required by Federal, State, or local law, including at time-and-a-half after 40 hours per workweek.
A single workweek will be used to compute wages due. Pay received bi-weekly.  
Employer will provide on-the-job training.
Employer will make all deductions from the worker's paycheck required by law. Employer will assist worker to find housing. Public transportation 1 block from worksites.
Employer will provide worker at no charge all tools, supplies, and equipment required to perform job.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$14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t>
  </si>
  <si>
    <t xml:space="preserve">A single workweek will be used to compute wages due. Pay received bi-weekly.  
Employer will provide on-the-job training.
Employer will make all deductions from the worker's paycheck required by law. Employer will assist worker to find housing. Public transportation 1 block from worksites.
Employer will provide worker at no charge all tools, supplies, and equipment required to perform job. Uniform provided at no cost to employee. 
</t>
  </si>
  <si>
    <t>H-400-22307-566576</t>
  </si>
  <si>
    <t>RUI Inc</t>
  </si>
  <si>
    <t>Village Gardener</t>
  </si>
  <si>
    <t xml:space="preserve"> 7955 S Porcupine Creek Rd</t>
  </si>
  <si>
    <t>Mendes</t>
  </si>
  <si>
    <t>grow@villagegardener.com</t>
  </si>
  <si>
    <t>7955 S Porcupine Creek Rd</t>
  </si>
  <si>
    <t>P-400-22255-466152</t>
  </si>
  <si>
    <t>Advanced pay available as needed for settling expenses.  Reimbursement via optional deduction from pay.   Housing provided for a fee, if available not guaranteed, at approximately $600 a month via optional deduction from pay. Fee subject to change based on local market/inflation. All deductions, other than those required by law, are OPTIONAL.  Deductions will not drop the overall wage rate below the USDOL required minimum, if they do the deductions will not be made.</t>
  </si>
  <si>
    <t>https://www.wyomingatwork.com/vosnet/Default.aspx</t>
  </si>
  <si>
    <t>H-400-22307-567713</t>
  </si>
  <si>
    <t>Tender Care Lawn Service</t>
  </si>
  <si>
    <t>1497 W. Houston River Road</t>
  </si>
  <si>
    <t>Sulphur</t>
  </si>
  <si>
    <t>LaPoint</t>
  </si>
  <si>
    <t>Percy</t>
  </si>
  <si>
    <t>plapoint@tendercarelawnservice.com</t>
  </si>
  <si>
    <t>1497 W. Houston River Road (Report to Work)</t>
  </si>
  <si>
    <t>P-400-22224-414132</t>
  </si>
  <si>
    <t>Shared housing may be available – if used, $100.00/wk.  will be deducted from  paycheck. At Employer’s sole discretion: possible cash advances (if applicable/requested by worker, potential deduction from worker’s paycheck).</t>
  </si>
  <si>
    <t>H-400-22285-525749</t>
  </si>
  <si>
    <t xml:space="preserve">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F.A.5.-F.A.6. HOURS AVERAGE 35 PER WEEK; NORMAL SCHEDULE 10:00 AM TO 5:00 PM, MUST BE AVAILABLE 24/7 ON-CALL AS NEEDED (WHEN THERE IS 30% CHANCE OR MORE FOR A STORM, WORKERS MUST BE ABLE TO MAKE IT OUT TO WHERE THEY ARE NEEDED TO LABOR IN LESS THAN TWO HOURS FROM WHEN THEY ARE NOTIFIED TO REPORT AT THE LOCATION).
</t>
  </si>
  <si>
    <t>1937 Lacon Drive</t>
  </si>
  <si>
    <t>Galesburg</t>
  </si>
  <si>
    <t>P-400-22214-391740</t>
  </si>
  <si>
    <t xml:space="preserve">WORKERS CAN ELECT TO HAVE EMPLOYER SECURE HOUSING IF NEEDED, IN WHICH CASE WORKER'S PRO RATA SHARE OF ACTUAL HOUSING COSTS (RENT, UTILITIES,
RENTER'S INSURANCE), WHICH WILL BE REASONABLE &amp; BASED ON THE FAIR VALUE OF SUCH BENEFIT, WILL BE DEDUCTED FROM WORKER'S PAYCHECK. CURRENT
MONTHLY HOUSING COST IS $330.
</t>
  </si>
  <si>
    <t>H-400-22292-539823</t>
  </si>
  <si>
    <t>Liberty Concrete Division, Inc.</t>
  </si>
  <si>
    <t>59 Hummock Pond Road</t>
  </si>
  <si>
    <t xml:space="preserve">Chinchilla </t>
  </si>
  <si>
    <t>Santos</t>
  </si>
  <si>
    <t>libertyconcretedivision@gmail.com</t>
  </si>
  <si>
    <t>105 Main Street</t>
  </si>
  <si>
    <t>edoyle@oneilhauser.com</t>
  </si>
  <si>
    <t>O'Neil &amp; Hauser, PC</t>
  </si>
  <si>
    <t>P-400-22203-369867</t>
  </si>
  <si>
    <t>H-400-22306-565577</t>
  </si>
  <si>
    <t>AMUSEMENT MIDWAY PROVIDERS INC</t>
  </si>
  <si>
    <t xml:space="preserve">2248 MERIDIAN BLVD </t>
  </si>
  <si>
    <t>OWNER/ SECRETARY</t>
  </si>
  <si>
    <t>2248 Meridian Boulevard</t>
  </si>
  <si>
    <t>amusementmidwayproviders@gmail.com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</si>
  <si>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Itinerary starts in Fort Bend County. Work will be performed at various locations (see list of all counties included in itinerary for reference).
Basic Hourly Wage:   Pay varies from $9.27/hr - $11.53/hr or $370.80 - $461.20/week depending on location.
Overtime Hourly Wage:   Overtime pay is subject to Section 13(a)(3) of the FLSA.
Pay Frequency: Weekly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Housing provided free of charge.Optional.
Deductions: Housing provided free of charge.Optional.
</t>
  </si>
  <si>
    <t>4310 Hwy 36 S</t>
  </si>
  <si>
    <t>"Employer may offer a raise or bonus depending on experience and merit." 
 Overtime hours are offered, but the employer is exempt from overtime pay</t>
  </si>
  <si>
    <t>Optional housing provided free of charge.</t>
  </si>
  <si>
    <t>H-400-22307-566632</t>
  </si>
  <si>
    <t>H-400-22291-537446</t>
  </si>
  <si>
    <t xml:space="preserve">CDL Drivers </t>
  </si>
  <si>
    <t>Highbridge Transport LLC</t>
  </si>
  <si>
    <t>3908 S Stanford Ave</t>
  </si>
  <si>
    <t>Moncada</t>
  </si>
  <si>
    <t>highbridgetransport7@gmail.com</t>
  </si>
  <si>
    <t xml:space="preserve">Commercial Driver License Required from any country and being able to obtain a USA Commercial Driver License 
</t>
  </si>
  <si>
    <t>P-400-22085-012516</t>
  </si>
  <si>
    <t xml:space="preserve">No deduction other than State Income tax </t>
  </si>
  <si>
    <t>HR Group USA LLC</t>
  </si>
  <si>
    <t>ramirez257@gmail.com</t>
  </si>
  <si>
    <t>H-400-22231-427698</t>
  </si>
  <si>
    <t>P-400-22104-072793</t>
  </si>
  <si>
    <t>H-400-22279-513903</t>
  </si>
  <si>
    <t>P-400-22232-428435</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</si>
  <si>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</si>
  <si>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H-400-22263-483612</t>
  </si>
  <si>
    <t>MECHANIC</t>
  </si>
  <si>
    <t>Chavez Service Center</t>
  </si>
  <si>
    <t>9117 US N HWY 277</t>
  </si>
  <si>
    <t>EAGLE PASS</t>
  </si>
  <si>
    <t>CHAVEZ</t>
  </si>
  <si>
    <t xml:space="preserve">110 sioux circle </t>
  </si>
  <si>
    <t>chavezservicecenter@yahoo.com</t>
  </si>
  <si>
    <t>P-400-22138-184717</t>
  </si>
  <si>
    <t>All local, state and federal taxes (if applies).</t>
  </si>
  <si>
    <t>H-400-22232-428326</t>
  </si>
  <si>
    <t xml:space="preserve">12 months experience in a production environment, preferable in manufacturing and food. Excellent oral and written communication skills.Excellent oral and written communication skills. Solid mechanical skills. Ability to write and speak in English. Hands-on ability to work in a fast-paced, team-oriented food processing environment. Required to work independently and with limited supervision. Must have the ability to make decisions. Must be able to maintain regular and acceptable attendance, follow directions, interact well with co-workers, understand and follow posted work rules, procedures, and to accept constructive criticism.
</t>
  </si>
  <si>
    <t>P-400-22181-323023</t>
  </si>
  <si>
    <t>A higher rate may apply based on experience, productivity and/or market conditions. Workers will be paid bi-weekly by pay card or direct deposit. Overtime: For work performed in North Carolina, an overtime premium will be paid when required by Federal, State, or local law, including at time-and-a-half after 40 hours in a workweek. Thus, non-exempt overtime hours will be paid at $23.79. Overtime hours may vary. Deductions from Pay:Employer will make deductions for health benefits and 401(k) benefits offered, if eligible. Employer may offer a $500 stipend for rent. If the employer pays rent directly to the landlord, the employer may deduct any rent over and above the $500 stipend amount from the worker’s paycheck. For example, the amount of the deduction for rent will be reduced by $500. The amount of the housing stipend or the amount of the rent-related deduction from the worker’s paycheck may increase or decrease due to housing market conditions in the area of intended employment.</t>
  </si>
  <si>
    <t>H-400-22258-474418</t>
  </si>
  <si>
    <t>P-400-22210-384818</t>
  </si>
  <si>
    <t>H-400-22305-562852</t>
  </si>
  <si>
    <t>Villegas Enterprises Inc</t>
  </si>
  <si>
    <t>Outdoor Solutions</t>
  </si>
  <si>
    <t>7131 Jamesson Court</t>
  </si>
  <si>
    <t>tony@outdoorsolutionscolumbus.com</t>
  </si>
  <si>
    <t>7131 Jamesson Court (Report to Work)</t>
  </si>
  <si>
    <t>P-400-22152-231924</t>
  </si>
  <si>
    <t>kristin@outdoorsolutionscolumbus.com</t>
  </si>
  <si>
    <t>H-400-22275-505776</t>
  </si>
  <si>
    <t>Red Rock Foods LLC</t>
  </si>
  <si>
    <t>Red Rock Foods</t>
  </si>
  <si>
    <t>1000 Hurricane Shoals Rd NE Suite D-100</t>
  </si>
  <si>
    <t>Marcano</t>
  </si>
  <si>
    <t>Jorcely</t>
  </si>
  <si>
    <t>RedrRockflc@GMAIL.COM</t>
  </si>
  <si>
    <t>Monday-Sunday Nigth Shift 4PM to 12AM, 5 days, 40 hours Monday-Sundays, two days off. Worker must be willing to work nigth shift and stay longer if required. May be raised depending of experiencie or performace.</t>
  </si>
  <si>
    <t>1445 Josh Pirkle Rd</t>
  </si>
  <si>
    <t xml:space="preserve">Braselton </t>
  </si>
  <si>
    <t>May be raised depending of experiencie or performace.</t>
  </si>
  <si>
    <t>P-400-22161-269995</t>
  </si>
  <si>
    <t>H-400-22312-575939</t>
  </si>
  <si>
    <t xml:space="preserve">Employee </t>
  </si>
  <si>
    <t>17 Christopher Way</t>
  </si>
  <si>
    <t xml:space="preserve"> Eatontown</t>
  </si>
  <si>
    <t>Use  hand or power tools and equipment.</t>
  </si>
  <si>
    <t>247 Bridge Avenue, Suite 6</t>
  </si>
  <si>
    <t>P-400-22224-414780</t>
  </si>
  <si>
    <t xml:space="preserve"> karensiciliano@me.com</t>
  </si>
  <si>
    <t>H-400-22299-552951</t>
  </si>
  <si>
    <t>Chris Guadagno</t>
  </si>
  <si>
    <t>So Cal Rides</t>
  </si>
  <si>
    <t>15011 Genoa Cr.</t>
  </si>
  <si>
    <t xml:space="preserve">Huntington Beach </t>
  </si>
  <si>
    <t>cowboycrs@aol.com</t>
  </si>
  <si>
    <t>P-400-22259-477083</t>
  </si>
  <si>
    <t>H-400-22307-566328</t>
  </si>
  <si>
    <t>Peat &amp; Son Corp</t>
  </si>
  <si>
    <t>32 Old Country Road</t>
  </si>
  <si>
    <t>Westhampton</t>
  </si>
  <si>
    <t>Tuccillo</t>
  </si>
  <si>
    <t>P-400-22193-345780</t>
  </si>
  <si>
    <t>peatnson.com</t>
  </si>
  <si>
    <t>H-400-22306-563300</t>
  </si>
  <si>
    <t xml:space="preserve">Must be able to lift and carry 50 lbs. Must be able to pass a pre-employment drug test, administered to both U.S. and H-2B workers. Saturday and Sunday work required, when necessary. Work hours may include nights and overtime during emergencies and winter storm conditions. Must be able to perform manual physical labor outside during all weather conditions.
</t>
  </si>
  <si>
    <t>2336 259th Avenue</t>
  </si>
  <si>
    <t>Overtime may be available but is not guaranteed. Applicants may be offered higher wage due to experience/merit.</t>
  </si>
  <si>
    <t>P-400-22265-487244</t>
  </si>
  <si>
    <t>H-400-22307-565957</t>
  </si>
  <si>
    <t>5428 Clarksville Pike (Report to Work)</t>
  </si>
  <si>
    <t>Whites Creek</t>
  </si>
  <si>
    <t>P-400-22253-465239</t>
  </si>
  <si>
    <t>Optional shared, furnished housing available to the worker (including utilities); if housing is agreed upon by the worker, $96.23 to be deducted from worker's weekly paycheck. 
At Employer’s sole discretion: possible cash advances (if applicable/requested by worker, potential deduction from worker’s paycheck).</t>
  </si>
  <si>
    <t>kkaio@ruppertcompanies.com</t>
  </si>
  <si>
    <t>H-400-22304-558794</t>
  </si>
  <si>
    <t xml:space="preserve">Post-employment drug testing may occur based upon the employers reasonable suspicion drug use. Saturday and Sunday as needed.
</t>
  </si>
  <si>
    <t>P-400-22230-424593</t>
  </si>
  <si>
    <t xml:space="preserve">Optional housing avail at a rate of $78/week, to be deducted from pay. </t>
  </si>
  <si>
    <t>H-400-22286-528271</t>
  </si>
  <si>
    <t>Snow Cleaners</t>
  </si>
  <si>
    <t>Emir Properties, LLC</t>
  </si>
  <si>
    <t xml:space="preserve">10421 Lorain Ave </t>
  </si>
  <si>
    <t>Abeid</t>
  </si>
  <si>
    <t>Emir</t>
  </si>
  <si>
    <t>10421 Lorain Ave</t>
  </si>
  <si>
    <t>emir@ealock.com</t>
  </si>
  <si>
    <t xml:space="preserve">Must be able to lift and carry 75lbs for 50 yards. Must be able to handle temperature extremes.  Some weekend work.
</t>
  </si>
  <si>
    <t xml:space="preserve">Cleveland </t>
  </si>
  <si>
    <t>P-400-22176-312353</t>
  </si>
  <si>
    <t>Employees who elect to live in employer-provided housing will have $150.00 deducted per biweekly paycheck for rent and utilities.</t>
  </si>
  <si>
    <t>H-400-22307-566543</t>
  </si>
  <si>
    <t>Bloom Lawn and Landscape LLC</t>
  </si>
  <si>
    <t>260 Old State Road</t>
  </si>
  <si>
    <t>Bader</t>
  </si>
  <si>
    <t>Tanna</t>
  </si>
  <si>
    <t>260 Old State Road Ste 103</t>
  </si>
  <si>
    <t>NSM@bloomlawn.com</t>
  </si>
  <si>
    <t>P-400-22256-468941</t>
  </si>
  <si>
    <t>H-400-22241-443971</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</si>
  <si>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1-month hotel/resort housekeeping experience required
	Rotate/split shifts
	Supplies, work tools and equipment are provided free
	The employer will make all deductions from worker's paycheck required by law
	Must lift/carry 50 lbs., when necessary.  
</t>
  </si>
  <si>
    <t>2311 E County Highway 30A</t>
  </si>
  <si>
    <t xml:space="preserve">•	The employer will make all deductions from worker's paycheck required by law. 
•	Optional &amp; Voluntary 3rd party housing may be available at $125 - $150/ WK and may be voluntarily payroll deducted biweekly or direct deposit into provider's account
•	Waterloo could act as guarantor for timely rent payment however, lease is directly with 3rd party &amp; between employees &amp; housing company as Waterloo has no housing of its own
•	Housing Deposits and/or a $200 nonrefundable administrative fee may be required if you choose the voluntary optional 3rd party housing option
•	Third party housing provider/landlord may require that the last 4 weeks of rent (covering July 17 2023 to August 11 2023) may be required to be prepaid upfront or payroll deducted in installments of $100 per pay period until full payment is achieved. This pre-paid last 4 weeks rent is non-refundable. 
</t>
  </si>
  <si>
    <t>H-400-22245-454019</t>
  </si>
  <si>
    <t>3803 Black Oak Lane</t>
  </si>
  <si>
    <t xml:space="preserve">Employer paid pre-hire drug testing; Employer paid pre-hire criminal background check.
</t>
  </si>
  <si>
    <t xml:space="preserve">1 hr. for lunch. Some O.T. may be available but not guaranteed. Wage w/in wage range based on experience &amp; performance  </t>
  </si>
  <si>
    <t>P-400-22183-329483</t>
  </si>
  <si>
    <t>If optional pay advances to securing housing-weekly payments of $100.00 until paid in full; If optonal insurance selected for employee only-weekly payments of $10.00</t>
  </si>
  <si>
    <t>H-400-22240-441869</t>
  </si>
  <si>
    <t>Imperial Forestry, Inc</t>
  </si>
  <si>
    <t>5865 Table Rock Rd</t>
  </si>
  <si>
    <t>Nieto</t>
  </si>
  <si>
    <t>Maricela</t>
  </si>
  <si>
    <t>5865 Table Rock Rd (Report to Work)</t>
  </si>
  <si>
    <t>P-400-22114-100678</t>
  </si>
  <si>
    <t>imperialforestry@hotmail.com</t>
  </si>
  <si>
    <t>H-400-22269-493783</t>
  </si>
  <si>
    <t>P-400-22215-392479</t>
  </si>
  <si>
    <t>H-400-22275-505699</t>
  </si>
  <si>
    <t xml:space="preserve">Must pass a post-employment criminal background check, post-employment random and project specific drug testing required, paid by employer and applied equally to all workers, U.S. and foreign/H-2B. Applicants must complete an employment application.
</t>
  </si>
  <si>
    <t>525 Westland Drive</t>
  </si>
  <si>
    <t>P-400-22151-228146</t>
  </si>
  <si>
    <t>H-400-22252-465131</t>
  </si>
  <si>
    <t>Bar Porter</t>
  </si>
  <si>
    <t>Hard Rock Casino Cincinnati, LLC</t>
  </si>
  <si>
    <t>1000 Broadway St</t>
  </si>
  <si>
    <t xml:space="preserve">1000 Broadway St. </t>
  </si>
  <si>
    <t>deborah.Davis@hrccincinnati.com</t>
  </si>
  <si>
    <t>palmer@pesusa.com</t>
  </si>
  <si>
    <t xml:space="preserve">No minimum education required.
No minimum experience required.
Must be at least 19 years old.
Workers are subject to post-employment criminal background checks, paid by employer and applied equally to all workers, U.S. and foreign/H-2B. 
Workers are subject to post-employment/post-injury or incident drug testing, paid by employer and applied equally to all workers, U.S. and foreign/H-2B. 
Must be able to work weekends and holidays as required. 
Applicant must complete an employment application.
</t>
  </si>
  <si>
    <t>P-400-22187-335002</t>
  </si>
  <si>
    <t xml:space="preserve">Employer will make all deductions from the worker's paycheck required by law.
This position is required to be members of the Union, Union dues will be deducted from pay monthly from the first paycheck of the month and are $48.50 a month. Copy of CBA agreement available pre-employment by request.
Optional employee shared housing available, including utilities, approx. $100.00 per week. Public transportation available at main worksite. Housing cost payroll deducted if worker elects.
Employer will provide worker at no charge all tools, supplies, and equipment required to perform job. 
Required uniform and onsite dry-cleaning provided at no cost to employee. 
</t>
  </si>
  <si>
    <t>H-400-22214-389499</t>
  </si>
  <si>
    <t>Server/Bartender/Cashier</t>
  </si>
  <si>
    <t xml:space="preserve">THE PETITIONER WILL CONSIDER ANY PERSON FOR EMPLOYMENT WHO POSSESSES AT LEAST THREE (3) MONTHS OF EXPERIENCE IN A FINE-DINING OR HIGH-VOLUME ENVIRONMENT AT A HIGH-END RESTAURANT, RESORT, OR PRIVATE CLUB. 
Work week is Monday-Sunday. WORK SCHEDULE CAN INCLUDE EVENING, WEEKEND, AND HOLIDAY HOURS. WORK MAY BE PERFORMED ON ANY DAY OF THE WEEK FROM MONDAY THROUGH SUNDAY. DAYS OFF VARY. Example shifts are 7am  4pm, 9am  6pm, 2pm  11pm. (Start times are subject to change).
</t>
  </si>
  <si>
    <t>P-400-22172-301665</t>
  </si>
  <si>
    <t>H-400-22276-507062</t>
  </si>
  <si>
    <t xml:space="preserve">Rocha Reforestation </t>
  </si>
  <si>
    <t>8008 Stayton Road SE</t>
  </si>
  <si>
    <t>Rocha</t>
  </si>
  <si>
    <t>Federico Ramos</t>
  </si>
  <si>
    <t>rochareforestation@gmail.com</t>
  </si>
  <si>
    <t>Coeur A'dlene</t>
  </si>
  <si>
    <t>8008 Stayton Road SE (Report to Work)</t>
  </si>
  <si>
    <t>P-400-22161-267071</t>
  </si>
  <si>
    <t>H-400-22187-333288</t>
  </si>
  <si>
    <t>Nuvia Dental Lab</t>
  </si>
  <si>
    <t>954 S Orlando Ave</t>
  </si>
  <si>
    <t>P-400-22124-135857</t>
  </si>
  <si>
    <t>All required deductions as per federal, state and local laws including Withholding and FICA.</t>
  </si>
  <si>
    <t>H-400-22239-441804</t>
  </si>
  <si>
    <t xml:space="preserve">Crawfish Processor </t>
  </si>
  <si>
    <t>Aqua Farms Crawfish, Inc.</t>
  </si>
  <si>
    <t xml:space="preserve">2364 Basile Eunice Highway </t>
  </si>
  <si>
    <t xml:space="preserve">Basile </t>
  </si>
  <si>
    <t xml:space="preserve">LeJeune </t>
  </si>
  <si>
    <t>Brennon</t>
  </si>
  <si>
    <t>2364 Basile Eunice Highway</t>
  </si>
  <si>
    <t>bplaquafarms@yahoo.com</t>
  </si>
  <si>
    <t>Employee may make either listed hourly wage or the piece rate wage of $2.25/lb. may be offered, whichever is higher.
Employer will provide workers, without charge or deposit charge, all tools, supplies, equipment required to perform duties assigned.</t>
  </si>
  <si>
    <t>Employee may make either listed hourly wage or the piece rate wage of $2.25/lb. may be offered, whichever is higher.</t>
  </si>
  <si>
    <t>P-400-22172-300912</t>
  </si>
  <si>
    <t>EMPLOYER WILL MAKE ALL DEDUCTIONS FROM WORKERS’ PAYCHECK AS REQUIRED BY LAW; DEDUCTIONS EMPLOYER INTENDS TO MAKE FROM PAYCHECK, WHICH ARE NOT REQUIRED BY LAW, IF APPLICABLE, WOULD BE DEDUCTIONS FOR HOUSING, $50.00/WEEK, IF EMPLOYEE CHOOSES VOLUNTARY HOUSING OPTION.</t>
  </si>
  <si>
    <t>bqlaquafarms@yahoo.com</t>
  </si>
  <si>
    <t>H-400-22252-463773</t>
  </si>
  <si>
    <t>42 Pinon Causeway</t>
  </si>
  <si>
    <t>piece-rate position paid on a basis of rooms cleaned, rather than on an hourly basis.</t>
  </si>
  <si>
    <t>P-400-22179-318107</t>
  </si>
  <si>
    <t>H-400-22280-517495</t>
  </si>
  <si>
    <t>Electrician</t>
  </si>
  <si>
    <t>Install, repair and replacement electrical systems (Lighting Fixtures, panels &amp; outlets).</t>
  </si>
  <si>
    <t>P-400-22196-356450</t>
  </si>
  <si>
    <t>Taxes</t>
  </si>
  <si>
    <t>H-400-22262-480848</t>
  </si>
  <si>
    <t xml:space="preserve">Must have or be willing to obtain a valid Food Handler permit.
Must be able to stand for extended periods of time, and lift 50 lbs. 
Excellent communication skills, strong computer, phone, and customer service skills necessary.
Must be able to work at least 5 days per week, including weekends and holidays.
Applicants must complete an employment application. </t>
  </si>
  <si>
    <t>P-400-22221-404617</t>
  </si>
  <si>
    <t>H-400-22238-441356</t>
  </si>
  <si>
    <t>Seed Plant Worker / Mill Operator</t>
  </si>
  <si>
    <t>Tank Car, Truck, and Ship Loaders</t>
  </si>
  <si>
    <t>J&amp;J Corporation, Inc.</t>
  </si>
  <si>
    <t>Soyko International, Inc.</t>
  </si>
  <si>
    <t>2493 380th Street</t>
  </si>
  <si>
    <t>In</t>
  </si>
  <si>
    <t>Okcha Jade</t>
  </si>
  <si>
    <t>jadein@soykointernational.com</t>
  </si>
  <si>
    <t xml:space="preserve">High school degree or foreign equivalent required.  No training or experience required.  On-the-job training will be provided.
Must be able to speak basic English to take instructions from supervisor and communicate with employees.  Must be able to conduct simple math problems to count and report on inventory and to label products.  Able to read and write English well enough to read and understand process instructions, work orders, and other paperwork.  Physically capable of loading and unloading pallets, trucks, bins, etc.  Able to operate the forklift trucks.  Have general knowledge of or willingness to learn seed processing methods and procedures.  Able to present at least three job references.  Able to lift 100 pounds.  Have excellent eyesight and depth perception.  Have basic mechanical ability to troubleshoot production problems or be willing to be trained in this area.
Work is primarily performed in the plant that is subject to extremes of heat in summer and extreme cold in winter, including freeze.  There will be exposure to dust and high noise levels.  There may be exposure to hazardous materials as well as potentially dangerous mechanical equipment.
</t>
  </si>
  <si>
    <t>NORMAN</t>
  </si>
  <si>
    <t>Workers will be paid no less than $24.69 per hour. Continued on Part F.a.4.</t>
  </si>
  <si>
    <t>P-400-22158-254453</t>
  </si>
  <si>
    <t>office@soykointernational.com</t>
  </si>
  <si>
    <t>www.soykointernational.com</t>
  </si>
  <si>
    <t>H-400-22249-456855</t>
  </si>
  <si>
    <t>Limelight Hotel</t>
  </si>
  <si>
    <t xml:space="preserve">Must be able to work weekends. Must be able to lift a minimum of 20 lbs frequently.
</t>
  </si>
  <si>
    <t>355 S. Monarch St.</t>
  </si>
  <si>
    <t>See F.a.4. under "Terms &amp; Conditions of Employment"</t>
  </si>
  <si>
    <t>P-400-22175-311612</t>
  </si>
  <si>
    <t>H-400-22271-500220</t>
  </si>
  <si>
    <t xml:space="preserve">The Petitioner will consider for employment any person who possesses at least three (3) months of housekeeping experience at a high-end hotel, resort, or private club.  Applicant must complete pre-employment background check and drug screening.
</t>
  </si>
  <si>
    <t>Wage: $17.00 to $18.00 per hour, paid bi-weekly.  Overtime is available at $25.50 to $27.00 per hour.  See job descript</t>
  </si>
  <si>
    <t>P-400-22220-403480</t>
  </si>
  <si>
    <t xml:space="preserve">Optional housing is offered on a first-come, first-serve basis for workers who are relocating to begin employment. Cost of housing, if accepted, is up to $400.00 per bi-weekly pay period. If used, total cost of housing and utilities will be deducted from paycheck.  A $200.00 refundable security deposit is required, to be deducted from paycheck in equal $100.00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
</t>
  </si>
  <si>
    <t>H-400-22280-516210</t>
  </si>
  <si>
    <t>Paradise Management LLC</t>
  </si>
  <si>
    <t>15042 S 47th Street</t>
  </si>
  <si>
    <t>Leavitt</t>
  </si>
  <si>
    <t>Vivian</t>
  </si>
  <si>
    <t>vimar78@aol.com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</si>
  <si>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drug testing and criminal background check required, paid by employer. Applicants must cooperate with and complete job application and interview truthfully.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t>
  </si>
  <si>
    <t>P-400-22154-240871</t>
  </si>
  <si>
    <t>H-400-22231-427675</t>
  </si>
  <si>
    <t>P-400-22104-072813</t>
  </si>
  <si>
    <t xml:space="preserve">Any health benefits the employee chooses to enroll in </t>
  </si>
  <si>
    <t>H-400-22184-329680</t>
  </si>
  <si>
    <t>M.R. Mowing &amp; Landscaping</t>
  </si>
  <si>
    <t>3602 Saint Charles Ct.</t>
  </si>
  <si>
    <t>Gastonia</t>
  </si>
  <si>
    <t>mrmowing1@yahoo.com</t>
  </si>
  <si>
    <t>146 Brown Road (Report to Work)</t>
  </si>
  <si>
    <t>Cherryville</t>
  </si>
  <si>
    <t>P-400-22140-194787</t>
  </si>
  <si>
    <t>H-400-22257-470896</t>
  </si>
  <si>
    <t>TRANSPORT LEASING COMPANY LLP</t>
  </si>
  <si>
    <t>1901 BENEFIS COURT</t>
  </si>
  <si>
    <t>GREAT FALLS</t>
  </si>
  <si>
    <t>FRANKS</t>
  </si>
  <si>
    <t>KARI</t>
  </si>
  <si>
    <t>VICE PRESIDENT ADMINISTRATION</t>
  </si>
  <si>
    <t>1901 BENIFIS COURT</t>
  </si>
  <si>
    <t>karifranks@transystemsllc.com</t>
  </si>
  <si>
    <t>500 WEST 45 SOUTH</t>
  </si>
  <si>
    <t>MINIDOKA</t>
  </si>
  <si>
    <t>P-400-22151-227649</t>
  </si>
  <si>
    <t>The employer will make all deductions from workers’ paychecks that are required by law. The employer will provide optional housing accommodations from a third-party if relocating for the position and not within reasonable transport to jobsite. If employer-arranged housing is utilized the worker will be deducted approximately $15 per day.</t>
  </si>
  <si>
    <t>kari.franks@transystemsllc.com</t>
  </si>
  <si>
    <t>H-400-22259-477808</t>
  </si>
  <si>
    <t>Crystal Springs Services, Inc.</t>
  </si>
  <si>
    <t>Crystal Springs Resort</t>
  </si>
  <si>
    <t>3621 State Route 94</t>
  </si>
  <si>
    <t>Inzirillo</t>
  </si>
  <si>
    <t>Director of Recruiting</t>
  </si>
  <si>
    <t>3621 NJ 94</t>
  </si>
  <si>
    <t>ainzirillo@crystalgolfresort.com</t>
  </si>
  <si>
    <t>240 Cedar Knolls Road</t>
  </si>
  <si>
    <t>Cedar Knolls</t>
  </si>
  <si>
    <t>khatfield@hatfieldschwartzlaw.com</t>
  </si>
  <si>
    <t>Hatfield Schwartz Law Group</t>
  </si>
  <si>
    <t>United States Supreme Court</t>
  </si>
  <si>
    <t>Applicants must have a minimum of three months of high-volume experience.</t>
  </si>
  <si>
    <t>1 Wild Turkey Way</t>
  </si>
  <si>
    <t>P-400-22193-346340</t>
  </si>
  <si>
    <t xml:space="preserve">All deductions required by law will be made. If the worker takes advantage of employer's housing an additional $200.00 will be deducted per paycheck. </t>
  </si>
  <si>
    <t>Hatfield Schwartz Law Group LLC</t>
  </si>
  <si>
    <t>H-400-22257-470831</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</si>
  <si>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qualified to perform work described and must be available for the entire period specified.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t>
  </si>
  <si>
    <t>1402 Hwy 391 N.</t>
  </si>
  <si>
    <t>Piece rate may apply: worker will never make less than Prevailing Wage/Federal/state/local minimum wage.</t>
  </si>
  <si>
    <t>P-400-22179-318230</t>
  </si>
  <si>
    <t>H-400-22266-490248</t>
  </si>
  <si>
    <t xml:space="preserve"> Amusement &amp; Recreation Attendant – Mobile Carnival Ride Ope</t>
  </si>
  <si>
    <t>Caprice Enterprises, Inc.</t>
  </si>
  <si>
    <t>2604 31st Street</t>
  </si>
  <si>
    <t>(Mail: 4564 Mission Blvd, Montclair CA 91763)</t>
  </si>
  <si>
    <t>Perelman</t>
  </si>
  <si>
    <t>bdperelman@aol.com</t>
  </si>
  <si>
    <t>4564 Mission Boulevard</t>
  </si>
  <si>
    <t>Montclair</t>
  </si>
  <si>
    <t>P-400-22182-328081</t>
  </si>
  <si>
    <t xml:space="preserve">Employer will make all deductions from the worker’s paycheck required by law.  Optional mobile housing (valued at $175.00 per week) and local convenience travel (valued at $30.00 per week) are available at no cost to the worker.  </t>
  </si>
  <si>
    <t>Hpmd@aol.com</t>
  </si>
  <si>
    <t>H-400-22291-534821</t>
  </si>
  <si>
    <t>2250 Golden Nugget Blvd</t>
  </si>
  <si>
    <t>P-400-22202-367648</t>
  </si>
  <si>
    <t>H-400-22276-507977</t>
  </si>
  <si>
    <t xml:space="preserve">Must have technical knowledge of surimi and pollock roe processing and ability to work independently. Must be able to produce surimi products meeting predetermined specifications from raw materials of different types and must be able to quickly identify and resolve any problems that arise during surimi and pollock roe processing operations.  Must be willing to work up to 12 or more hours per day, 6 days per week, depending on fish availability, with minimum guarantee of 35 hours per week.  Applications and/or resumes must include required work experience and information must be verifiable.
</t>
  </si>
  <si>
    <t xml:space="preserve">On board the F/T Alaska Ocean vessel </t>
  </si>
  <si>
    <t>North Pacific and Bering</t>
  </si>
  <si>
    <t>Health insurance and potential bonus.   Basic minimum and overtime wage rates depending on experience.</t>
  </si>
  <si>
    <t>P-400-22189-340022</t>
  </si>
  <si>
    <t>None except required by law, except as requested, approved by worker for health insurance or other employee benefits.  Employer will provide room and board on the F/T Alaska Ocean vessel at no cost to the worker; employer-provided housing is optional.</t>
  </si>
  <si>
    <t>H-400-22271-498894</t>
  </si>
  <si>
    <t>Emmi Commerce Park Development</t>
  </si>
  <si>
    <t>Homewood Suites SYracuse-Liverpool</t>
  </si>
  <si>
    <t>275 Elwood Davis Road</t>
  </si>
  <si>
    <t>Liverpool</t>
  </si>
  <si>
    <t>missy.y.hughes@Hilton.com</t>
  </si>
  <si>
    <t xml:space="preserve">Requires basic math skills, verbal and written communication of English required. </t>
  </si>
  <si>
    <t>P-400-22230-425252</t>
  </si>
  <si>
    <t>missy.y.hughes@hilton.com</t>
  </si>
  <si>
    <t>Homewood Suites Syracuse-Liverpool</t>
  </si>
  <si>
    <t>H-400-22241-442956</t>
  </si>
  <si>
    <t>Interior Designer</t>
  </si>
  <si>
    <t>Interior Designers</t>
  </si>
  <si>
    <t>GKC Management LLC</t>
  </si>
  <si>
    <t xml:space="preserve">450 7th Avenue </t>
  </si>
  <si>
    <t>Suite 1408</t>
  </si>
  <si>
    <t>Metzler</t>
  </si>
  <si>
    <t>Mayan</t>
  </si>
  <si>
    <t>450 7th Avenue</t>
  </si>
  <si>
    <t>mayan@leichtnewyork.com</t>
  </si>
  <si>
    <t>P-400-22173-305202</t>
  </si>
  <si>
    <t>H-400-22252-462874</t>
  </si>
  <si>
    <t>2309 EAST 9400 SOUTH</t>
  </si>
  <si>
    <t xml:space="preserve">Raises/bonuses may be offered to any worker in specified occupation at company's sole discretion. </t>
  </si>
  <si>
    <t>P-400-22171-298135</t>
  </si>
  <si>
    <t>NONE. 
PLEASE NOTE, RAISES AND/OR BONUSES MAY BE OFFERED TO ANY WORKER IN THE SPECIFIED OCCUPATION, AT THE COMPANY'S SOLE DISCRETION, BASED ON INDIVIDUAL FACTORS INCLUDING WORK PERFORMANCE, SKILL AND TENURE.</t>
  </si>
  <si>
    <t>H-400-22251-462251</t>
  </si>
  <si>
    <t>Topnotch Resort</t>
  </si>
  <si>
    <t xml:space="preserve">Irving </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</si>
  <si>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</si>
  <si>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Wage: $18.00 - $23.00 per hour, paid bi-weekly.  See job description.</t>
  </si>
  <si>
    <t>P-400-22180-319834</t>
  </si>
  <si>
    <t xml:space="preserve">Optional housing is offered on a first-come, first-serve basis for workers who are relocating to begin employment. Cost of housing, if accepted, is $475.00 for a shared room or $950.00 for a single room per month.  If used, total cost of housing will be paid directly to employer by employee.  
Additional, optional benefits may be offered to worker, for worker’s sole benefit, including but not limited to medical, dental, and vision.  If voluntarily elected by worker, employee costs/contributions for benefits will be deducted from paycheck.
</t>
  </si>
  <si>
    <t>H-400-22270-496525</t>
  </si>
  <si>
    <t xml:space="preserve">Camp </t>
  </si>
  <si>
    <t xml:space="preserve">F.a.5 A-H. - F.a.6b.: Sunday-Saturday, days and shifts vary. 2 days off. Shifts from 11:00am to 4:00pm and 4:00pm to 11:00pm (or to 12:00am on Friday and Saturday). Up to 5 hours of overtime possible. </t>
  </si>
  <si>
    <t>P-400-22221-404664</t>
  </si>
  <si>
    <t>H-400-22277-508372</t>
  </si>
  <si>
    <t>P-400-22181-323324</t>
  </si>
  <si>
    <t>H-400-22210-385559</t>
  </si>
  <si>
    <t>Extensive walking through rough terrain.</t>
  </si>
  <si>
    <t>possible piece rate may apply. Piece rate of $0.90-$1.00/bale.</t>
  </si>
  <si>
    <t>P-400-22133-168587</t>
  </si>
  <si>
    <t>Optional housing will be secured by employer but will be paid for by employee directly to housing provider ($60-$70/week). Because all our worksites are located within 70 miles of our designated local our workforce does not need to be mobile. We return each night to the same address and drive to the worksite each day, transportation provided at no cost. Daily transportation to/from the worksite will be provided at no cost to the worker.</t>
  </si>
  <si>
    <t>unitedforestservices@yahoo.com</t>
  </si>
  <si>
    <t>H-400-22263-481851</t>
  </si>
  <si>
    <t>Sleeping Bear Inc</t>
  </si>
  <si>
    <t>DBA Best Western Desert Inn</t>
  </si>
  <si>
    <t>133 N.  Canyon Street</t>
  </si>
  <si>
    <t>Mailing: P.O. Box 340, West Yellowstone, MT 59758</t>
  </si>
  <si>
    <t>Haily</t>
  </si>
  <si>
    <t xml:space="preserve">Must be available to work all shifts: 8am - 3:30 pm and/or 3pm to 10:30 pm. Saturday and Sunday work required, when necessary.  Must lift/carry 50 lbs when necessary and frequently work on hands and knees.
</t>
  </si>
  <si>
    <t>133 N. Canyon Street</t>
  </si>
  <si>
    <t>P-400-22154-243293</t>
  </si>
  <si>
    <t xml:space="preserve">The employer will make all deductions from worker's paycheck required by law. The employer does not envision other workforce-wide payroll deductions. Optional lodging facilities are equally available to foreign and non-local workers from outside normal commuting distance at no charge to the workers.         </t>
  </si>
  <si>
    <t>H-400-22238-441599</t>
  </si>
  <si>
    <t>Job Training Provided.
35 hours per week.  Shifts available 7 days a week
including weekends and holidays. 7:00am - 11pm, 7 days a week including weekends and holidays. (7am-3pm, 2pm-11pm) Hours may vary between outlet.  Wage Per Hour: $14.96 - $21.00.  Overtime Possible Per Hour at $22.44 - $31.5.
Lift approximately 50 lbs on a regular basis. Stand for long periods of time.</t>
  </si>
  <si>
    <t>based on merit</t>
  </si>
  <si>
    <t>P-400-22157-250129</t>
  </si>
  <si>
    <t>All deductions required by law will be made. Optional housing is offered on a first-come, first-serve basis for workers who are relocating to begin employment. Cost of housing, if accepted, is up to $530.00 per month. If used, monthly cost of housing may be deducted from paycheck. A partially refundable security deposit of $550.00 is required, to be paid directly to employer upon acceptance of housing (security deposit, plus a non-refundable administrative fee of $50.00). Employee shuttle transportation as well as public bus service available from employee housing to ski area base. Gondola transportation from base to restaurant locations also provided. Criminal background check pre-hire required when residing in employee housing only. Benefits: Free ski lift season passes for Alterra
Mountain Company resorts, $25 ski lift season passes for Alterra Mountain Company resorts for dependents, 25%-50% F &amp; B discounts (based on location), hotel disc., 30% retail disc.... Please see Job Order</t>
  </si>
  <si>
    <t>H-400-22224-414924</t>
  </si>
  <si>
    <t>Days Inn Colchester</t>
  </si>
  <si>
    <t>124 College Parkway</t>
  </si>
  <si>
    <t>Colchester</t>
  </si>
  <si>
    <t>Front Office Manager</t>
  </si>
  <si>
    <t>daysinncolchester@yahoo.com</t>
  </si>
  <si>
    <t xml:space="preserve">CARRY LINENS, TOWELS, TOILET ITEMS, AND CLEANING SUPPLIES, USING WHEELED CARTS.
CLEAN ROOMS, HALLWAYS, LOBBIES, LOUNGES, RESTROOMS, CORRIDORS, ELEVATORS, STAIRWAYS, LOCKER ROOMS, AND OTHER WORK AREAS SO THAT HEALTH STANDARDS ARE MET.
CLEAN RUGS, CARPETS, UPHOLSTERED FURNITURE, AND DRAPERIES, USING VACUUM CLEANERS AND SHAMPOOERS.
DELIVER TELEVISION SETS, IRONING BOARDS, BABY CRIBS, AND ROLLAWAY BEDS TO GUESTS' ROOMS.
DISINFECT EQUIPMENT AND SUPPLIES, USING GERMICIDES OR STEAM-OPERATED STERILIZERS.
DUST AND POLISH FURNITURE AND EQUIPMENT.
EMPTY WASTEBASKETS, EMPTY AND CLEAN ASHTRAYS, AND TRANSPORT OTHER TRASH AND WASTE TO DISPOSAL AREAS.
KEEP STORAGE AREAS AND CARTS WELL-STOCKED, CLEAN, AND TIDY.
OBSERVE PRECAUTIONS REQUIRED TO PROTECT HOTEL AND GUEST PROPERTY AND REPORT DAMAGE, THEFT, AND FOUND ARTICLES TO SUPERVISORS.
REPLENISH SUPPLIES, SUCH AS DRINKING GLASSES, LINENS, WRITING SUPPLIES, AND BATHROOM ITEMS.
SWEEP, SCRUB, WAX, OR POLISH FLOORS, USING BROOMS, MOPS, OR POWERED SCRUBBING AND WAXING MACHINES.
WASH WINDOWS, WALLS, CEILINGS, AND WOODWORK, WAXING AND POLISHING AS NECESSARY.
</t>
  </si>
  <si>
    <t>P-400-22181-326640</t>
  </si>
  <si>
    <t xml:space="preserve">Only applicable state and federal taxes will be deducted from employees pay.  Employees hired through the H2B Visa will be supplied with housing at no cost to them. Thus there will not be any pay deductions taken for housing. </t>
  </si>
  <si>
    <t>H-400-22225-415106</t>
  </si>
  <si>
    <t>Heavy and Tractor Trailer Truck Drivers</t>
  </si>
  <si>
    <t>6012 N Country Rd 1147</t>
  </si>
  <si>
    <t>3111 N. Central Ave.</t>
  </si>
  <si>
    <t xml:space="preserve">A CLASS A COMMERCIAL DRIVER'S LICENSE IS REQUIRED TO OPERATE ANY COMBINATION OF VEHICLES WITH A GROSS COMBINATION WEIGHT RATING (GVWR) OF 26,001 OR MORE POUNDS, PROVIDED THE TOWED VEHICLE IS HEAVIER THAN 10,000 POUNDS. 12 MONTHS EXPERIENCE REQUIRED.
</t>
  </si>
  <si>
    <t>P-400-22154-242702</t>
  </si>
  <si>
    <t>H-400-22332-607776</t>
  </si>
  <si>
    <t>Construction Labor</t>
  </si>
  <si>
    <t>ABR Construction, Inc.</t>
  </si>
  <si>
    <t>121 Crestview Court</t>
  </si>
  <si>
    <t>Nicholasville</t>
  </si>
  <si>
    <t>cach@abrconstruction.com</t>
  </si>
  <si>
    <t xml:space="preserve">Strong back, able to work in extreme temperatures and weather conditions. Must lift 50 lbs. Must pass random employer-paid post-employment drug test if warranted.
Work days:  M-F, may be required to work some Saturdays
Hours per week: 40
Work Schedule: 6:00 am to 3:00 pm; hours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Optional housing provided at a cost of $90/week. No family housing. 
</t>
  </si>
  <si>
    <t>P-400-22291-537243</t>
  </si>
  <si>
    <t>Optional housing provided at a cost of $90/week.</t>
  </si>
  <si>
    <t>www.abrconstruction.com</t>
  </si>
  <si>
    <t>H-400-22321-592161</t>
  </si>
  <si>
    <t xml:space="preserve">Must be able to lift 50 lbs.
Workers are subject to post-injury/incident drug testing, paid by employer and applied equally to all workers, U.S. and foreign/H-2B.  
Must be able to work a 5-day workweek.
Applicants must complete an employment application.
</t>
  </si>
  <si>
    <t>5102 Freyn Drive</t>
  </si>
  <si>
    <t>P-400-22213-388598</t>
  </si>
  <si>
    <t xml:space="preserve">The employer will make all deductions from the worker’s paycheck required by law. Optional employee shared housing available at approximately $60 per week, payroll deducted if worker elects. Cost of utilities is divided equally among occupants, approximately $10 per month per person. Optional Medical/Dental/Vision insurance approx $30-$75 per pay period, payroll deducted if worker elects.
Daily transportation provided at no charge to worker between housing and the main worksite in Indianapolis. The employer will then provide daily transportation among worksite locations in Marion, Boone, Hamilton, Hancock, Hendricks, Johnson, Morgan, Shelby and Bartholomew Counties, IN.
The employer will provide worker at no charge all tools, supplies, and equipment required to perform job. Uniform and PPE provided at no charge to the worker. 
</t>
  </si>
  <si>
    <t>H-400-22326-601315</t>
  </si>
  <si>
    <t>H-400-22327-604256</t>
  </si>
  <si>
    <t>D &amp; D  Country Fair Cinnamon Rolls</t>
  </si>
  <si>
    <t>D &amp; D Country Fair Cinnamon Rolls</t>
  </si>
  <si>
    <t>52183 Road 426</t>
  </si>
  <si>
    <t>Oakhurst</t>
  </si>
  <si>
    <t>Dara</t>
  </si>
  <si>
    <t xml:space="preserve">Oakhurst </t>
  </si>
  <si>
    <t>baldwin4@nctv.com</t>
  </si>
  <si>
    <t>P-400-22283-520240</t>
  </si>
  <si>
    <t>H-400-22332-607435</t>
  </si>
  <si>
    <t xml:space="preserve">See addendum attached. </t>
  </si>
  <si>
    <t xml:space="preserve">Employer will make all deductions from the worker’s paycheck required by law. Optional housing (valued at $75.00 per week) and local convenience travel (valued at $25.00 per week) are available at no cost to the worker. </t>
  </si>
  <si>
    <t>Contact@reithoffershows.com</t>
  </si>
  <si>
    <t>H-400-22321-592153</t>
  </si>
  <si>
    <t xml:space="preserve">Must be able to lift 50 lbs.
Workers are subject to post-injury/incident drug testing, paid by employer and applied equally to all workers, U.S. and foreign/H-2B. 
Must be able to work a 5-day schedule.
Applicants must complete an employment application.
</t>
  </si>
  <si>
    <t>9405 Futura Parkway</t>
  </si>
  <si>
    <t>Tipp City</t>
  </si>
  <si>
    <t>P-400-22273-504885</t>
  </si>
  <si>
    <t xml:space="preserve">The employer will make all deductions from the worker’s paycheck required by law. Optional employee shared housing available at approximately $60 per week, payroll deducted if worker elects. Cost of utilities is divided equally among occupants, approximately $10 per month per person. Optional Medical/Dental/Vision insurance approx $30-$75 per pay period, payroll deducted if worker elects.
Daily transportation provided at no charge to worker between housing and the main worksite in Tipp City. The employer will then provide daily transportation among worksite locations in Preble, Shelby, Montgomery, Clark, Greene &amp; Miami Counties, OH.
The employer will provide worker at no charge all tools, supplies, and equipment required to perform job. Uniform and PPE provided at no cost to the worker. 
</t>
  </si>
  <si>
    <t>H-400-22322-596441</t>
  </si>
  <si>
    <t xml:space="preserve">Mon-Fri, Saturdays may be required. Overtime varies. Able to lift 50lbs. Must be able to stand for extended periods of time and be able to bend and stoop  to pick things up.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</si>
  <si>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H-400-22307-566953</t>
  </si>
  <si>
    <t>Younes Hospitality, Inc.</t>
  </si>
  <si>
    <t>104 3rd Avenue</t>
  </si>
  <si>
    <t>110 2nd Avenue</t>
  </si>
  <si>
    <t>P-400-22217-400500</t>
  </si>
  <si>
    <t>H-400-22333-608652</t>
  </si>
  <si>
    <t>Roofing/Construction worker</t>
  </si>
  <si>
    <t>Tim Wilson Construction LLC</t>
  </si>
  <si>
    <t>6603 Linwood Ln.</t>
  </si>
  <si>
    <t>P.O Box 68 Fox Island, WA 98333</t>
  </si>
  <si>
    <t xml:space="preserve">P.O Box 68 </t>
  </si>
  <si>
    <t>Fox Island</t>
  </si>
  <si>
    <t>timwilsonconstruction95@gmail.com</t>
  </si>
  <si>
    <t>Physically fit. Be able to lift 85lbs. Can follow instructions. Good eye hand co-ordination. Used to working outdoors. Familiarity with various construction tools. Schedule may vary and be able to work well with others.</t>
  </si>
  <si>
    <t>6603 Linwood lane</t>
  </si>
  <si>
    <t>P-400-22260-478886</t>
  </si>
  <si>
    <t>timwilsonconstuction95@gmail.com</t>
  </si>
  <si>
    <t>H-400-22335-613812</t>
  </si>
  <si>
    <t>P-400-22216-395437</t>
  </si>
  <si>
    <t>P-400-22251-462052</t>
  </si>
  <si>
    <t>H-400-22335-613947</t>
  </si>
  <si>
    <t>Clay's Clippers Inc.</t>
  </si>
  <si>
    <t>127 Rose Lane</t>
  </si>
  <si>
    <t>Hackberry</t>
  </si>
  <si>
    <t xml:space="preserve">Clay </t>
  </si>
  <si>
    <t>claysclippers@gmail.com</t>
  </si>
  <si>
    <t xml:space="preserve">Anique </t>
  </si>
  <si>
    <t>P-400-22255-466965</t>
  </si>
  <si>
    <t>NONE. Employer may assist workers with finding and/or securing housing. Employer is not providing housing.</t>
  </si>
  <si>
    <t>H-400-22335-613850</t>
  </si>
  <si>
    <t>Monin Construction, LLC</t>
  </si>
  <si>
    <t>347 E ML KING</t>
  </si>
  <si>
    <t>LEBANON</t>
  </si>
  <si>
    <t>Monin</t>
  </si>
  <si>
    <t>moninken@yahoo.com</t>
  </si>
  <si>
    <t xml:space="preserve">UNAFRAID OF HEIGHTS, HAVE EXCELLENT BALANCE ON SLOPES, PHYSICAL STAMINA/STRENGTH AND ABLE TO WORK IN HEAT. MUST BE SOBER TO PERFORM JOB DUTIES. MAY WORK SATURDAYS.
Work days:  M-F. Saturdays may be required
Hours per week: 40
Work Schedule: 7am-3:30pm
All worksite locations are within driving distance of primary worksite location.
Additional information about wage:
Employer may offer a raise or bonus depending on experience and merit.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Optional housing provided.No family housing.
Deductions: 
Optional housing provided. Market rate.
</t>
  </si>
  <si>
    <t xml:space="preserve">347 ML King </t>
  </si>
  <si>
    <t>Optional housing provided. Market rate.</t>
  </si>
  <si>
    <t>H-400-22335-616412</t>
  </si>
  <si>
    <t>2250 Lion Country Pkwy Bld 2 Ste 160</t>
  </si>
  <si>
    <t>P-400-22270-496508</t>
  </si>
  <si>
    <t>H-400-22335-614660</t>
  </si>
  <si>
    <t xml:space="preserve">Able to lift 50lbs. Tuesday-Sunday, Possible schedule that varies and shifts that vary between 7am and midnight. Mondays required as needed. Additional overtime varies.
</t>
  </si>
  <si>
    <t>P-400-22209-383259</t>
  </si>
  <si>
    <t>Employer may make payroll deductions at employee's request. Employer facilitates voluntary housing arrangements upon availability along with corresponding payroll deduction, $25.00/week.</t>
  </si>
  <si>
    <t>H-400-22335-614989</t>
  </si>
  <si>
    <t>H-400-22335-613747</t>
  </si>
  <si>
    <t>H-400-22335-615260</t>
  </si>
  <si>
    <t>Lounge Attendant/ Food Runner</t>
  </si>
  <si>
    <t xml:space="preserve">No minimum education or experience required. Must be able to work at least 5-day work schedule, including weekends and holidays. Applicants must complete an employment application. Employer will offer a minimum of 35 hours of work per week. Resort is open 7 days a week, workdays will vary Sunday through Saturday. Shifts: 10 am  5 pm, 3 pm  11 pm, 3:30 pm  10 pm, 6 am  12 pm, 6 am  2:30 pm, 12 pm  8:30 pm. (includes 30 minute unpaid break). Workdays and shift times may vary with events and occupancy. Basic wage rate: $14.00. Employer may increase wage based on experience, market conditions, and/or provide additional pay for performance and tenure. Overtime hours may be available at $21.00. An overtime premium will be paid when required by Federal, State, or local law, including at time-and-a-half after 40 hours per workweek. Employer will provide on-the-job training. A single workweek will be used in computing wages due. Workers will be paid weekly. Employer will make all deductions from the worker's paycheck required by law. Optional empoyee shared housing available, including utilities, at approx. $150 per week. Transportation is provided to/from worksite/housing,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</si>
  <si>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P-400-22160-261439</t>
  </si>
  <si>
    <t>H-400-22335-613667</t>
  </si>
  <si>
    <t>P-400-22192-342405</t>
  </si>
  <si>
    <t xml:space="preserve">GARDENEERING INC </t>
  </si>
  <si>
    <t>16 NEWBERRY LANE</t>
  </si>
  <si>
    <t>REHILL</t>
  </si>
  <si>
    <t>P-400-22194-348644</t>
  </si>
  <si>
    <t>RUTH@GARDENEERING.NET</t>
  </si>
  <si>
    <t>H-400-22335-613792</t>
  </si>
  <si>
    <t xml:space="preserve">No minimum education or experience required. Must be able to lift, push, and pull 50 lbs. Must be able to work weekends and holidays. Applicants must complete an employment application.  Employer will offer 40 hours of work per week. Resort is open 7 days a week, workdays vary Sunday-Saturday. Rotating schedule, shift times 8am-5pm, 11am-8pm, and 3pm-12am (includes 1-hour unpaid break).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</si>
  <si>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P-400-22152-231561</t>
  </si>
  <si>
    <t>H-400-22335-615849</t>
  </si>
  <si>
    <t>Gurley's Azalea Garden, Inc.</t>
  </si>
  <si>
    <t>5567 Winchester Rd</t>
  </si>
  <si>
    <t>Gurley</t>
  </si>
  <si>
    <t xml:space="preserve">lift 50 lbs.
48+ hrs, 7:30am  5pm, Mon-Sat, hours and workdays may vary depending on weather.
</t>
  </si>
  <si>
    <t>P-400-22269-493454</t>
  </si>
  <si>
    <t>Optional housing provided for $75/wk.
Employer will make all deductions required by law.  Other deductions may be taken at employee's written request, i.e. internet, cable, cash advances, medical expenses, etc. See addendum.</t>
  </si>
  <si>
    <t>H-400-22304-558470</t>
  </si>
  <si>
    <t xml:space="preserve">Job Requirements and skills:
Some work experience in related preferred must able to work 7 days rotational work schedule , late nighs and / or early morning, including weekends and holidays
Ability to understand and meet restaurant standard s for healf, safety and excellence
Ability to follow instructions and help with various tasks
Detail oriented and thorough 
Ability to remain alert and focused on an environment that is noisy and fast-paced
Ability to work quickly and efficiently 
Ability to work well with a team 
Ability to maintain personal hygiene
High school diploma or equivalent.
6 months minimal work experience.
Ability to follow instructions and help with various tasks, as needed.
Strong problem-solving and communication skills.
Exceptional time management skills.
Ability to stand or walk for 8-hour shifts and lift at least 20 pounds.
Willingness to comply with all food safety procedures.
Availability to work in shifts, during weekends and evenings
</t>
  </si>
  <si>
    <t xml:space="preserve">299 VAUGHAN ST </t>
  </si>
  <si>
    <t>PORTSMOUTH ,NH</t>
  </si>
  <si>
    <t>P-400-22205-372363</t>
  </si>
  <si>
    <t>H-400-22335-615221</t>
  </si>
  <si>
    <t>Yellowstone Landscape - Central, Inc. - Phoenix</t>
  </si>
  <si>
    <t>25106 S. 122nd St.</t>
  </si>
  <si>
    <t>P-400-22284-521189</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</si>
  <si>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and/or loans made to wrkrs, if any, may be repaid by pre-authorized payroll deductions. Emplyr offers free daily transport to/from worksite from designated pick-up location. Use of transport is vol.  Emplyr will deduct for reasonable cost of negligent damage to lodging facilities. Emplyr may deduct retirement/savings plan contributions and/or health insurance premiums for wrkrs vol participating in plan(s). Uniform provided at no cost. Emplyr may deduct cost for vol purchase of additional uniforms for wrkr's benefit.  Emplyr may also deduct for vol boot purchase program. Employer provides incidental transportation between worksites as necessary.</t>
  </si>
  <si>
    <t>4814 Frolich Lane</t>
  </si>
  <si>
    <t>P-400-22244-450836</t>
  </si>
  <si>
    <t>H-400-22335-614504</t>
  </si>
  <si>
    <t>St. Petersburg</t>
  </si>
  <si>
    <t>H-400-22335-613793</t>
  </si>
  <si>
    <t>CONTEMPORARY STONESCAPES LTD</t>
  </si>
  <si>
    <t>8 JULIET LANE</t>
  </si>
  <si>
    <t>KESHET</t>
  </si>
  <si>
    <t xml:space="preserve">AVI </t>
  </si>
  <si>
    <t>1 MONTH EXPERIENCE AS GENERAL LABORER</t>
  </si>
  <si>
    <t>P-400-22193-345766</t>
  </si>
  <si>
    <t>STONESCAPES@OPTONLINE.NET</t>
  </si>
  <si>
    <t>H-400-22335-613942</t>
  </si>
  <si>
    <t>Carruthers Landscape Management, Inc.</t>
  </si>
  <si>
    <t>11593 Goodnight Lane</t>
  </si>
  <si>
    <t>Carruthers</t>
  </si>
  <si>
    <t>ben@carrutherslandscaping.com</t>
  </si>
  <si>
    <t>P-400-22255-466939</t>
  </si>
  <si>
    <t>Some medical provided at no cost, elective vision and dental for a fee. Optional deductions for elective benefits, $91.72 to $465.87 for medical additions, $11.04 to $96.58 for dental, $9.87 to $32.95 for vision.  Deductions will not drop the overall wage below the UDSOL minimum, if the deductions are too great they will not be made.</t>
  </si>
  <si>
    <t>H-400-22335-613741</t>
  </si>
  <si>
    <t xml:space="preserve">No minimum education or experience required. Must be able to lift, push, and pull 50 lbs. Must be able to work weekends and holidays. Applicants must complete an employment application. Must be able to supervise at least 8 employees. Employer will offer 40 hours of work per week. Resort is open 7 days a week, workdays vary Sunday-Saturday. Rotating schedule, shift times 8:30am-5pm, 7am-3:30pm (includes 30-minute unpaid break). Workdays and shift times may vary with occupancy. Basic wage rate: $19.35 per hour. Employer may increase wage based on experience and/or provide additional pay for performance and tenure. Overtime hours may be available at $29.03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</si>
  <si>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P-400-22152-231358</t>
  </si>
  <si>
    <t>H-400-22323-597565</t>
  </si>
  <si>
    <t>* Lift/carry up to 50 pounds.  
* Random (post-employment) employer paid drug testing required.      
* Extensive push/pull, sitting, walking. 
* Exposure to extreme temperatures. 
* Frequent stooping, and repetitive movements.</t>
  </si>
  <si>
    <t>Character Limit:  Overtime is not guaranteed but if worked rate is paid at time and a half per hour above 40 hours...</t>
  </si>
  <si>
    <t>H-400-22335-614661</t>
  </si>
  <si>
    <t>KC LANDSCAPE, LLC</t>
  </si>
  <si>
    <t>2100 ROAD TO SIX FLAGS STREET E.</t>
  </si>
  <si>
    <t>SUTTERFIELD</t>
  </si>
  <si>
    <t>JULIA</t>
  </si>
  <si>
    <t>julia@kclandscapetx.com</t>
  </si>
  <si>
    <t>P-400-22241-443999</t>
  </si>
  <si>
    <t>Ham Lake</t>
  </si>
  <si>
    <t>No special requirements</t>
  </si>
  <si>
    <t>FRANKLIN TOWN</t>
  </si>
  <si>
    <t>H-400-22307-567388</t>
  </si>
  <si>
    <t xml:space="preserve">No minimum education or experience required.
Workers are subject to post-employment criminal background checks, paid by employer and applied equally to all workers, U.S. and foreign/H-2B. 
Workers are subject to post-employment and post-injury/incident drug test, paid by employer and applied equally to all workers, U.S. and foreign/H-2B. 
Must be able to work at least 5-day work schedule, including weekends and holidays as required.
Must be able to lift equipment, supplies, etc. of at least 30 lbs.
Applicant must complete an employment application.
</t>
  </si>
  <si>
    <t xml:space="preserve">A single workweek will be used in computing wages due. Workers will be paid bi-weekly. The employer will make all deductions from the worker's paycheck required by law. Optional employee shared housing is available, including utilities, at approx. $100 per week, available for payroll deduction if employee elects.
</t>
  </si>
  <si>
    <t>H-400-22340-623502</t>
  </si>
  <si>
    <t>H-400-22340-623208</t>
  </si>
  <si>
    <t>H-400-22322-596285</t>
  </si>
  <si>
    <t>P-400-22245-453257</t>
  </si>
  <si>
    <t>H-400-22321-593223</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</si>
  <si>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Employer provides incidental transport between job sites as necessary. Such transportation complies with all applicable Federal, State, and local laws/regulations. Employer may deduct health insurance premiums and/or retirement plan contributions for workers who voluntarily participate in plan(s).</t>
  </si>
  <si>
    <t>H-400-22319-586588</t>
  </si>
  <si>
    <t>Foret Contracting Group, LLC</t>
  </si>
  <si>
    <t>354 West Main Street</t>
  </si>
  <si>
    <t>MAILING: P.O. Box 70, Thibodaux, LA 70302</t>
  </si>
  <si>
    <t>rforet@foretgroup.com</t>
  </si>
  <si>
    <t xml:space="preserve">Must be able to lift 50 lbs.
Must pass a post-employment criminal background check and post-employment, post-injury/incident drug test, paid by employer and applied equally to all workers, US and foreign/H2B.
Applicants must complete an employment application.
</t>
  </si>
  <si>
    <t>P-400-22151-228402</t>
  </si>
  <si>
    <t xml:space="preserve">The employer will make all deductions from the worker's paycheck required by law. Optional employee shared housing available at approximately $75 per week. Cost of housing payroll deducted if worker elects. Optional medical, dental and vision insurance available, cost varies depending on plan(s) selected. Cost of insurance payroll deducted if worker elects. Optional simple IRA available, contribution payroll deducted if worker elects. Employer offers an optional one-time pay advance up to $200, paid back through payroll deductions if worker elects.
The employer will provide worker at no charge all tools, supplies, and equipment required to perform job. Uniform provided at no charge to the worker.  </t>
  </si>
  <si>
    <t>H-400-22313-578754</t>
  </si>
  <si>
    <t>Ring &amp; Ring, Inc.</t>
  </si>
  <si>
    <t>Wright's Amusements Company</t>
  </si>
  <si>
    <t>13002 CO RD. 102</t>
  </si>
  <si>
    <t>[MAIL:PO BOX 1000, ELBERT, CO 80106]</t>
  </si>
  <si>
    <t>wrightsamusements@yahoo.com</t>
  </si>
  <si>
    <t>13002 Co. Rd. 102</t>
  </si>
  <si>
    <t>Elbert</t>
  </si>
  <si>
    <t>P-400-22262-479830</t>
  </si>
  <si>
    <t>H-400-22309-571446</t>
  </si>
  <si>
    <t>Jose Enriquez Inc.</t>
  </si>
  <si>
    <t>JE Exports</t>
  </si>
  <si>
    <t>1680 Hilltop Drive.</t>
  </si>
  <si>
    <t>Chula Vista</t>
  </si>
  <si>
    <t>449 Milagrosa Circle</t>
  </si>
  <si>
    <t>pepe@je-exports.com</t>
  </si>
  <si>
    <t>Rudolph</t>
  </si>
  <si>
    <t xml:space="preserve">B. </t>
  </si>
  <si>
    <t>419 19th Street</t>
  </si>
  <si>
    <t>fmoreno@rudolphbaker.com</t>
  </si>
  <si>
    <t>Rudolph Baker &amp; Associates LLP</t>
  </si>
  <si>
    <t xml:space="preserve">James Bradley Rudolph </t>
  </si>
  <si>
    <t xml:space="preserve">Commercial Drivers license
Basic English Knowledge
Mechanical knowledge of tools, car repair and maintenance
</t>
  </si>
  <si>
    <t xml:space="preserve">1680 Hilltop Drive </t>
  </si>
  <si>
    <t>P-400-22203-370831</t>
  </si>
  <si>
    <t>http://je-exports.com/</t>
  </si>
  <si>
    <t>H-400-22279-514544</t>
  </si>
  <si>
    <t>Seven Hills Forestry, LLC</t>
  </si>
  <si>
    <t>3 Central Plaza</t>
  </si>
  <si>
    <t>#419</t>
  </si>
  <si>
    <t>Rome</t>
  </si>
  <si>
    <t>Gammon</t>
  </si>
  <si>
    <t>Brandy</t>
  </si>
  <si>
    <t xml:space="preserve"> #419</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</si>
  <si>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</si>
  <si>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1620 North Delphine Avenue (Report to Work)</t>
  </si>
  <si>
    <t>P-400-22174-306056</t>
  </si>
  <si>
    <t>sevenhillsforestryjob@gmail.com</t>
  </si>
  <si>
    <t>H-400-22307-566409</t>
  </si>
  <si>
    <t>Schultz &amp; Co Landscapes, LLC</t>
  </si>
  <si>
    <t>5038 Bacon Rd</t>
  </si>
  <si>
    <t>Vignes</t>
  </si>
  <si>
    <t>dvignes@schultzlandscapes.com</t>
  </si>
  <si>
    <t xml:space="preserve">Monday-Friday, some Saturdays required, schedule varies, end time varies, additional overtime varies. Able to lift 50lbs. Pre-hire background check required;Random drug testing during employment;Pre-employment drug testing required;Post-Accident Drug Testing.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</si>
  <si>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P-400-22210-384547</t>
  </si>
  <si>
    <t xml:space="preserve">Employer may make payroll deductions at employee's request. </t>
  </si>
  <si>
    <t>info@schultzlandscapes.com</t>
  </si>
  <si>
    <t>H-400-22335-613822</t>
  </si>
  <si>
    <t>H-400-22307-566755</t>
  </si>
  <si>
    <t>Potential raise/bonus as merited at employer's discretion. Affordable health care option which is subsidized in part.</t>
  </si>
  <si>
    <t>H-400-22311-572790</t>
  </si>
  <si>
    <t>Blue Marble Landscape, LLC</t>
  </si>
  <si>
    <t>840 E Southern Ave</t>
  </si>
  <si>
    <t>accounting@bluemarblelandscape.com</t>
  </si>
  <si>
    <t>P-400-22194-348874</t>
  </si>
  <si>
    <t>H-400-22307-567932</t>
  </si>
  <si>
    <t>Mover/Driver</t>
  </si>
  <si>
    <t xml:space="preserve">M-F, schedule varies. Weekends may be required. Overtime varies. Able to lift 75lbs. Must have or be able to obtain a valid non-CDL driver's license and meet company qualification standards to achieve qualification status. Motor Vehicle History Report required. 1 month training required for proper packing, lifting, carrying.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</si>
  <si>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P-400-22262-479571</t>
  </si>
  <si>
    <t>H-400-22335-614424</t>
  </si>
  <si>
    <t>P-400-22199-359273</t>
  </si>
  <si>
    <t>H-400-22298-549917</t>
  </si>
  <si>
    <t>Helpers Construction Trade, all others</t>
  </si>
  <si>
    <t>Glenn Franklin Walters</t>
  </si>
  <si>
    <t>Masterkleen</t>
  </si>
  <si>
    <t>108 Grove Cove Road</t>
  </si>
  <si>
    <t>Centreville</t>
  </si>
  <si>
    <t>masterkleen@breezeline.net</t>
  </si>
  <si>
    <t>Must be able to lift 80 pounds. Must be able to measure and use power tools once trained. Must be able to follow directions of supervisor.</t>
  </si>
  <si>
    <t>QUEEN ANNE'S</t>
  </si>
  <si>
    <t>P-400-22252-464765</t>
  </si>
  <si>
    <t>state and federal taxes</t>
  </si>
  <si>
    <t>http://masterkleenrestoration.com</t>
  </si>
  <si>
    <t>H-400-22307-566590</t>
  </si>
  <si>
    <t>Amberscapes, Inc.</t>
  </si>
  <si>
    <t>R.L. Shelley's Lawn Service</t>
  </si>
  <si>
    <t>3114 N. Mechanic Street</t>
  </si>
  <si>
    <t>Mailing: P.O. Box 1574, El Campo, TX 77437</t>
  </si>
  <si>
    <t>gayleshelley@yahoo.com</t>
  </si>
  <si>
    <t xml:space="preserve">Able to lift 50lbs, Monday-Friday, Schedule Varies, some Saturdays required, Additional overtime varies
</t>
  </si>
  <si>
    <t>P-400-22215-394129</t>
  </si>
  <si>
    <t>H-400-22327-603333</t>
  </si>
  <si>
    <t>P-400-22327-603288</t>
  </si>
  <si>
    <t>H-400-22307-566043</t>
  </si>
  <si>
    <t xml:space="preserve">Must be able to lift 50 lbs.  
Applicants must complete an employment application. 
Must be able to work weekends and holidays as required.
</t>
  </si>
  <si>
    <t>P-400-22151-228349</t>
  </si>
  <si>
    <t>H-400-22259-478617</t>
  </si>
  <si>
    <t>H-400-22215-394253</t>
  </si>
  <si>
    <t>Groundperson</t>
  </si>
  <si>
    <t>Mountain F. Enterprises, Inc.</t>
  </si>
  <si>
    <t>950 Iron Point Road</t>
  </si>
  <si>
    <t>Ste. 210</t>
  </si>
  <si>
    <t>rgmfe@mtfent.com</t>
  </si>
  <si>
    <t>Durket</t>
  </si>
  <si>
    <t>3136 Kingsdale Center No. 133</t>
  </si>
  <si>
    <t>jonathandurket@durketlegal.com</t>
  </si>
  <si>
    <t>Durket Legal LLC</t>
  </si>
  <si>
    <t xml:space="preserve">Must have a valid drivers license. 
Must be able to operate and service all required tools and equipment. 
Must be able to walk, climb, and work from ladders, or at various heights, on uneven and slippery surfaces, performing mentally/physically demanding work under unfavorable weather conditions while handling equipment or material.
Must be able to work long hours and overtime during emergencies. 
Must pass a background and/or MVR check. 
Must pass a pre-employment drug and physical tests.
Must have no fear of heights. 
Must be able to lift, move and maneuver up to 90 pounds on an infrequent basis, but up to 10 pounds on a frequent basis. 
</t>
  </si>
  <si>
    <t>P-400-22059-937340</t>
  </si>
  <si>
    <t xml:space="preserve"> Board is optional and costs vary depending on projection (but are approximately $100 per week).</t>
  </si>
  <si>
    <t>HiresAbroad@mtfent.com</t>
  </si>
  <si>
    <t>https://mtfent.com/careers/</t>
  </si>
  <si>
    <t>H-400-22251-462556</t>
  </si>
  <si>
    <t xml:space="preserve">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HOURS AVERAGE 35 PER WEEK; NORMAL SCHEDULE 10 AM TO 5 PM, MUST BE AVAILABLE 24/7 ON-CALL AS NEEDED (WHEN THERE IS 30% CHANCE OR MORE FOR A STORM, WORKERS MUST BE ABLE TO MAKE IT OUT TO WHERE THEY ARE NEEDED TO LABOR IN LESS THAN TWO HOURS FROM WHEN THEY ARE NOTIFIED TO REPORT AT THE LOCATION.
</t>
  </si>
  <si>
    <t>3073 S Chase Ave</t>
  </si>
  <si>
    <t>P-400-22203-371825</t>
  </si>
  <si>
    <t xml:space="preserve">Workers can elect to have employer secure housing if needed, in which case the worker's pro rata share of the actual housing costs (rent, utilities, and renter's insurance), which will be reasonable and based on the fair value of such benefit, will be deducted from the worker's paycheck. Current monthly housing cost is $372, including rent, utilities, and renter's insurance. The employer will provide workers, without charge or deposit charge, all tools, supplies, and equipment required to perform the job. 
</t>
  </si>
  <si>
    <t>H-400-22281-518701</t>
  </si>
  <si>
    <t>Thomas Carnival, Inc.</t>
  </si>
  <si>
    <t>4508 Cliffstone Cove</t>
  </si>
  <si>
    <t>(PO Box 92469, Austin TX 78709)</t>
  </si>
  <si>
    <t>Hanschen</t>
  </si>
  <si>
    <t>(Mail: PO Box 92469, Austin TX 78709)</t>
  </si>
  <si>
    <t>jwhanschen@gmail.com</t>
  </si>
  <si>
    <t>P-400-22209-382544</t>
  </si>
  <si>
    <t>H-400-22244-450620</t>
  </si>
  <si>
    <t>Busperson/Food Runner/Server Assistant</t>
  </si>
  <si>
    <t>The petitioner will consider any person for employment who possesses at least three (3) months of experience in a fine-dining or high-volume environment at a high-end restaurant, resort, or private club.
Applicant must PROVIDE OUT OF COUNTRY POLICE REPORT AND complete pre-employment drug screening.
Applicant must also hold "ServeSafe" Certification.
Work schedule can vary and can include evening, weekend, and holiday hours. Work may be performed on any day of the week from Monday through Sunday. Example shifts: 8:00am-4:00pm, 10:00am-6:00pm, or 3:00pm-11:00pm. Shift hours may vary.
Not mandatory upon hire, but preferred, will help obtain.</t>
  </si>
  <si>
    <t>+DOE. One free meal per shift . Optional discounted bus pass offered for $25.</t>
  </si>
  <si>
    <t>P-400-22181-326152</t>
  </si>
  <si>
    <t>Housing is offered and optional. Optional housing is offered on a first-come, first-serve basis. Cost of housing, if accepted, is $850.00 per month. If used, total cost of housing will be deducted from paycheck. A $850.00 refundable security deposit is required, to be deducted from paycheck in four (4) equal installments from employee’s first four (4) paychecks.
Additional, optional benefits may be offered to worker, for worker’s sole benefit, including but not limited to Medical, Dental, Vision, 401K, STD, LTD, Life Insurance, Critical Illness, Accident Insurance, Hospital Indemnity, FSA, HSA, Legal Insurance, Automobile and Home Insurance, and Pet Insurance. If voluntarily elected by worker, employee costs/contributions for benefits will be deducted from paycheck. 
After completing 90 days of employment, full-time employees will receive 3 days (24 hours) paid sick time. 
Optional discounted bus pass offered for $25, if chosen cost will be deducted from paycheck. 
All health benefits will be effective on the 1st day of the month following from 60 days of employment.</t>
  </si>
  <si>
    <t>H-400-22241-444206</t>
  </si>
  <si>
    <t>Helper-Production Worker</t>
  </si>
  <si>
    <t>Alpha Consolidated Contracting Services, LLc</t>
  </si>
  <si>
    <t>3053 Banks Road</t>
  </si>
  <si>
    <t>2910 Kerry Pkwy</t>
  </si>
  <si>
    <t>Suite D4-292</t>
  </si>
  <si>
    <t xml:space="preserve">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t>
  </si>
  <si>
    <t>14630 Highway 65</t>
  </si>
  <si>
    <t>P-400-22192-344151</t>
  </si>
  <si>
    <t>accs.llc@icloud.com</t>
  </si>
  <si>
    <t>https://www.minnesotaworks.net/</t>
  </si>
  <si>
    <t>H-400-22307-566251</t>
  </si>
  <si>
    <t>Brake Landscaping and Lawncare, Inc.</t>
  </si>
  <si>
    <t>3514 Gratiot Street</t>
  </si>
  <si>
    <t>Brake</t>
  </si>
  <si>
    <t>dturner@brakelandscaping.com</t>
  </si>
  <si>
    <t>3514 Gratiot Street  (Report to Work)</t>
  </si>
  <si>
    <t>P-400-22213-387250</t>
  </si>
  <si>
    <t>H-400-22285-526341</t>
  </si>
  <si>
    <t>Holiday Lighting of West County</t>
  </si>
  <si>
    <t>3451 St. Albans Rd.</t>
  </si>
  <si>
    <t>Bouras</t>
  </si>
  <si>
    <t>Virgil</t>
  </si>
  <si>
    <t>3451 St Albans Rd.</t>
  </si>
  <si>
    <t xml:space="preserve">Pre-hire employer paid drug test required for all U.S. and foreign workers.
</t>
  </si>
  <si>
    <t>St. Albansa</t>
  </si>
  <si>
    <t xml:space="preserve">$17.35 – 19.50/hr. based on experience and performance $26.03 – 29.25 O.T.  </t>
  </si>
  <si>
    <t>P-400-22236-435388</t>
  </si>
  <si>
    <t>holiday.light@gmail.com</t>
  </si>
  <si>
    <t>H-400-22327-603326</t>
  </si>
  <si>
    <t>EAST END STONE CARE</t>
  </si>
  <si>
    <t>336 RAILROAD AVENUE</t>
  </si>
  <si>
    <t>MOLINA</t>
  </si>
  <si>
    <t>WILBUR</t>
  </si>
  <si>
    <t>P-400-22189-339339</t>
  </si>
  <si>
    <t>OFFICE@EASTENDSTONECARE.COM</t>
  </si>
  <si>
    <t>H-400-22322-595875</t>
  </si>
  <si>
    <t>H-400-22266-491680</t>
  </si>
  <si>
    <t>Crabs N Crawfish, Inc.</t>
  </si>
  <si>
    <t>8727 Desert Cloud Lane</t>
  </si>
  <si>
    <t>livecrawfish10@gmail.com</t>
  </si>
  <si>
    <t xml:space="preserve">Valid Driver's License
Must be able to lift and carry 40 pounds; Repetitive bending and lifting.
Travel will be required to obtain crawfish/seafood product from other plants, farms, or docks, and/or to deliver crawfish/seafood/product to customers.
</t>
  </si>
  <si>
    <t>14110 Aston Street</t>
  </si>
  <si>
    <t>P-400-22160-262465</t>
  </si>
  <si>
    <t xml:space="preserve">The deductions the employer intends to make from paychecks, which is not required by law, would be the deduction of $163.00 per week for the optional housing provided by the employer, if chosen by the employee.
</t>
  </si>
  <si>
    <t>H-400-22255-466821</t>
  </si>
  <si>
    <t>none are required for these positions</t>
  </si>
  <si>
    <t>standard required government deductions</t>
  </si>
  <si>
    <t>H-400-22276-507482</t>
  </si>
  <si>
    <t>1141 N 3rd Street</t>
  </si>
  <si>
    <t>1141 N 3RD Street</t>
  </si>
  <si>
    <t>Must show proof of legal authority to work in U.S. Drug, Alcohol, Tobacco free work zone. Must be 18 yrs age due travel.</t>
  </si>
  <si>
    <t>954 ALBA DR (report to work)</t>
  </si>
  <si>
    <t>MEDFORD</t>
  </si>
  <si>
    <t>CARPOOL CONTRIBUTIONS ARE OPTIONAL AND NOT A CONDITION OF EMPLOYMENT: CAR POOL CONTRIBUTIONS UP TO $35 PER WK. COMPANY MAKES AVAILABLE
COMPANY VEHICLE AFTER HRS FOR REASONABLE PERSONAL USE; CONTRIBUTIONS UP TO $35 PER WK TO HELP COVER COSTS OF PERSONAL USE WILL BE
DEDUCTED BASED ON MILEAGE. THE EMPLOYER’S OPTIONAL HOUSING IS PROVIDED AT NO COST TO THE WORKER.</t>
  </si>
  <si>
    <t>H-400-22245-452244</t>
  </si>
  <si>
    <t>Strata Forestry, Inc.</t>
  </si>
  <si>
    <t>100 W. Q Street</t>
  </si>
  <si>
    <t>office@strataforestry.com</t>
  </si>
  <si>
    <t>100 West Q Street  (Report to Work)</t>
  </si>
  <si>
    <t>P-400-22145-210747</t>
  </si>
  <si>
    <t>H-400-22279-513772</t>
  </si>
  <si>
    <t>Brass Ring Amusements, Inc.</t>
  </si>
  <si>
    <t>Midway of Fun</t>
  </si>
  <si>
    <t>650 State Box Road</t>
  </si>
  <si>
    <t>{Mail:  9700 Fair Oaks Blvd Suite J Fair Oaks, CA 95628}</t>
  </si>
  <si>
    <t>{Mail:  9700 Fair Oaks Blvd., Suite J, Fair Oaks, CA 95628}</t>
  </si>
  <si>
    <t>P-400-22182-328067</t>
  </si>
  <si>
    <t>H-400-22251-461187</t>
  </si>
  <si>
    <t xml:space="preserve">Nail Technician </t>
  </si>
  <si>
    <t>Manicurists and Pedicurists</t>
  </si>
  <si>
    <t xml:space="preserve">Regal Nail salon </t>
  </si>
  <si>
    <t>1149 Nimmo PKWY</t>
  </si>
  <si>
    <t xml:space="preserve">Virginia Beach </t>
  </si>
  <si>
    <t>Than</t>
  </si>
  <si>
    <t>Thien</t>
  </si>
  <si>
    <t>Hau</t>
  </si>
  <si>
    <t>Salon Owner</t>
  </si>
  <si>
    <t>4720 Adler AVE</t>
  </si>
  <si>
    <t>regalnails1149@gmail.com</t>
  </si>
  <si>
    <t xml:space="preserve">new employees will be place on training to learn to do pedicure and Manicure. </t>
  </si>
  <si>
    <t xml:space="preserve">1149 Nimmo PKWY </t>
  </si>
  <si>
    <t>inside Walmart</t>
  </si>
  <si>
    <t>P-400-22207-377548</t>
  </si>
  <si>
    <t>H-400-22242-444480</t>
  </si>
  <si>
    <t>We will make all deductions required by law (ie. federal and state income taxes, social security taxes). We will make a deduction for bi-weekly occupancy fee at our employer-provided housing at a rate of $275.00 each bi-weekly period the employee resides there. Any past due and unpaid weekly occupancy fees will also be deducted from pay.  Employees elect to reside in our employer-provided housing, if they do not, no deductions for housing will occur.  No other deductions will be made from pay, except statutory taxes.</t>
  </si>
  <si>
    <t>H-400-22250-458052</t>
  </si>
  <si>
    <t>Innovative Ice Melt Inc</t>
  </si>
  <si>
    <t>Salt Depot Inc</t>
  </si>
  <si>
    <t>5476 W Wells Park Rd</t>
  </si>
  <si>
    <t>Zarr</t>
  </si>
  <si>
    <t>Mary Jean</t>
  </si>
  <si>
    <t>PO Box 1976</t>
  </si>
  <si>
    <t>mary@saltdepotinc.com</t>
  </si>
  <si>
    <t>Able to lift 50lb
Able to stand, bend and lift for long periods of time</t>
  </si>
  <si>
    <t>P-400-22165-277943</t>
  </si>
  <si>
    <t>Deductions for State and Federal taxes, any employee elected benefits.</t>
  </si>
  <si>
    <t>H-400-22257-473306</t>
  </si>
  <si>
    <t xml:space="preserve">* Raises and/or bonuses at employer's discretion
* Overtime and weekends may be available depending on weather and work load. Returning workers and workers with more experience may be paid higher wage rates. Opportunity for higher pay dependent upon experience </t>
  </si>
  <si>
    <t>P-400-22207-377202</t>
  </si>
  <si>
    <t>H-400-22251-461213</t>
  </si>
  <si>
    <t>SOUTHEAST THOROUGHBRED RACING LLC</t>
  </si>
  <si>
    <t>GULFSTREAM PARK</t>
  </si>
  <si>
    <t>901 S Federal Hwy</t>
  </si>
  <si>
    <t>Hallandale Beach</t>
  </si>
  <si>
    <t>P-400-22144-207152</t>
  </si>
  <si>
    <t>H-400-22272-501103</t>
  </si>
  <si>
    <t>433 Mountain Road Operating Company, LLC</t>
  </si>
  <si>
    <t>Field Guide</t>
  </si>
  <si>
    <t>433 Mountain Road</t>
  </si>
  <si>
    <t>29  Main Street</t>
  </si>
  <si>
    <t xml:space="preserve">The Petitioner will consider for employment any person who possesses at least three (3) months of experience at a high-end hotel, resort, or private club.  
</t>
  </si>
  <si>
    <t xml:space="preserve">Wage: $15.57 - $16.50 per hour, paid bi-weekly.  Overtime is available at $23.36 - $24.75 per hour.  </t>
  </si>
  <si>
    <t>P-400-22206-373519</t>
  </si>
  <si>
    <t>Optional housing is offered. Housing is limited and may not be available to all workers who might need it.  Cost of housing, including utilities, if accepted, is $150.00 per bi-weekly pay period.  If used, total cost of housing will be deducted from worker’s paycheck.</t>
  </si>
  <si>
    <t>H-400-22280-516211</t>
  </si>
  <si>
    <t>Cowboy Kettle Corn</t>
  </si>
  <si>
    <t>830 FM 2537</t>
  </si>
  <si>
    <t>kelly.bishop22@yahoo.com</t>
  </si>
  <si>
    <t>10500 Sea World Dr</t>
  </si>
  <si>
    <t>P-400-22158-251904</t>
  </si>
  <si>
    <t>H-400-22301-556811</t>
  </si>
  <si>
    <t>Proficient knowledge of home safety and first aid.
Proficient knowledge of housekeeping and meal preparation.
Outstanding verbal communication skills.
Outstanding organizational and multitasking abilities.
Affinity for children and pets.
Good moral character and pleasant disposition.
Physically fit, energetic, agile, and dexterous.</t>
  </si>
  <si>
    <t>H-400-22251-462713</t>
  </si>
  <si>
    <t>Physical Requirements:
1) Required to walk, stand, climb, balance, stoop, kneel, crouch, crawl, lift, grasp, carry, push, and pull.
2) Must be able to shovel snow for long periods of time.
3) Must be able to lift and/or move 50 pounds plus.
4) Specific vision abilities required by this job include close vision, distance vision, color vision, peripheral vision, depth perception, and the ability to adjust focus.
F.A.5.-F.A.6. Hours average 35 per week; normal schedule 10:00 AM to 5:00 PM, must be available 24/7 on-call as needed (when there is 30% chance or more for a storm, workers must be able to make it out to where they are needed to labor in less than two hours from when they are notified to report at the location).</t>
  </si>
  <si>
    <t>P-400-22203-371729</t>
  </si>
  <si>
    <t>WORKERS CAN ELECT TO HAVE EMPLOYER SECURE HOUSING IF NEEDED, IN WHICH CASE WORKER'S PRO RATA SHARE OF ACTUAL HOUSING COSTS (RENT, UTILITIES, RENTER'S INSURANCE), WHICH WILL BE REASONABLE &amp; BASED ON THE FAIR VALUE OF SUCH BENEFIT, WILL BE DEDUCTED FROM WORKER'S PAYCHECK. CURRENT MONTHLY HOUSING COST IS $330.</t>
  </si>
  <si>
    <t>H-400-22234-429568</t>
  </si>
  <si>
    <t>H-400-22250-460203</t>
  </si>
  <si>
    <t>Green Forestry, LLC</t>
  </si>
  <si>
    <t>11395 Redbud Lane</t>
  </si>
  <si>
    <t>Orange</t>
  </si>
  <si>
    <t>GreenForestryllc@gmail.com</t>
  </si>
  <si>
    <t>700 Main St  (Report to Work)</t>
  </si>
  <si>
    <t>GATES</t>
  </si>
  <si>
    <t>P-400-22132-166896</t>
  </si>
  <si>
    <t>At Employer’s sole discretion: possible cash advances (if applicable/requested by worker, potential deduction from worker’s paycheck).
Optional housing available.</t>
  </si>
  <si>
    <t>greenforestryllc@gmail.com</t>
  </si>
  <si>
    <t>H-400-22299-552189</t>
  </si>
  <si>
    <t>Strates Shows, Inc.</t>
  </si>
  <si>
    <t>10600 S ORANGE AVE</t>
  </si>
  <si>
    <t>E. Jay</t>
  </si>
  <si>
    <t>Director of Finance and Administration</t>
  </si>
  <si>
    <t>jay@strates.com</t>
  </si>
  <si>
    <t xml:space="preserve">Hours, schedule, and days vary widely.  
Typically Wed-Sun, 4pm  11pm.  
Often 35-45 hours per week.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</si>
  <si>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10600 S Orange Aveune</t>
  </si>
  <si>
    <t>Employer will make all deductions from the worker's paycheck as required by law. Wage prepayment and merit/sick/bonus/su</t>
  </si>
  <si>
    <t>P-400-22201-365135</t>
  </si>
  <si>
    <t xml:space="preserve">Optional mobile housing ($125/week)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</si>
  <si>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https://stratescarnivalcompany.com/contact-us</t>
  </si>
  <si>
    <t>H-400-22281-518583</t>
  </si>
  <si>
    <t>5255 Buttermilk Falls Road</t>
  </si>
  <si>
    <t>Wage:piece-rate position paid on a basis of rooms cleaned, rather than on an hourly basis. Piece rate position paid on a basis of rooms cleaned, rather than on an hourly basis. Guaranteed prevailing wage rate of $13.84 per hour, paid weekly in any given workweek when total piece-rate compensation does not meet prevailing wage. Piece rate is paid per room cleaned and varies from$6.83 for a small unit or suite to $67.71for a large unit or suite. Overtime is available and guaranteed at no less than $20.76 per hour. Depending upon worksite location and other discretionary factors, employee may be eligible for additional compensation in the form of an additional bonus at the discretion of the employer. Example of discretionary bonuses may include: employee referral, or performance bonuses.</t>
  </si>
  <si>
    <t>P-400-22179-318222</t>
  </si>
  <si>
    <t>H-400-22283-519826</t>
  </si>
  <si>
    <t xml:space="preserve"> Subs Tenn  LLC</t>
  </si>
  <si>
    <t>Stamps</t>
  </si>
  <si>
    <t>HR/Administration</t>
  </si>
  <si>
    <t>9800 4th Street North</t>
  </si>
  <si>
    <t>jstamps@subsouth.net</t>
  </si>
  <si>
    <t xml:space="preserve">Days/Shifts may vary
Employer reserves the right to pay a higher wage rate of bonus to any worker, in their sole discretion, based on performance, skill, tenure, or experience.
Up to 44 hours of overtime available
Optional employer housing is available to the worker at a cost of $96.25/week
Travel to and from the worksite will be provided at no cost to the workers </t>
  </si>
  <si>
    <t>1433 South Sumter Blvd.</t>
  </si>
  <si>
    <t>North Port</t>
  </si>
  <si>
    <t>Overtime is paid for working greater than 40 hours in any given week.</t>
  </si>
  <si>
    <t>P-400-22235-432742</t>
  </si>
  <si>
    <t>H-400-22187-333165</t>
  </si>
  <si>
    <t>23410 Grand Reserve DRive</t>
  </si>
  <si>
    <t>Unit 902</t>
  </si>
  <si>
    <t>P-400-22124-135627</t>
  </si>
  <si>
    <t>H-400-22278-510933</t>
  </si>
  <si>
    <t>1662 Gause Blvd (Report to Work)</t>
  </si>
  <si>
    <t xml:space="preserve">H&amp;W Benefits may apply. Depends on Experience. </t>
  </si>
  <si>
    <t>P-400-22223-412466</t>
  </si>
  <si>
    <t>H-400-22218-401107</t>
  </si>
  <si>
    <t>Snowmaker</t>
  </si>
  <si>
    <t>The Stratton Corporation</t>
  </si>
  <si>
    <t>Stratton Mountain Resort</t>
  </si>
  <si>
    <t>5 Village Lodge Rd.</t>
  </si>
  <si>
    <t>Stratton Mountain</t>
  </si>
  <si>
    <t xml:space="preserve">Kristyn </t>
  </si>
  <si>
    <t>5 Village Lodge Road</t>
  </si>
  <si>
    <t>KGreene@stratton.com</t>
  </si>
  <si>
    <t>Three (3) months of guest service or maintenance experience in a resort, private club, tourism, or professional environment required.
Must be willing to work overnight hours in winter conditions and will required to lift up to 50 lbs on a regular basis. 
On-the-job training is provided.
35 hours per week. Shifts available 7 days a week including weekends and holidays. 4a-11a, 7a-3p, 4p-11p, 7p-3a
Wage Per Hour: $20.63 - $21.00. Overtime Possible Per Hour at $30.95 - $31.50</t>
  </si>
  <si>
    <t>STRATTON</t>
  </si>
  <si>
    <t>P-400-22154-239501</t>
  </si>
  <si>
    <t xml:space="preserve">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
</t>
  </si>
  <si>
    <t>humanresources@stratton.com</t>
  </si>
  <si>
    <t>H-400-22251-462598</t>
  </si>
  <si>
    <t xml:space="preserve">The Petitioner will consider for employment any person who possesses at least three (3) months of experience at a high-end hotel, resort, or private club.
Applicant must complete pre-employment background check.  
</t>
  </si>
  <si>
    <t>Wage: $15.57 - $20.94 per hour, paid bi-weekly.  See job description.</t>
  </si>
  <si>
    <t>P-400-22180-319842</t>
  </si>
  <si>
    <t>H-400-22289-532243</t>
  </si>
  <si>
    <t>Tri-State Forestry Service, LLC</t>
  </si>
  <si>
    <t>745 Lake Road</t>
  </si>
  <si>
    <t>Stonewell</t>
  </si>
  <si>
    <t>Hines</t>
  </si>
  <si>
    <t>Light</t>
  </si>
  <si>
    <t>Stonewall</t>
  </si>
  <si>
    <t>cindy@tristateforestryservice.com</t>
  </si>
  <si>
    <t xml:space="preserve">The worker should be able to plant a minimum of 2,000 seedlings per day. 
The work is located within various counties listed above in the states of Arkansas, Florida, Louisiana, Maryland, Mississippi, North Carolina, Pennsylvania, South Carolina, and Virginia. Travel to the counties in these states are required. Daily transportation will be provided to and from a central location in each area such as a nearby hotel.
</t>
  </si>
  <si>
    <t>DE SOTO</t>
  </si>
  <si>
    <t xml:space="preserve">The wage earned will be determined by the geographical area of employment, work experience, &amp;/or work performance.  Variable weather conditions apply and hours may fluctuate (+/-), possible downtime. OVERTIME: Overtime is available as needed, but not required.  The wage earned will be determined by the geographical area of employment, work experience, and/or work performance.
</t>
  </si>
  <si>
    <t>P-400-22167-287002</t>
  </si>
  <si>
    <t>The employer will make all deductions from pay as required by law.  Employer will assist employee in securing board, lodging, or other facilities.</t>
  </si>
  <si>
    <t>H-400-22259-478566</t>
  </si>
  <si>
    <t>P-400-22130-157324</t>
  </si>
  <si>
    <t>H-400-22286-526561</t>
  </si>
  <si>
    <t xml:space="preserve">Truck Driver  </t>
  </si>
  <si>
    <t xml:space="preserve">Royal Oak Ag Services, Inc. </t>
  </si>
  <si>
    <t>2370 Skyway Drive, Suite 102</t>
  </si>
  <si>
    <t>Santa Maria</t>
  </si>
  <si>
    <t>Prandini</t>
  </si>
  <si>
    <t>2370 Skyway Drive Suite 102</t>
  </si>
  <si>
    <t>steve@royaloakag.com</t>
  </si>
  <si>
    <t xml:space="preserve">Commercial drivers license or equivalent
Yes; Truck drivers must be able to drive commercial trucks with 12 months truck driving experience.  Each worker is expected to drive vehicles efficiently and safely through all types of roadways. Workers must be able to operate tractors, trailers, semi-trailers, and have adequate knowledge to make minor adjustments or repairs to these vehicles. Must have a CDL or equivalent license, pass a required drivers license background check, and mandated drug and alcohol test as required by DOT rules. Truck drivers must have and maintain a suitable driving record and be ensured by the employers insurance company. Physical Demands: This job will entail extensive sitting, and repetitive movement. 
Daily travel to various locations in the Imperial, CA, Yuma, AZ, and Santa Barbara, CA areas. </t>
  </si>
  <si>
    <t>375 East Commerical Avenue</t>
  </si>
  <si>
    <t>El Centro</t>
  </si>
  <si>
    <t>P-400-22143-200325</t>
  </si>
  <si>
    <t>Workers will be paid weekly by check.  Overtime hours may vary, depending on weather or other conditions, and workers may be exempt from overtime under the Motor Carrier Exemption. Non-exempt overtime hours will be paid at $33.87 per hour.  The Employer will use a single workweek as its standard for computing wages due.  The Employer will make all deductions from the worker’s paycheck required by law.</t>
  </si>
  <si>
    <t>esperanza@royaloakag.com</t>
  </si>
  <si>
    <t>H-400-22257-472850</t>
  </si>
  <si>
    <t>deborah.davis@hrccincinnati.com</t>
  </si>
  <si>
    <t xml:space="preserve">No minimum education required.
No minimum experience required.
Must be at least 19 years old.
Workers are subject to post-employment criminal background checks, paid by employer and applied equally to all workers, U.S. and foreign/H-2B. 
Workers are subject to post-employment/post-injury or incident drug testing, paid by employer and applied equally to all workers, U.S. and foreign/H-2B. 
Must be able to work weekends and holidays as required. 
Must be able to lift 50 lbs. 
Applicant must complete an employment application.  
Employer will provide worker at no charge all tools, supplies, and equipment required to perform job.
Required uniform and onsite dry-cleaning provided at no cost to employee. 
The employer will provide on the job training.
A single workweek will be used to compute wages due. Pay received weekly. </t>
  </si>
  <si>
    <t>P-400-22187-334979</t>
  </si>
  <si>
    <t>Employer will make all deductions from the worker's paycheck required by law.
This position is required to be members of the Union, Union dues will be deducted from pay monthly from
the first paycheck of the month and are $48.50 a month. Copy of CBA agreement available preemployment
by request.
Optional employee shared housing available, including utilities, approx. $125.00 per week. Public
transportation available at main worksite. Housing available for payroll deduction if employee elects.</t>
  </si>
  <si>
    <t>H-400-22235-433368</t>
  </si>
  <si>
    <t>H-400-22238-441527</t>
  </si>
  <si>
    <t>See F.a.4 under "Terms &amp; Conditions of Employment"</t>
  </si>
  <si>
    <t>P-400-22174-307828</t>
  </si>
  <si>
    <t>H-400-22251-460373</t>
  </si>
  <si>
    <t>Child Care Teacher</t>
  </si>
  <si>
    <t xml:space="preserve">six (6) months of experience in a child care environment. 
May need to lift and carry up to 40 pounds.
35 hours per week.  Shifts available 7 days a week including weekends and holidays. 8:00am - 4:30pm, including weekends and holidays.
Wage Per Hour: $12.78 - $22.75. Overtime possible at hourly wage of $19.17  $34.12.
Pre-employment background checks are completed in new hire onboarding with Human Resources. Drug screening is completed randomly, if there is a worksite injury, or if there is damage to Deer Valley property that is more than $150.
</t>
  </si>
  <si>
    <t>Based on performance and merit.  Each employee receives a performance review at the end of each season, based on these reviews employees will receive a merit from 0% - 3% for the start of the next winter season. Employee's may receive spot raises based on their performance.</t>
  </si>
  <si>
    <t>P-400-22159-255731</t>
  </si>
  <si>
    <t>All deductions required by law will be made.
Housing is offered and optional. Cost of housing, if accepted, is $119 - $185.50 per week, subject to change. If used, total cost of housing will be deducted from paycheck. A $250 partially refundable security deposit is required, to be paid directly to employer upon acceptance of housing. Up to $200 of deposit may be returned to the employee based on condition of housing, at the employer's sole discretion, at the end of the employment period.
We also assist in finding third party housing by providing a list of available contacts in the Park City area that staff can contact directly.
Optional deductions from paycheck offered for meals, 401K, health insurance, non-returned company items, housing rent and fines, employee entertainment events and functions. Benefits: meal plans are $3.50/meal, ski lift passes are free, retail discounts range from 10-20% off in all Deer Valley outlets.</t>
  </si>
  <si>
    <t>cjudkins@deervalley.com</t>
  </si>
  <si>
    <t>H-400-22238-441537</t>
  </si>
  <si>
    <t>Snow Removal and Winter Landscape Laborer</t>
  </si>
  <si>
    <t>Spectrum Landscaping Services</t>
  </si>
  <si>
    <t>41 W Main Street, Ste 4</t>
  </si>
  <si>
    <t>Midway</t>
  </si>
  <si>
    <t>Ashby</t>
  </si>
  <si>
    <t>41 W Main Street, Ste. 4</t>
  </si>
  <si>
    <t>kashby6@gmail.com</t>
  </si>
  <si>
    <t>Must be a self-starter and able to lift 50 lbs. and work in extreme winter weather conditions. Pre-employment drug screening required at employers expense.</t>
  </si>
  <si>
    <t>P-400-22192-342809</t>
  </si>
  <si>
    <t>The employer will make all deductions from the worker’s paycheck required by law including reasonable cost of housing if
provided by employer. Optional employer-provided housing is available at a cost of no more than $150 per week.</t>
  </si>
  <si>
    <t>H-400-22291-534819</t>
  </si>
  <si>
    <t>104 Estes Place</t>
  </si>
  <si>
    <t>P-400-22202-367630</t>
  </si>
  <si>
    <t>H-400-22321-592988</t>
  </si>
  <si>
    <t>DreamScapes Lawn Maintenance Co., Inc</t>
  </si>
  <si>
    <t>4337 Dallas Acworth Hwy</t>
  </si>
  <si>
    <t>P. O. Box 801090</t>
  </si>
  <si>
    <t>accounting@thedreamscapes.com</t>
  </si>
  <si>
    <t>P-400-22230-425157</t>
  </si>
  <si>
    <t>CHARACTER LIMIT: Shared housing available to only seasonal full-time employees, not offered to non-employees. Employees may make their own arrangements at their own expense. If they opt to live in employer provided housing rent (utilities included) charged at $87.50/week.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t>
  </si>
  <si>
    <t>H-400-22327-603314</t>
  </si>
  <si>
    <t>Ability to lift 20lbs
40 hrs/wk, work 5 days/wk, 9am-5pm, M-Sun, workdays/hours may vary depending on hotel capacity</t>
  </si>
  <si>
    <t>P-400-22279-514163</t>
  </si>
  <si>
    <t>Employer will provide optional housing to workers and deduct $175/paycheck for rent.
Benefits: Employer may offer lunch to employee when working.
Employer may charge the worker for reasonable costs related to the worker's refusal or negligent failure to return any property furnished by the employer or due to such worker's willful damage or destruction of such property. Deductions may be taken per employee's request.</t>
  </si>
  <si>
    <t>H-400-22333-609633</t>
  </si>
  <si>
    <t xml:space="preserve">Mon-Fri, some Saturdays required. Overtime varies. Able to lift 50lbs. 2 months experience required in landscape services.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</si>
  <si>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H-400-22332-608019</t>
  </si>
  <si>
    <t>Gulf Stream Concession Equipment Co</t>
  </si>
  <si>
    <t>9024 Wiggins Rd</t>
  </si>
  <si>
    <t xml:space="preserve">Pugh Sr. </t>
  </si>
  <si>
    <t>summersmoney03@aol.com</t>
  </si>
  <si>
    <t>9024 Wiggins Rd.</t>
  </si>
  <si>
    <t>See addendum attached.</t>
  </si>
  <si>
    <t>P-400-22278-512098</t>
  </si>
  <si>
    <t>H-400-22329-606147</t>
  </si>
  <si>
    <t>Carpenter's Helper</t>
  </si>
  <si>
    <t>Woodpecker Cabinets, Inc.</t>
  </si>
  <si>
    <t>2301 Hwy 380</t>
  </si>
  <si>
    <t xml:space="preserve">2301 Hwy 380 </t>
  </si>
  <si>
    <t>P-400-22245-452606</t>
  </si>
  <si>
    <t>H-400-22322-596215</t>
  </si>
  <si>
    <t>No minimum education or experience required. 
Workers are subject to post-employment criminal background checks, paid by employer and applied equally to all workers, U.S. and foreign/H-2B. 
Must be able to work 5-day schedule, including weekends and holidays as required.
Applicants must complete an employment application. 
Basic wage rate: $15.00 per hour. Employer may increase wage based on experience, market conditions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t>
  </si>
  <si>
    <t>P-400-22280-517254</t>
  </si>
  <si>
    <t xml:space="preserve">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t>
  </si>
  <si>
    <t>https://www.omnihotels.com/careers</t>
  </si>
  <si>
    <t>H-400-22322-595675</t>
  </si>
  <si>
    <t>Landscape, Lawn Worker</t>
  </si>
  <si>
    <t>Green Care Grounds Management, LLC</t>
  </si>
  <si>
    <t>12121 Douglas Drive</t>
  </si>
  <si>
    <t>greencaregm@yahoo.com</t>
  </si>
  <si>
    <t xml:space="preserve">Must have reliable transportation to and from work; valid driver's license required; random drug screening upon hire (paid for by employer); overtime may be offered and varies; overtime hours may include weekend hours.
</t>
  </si>
  <si>
    <t>Employees may make more than the wage depending on work performance</t>
  </si>
  <si>
    <t>P-400-22263-482043</t>
  </si>
  <si>
    <t xml:space="preserve">Employer will make all deductions for workers’ paycheck as required by law. Employer may allow deductions not required by law as long as advanced permission is granted by employee or employer will state the specific deductions. </t>
  </si>
  <si>
    <t>H-400-22323-597674</t>
  </si>
  <si>
    <t>C &amp; K Lawn Services, LLC</t>
  </si>
  <si>
    <t>3000 Ackerman Rd.</t>
  </si>
  <si>
    <t>Mailing: 1503 Hearthstone, San Antonio, TX 78258</t>
  </si>
  <si>
    <t>Kirby</t>
  </si>
  <si>
    <t>Covin</t>
  </si>
  <si>
    <t>office@candklawnservices.com</t>
  </si>
  <si>
    <t>Able to lift 50lbs, Pre-hire background check required; Post-Accident Drug Testing, Monday-Friday, Some Saturdays may be required,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</si>
  <si>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P-400-22242-445389</t>
  </si>
  <si>
    <t>See addendum:  Overtime is not guaranteed but if worked rate is paid at time and a half per hour above 40 hours per...</t>
  </si>
  <si>
    <t>H-400-22335-614868</t>
  </si>
  <si>
    <t>Pre-hire background check required, Pre-employment drug testing required, Able to lift 50lbs, M-F, Overtime Varies, rotating schedule, schedule varies, some weekends as needed.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</si>
  <si>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H-400-22335-613800</t>
  </si>
  <si>
    <t>Building Custodian</t>
  </si>
  <si>
    <t>P-400-22255-467855</t>
  </si>
  <si>
    <t xml:space="preserve">EEmployer will make all deductions from the worker's paycheck required by law and deduct approved cost of housing if worker elects. Optional employee shared housing, approximate rate $130 per week plus $200 refundable deposit. Includes utilities, trash, pest control, cable, internet and transportation to and from work. Multiple variations of insurance plans available for Medical, Dental, Vision, payroll deduct if worker elects, approximate costs: $3.00-$300 depending on options employee chooses. Other optional insurances available include short-and long-term disability, extended life insurance, death and dismemberment, etc. Payroll deduction per pay check $5.00-$50.00 depending on options employee chooses. Optional employee HSA/FSA, contribution amount up to employee.
Employer will provide worker at no charge all tools, supplies, and equipment, and uniform required to perform job. 
</t>
  </si>
  <si>
    <t>H-400-22335-613826</t>
  </si>
  <si>
    <t xml:space="preserve">Amusement Ride Operators </t>
  </si>
  <si>
    <t>KGN Promotions LLC</t>
  </si>
  <si>
    <t>DBA Fun Time Family Amusements</t>
  </si>
  <si>
    <t>5480 Keil Loop</t>
  </si>
  <si>
    <t xml:space="preserve">POST-EMPLOYMENT EMPLOYER-PAID DRUG TESTING MAY BE ADMINISTERED. Must be available and willing to travel on a weekly basis; WORK SCHEDULE VARIES. Must be able to lift 50 lbs. Must show up to work sober.
Work days:  Typically Wednesday-Saturday;
Hours per week: 35
Work Schedule: 4pm to 11pm; schedule varies
Itinerary starts in Volusia county. Work will be performed at various locations (see list of all counties included in itinerary for reference). 
Basic hourly wage:  $10.06- $11.86/hr and $352.10 - $415.10/week, depending on location
Overtime wage: Overtime hours are offered, however overtime pay is subject to Section 13(a)(3) of the FLSA.
Additional information about wage: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hours available?  Yes
On-the-Job Training provided?  Yes
Employer-Provided Tools and Equipment provided?  Yes
Board, Lodging or Other Facilities provided?:  Yes
Deductions:
N/A
</t>
  </si>
  <si>
    <t>674 Tomoka Farms Rd.</t>
  </si>
  <si>
    <t>New Smyrna</t>
  </si>
  <si>
    <t>P-400-22273-505382</t>
  </si>
  <si>
    <t>Housing is optional, free-of-charge.</t>
  </si>
  <si>
    <t>H-400-22335-613657</t>
  </si>
  <si>
    <t>AC Landscaping Ltd</t>
  </si>
  <si>
    <t>1500 OSBORN AVE</t>
  </si>
  <si>
    <t>P.O. BOX 466, WADING RIVER, NY 11792</t>
  </si>
  <si>
    <t>Cardone</t>
  </si>
  <si>
    <t>P-400-22186-331813</t>
  </si>
  <si>
    <t>Housing optional, if used $84.00 per wk deduction from paycheck weekly.</t>
  </si>
  <si>
    <t>aclandscapingltd.com</t>
  </si>
  <si>
    <t>H-400-22335-614703</t>
  </si>
  <si>
    <t xml:space="preserve">Pre-employment drug testing required; Post-Accident Drug Testing. Able to lift 50lbs. Monday-Friday, some Saturdays required,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t>
  </si>
  <si>
    <t>H-400-22335-613758</t>
  </si>
  <si>
    <t>Recreational Protective Service Worker</t>
  </si>
  <si>
    <t xml:space="preserve">Post-employment background check; pre-employment, post injury or incident and reasonable suspicion drug test required cost paid by employer and applied equally to all workers, US and foreign/H2B. All employees will be required to follow the companys current policy regarding masks, vaccines and testing that is in place at their time of hire. Must be able to work a five-day schedule including weekends and holidays as required. Applicant must complete an employment application. 
</t>
  </si>
  <si>
    <t>5 Grasslawn Avenue</t>
  </si>
  <si>
    <t>P-400-22243-449158</t>
  </si>
  <si>
    <t>H-400-22335-613794</t>
  </si>
  <si>
    <t>Quality One, Inc.</t>
  </si>
  <si>
    <t>3709 Level Village Rd</t>
  </si>
  <si>
    <t>Bane</t>
  </si>
  <si>
    <t>Havre De Grace</t>
  </si>
  <si>
    <t>daniellelbane@gmail.com</t>
  </si>
  <si>
    <t xml:space="preserve">Post-employment criminal background check and post-injury or incident drug testing required, cost paid by employer and applied equally to all workers, U.S. and foreign/H-2B. Must be able to work a 5-day schedule, may include weekends and holidays. Applicants must complete an employment application. </t>
  </si>
  <si>
    <t>P-400-22160-264447</t>
  </si>
  <si>
    <t xml:space="preserve">Employer will make all deductions from the worker's paycheck required by law and deduct approved cost of housing if worker elects. Optional employee only shared housing, approximate cost $60 per week does not include utilities. Employer pays utilities.
Employer will provide worker at no charge all tools, supplies, equipment, and uniform required to perform job. 
</t>
  </si>
  <si>
    <t>www.mwejobs.maryland.gov</t>
  </si>
  <si>
    <t>H-400-22335-613668</t>
  </si>
  <si>
    <t>H-400-22335-614620</t>
  </si>
  <si>
    <t>Mountain View Lawn Service Inc.</t>
  </si>
  <si>
    <t>8920 Longs Mill Road</t>
  </si>
  <si>
    <t>Mailing: P.O. Box 670, Walkersville, MD 21793</t>
  </si>
  <si>
    <t>Rocky Ridge</t>
  </si>
  <si>
    <t>mtviewlawns@aol.com</t>
  </si>
  <si>
    <t xml:space="preserve">Random drug testing during employment. Able to lift 50lbs. Must be able to work in inclement weather and extreme temperature. Monday-Friday, schedule varies, start/end times vary, Saturdays required as needed, overtime varies.
All drug testing is performed without regard to an employees citizenship or immigration status, and all testing is paid for by the company. See the additional document attached for further details about the administration of our drug testing policy.
</t>
  </si>
  <si>
    <t>P-400-22206-374584</t>
  </si>
  <si>
    <t>Employer may make payroll deductions at employee's request. Employer facilitates voluntary housing arrangements upon availability along with corresponding payroll deduction, $300-$350/month.</t>
  </si>
  <si>
    <t>H-400-22335-614437</t>
  </si>
  <si>
    <t>C &amp; G Turf Management LLC</t>
  </si>
  <si>
    <t>DBA Color Burst Landscapes</t>
  </si>
  <si>
    <t>245 Wilson Pike Circle</t>
  </si>
  <si>
    <t>Mailing: P.O Box 1783, Brentwood, TN 37024</t>
  </si>
  <si>
    <t>Brentwood</t>
  </si>
  <si>
    <t>corey@colorburstlandscapes.com</t>
  </si>
  <si>
    <t>P-400-22250-458207</t>
  </si>
  <si>
    <t>Employer makes all payroll deductions required by law. Employer does not envision other workforce-wide payroll deductions. If requested, employer helps non-local workers secure worker-paid lodging. Employer deducts reasonable fair market value cost of rent/utilities based on number of occupants for workers electing to reside in employer-provided housing. Voluntary advances and/or loans made to workers, if any, may be repaid by pre-authorized payroll deductions.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t>
  </si>
  <si>
    <t>katie@colorburstlandscapes.com</t>
  </si>
  <si>
    <t>Shearon Environmental Design of NJ Inc</t>
  </si>
  <si>
    <t>337 Route 31</t>
  </si>
  <si>
    <t>Hopewell</t>
  </si>
  <si>
    <t>P-400-22229-422189</t>
  </si>
  <si>
    <t>Concrete Worker</t>
  </si>
  <si>
    <t>H-400-22335-614212</t>
  </si>
  <si>
    <t>ABC Professional Tree Services, Inc - Denton</t>
  </si>
  <si>
    <t>1701 Spencer Rd,</t>
  </si>
  <si>
    <t>P-400-22238-440362</t>
  </si>
  <si>
    <t>H-400-22335-613868</t>
  </si>
  <si>
    <t>P-400-22274-505675</t>
  </si>
  <si>
    <t xml:space="preserve">Optional housing available for 125.00/week to be deducted bi- weekly from paycheck.
250.00 refundable also deducted from paycheck
</t>
  </si>
  <si>
    <t>www.bigfootcc.org</t>
  </si>
  <si>
    <t>H-400-22335-614236</t>
  </si>
  <si>
    <t>Employer makes all payroll deductions required by law. Employer does not envision other workforce-wide payroll deductions. If requested, employer helps non-local workers secure worker-paid lodging (not to exceed fair market value, based on number of occupants). Housing costs paid directly to landlord and are not payroll deducted.  Voluntary advances and/or loans made to workers, if any, may be repaid by pre-authorized payroll deductions. Employer offers free daily transportation to/from worksite from designated pick-up location. Use of transportation is voluntary.  Employer may deduct retirement/savings plan contributions and/or health insurance premiums for workers voluntarily participating in plan(s).  Upon separation from employment, employer may deduct cost for uniforms, tools, or other property not returned to employer.  Employer provides incidental transportation between worksites as necessary.</t>
  </si>
  <si>
    <t>H-400-22337-619410</t>
  </si>
  <si>
    <t>H-400-22335-614536</t>
  </si>
  <si>
    <t>H-400-22335-614436</t>
  </si>
  <si>
    <t>SERENESCAPES, INC.</t>
  </si>
  <si>
    <t>21181 JACKSON RD.</t>
  </si>
  <si>
    <t>SOUTH BEND</t>
  </si>
  <si>
    <t>CHAPLA</t>
  </si>
  <si>
    <t>21181 JACKSON RD</t>
  </si>
  <si>
    <t>serenescapes@sbcglobal.net</t>
  </si>
  <si>
    <t>P-400-22199-359426</t>
  </si>
  <si>
    <t>SereneScapes@sbcglobal.net</t>
  </si>
  <si>
    <t>H-400-22335-613707</t>
  </si>
  <si>
    <t>South Hills Hardscape Creations</t>
  </si>
  <si>
    <t>185 Macek Drive</t>
  </si>
  <si>
    <t>southhillshardscapecreations@comcast.net</t>
  </si>
  <si>
    <t xml:space="preserve">Post-injury or incident and reasonable suspicion drug test required, cost paid by employer and applied equally to all workers, U.S. and foreign/H-2B. Must be able to work a 6 day work week, including weekends/holidays as required. Applicant must complete an employment application.
</t>
  </si>
  <si>
    <t>P-400-22166-284048</t>
  </si>
  <si>
    <t xml:space="preserve">Employer will make all deductions from the worker's paycheck required by law and deduct approved cost of housing if worker elects. Optional employee only shared housing, utilities included; approximate cost $85 per week.  Employer will provide worker at no charge all tools, supplies, equipment and uniform required to perform job. 
</t>
  </si>
  <si>
    <t>Cole Leinneweber LLC</t>
  </si>
  <si>
    <t>CL Concrete</t>
  </si>
  <si>
    <t>1105 Quail Run</t>
  </si>
  <si>
    <t>Pape</t>
  </si>
  <si>
    <t>shelby@clconcrete1.com</t>
  </si>
  <si>
    <t xml:space="preserve">Post-Accident Drug Testing, Able to lift 50lbs, Monday-Friday, some weekends required, schedule varies, start/end time varies, Additional overtime varies. All drug testing is performed without regard to an employees citizenship or immigration status, and all testing is paid for by the company. See the additional document attached for further details about the administration of our drug testing policy.
</t>
  </si>
  <si>
    <t>Opportunity for raises/bonuses at employer's discretion.</t>
  </si>
  <si>
    <t>P-400-22209-381736</t>
  </si>
  <si>
    <t>H-400-22335-614346</t>
  </si>
  <si>
    <t>H-400-22335-613784</t>
  </si>
  <si>
    <t>SLIDING SCALE $19.94-$22.75 REG PAY &amp; $29.91-$34.13 OVERTIME PAY BASED ON PERFORMANCE.</t>
  </si>
  <si>
    <t>H-400-22335-614845</t>
  </si>
  <si>
    <t xml:space="preserve">Random drug testing during employment, Pre-employment drug testing required, Drug testing during employment for cause, Post -Accident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
</t>
  </si>
  <si>
    <t>H-400-22335-613958</t>
  </si>
  <si>
    <t>McMonies Holdings, LLC</t>
  </si>
  <si>
    <t>Evergreen Lawn &amp; Landscape</t>
  </si>
  <si>
    <t>10483 Fincher Rd.</t>
  </si>
  <si>
    <t>10483 Fincher Rd</t>
  </si>
  <si>
    <t>kim@evergreenlls.com</t>
  </si>
  <si>
    <t>P-400-22189-339952</t>
  </si>
  <si>
    <t>H-400-22318-585697</t>
  </si>
  <si>
    <t>H-400-22318-585520</t>
  </si>
  <si>
    <t xml:space="preserve">Restaurant Special Event Organizer Helper </t>
  </si>
  <si>
    <t>Meeting, Convention, and Event Planners</t>
  </si>
  <si>
    <t>HANDICRAFTS ARTESANAS INCORPORATED</t>
  </si>
  <si>
    <t xml:space="preserve">RIC'S BAR AND GRILL RESTAURANT </t>
  </si>
  <si>
    <t>231 E MENASHA AVE</t>
  </si>
  <si>
    <t>WHITELAW</t>
  </si>
  <si>
    <t>GUZMAN ORTIZ</t>
  </si>
  <si>
    <t>MALOU</t>
  </si>
  <si>
    <t>TREASURER MANAGER</t>
  </si>
  <si>
    <t>maloumg@gmail.com</t>
  </si>
  <si>
    <t>Will train on the job</t>
  </si>
  <si>
    <t>MANITOWOC</t>
  </si>
  <si>
    <t>Subsidized Housing and Meals</t>
  </si>
  <si>
    <t>P-400-22202-367072</t>
  </si>
  <si>
    <t>H-400-22321-592288</t>
  </si>
  <si>
    <t>Sugar Shakers, Inc.</t>
  </si>
  <si>
    <t>7406 Turkey Creek Road</t>
  </si>
  <si>
    <t>info@sugarshakers.com</t>
  </si>
  <si>
    <t>P-400-22251-461695</t>
  </si>
  <si>
    <t>H-400-22323-597612</t>
  </si>
  <si>
    <t xml:space="preserve">Lawrence &amp; Companies, LLC. </t>
  </si>
  <si>
    <t>Providence Landscape Group</t>
  </si>
  <si>
    <t>4901 Brookshire Blvd.</t>
  </si>
  <si>
    <t>Gaddy</t>
  </si>
  <si>
    <t>tom.gaddy@plgnc.com</t>
  </si>
  <si>
    <t xml:space="preserve">Lift, move and maneuver up to 50 pounds on an frequent basis, and up to 100 pounds on a infrequent basis.   Work in extreme weather conditions, heat, cold, dry or rain;  exposure to all kinds of weather while completing work assignments, i.e., rain, heat, sun, cold.  Post-Accident, Pre- Employment (new hires only), Upon Suspicion (Post Employment) employer paid drug testing required.  Employer paid post-hire criminal background check required.   
</t>
  </si>
  <si>
    <t>4901 Brookshire Blvd</t>
  </si>
  <si>
    <t>P-400-22280-517355</t>
  </si>
  <si>
    <t xml:space="preserve">Shared housing available to only seasonal full-time employees, not offered to non-employees. Employees may make their own arrangements at their own expense. If they opt to live in employer provided housing rent (utilities included) charged at $100/week.  
F.d.6: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</si>
  <si>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plginfo@plgnc.com</t>
  </si>
  <si>
    <t>https://plginfo@plgnc.com</t>
  </si>
  <si>
    <t>H-400-22322-595820</t>
  </si>
  <si>
    <t>Highway Maintenance Laborer</t>
  </si>
  <si>
    <t>Roadway Specialties, Inc.</t>
  </si>
  <si>
    <t>14152 FM 1826</t>
  </si>
  <si>
    <t>P. O. Box 90309, Austin, TX 78737</t>
  </si>
  <si>
    <t>Danette</t>
  </si>
  <si>
    <t>P. O. Box 90309, Austin, TX  78709</t>
  </si>
  <si>
    <t>danette@roadwayspecialties.com</t>
  </si>
  <si>
    <t xml:space="preserve">Lift/carry up to 50 pounds. Pre-Employment, Post Accident employer paid drug testing required. 
</t>
  </si>
  <si>
    <t>P-400-22235-432646</t>
  </si>
  <si>
    <t>H-400-22320-590557</t>
  </si>
  <si>
    <t>Excell Maintenance Services, Inc.</t>
  </si>
  <si>
    <t>2250 US Route 322</t>
  </si>
  <si>
    <t>Woolwich Township</t>
  </si>
  <si>
    <t>Falabella</t>
  </si>
  <si>
    <t>jen@excellmaintenance.com</t>
  </si>
  <si>
    <t>P-400-22271-498101</t>
  </si>
  <si>
    <t>H-400-22321-592190</t>
  </si>
  <si>
    <t>Cooper Outdoor Services, Inc.</t>
  </si>
  <si>
    <t>215 Spring Drive</t>
  </si>
  <si>
    <t>Office@cosstl.com</t>
  </si>
  <si>
    <t>215 Spring Drive (Report to Work)</t>
  </si>
  <si>
    <t>P-400-22211-386615</t>
  </si>
  <si>
    <t>Optional shared housing available at up to $90.00 a week to be deducted from employee's paycheck. 
At Employer’s sole discretion: possible cash advances (if applicable/requested by worker, potential deduction from worker’s paycheck).</t>
  </si>
  <si>
    <t>office@cosstl.com</t>
  </si>
  <si>
    <t>H-400-22335-615581</t>
  </si>
  <si>
    <t>H-400-22313-578933</t>
  </si>
  <si>
    <t xml:space="preserve">	NWSA Certification Preferred
	Must be COMTRAIN or equivalent climb certified.
	PIM, SWEEP, FIBER certified or willing to get.
	Aerial lift Certified
	Computer literate with specific experience with MS Excel, Word &amp; Outlook.
	Strong written and oral communication skills
	Ability to lift 70 lbs
	Ability to work effectively in a team environment, assisting the Tower Foreman on the ground and leading top side activities
	Working knowledge of basic hand tools, mechanical equipment &amp; electro-mechanical equipment
	Experience with Anritsu Site Master, Andrew, PPC, tower mapping &amp; antenna equipment, RF Awareness, replacement and maintenance i.e. Coax, jumpers, TMAs connectors &amp; weatherproofing
	Highly organized with the ability to effectively provide verbal and written reports to upper management
	Completes required daily Job Safety Analysis form.
	Knowledgeable with the hazards associated with tower climbing, construction equipment, and working on or near energized lines and equipment.
	The ability to climb tall structures (100 feet or more) with 50 lb. load.
	Analyzes situations accurately and adopts an appropriate course of action.
	Communicates orally and in writing.
	Follows instructions accurately and complete assigned course of action.
	Recognizes safety hazards and performs duties in a safe, efficient manner.  Safety is a top Priority at Butler and we take our safety record seriously.
	Knowledge of custom tower rigging techniques
	Performs tape drops
	Proficient with topside testing procedures (sweeps, PIM, fiber testing etc.)
	Performs GPS antenna installation
	Proficient with installation of antennas, RRHs, ground kits, RET systems
	Troubleshoots RET systems
	Basic knowledge of microwave dish and radio installations and path alignment
	Ability to train lower-level tower techs.
	Ability to complete closeout packages according to field requirements
</t>
  </si>
  <si>
    <t xml:space="preserve">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 
The employer will deduct a portion of worker’s compensation premium from workers’ pay as 
specified in Washington law at RCW 51.61.140. 
The employer will withhold from the employee’s wages the maximum amount for the portion of 
employee premium required under WA State RCW 50A.04, Paid Family and Medical Leave 
Program. </t>
  </si>
  <si>
    <t>H-400-22313-577261</t>
  </si>
  <si>
    <t>Daily Services, LLC</t>
  </si>
  <si>
    <t>1686 General Mouton Ave.</t>
  </si>
  <si>
    <t>Dailey</t>
  </si>
  <si>
    <t>dwayne@daileyone.com</t>
  </si>
  <si>
    <t>P-400-22256-468877</t>
  </si>
  <si>
    <t>H-400-22335-613766</t>
  </si>
  <si>
    <t>1 MONTH EXPERIENCE AS IRRIGATION WORKER</t>
  </si>
  <si>
    <t>H-400-22335-613790</t>
  </si>
  <si>
    <t>H-400-22318-585161</t>
  </si>
  <si>
    <t>Must pass employer paid post hire drug test. Post hire employer paid background check</t>
  </si>
  <si>
    <t xml:space="preserve">Optional elective uniform Cleaning deduction $18.50 per pay period. Deductions will not drop the overall wage below the UDSOL minimum, if the deductions are too great they will not be made. </t>
  </si>
  <si>
    <t>H-400-22319-586985</t>
  </si>
  <si>
    <t>Curby's Lawn &amp; Garden, LLC</t>
  </si>
  <si>
    <t>14835 S. Gardner Rd.</t>
  </si>
  <si>
    <t>P O Box 301, Olathe, Kansas 66051</t>
  </si>
  <si>
    <t>Curby</t>
  </si>
  <si>
    <t>154835 S. Gardner Rd.</t>
  </si>
  <si>
    <t>curby@curbyslawn.com</t>
  </si>
  <si>
    <t xml:space="preserve">Lift/carry up to 50 pounds Pre-Employment, Post Employment, Post Accident, Random (post-employment), Upon Suspicion (Post Employment) employer paid drug testing required.       </t>
  </si>
  <si>
    <t>14835 S Gardner Rd</t>
  </si>
  <si>
    <t>P-400-22241-443815</t>
  </si>
  <si>
    <t>F.d.6: CHARACTER LIMIT: Shared housing available to only seasonal full-time employees, not offered to non-employees. Employees may make their own arrangements at their own expense. If they opt to live in employer provided housing rent (utilities included) charged at $56.25/week.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t>
  </si>
  <si>
    <t>www.kansasworks.com</t>
  </si>
  <si>
    <t>H-400-22340-625274</t>
  </si>
  <si>
    <t>If requested, emplyr helps non-local workers secure worker-paid lodging (not to exceed fair market value, based on # occupants). Housing costs paid directly to landlord &amp; are not payroll deducted.  Voluntary advances and/or loans made to workers, if any, may be repaid by pre-authorized payroll deducts.  Emplyr may deduct retirement/savings plan contributions &amp;/or health ins premiums for workers voluntarily participating in plan(s). Uniform provided at no cost. Emplyr may deduct cost for voluntary purchase of add’l uniforms for worker's benefit.  Emplyr offers paid time off (PTO) to all eligible workers in position. No daily transportation to/from workprovided. Employer provides incidental transport between worksites as necessary. Such transport complies with all applicable Federal, State, &amp; local laws/regulations.</t>
  </si>
  <si>
    <t>H-400-22335-613778</t>
  </si>
  <si>
    <t>PO BOX 1283 WAINSCOTT NY 11975</t>
  </si>
  <si>
    <t>H-400-22335-613703</t>
  </si>
  <si>
    <t>1 MONTH EXPERIENCE AS AN IRRIGATION HELPER</t>
  </si>
  <si>
    <t>H-400-22291-536043</t>
  </si>
  <si>
    <t>Tree planter and thinner</t>
  </si>
  <si>
    <t>Southwest Cutting, Inc.</t>
  </si>
  <si>
    <t>411 B Street</t>
  </si>
  <si>
    <t>Salomon</t>
  </si>
  <si>
    <t xml:space="preserve">411 B Street </t>
  </si>
  <si>
    <t xml:space="preserve">ability to use power tools and equipment. 1 month experience working in forested areas.
</t>
  </si>
  <si>
    <t>411 B St.</t>
  </si>
  <si>
    <t>The employer will provide a $200 housing stipend per month for workers who are not able to return to their home daily.  The Employer will provide sick leave to employees. The employee will accrue paid sick leave at a minimum rate of 1 hour for every 40 hours worked.” “Employees are entitled to use accrued paid sick leave beginning on the 90th calendar day after the start of their employment, and sick leave will be paid at the employee’s normal hourly rate.” And “Unused paid sick leave of 40 hours or less will be carried over to the following year for those workers returning to employment with the employer.</t>
  </si>
  <si>
    <t>P-400-22206-375109</t>
  </si>
  <si>
    <t xml:space="preserve">•	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
•	The employer will deduct a portion of worker’s compensation premium from workers’ pay as specified in Washington law at RCW 51.61.140.
•	The employer will withhold from the employee’s wages the maximum amount for the portion of employee premium required under WA State RCW 50A.04, Paid Family and Medical Leave Program.
</t>
  </si>
  <si>
    <t>H-400-22298-548666</t>
  </si>
  <si>
    <t>Building Cleaning</t>
  </si>
  <si>
    <t xml:space="preserve">The Executive touch cleaning service LLC </t>
  </si>
  <si>
    <t xml:space="preserve">2642 fort Apachee Ct </t>
  </si>
  <si>
    <t xml:space="preserve">Dacula </t>
  </si>
  <si>
    <t xml:space="preserve">Gwinnett </t>
  </si>
  <si>
    <t xml:space="preserve">Rotella </t>
  </si>
  <si>
    <t xml:space="preserve">Jacqueline </t>
  </si>
  <si>
    <t>everet100@yahoo.com</t>
  </si>
  <si>
    <t xml:space="preserve">Need some English </t>
  </si>
  <si>
    <t>2475 Mill Center Pkwy  Buford ,Ga</t>
  </si>
  <si>
    <t>3331 Hamilton mill Rd # 1106 Buford, Ga 30519 United States</t>
  </si>
  <si>
    <t xml:space="preserve">Buford </t>
  </si>
  <si>
    <t>P-400-22256-470071</t>
  </si>
  <si>
    <t>H-400-22307-566602</t>
  </si>
  <si>
    <t>Southwest Nursery and Supply, LLC</t>
  </si>
  <si>
    <t>Southwest Wholesale Nursery</t>
  </si>
  <si>
    <t>2220 Sandy Lake Rd.</t>
  </si>
  <si>
    <t>mandrade@southwestnursery.com</t>
  </si>
  <si>
    <t xml:space="preserve">Must pass employer paid pre-employment drug test.
</t>
  </si>
  <si>
    <t>P-400-22189-339934</t>
  </si>
  <si>
    <t>H-400-22307-565960</t>
  </si>
  <si>
    <t xml:space="preserve">Must be able to work a 6-day schedule, may include weekends and holidays. Applicants must complete an employment application. 
</t>
  </si>
  <si>
    <t>Employer will make all deductions from the worker's paycheck required by law. The employer will assist workers in finding affordable housing. Optional health insurance available, cost approximately $25.00 per week payroll deducted if worker chooses to enroll. Optional dental insurance available, cost approximately $10.62 per week payroll deducted if worker chooses to enroll. 
Employer will provide worker at no charge all tools, supplies, equipment, and uniform required to perform job.</t>
  </si>
  <si>
    <t>H-400-22308-569175</t>
  </si>
  <si>
    <t>Chick Landscaping, Inc</t>
  </si>
  <si>
    <t xml:space="preserve">9710 Lark Trail </t>
  </si>
  <si>
    <t>Chick</t>
  </si>
  <si>
    <t>Darin</t>
  </si>
  <si>
    <t>9710 Lark Trail</t>
  </si>
  <si>
    <t>P-400-22189-339142</t>
  </si>
  <si>
    <t>Any advances that are made to workers will be deducted from their checks. Employer facilitates corresponding deductions for available health benefits. Employer facilitates voluntary housing arrangements and corresponding payroll deduction, $120-200/month.</t>
  </si>
  <si>
    <t>H-400-22307-566406</t>
  </si>
  <si>
    <t xml:space="preserve">Mon-Fri. Schedule may vary depending on weather. Overtime varies. Able to lift 50lbs.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</si>
  <si>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H-400-22307-565868</t>
  </si>
  <si>
    <t>TWO SHIFTS: 6:00AM - 6:00PM OR 6:00PM - 6:00AM
DAYS/SHIFTS MAY VARY
OPTIONAL EMPLOYER HOUSING IS AVAILABLE AT A COST OF $15/DAY
A PRE-EMPLOYMENT DRUG SCREEN WILL BE REQUIRED.
EMPLOYER RESERVES THE RIGHT TO PAY A HIGHER WAGE RATE OR BONUS TO ANY WORKER, IN THEIR SOLE DISCRETION, BASED ON PERFORMANCE, SKILL, TENURE,
OR EXPERIENCE.
TRANSPORTATION TO AND FROM THE WORKSITE WILL BE PROVIDE TO THE WORKER AT NO COST.
UP TO 44 HOURS OF OVERTIME PER WEEK AVAILABLE AS NEEDED.</t>
  </si>
  <si>
    <t>H-400-22307-565970</t>
  </si>
  <si>
    <t>12601 Rock Hill-Pineville (Report to Work)</t>
  </si>
  <si>
    <t>P-400-22256-470173</t>
  </si>
  <si>
    <t>Optional shared, furnished housing available to the worker (including utilities); if housing is agreed upon by the worker, $76.04 to be deducted from worker's weekly paycheck. 
At Employer’s sole discretion: possible cash advances (if applicable/requested by worker, potential deduction from worker’s paycheck).</t>
  </si>
  <si>
    <t>H-400-22286-529089</t>
  </si>
  <si>
    <t>MDS Home Solutions LLC</t>
  </si>
  <si>
    <t>1799 Pen Argyl Rd</t>
  </si>
  <si>
    <t>P-400-22228-419784</t>
  </si>
  <si>
    <t>H-400-22307-568351</t>
  </si>
  <si>
    <t xml:space="preserve">Lawn Maintenance and Landscaping </t>
  </si>
  <si>
    <t>Accent Lawn Care Services LLC</t>
  </si>
  <si>
    <t>43106 W Pleasant Ridge Rd</t>
  </si>
  <si>
    <t>Lightfoot</t>
  </si>
  <si>
    <t>Marion Melody</t>
  </si>
  <si>
    <t>amanda@accentlawn.com</t>
  </si>
  <si>
    <t>Must perform duties while sober. Employer-paid post-employment drug test may be administered. Knowledge of small equipment usage, irrigation knowledge preferred.
Work days:  Mon - Fri; Saturdays may be required
Hours per week: 40 hours; 8 hours a day, 5 days a week
Work Schedule: 7 am - 4 pm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Deductions: 
Optional Housing Available. Rent will be deducted from paycheck at $90/week.</t>
  </si>
  <si>
    <t>421 Ozone Park Drive</t>
  </si>
  <si>
    <t>P-400-22250-457706</t>
  </si>
  <si>
    <t>Optional housing available. Rent will be deducted from paycheck at $90/week.</t>
  </si>
  <si>
    <t>accentlawn1@aol.com</t>
  </si>
  <si>
    <t>H-400-22280-518419</t>
  </si>
  <si>
    <t>Carpentry Helper</t>
  </si>
  <si>
    <t>Property Connection LLC</t>
  </si>
  <si>
    <t>121 27th St</t>
  </si>
  <si>
    <t>Huntington</t>
  </si>
  <si>
    <t>Boukhemis</t>
  </si>
  <si>
    <t>Dawne</t>
  </si>
  <si>
    <t>dawnepropconn@gmail.com</t>
  </si>
  <si>
    <t>Group Management Services, Inc.</t>
  </si>
  <si>
    <t xml:space="preserve">***Original F.a.2.***
PHYSICAL DEMANDS:
While performing the duties of this job, the individual is constantly moving about at the job site. They must be able to exchange accurate information with other individuals on the construction site.  The employee must regularly lift and/or move up to 50 pounds, occasionally lift and/or move up to 100 pounds with assistance from another worker. The individual must be capable of reviewing their work for errors and make adjustments as necessary. 
WORK ENVIRONMENT:
The individual will be exposed to various different environments from indoors to outdoors depending on the job site. Individuals are exposed to warm and cold temperatures based on season. The individual will be exposed to loud machinery or equipment. 
Individuals are required to wear personal protective equipment as situations dictate for various jobs and maintenance work being performed.
</t>
  </si>
  <si>
    <t>5416 W. Pea Ridge Rd</t>
  </si>
  <si>
    <t>Transportation and housing provided</t>
  </si>
  <si>
    <t>P-400-22190-341528</t>
  </si>
  <si>
    <t>Employer may set up weekly payroll deductions for lodging costs for workers living at a furnished rental property.  
Property Connection LLC will provide a furnished rental property for H-2B workers via a weekly payroll deduction of $200.00. The housing offered is optional.</t>
  </si>
  <si>
    <t>H-400-22307-566062</t>
  </si>
  <si>
    <t>Hickman's Landscape Maintenance, LLC</t>
  </si>
  <si>
    <t>Charleston Grounds Management</t>
  </si>
  <si>
    <t>3456 Maybank Hwy</t>
  </si>
  <si>
    <t>MAILING: P.O. Box 644 Johns Island, SC 29457</t>
  </si>
  <si>
    <t>Hickman</t>
  </si>
  <si>
    <t>kim@charlestongrounds.com</t>
  </si>
  <si>
    <t xml:space="preserve">Post-employment background-check and post-employment/injury or incident drug testing required, costs paid for by employer and applied equally to all workers, U.S. and foreign/H-2B. Must be able to work a 4 day schedule, may include weekends and holidays. Applicants must complete an employment application.  </t>
  </si>
  <si>
    <t>P-400-22151-228191</t>
  </si>
  <si>
    <t xml:space="preserve">Employer will make all deductions from the worker's paycheck required by law and deduct cost of housing and medical plan if worker elects. Optional employee only shared housing approx. $130 per week, including utilities and transportation to/from work. $200 deposit required and refundable if no damages to housing. Optional medical plan $10.85 per pay period if the worker elects.
Employer will provide worker at no charge all tools, supplies, and equipment required to perform job. Required uniform provided. </t>
  </si>
  <si>
    <t>H-400-22336-619311</t>
  </si>
  <si>
    <t>H-400-22249-456982</t>
  </si>
  <si>
    <t>675 East Durant Ave.</t>
  </si>
  <si>
    <t>151 Main St. S</t>
  </si>
  <si>
    <t>P-400-22175-311649</t>
  </si>
  <si>
    <t>Employer will make all deductions from the worker's paycheck as required by law. Optional employee housing available on a first-come, first-serve basis. Rent is $600.00 per month (reasonable cost). Rent payable by cash or check directly to landlord.</t>
  </si>
  <si>
    <t>H-400-22255-466354</t>
  </si>
  <si>
    <t>Concrete Carpenters</t>
  </si>
  <si>
    <t xml:space="preserve">	Thorough understanding of the characteristics of concrete and ability to make plans based on that knowledge.
	Ability to create, lay, and use concrete forms.
	Understanding of and ability to use tools related to cement.
	Ability to create a variety of surfaces for various purposes. 
</t>
  </si>
  <si>
    <t>P-400-22119-121245</t>
  </si>
  <si>
    <t>H-400-22215-394274</t>
  </si>
  <si>
    <t>Trimmer Trainee</t>
  </si>
  <si>
    <t xml:space="preserve">Must have a valid drivers license. 
Must pass a pre-employment substance screening exam. 
Must pass a company administered basic driving test.
Must complete the Ground Operations Specialist Test.
This work includes climbing trees and removing limbs using various hand and power tools on a continuous basis during an eight to ten-hour shift; removing and disposing of tree limbs using various mechanized tools, which can require lifting and carrying from 50 to 100 pound loads. 
Must have no fear of heights. 
</t>
  </si>
  <si>
    <t>P-400-22059-937457</t>
  </si>
  <si>
    <t>Board is optional and costs vary depending on projection (but are approximately $100 per week).</t>
  </si>
  <si>
    <t>H-400-22229-422023</t>
  </si>
  <si>
    <t>High Standard Construction Inc.</t>
  </si>
  <si>
    <t>14522 Landstar Blvd Suite 102</t>
  </si>
  <si>
    <t>Vives</t>
  </si>
  <si>
    <t>info@hscorlando.com</t>
  </si>
  <si>
    <t>P-400-22186-331117</t>
  </si>
  <si>
    <t>www.hscorlando.com</t>
  </si>
  <si>
    <t>High Standard Construction</t>
  </si>
  <si>
    <t>H-400-22284-522015</t>
  </si>
  <si>
    <t>Greg's Crescent City Amusements, LLC</t>
  </si>
  <si>
    <t>423 NAPLES COURT BLDG</t>
  </si>
  <si>
    <t>[1527 GAUSE BLVD. 300 SLIDELL, LA 70458]</t>
  </si>
  <si>
    <t>crescentcitya@yahoo.com</t>
  </si>
  <si>
    <t>423 Naples Court Bldg.</t>
  </si>
  <si>
    <t>P-400-22238-441375</t>
  </si>
  <si>
    <t>https://www.crescentcityamusements.com/employment/employment.asp</t>
  </si>
  <si>
    <t>H-400-22266-490722</t>
  </si>
  <si>
    <t>El Fogon Katracho</t>
  </si>
  <si>
    <t>1550 Dean Forest Rd</t>
  </si>
  <si>
    <t xml:space="preserve">Garden City </t>
  </si>
  <si>
    <t>Altamirano</t>
  </si>
  <si>
    <t>mariaaltamirano1399@gmail.com</t>
  </si>
  <si>
    <t>P-400-22221-406810</t>
  </si>
  <si>
    <t xml:space="preserve">El Fogon Katracho </t>
  </si>
  <si>
    <t>H-400-22259-478508</t>
  </si>
  <si>
    <t>14700 Front Beach Road</t>
  </si>
  <si>
    <t>P-400-22179-318172</t>
  </si>
  <si>
    <t>H-400-22249-456143</t>
  </si>
  <si>
    <t xml:space="preserve">Crawfish Processing, LLC </t>
  </si>
  <si>
    <t>1142 Front Street Lot 2</t>
  </si>
  <si>
    <t>Cottonport</t>
  </si>
  <si>
    <t xml:space="preserve">Bernard </t>
  </si>
  <si>
    <t>crawfishprocessing@gmail.com</t>
  </si>
  <si>
    <t xml:space="preserve">Random drug screening upon hire (paid for by employer); post-accident drug screen as required by insurance. 
</t>
  </si>
  <si>
    <t>Employees may make above hourly wage rate based on piece rate performance; may be paid piece rate of $2.50 per lb if hig</t>
  </si>
  <si>
    <t>P-400-22186-331853</t>
  </si>
  <si>
    <t xml:space="preserve">Employer will make all deductions from workers’ paycheck as required by law; deductions employer intends to make from paycheck, which are not required by law, if applicable, would-be deductions for housing, as discussed above, if employee chooses voluntary housing option. Employer may allow deductions not required by law as long as advance permission is granted by employee or employer will state the specific deductions.  </t>
  </si>
  <si>
    <t>H-400-22276-508102</t>
  </si>
  <si>
    <t>IB Reforestation, LLC</t>
  </si>
  <si>
    <t>104 Queens Gate Ct</t>
  </si>
  <si>
    <t>German</t>
  </si>
  <si>
    <t>ibreforestation@yahoo.com</t>
  </si>
  <si>
    <t>104 Queens Gate Ct (Report to Work)</t>
  </si>
  <si>
    <t>P-400-22203-370629</t>
  </si>
  <si>
    <t>H-400-22294-544311</t>
  </si>
  <si>
    <t>P-400-22277-508867</t>
  </si>
  <si>
    <t>Deductions will be made by the employer for Social Security, Medicare, state income tax, and Federal income tax, health care costs, and lodging expenses.</t>
  </si>
  <si>
    <t>www.surecropfertilizers.com</t>
  </si>
  <si>
    <t>H-400-22309-571294</t>
  </si>
  <si>
    <t>Hesscor, Inc.</t>
  </si>
  <si>
    <t>Professional Playground Installers</t>
  </si>
  <si>
    <t>1548 E Main St</t>
  </si>
  <si>
    <t>Meler</t>
  </si>
  <si>
    <t>Jason@hesscor.com</t>
  </si>
  <si>
    <t xml:space="preserve">Drug testing. Drug-testing requirement is applied "pre-hire." All drug testing will be carried out equally between the U.S. workers and the H-2B workers.  Workdays may include wknd/hol.
</t>
  </si>
  <si>
    <t>P-400-22168-294439</t>
  </si>
  <si>
    <t>H-400-22307-566017</t>
  </si>
  <si>
    <t>Chapman Outdoors, LLC</t>
  </si>
  <si>
    <t>1217 Brumlow Ave.</t>
  </si>
  <si>
    <t>1217 Brumlow Ave. (Report to Work)</t>
  </si>
  <si>
    <t>P-400-22210-385014</t>
  </si>
  <si>
    <t>Optional shared housing available at up to $198.00 bi-weekly to be deducted from employee's paycheck. At Employer’s sole discretion: possible cash advances (if applicable/requested by worker, potential deduction from worker’s paycheck).
Tools, equipment, supplies, and work uniforms provided without charge or deposit. However, a deduction may occur for lost, damaged, stolen, company property or uniforms not returned.</t>
  </si>
  <si>
    <t>H-400-22298-548086</t>
  </si>
  <si>
    <t>Restaurant Manager</t>
  </si>
  <si>
    <t>Strong supervisory and leadership skills.
Excellent interpersonal skills with a focus on customer service.
Excellent time management skills.
Excellent organizational skills and attention to detail.
Familiarity with food handling, safety, and other restaurant guidelines.</t>
  </si>
  <si>
    <t>P-400-22196-354011</t>
  </si>
  <si>
    <t>H-400-22307-566858</t>
  </si>
  <si>
    <t>Envision Lawn and Tree, LLC</t>
  </si>
  <si>
    <t>9812 E. 56th Street</t>
  </si>
  <si>
    <t>Raytown</t>
  </si>
  <si>
    <t>Rachael</t>
  </si>
  <si>
    <t>rachel@envisionlawnandtree.com</t>
  </si>
  <si>
    <t>9812 E. 56th Street (Report to Work)</t>
  </si>
  <si>
    <t>P-400-22217-399833</t>
  </si>
  <si>
    <t>Optional shared housing available at up to $200.00 bi-weekly to be deducted from employee's paycheck. At Employer’s sole discretion: possible cash advances (if applicable/requested by worker, potential deduction from worker’s paycheck).</t>
  </si>
  <si>
    <t>H-400-22307-566287</t>
  </si>
  <si>
    <t xml:space="preserve">James River Grounds Management LLC </t>
  </si>
  <si>
    <t>11008 Washington Hwy.</t>
  </si>
  <si>
    <t xml:space="preserve">Lift/carry up to 50 pounds.  Show past certification for herbicide and fertilizer application (as required by the Commonwealth of VA).  Work in bending and standing positions for extended periods in all types of weather (extreme heat &amp; cold).  Employer paid drug test is Pre-Employment, Post-Employment Random, Post Accident, Post- Employment Upon Suspicion. Employer paid post-hire criminal background check.
</t>
  </si>
  <si>
    <t>See addendum:  Overtime is not guaranteed but if worked rate is paid at time and a half  per hour above 40 hour...</t>
  </si>
  <si>
    <t>P-400-22234-429279</t>
  </si>
  <si>
    <t>Shared housing available to only seasonal full-time employees. Housing is not offered to non-employees. Employees may make their own arrangements at their own expense. However, if they opt to live in employer provided housing they will be charged $87.50/wk; utilities included.  Employer will make the following deductions from worker's wages: all deductions required by law, rent (where applicable), cash advances and repayment of loans, repayment of overpayment of wages to the worker, payment for articles which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</si>
  <si>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H-400-22307-566989</t>
  </si>
  <si>
    <t>H-400-22307-566849</t>
  </si>
  <si>
    <t>Rost Landscaping and Design, Inc.</t>
  </si>
  <si>
    <t>2450 Trails West Ave.</t>
  </si>
  <si>
    <t>toby@rostlandscaping.com</t>
  </si>
  <si>
    <t>2450 Trails West Ave. (Report to Work)</t>
  </si>
  <si>
    <t>P-400-22220-402556</t>
  </si>
  <si>
    <t>H-400-22249-457567</t>
  </si>
  <si>
    <t>Raises and/or bonuses may be offered to any worker in the specified occupation, at the company's sole discretion.</t>
  </si>
  <si>
    <t>P-400-22171-298093</t>
  </si>
  <si>
    <t xml:space="preserve">At employees' request and employer's discretion, employer may provide employees with an interest-free loan or cash advance prior to the commencement of the work period or during the work period. In this event, the employer may, with written consent and by request of the employee, subtract an amount from the employee's paycheck consistent with both parties' agreed terms of repayment for the loan or cash advance.
Please note, raises and/or bonuses may be offered to any worker in the specified occupation, at the company's sole discretion, based on individual factors including work performance, skill and tenure. </t>
  </si>
  <si>
    <t>H-400-22241-443041</t>
  </si>
  <si>
    <t>Installer</t>
  </si>
  <si>
    <t>Cabinetmakers and Bench Carpenters</t>
  </si>
  <si>
    <t>Kitchen Installers LLC</t>
  </si>
  <si>
    <t>P-400-22174-306923</t>
  </si>
  <si>
    <t>H-400-22252-465020</t>
  </si>
  <si>
    <t xml:space="preserve">Must obtain valid U.S. drivers license within 30 days of employment.
No minimum education required.
No minimum experience required.
Must be at least 19 years old.
Workers are subject to post-employment criminal background checks, paid by employer and applied equally to all workers, U.S. and foreign/H-2B. 
Workers are subject to post-employment/post-injury or incident drug testing, paid by employer and applied equally to all workers, U.S. and foreign/H-2B. 
Must be able to work weekends and holidays as required. 
Applicant must complete an employment application.  
Must be able to lift 50 lbs. 
</t>
  </si>
  <si>
    <t>P-400-22187-335022</t>
  </si>
  <si>
    <t xml:space="preserve">Employer will make all deductions from the worker's paycheck required by law.
This is a Union position and workers will be required be members of the Union upon employment. Union dues will be deducted from pay monthly and are $34.00 a month from the first paycheck of the month. Copy of CBA agreement available pre-employment by request.
Optional employee shard housing available, including utilities, approx. $100.00 per week. Public transportation available at main worksite. Housing cost payroll deducted if worker elects.
Employer will provide worker at no charge all tools, supplies, and equipment required to perform job.
Required uniform and onsite dry-cleaning provided at no cost to employee.
</t>
  </si>
  <si>
    <t>H-400-22253-465319</t>
  </si>
  <si>
    <t>No special skills required. Working with disabled individuals that are intellectually disabled providing assistance with activities of daily living.</t>
  </si>
  <si>
    <t>Federal Withholding, Medicare Employee, Social Security</t>
  </si>
  <si>
    <t>www.pelicanhomecare.net</t>
  </si>
  <si>
    <t>H-400-22272-500563</t>
  </si>
  <si>
    <t>Arabic Nanny</t>
  </si>
  <si>
    <t>The Annuity Producer's Shop, LLC</t>
  </si>
  <si>
    <t>Everlinda M. Ishmael</t>
  </si>
  <si>
    <t>91-5408 Kapolei PKWY</t>
  </si>
  <si>
    <t>Unit 11</t>
  </si>
  <si>
    <t>Kapolei</t>
  </si>
  <si>
    <t>Ishmael</t>
  </si>
  <si>
    <t>Everlinda</t>
  </si>
  <si>
    <t>eishmael@tapsmail.com</t>
  </si>
  <si>
    <t xml:space="preserve">Arabic  speak and  write 
</t>
  </si>
  <si>
    <t>P-400-22230-423152</t>
  </si>
  <si>
    <t>share of Social Security and Medicare, along with Federal Unemployment taxes, state unemployment taxes, and Workers' compensation insurance</t>
  </si>
  <si>
    <t>The Annuity Producer's Shop</t>
  </si>
  <si>
    <t>H-400-22285-524276</t>
  </si>
  <si>
    <t>First Class Attractions, Inc.</t>
  </si>
  <si>
    <t>7377 Timberpoint Ct</t>
  </si>
  <si>
    <t>(Mail: 802 W. Main St, Carbondale IL 62901)</t>
  </si>
  <si>
    <t>Schoendienst</t>
  </si>
  <si>
    <t>loreleijuno@gmail.com</t>
  </si>
  <si>
    <t>P-400-22189-338761</t>
  </si>
  <si>
    <t>H-400-22276-506819</t>
  </si>
  <si>
    <t>Lovin Equipment and Sales, Inc.</t>
  </si>
  <si>
    <t>756 Sweetwater Rd.</t>
  </si>
  <si>
    <t>Haley</t>
  </si>
  <si>
    <t>lovinequipmentandsales@aol.com</t>
  </si>
  <si>
    <t>756 Sweetwater Rd. (Report to Work)</t>
  </si>
  <si>
    <t>P-400-22216-398200</t>
  </si>
  <si>
    <t>H-400-22229-422306</t>
  </si>
  <si>
    <t xml:space="preserve">There are no requirements. </t>
  </si>
  <si>
    <t xml:space="preserve">1001 S. Parrott Ave. </t>
  </si>
  <si>
    <t xml:space="preserve">Okeechobee </t>
  </si>
  <si>
    <t xml:space="preserve">Possible overtime not guaranteed. </t>
  </si>
  <si>
    <t>P-400-22165-278845</t>
  </si>
  <si>
    <t xml:space="preserve">Employer provides workers lodging and charges $95 per weekly pay period for rent and utilities to be deducted from weekly paycheck plus deductions required by law. </t>
  </si>
  <si>
    <t>H-400-22277-508374</t>
  </si>
  <si>
    <t xml:space="preserve"> Weekends &amp; holidays reqd.</t>
  </si>
  <si>
    <t>P-400-22181-323328</t>
  </si>
  <si>
    <t>http://www.careers.sandestin.com</t>
  </si>
  <si>
    <t>H-400-22279-514345</t>
  </si>
  <si>
    <t>Hentges Tree Service, Inc.</t>
  </si>
  <si>
    <t>5905 Old Lohman Road</t>
  </si>
  <si>
    <t>Hentges</t>
  </si>
  <si>
    <t>5905 Old Lohman Road (Report to Work)</t>
  </si>
  <si>
    <t>P-400-22210-384446</t>
  </si>
  <si>
    <t>Shared housing available – if used, up to $125/wk will be deducted from paycheck.  At Employer’s sole discretion: possible cash advances (if applicable/requested by worker, potential deduction from worker’s paycheck).</t>
  </si>
  <si>
    <t>info@hentgestree.com</t>
  </si>
  <si>
    <t>H-400-22231-427751</t>
  </si>
  <si>
    <t>SpringHill Suites by Marriott Bend</t>
  </si>
  <si>
    <t>551 SW Industrial Way</t>
  </si>
  <si>
    <t>base upon experience</t>
  </si>
  <si>
    <t>P-400-22099-053755</t>
  </si>
  <si>
    <t>kcoelsch@innventures.com</t>
  </si>
  <si>
    <t>H-400-22187-333273</t>
  </si>
  <si>
    <t>5454 Wisconsin Ave.</t>
  </si>
  <si>
    <t>Ste. 1325</t>
  </si>
  <si>
    <t>P-400-22124-135700</t>
  </si>
  <si>
    <t>All required Federal, state and local tax deductions including Withholding ad FICA.</t>
  </si>
  <si>
    <t>H-400-22271-499351</t>
  </si>
  <si>
    <t>P-400-22108-079862</t>
  </si>
  <si>
    <t>federal, state, local, social security and medicare taxes as required by law.</t>
  </si>
  <si>
    <t>H-400-22245-452665</t>
  </si>
  <si>
    <t xml:space="preserve">Day/shifts may vary
A pre-employment background check and a pre-employment drug screen will be required. 
Optional employee housing is available to the worker at a cost of $45 per day per crew member while on board vessel.
Transportation to and from the worksite will be provided at no cost to the worker. 
Employer reserves the right to pay a higher wage rate or bonus to any worker, in their sole discretion, based on performance, skill, tenure, or experience. 
Up to 44 hours of overtime per week available as needed. </t>
  </si>
  <si>
    <t xml:space="preserve">OT will be paid for working greater than 40hrs in any given week, or greater than 8hrs in any given day. </t>
  </si>
  <si>
    <t>www.oharacorporation.com</t>
  </si>
  <si>
    <t>H-400-22272-500728</t>
  </si>
  <si>
    <t>Contact information. Employment history. Education history.</t>
  </si>
  <si>
    <t>P-400-22189-338820</t>
  </si>
  <si>
    <t>H-400-22278-511372</t>
  </si>
  <si>
    <t xml:space="preserve">Fish processor  </t>
  </si>
  <si>
    <t>Processor's Inc.</t>
  </si>
  <si>
    <t>1093 Henderson Highway  (PO Box 535)</t>
  </si>
  <si>
    <t>Giandelone</t>
  </si>
  <si>
    <t>Ph.D., Office Manager</t>
  </si>
  <si>
    <t>1093 Henderson Highway  ( P O Box 535)</t>
  </si>
  <si>
    <t>janet@guidryscatfish.com</t>
  </si>
  <si>
    <t xml:space="preserve">PROCESSORS, INC. IS LOOKING TO FILL FISH PROCESSOR POSITION WORKSITE IS LOCATED IN ST. MARTIN PARISH. TEMPORARY, FULL TIME, PEAKLOAD AND WE ARE LOOKING TO FILL 102 JOB OPENINGS FOR EMPLOYMENT FROM 1/1/2023--10/31/2023. REQUIREMENT: EXTENSIVE STANDING, MUST HAVE TWO WEEKS (NO MONTHS) SEAFOOD EXP. EMPLOYER MAY REQUIRE DRUG SCREEN;POST HIRE, EMPLOYER PAID. TESTING POSITIVE OR FAILURE TO COMPLY MAY RESULT IN IMMEDIATE TERMINATION. MUST NOT BE ALLERGIC TO PRODUCT AND/OR ENVIRONMENT. TERMS AND CONDITIONS OF EMPLOYMENT: $11.20 PER HOUR, M-F, SOME SAT/SUN, 5A - 1:30 PM, UNPAID LUNCH BREAK, PROCESSING TIMES MAY VARY, 40 HOUR WEEK, OVERTIME MAY BE AVAILABLE AND PAID @ $16.80, WHICH IS THE OVERTIME HOURLY RATE (AFTER 40 HOURS WEEKLY). OVERTIME, OFFERED HOURS, AND WORK SCHEDULE MAY ALL VARY. NO ON THE JOB TRAINING. NO EDUCATION REQUIREMENT. EMPLOYEES MAY BE COMPENSATED ABOVE THE DOL APPROVED WAGE RATE, THIS DECISION TO PAY ABOVE THE DOL CERTIFIED WAGE RATE WILL BE MADE BY THE EMPLOYER BASING THIS DECISION ON FACTORS THAT INCLUDE THE INDIVIDUAL RECIPIENT'S PERFORMANCE AND WORK HISTORY. TRANSPORTATION (INCLUDING MEALS AND TO THE EXTENT NECESSARY LODGING) TO THE PLACE OF EMPLOYMENT WILL BE PROVIDED OR ITS COST TO THE WORKERS REIMBURSED, IF THE WORKER COMPLETES HALF THE EMPLOYMENT PERIOD. RETURN TRANSPORTATION AND DAILY SUBSISTENCE WILL BE PROVIDED IF WORKER COMPLETES THE EMPLOYMENT PERIOD OR IS DISMISSED EARLY BY THE EMPLOYER. THE AMOUNT OF TRANSPORTATION PAYMENT OR REIMBURSEMENT WILL BE EQUAL TO THE MOST ECONOMICAL AND REASONABLE FORM OF COMMON CARRIER FOR THE DISTANCE INVOLVED. DAILY SUBSISTENCE WILL BE PROVIDED AT A RATE OF $14.00 PER DAY DURING TRAVEL TO A MAXIMUM OF $59 PER DAY WITH RECEIPTS. Employer will not provide daily transportation to and from the worksite. EMPLOYER WILL REIMBURSE THE H2B WORKER IN THE FIRST WORKWEEK FOR ALL VISA, VISA PROCESSING, BORDER CROSSING AND OTHER/RELATED FEES INCLUDING THOSE MANDATED BY THE GOV INCURRED BY THE H2B WORKER (EXCLUDING PASSPORT EXPENSES AND OTHER CHARGES PRIMARILY FOR THE BENEFIT OF WORKER). THE EMPLOYER WILL PROVIDE WORKERS AT NO CHARGE ALL TOOLS, SUPPLIES, AND EQUIPMENT REQUIRED TO PERFORM ASSIGNED DUTIES. EMPLOYER WILL USE A SINGLE WORK WEEK AS ITS STANDARD FOR COMPUTING WAGES DUE. WORKWEEK RUNS FROM THU-WED WITH CHECKS DISTRIBUTED BY END OF DAY ON FOLLOWING FRI. EMPLOYER WILL MAKE PAYROLL DEDUCTIONS AS REQUIRED BY LAW AND DEDUCTED FROM THE WORKER PAYCHECK. POTENTIAL LOCAL HOUSING FOR RENT IF WORKER DESIRES. NO MORE THAN $50 PER WEEK/PER PERSON MAY BE CHARGED FOR HOUSING AND BASIC UTILITIES FOR WORKERS WHO CHOOSE HOUSING OPTION. EMPLOYER CONTACT INFORMATION: PROCESSORS, INC., Janet Giandelone, Ph.D., 1093 HENDERSON HIGHWAY, BREAUX BRIDGE, LA, 70517, 337-228-7545, HOW TO APPLY: APPLICANTS INQUIRE ABOUT JOB, SEND APPLICATIONS, INDICATIONS OF AVAILABILITY OR RESUMES DIRECTLY TO LOCAL LA SWA OFFICE LOCATED IN ST. MARTIN PARISH, 215 EVANGELINE BLVD, ST. MARTINVILLE, LA, 70582, 337-394-2205, AND REFER TO JOB ORDER #1358244.
</t>
  </si>
  <si>
    <t>1093 Henderson Highway</t>
  </si>
  <si>
    <t>EMPLOYEES MAY BE COMPENSATED ABOVE THE DOL APPROVED WAGE RATE, THIS DECISION TO PAY ABOVE THE DOL CERTIFIED WAGE RATE...</t>
  </si>
  <si>
    <t>P-400-22182-327879</t>
  </si>
  <si>
    <t>EMPLOYER WILL MAKE PAYROLL DEDUCTIONS AS REQUIRED BY LAW AND DEDUCTED FROM THE WORKER PAYCHECK. POTENTIAL LOCAL HOUSING FOR RENT IF WORKER DESIRES. NO MORE THAN $50 PER WEEK/PER PERSON MAY BE CHARGED FOR HOUSING AND BASIC UTILITIES FOR WORKERS WHO CHOOSE HOUSING OPTION.</t>
  </si>
  <si>
    <t>H-400-22230-423092</t>
  </si>
  <si>
    <t>H-400-22276-506131</t>
  </si>
  <si>
    <t>M&amp;C Attractions, LLC</t>
  </si>
  <si>
    <t>1320 County Road 2018</t>
  </si>
  <si>
    <t>(Mail: PO Box 2639, Glen Rose TX 76043)</t>
  </si>
  <si>
    <t>Glen Rose</t>
  </si>
  <si>
    <t>Sims</t>
  </si>
  <si>
    <t>mmsims89@gmail.com</t>
  </si>
  <si>
    <t>P-400-22182-328520</t>
  </si>
  <si>
    <t>H-400-22244-450357</t>
  </si>
  <si>
    <t xml:space="preserve">TOPOGRAPHY SPECIALIST </t>
  </si>
  <si>
    <t>Cartographers and Photogrammetrists</t>
  </si>
  <si>
    <t>APPLE SURVEYING SERVICES OF NYC INC</t>
  </si>
  <si>
    <t>2433 KNAPP STREET</t>
  </si>
  <si>
    <t>IRVING</t>
  </si>
  <si>
    <t>PRESEIDENT</t>
  </si>
  <si>
    <t xml:space="preserve">2433 KNAPP STREET </t>
  </si>
  <si>
    <t>OFFICE@APPLESURVEYING.COM</t>
  </si>
  <si>
    <t xml:space="preserve">TOPOGRAHY
SPANISH 
</t>
  </si>
  <si>
    <t>P-400-22158-252149</t>
  </si>
  <si>
    <t>40IK</t>
  </si>
  <si>
    <t>H-400-22244-451050</t>
  </si>
  <si>
    <t>LG Forestry Inc.</t>
  </si>
  <si>
    <t>2341 Savannah Dr</t>
  </si>
  <si>
    <t>Josefina</t>
  </si>
  <si>
    <t>lgforestry.17@gmail.com</t>
  </si>
  <si>
    <t>2341 Savannah Dr, (Report to Work)</t>
  </si>
  <si>
    <t>P-400-22166-284734</t>
  </si>
  <si>
    <t>H-400-22265-489022</t>
  </si>
  <si>
    <t>General Labor Maintenance¿</t>
  </si>
  <si>
    <t xml:space="preserve">Rangeley </t>
  </si>
  <si>
    <t>P-400-22209-382775</t>
  </si>
  <si>
    <t xml:space="preserve">Optional housing available for $115 per month to be deducted from pay if elected.¿ </t>
  </si>
  <si>
    <t>H-400-22251-461463</t>
  </si>
  <si>
    <t xml:space="preserve">Paralegal/Secretary/Interpreter </t>
  </si>
  <si>
    <t>Ahmed Law Firm</t>
  </si>
  <si>
    <t>15233 Grassy Creek Lane</t>
  </si>
  <si>
    <t xml:space="preserve">Carmel </t>
  </si>
  <si>
    <t>Ahmed</t>
  </si>
  <si>
    <t>Ainuddin</t>
  </si>
  <si>
    <t>(Aine)</t>
  </si>
  <si>
    <t xml:space="preserve">Owner Law Firm </t>
  </si>
  <si>
    <t>aineahmed@aineahmedlaw.com</t>
  </si>
  <si>
    <t xml:space="preserve">Must speak fluent Spanish-- because that's where many of my clients are located and come from. 
</t>
  </si>
  <si>
    <t xml:space="preserve">550 Congressional Blvd </t>
  </si>
  <si>
    <t xml:space="preserve">Suite 115 </t>
  </si>
  <si>
    <t>P-400-22209-382272</t>
  </si>
  <si>
    <t>The employee will be provided with full lodging and meals as part of employment (breakfast, lunch, and dinner, as well snacks).  She will be provided with a vehicle for personal and professional use and fuel.  Because of this, employee and I have agreed to deduct approximately $8/hr (she would paid at $17.51/hr)</t>
  </si>
  <si>
    <t>https://aineahmedlaw.com/?gclid=Cj0KCQjwpeaYBhDXARIsAEzItbENW-ojFkHaoc</t>
  </si>
  <si>
    <t>H-400-22307-567962</t>
  </si>
  <si>
    <t>Employer makes all payroll deductions required by law. Employer does not envision other workforce-wide payroll deductions. If requested, employer helps non-local workers secure worker-paid lodging (not to exceed fair market value, based on number of occupants). Housing costs paid directly to landlord and are not payroll deducted.      Employer may deduct health insurance premiums for workers voluntarily participating in plan.    No daily transportation to/from work provided. Employer provides incidental transportation between worksites as necessary. Such transportation complies with all applicable Federal, State, and local laws/regulations.</t>
  </si>
  <si>
    <t>H-400-22244-452154</t>
  </si>
  <si>
    <t>Southern Show Stables, Inc.</t>
  </si>
  <si>
    <t>875 Forest Glen Lane</t>
  </si>
  <si>
    <t>Minor</t>
  </si>
  <si>
    <t>Mary Anne</t>
  </si>
  <si>
    <t>info@southernshowstables.com</t>
  </si>
  <si>
    <t>114 W Magnolia St.</t>
  </si>
  <si>
    <t>Supreme Court of Washington</t>
  </si>
  <si>
    <t>3298 Old Hampton Drive</t>
  </si>
  <si>
    <t>P-400-22196-354218</t>
  </si>
  <si>
    <t>H-400-22276-507429</t>
  </si>
  <si>
    <t>Seafood Packagers</t>
  </si>
  <si>
    <t>Gulf Fish</t>
  </si>
  <si>
    <t>5885 Highway 311</t>
  </si>
  <si>
    <t>Cao</t>
  </si>
  <si>
    <t>Hai</t>
  </si>
  <si>
    <t>hcao@jensentuna.com</t>
  </si>
  <si>
    <t>P-400-22151-227703</t>
  </si>
  <si>
    <t>H-400-22258-475920</t>
  </si>
  <si>
    <t>Boat Detailer</t>
  </si>
  <si>
    <t>St cyr Marine Inc</t>
  </si>
  <si>
    <t>1045 nw terrace rd</t>
  </si>
  <si>
    <t>stuart</t>
  </si>
  <si>
    <t>st cyr</t>
  </si>
  <si>
    <t>louis</t>
  </si>
  <si>
    <t>leveque</t>
  </si>
  <si>
    <t>stcyrmarine.inc@gmail.com</t>
  </si>
  <si>
    <t>450 sw salerno rd</t>
  </si>
  <si>
    <t>P-400-22203-369282</t>
  </si>
  <si>
    <t>rightbyyouhr@gmail.com</t>
  </si>
  <si>
    <t>H-400-22251-462125</t>
  </si>
  <si>
    <t>Vail Chop LLC</t>
  </si>
  <si>
    <t>Vail Chophouse</t>
  </si>
  <si>
    <t>675 Lionshead pl. (physical)</t>
  </si>
  <si>
    <t>PO Box 4022  Avon, CO 81620 (mailing)</t>
  </si>
  <si>
    <t>Marketing Manager</t>
  </si>
  <si>
    <t>2077 North Frontage Rd., Ste 111 Vail CO 81657 (physical)</t>
  </si>
  <si>
    <t>PO Box 3487 Vail CO 81658 (mailing)</t>
  </si>
  <si>
    <t>675 Lionshead Place</t>
  </si>
  <si>
    <t>P-400-22154-243234</t>
  </si>
  <si>
    <t>H-400-22279-513960</t>
  </si>
  <si>
    <t>P-400-22235-432711</t>
  </si>
  <si>
    <t xml:space="preserve">Employer makes all payroll deductions required by law. Employer does not envision other workforce-wide payroll deductions. Voluntary deductions must be pre-authorized in writing and may include the following: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The employer offers optional employee health insurance and retirement plans to its workers; participation in any such plan is voluntary.  Employer will offer daily transportation to and from the worksite from a centralized designated pick-up place at no cost to workers.  Use of this transportation is voluntary.  Employer provides incidental transport between job sites. </t>
  </si>
  <si>
    <t>H-400-22327-603305</t>
  </si>
  <si>
    <t xml:space="preserve">Ability to lift 30lbs.
40 hrs/wk, work 5 days/wk, 9am-5pm, M-Sun, workdays/hours may vary depending on hotel capacity.
</t>
  </si>
  <si>
    <t>P-400-22279-514266</t>
  </si>
  <si>
    <t>Employer will provide optional housing to workers and deduct $175/paycheck for rent. 
Benefits:  Employer may offer lunch to employee when working.
Employer may charge the worker for reasonable costs related to the worker's refusal or negligent failure to return any property furnished by the employer or due to such worker's willful damage or destruction of such property. Deductions may be taken per employee's request.</t>
  </si>
  <si>
    <t>H-400-22327-604099</t>
  </si>
  <si>
    <t xml:space="preserve">Monday-Friday, some Saturdays required, schedule varies, overtime varies. Able to lift 55lbs. Pre-hire background check required;Random drug testing during employment.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</si>
  <si>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H-400-22349-642259</t>
  </si>
  <si>
    <t>H-400-22329-606129</t>
  </si>
  <si>
    <t>Bowen's Landscape Services, Inc.</t>
  </si>
  <si>
    <t>520 N Cowan</t>
  </si>
  <si>
    <t>Bowen</t>
  </si>
  <si>
    <t xml:space="preserve">Must be able to work in hot/cold weather.  
</t>
  </si>
  <si>
    <t>P-400-22245-452608</t>
  </si>
  <si>
    <t>H-400-22328-605651</t>
  </si>
  <si>
    <t>Paradise Amusements Inc</t>
  </si>
  <si>
    <t>6672 West Orchard Avenue</t>
  </si>
  <si>
    <t>paradisesm@aol.com</t>
  </si>
  <si>
    <t>P-400-22169-295197</t>
  </si>
  <si>
    <t xml:space="preserve">All deductions required by state or federal law.  Employer makes its optional shared housing facilities available to workers at no cost (a value of $100/week).  Employer also provides workers with local convenience travel each week to places such as Walmart, shopping malls, laundry facilities, etc. (a value of $25/week).  </t>
  </si>
  <si>
    <t>H-400-22298-549544</t>
  </si>
  <si>
    <t>Fish Roe Technician</t>
  </si>
  <si>
    <t xml:space="preserve">N/A
F.a.5 and 6:
Will work 40 regular hours per week with up to 40 hours of overtime per week (every day, from 9:00 am to 11:00 pm, including overtime hours). Actual overtime hours and work schedule depend on fish availability. 
Work will be performed at land plant locations in Alaska in the following work itinerary: Kodiak from 1/20/2023 to 3/9/2023, Sitka from 3/10/2023 to 4/9/2023, Kodiak from 4/10/2023 to 6/4/2023, Sitka from 6/5/2023 to 9/30/2023. All locations are within the same Alaska nonmetropolitan statistical area. The work itinerary is approximate and subject to change depending on fish availability. 
</t>
  </si>
  <si>
    <t>P-400-22172-301623</t>
  </si>
  <si>
    <t xml:space="preserve">None. Employer housing is optional. No deduction of housing and meals as the employer will provide these at no cost to the worker. 
The employer does not subsidize housing and meal costs if the worker chooses to stay in off-campus housing. If the worker chooses to stay in off-campus housing, he/she will be fully responsible for his/her own housing, meals, and daily transportation to and from the work location (commute).
The transportation between the work locations described in the job order means the transportation in case of the work location change under the work itinerary. This does not include the daily transportation (commute) between the work location and the worker's housing. The commute is unnecessary if the worker stays in the on-campus housing, which the employer provides at no cost to the worker.   </t>
  </si>
  <si>
    <t>H-400-22321-592515</t>
  </si>
  <si>
    <t>Must be willing to work in hot climates. Post-employment drug testing may occur based upon the employers reasonable suspicion of an employees drug use. 
F.a.5 A-H. (Continued): M-F 7am-4pm (1 hr lunch), overtime needed (an average of 8 - 10 hours of overtime may be available per week)</t>
  </si>
  <si>
    <t>1022 Black Creek Blvd</t>
  </si>
  <si>
    <t>P-400-22217-399038</t>
  </si>
  <si>
    <t xml:space="preserve">Optional housing offered at $60/week to be deducted from worker’s pay. </t>
  </si>
  <si>
    <t>H-400-22336-619110</t>
  </si>
  <si>
    <t>Emplyr makes all payroll deducts required by law. Emply does not envision other workforce-wide payroll deducts. If requested, emplyr helps non-local workers secure worker-paid lodging (not to exceed fair market value, based on # of occupants).Housing costs paid directly to landlord and not payroll deducted. Voluntary advances &amp;/or loans made to workers, if any, may be repaid by pre-authorized payroll deducts. Emplyr may deduct reasonable cost for lost/damaged toolsor equip resulting from worker negligence. Emply may deduct retirement/savings plan contributions and/or health ins. premiums for workers voluntarily participating in plan(s). Uniform provided at no cost. Emplyr may deduct cost for voluntary purchase of add'l uniforms for worker's benefit. Emplyr may also deduct for union dues. No daily transport to/from work provided. Emplyr provides incidental transport between worksites as necessary. Such transportation complies with all applicable Federal, State  &amp; local laws/regs.</t>
  </si>
  <si>
    <t>H-400-22335-613754</t>
  </si>
  <si>
    <t>H-400-22335-615365</t>
  </si>
  <si>
    <t>Line Worker</t>
  </si>
  <si>
    <t>Salm Partners, LLC</t>
  </si>
  <si>
    <t>590 Woodrow St</t>
  </si>
  <si>
    <t>Denmark</t>
  </si>
  <si>
    <t>klindsey@salmpartners.com</t>
  </si>
  <si>
    <t xml:space="preserve">Must be able to lift 25 lbs. 
Must be able to work 6-days a week.
Must be able to work weekends and holidays as required. 
Must complete employment application.  
</t>
  </si>
  <si>
    <t>P-400-22159-257054</t>
  </si>
  <si>
    <t xml:space="preserve">Employer will make all deductions from the worker's paycheck required by law. Employer will assist in locating housing. Employer will provide transportation to/from housing/worksite at no cost to employee.
Employer will provide worker at no charge all tools, supplies, and equipment required to perform job. PPE/uniform provided at no cost to employee. </t>
  </si>
  <si>
    <t>www.jobcenterofwisconsin.com</t>
  </si>
  <si>
    <t>H-400-22335-614746</t>
  </si>
  <si>
    <t>H-400-22335-614992</t>
  </si>
  <si>
    <t>H-400-22335-614321</t>
  </si>
  <si>
    <t>Yellowstone Landscape - Southeast, LLC_Daytona</t>
  </si>
  <si>
    <t>1077 Derbyshire Rd</t>
  </si>
  <si>
    <t>P-400-22284-521216</t>
  </si>
  <si>
    <t>Emplyr makes all payroll deductions req by law. Emplyr does not envision other wrkfrce-wide payroll deductions. If req, emplyr helps non-local wrkrs secure wrkr-paid lodging. Emplyr deducts reasonable fair market value cost of rent/utilities based on # of occupants for wrkrs electing to reside in emplyr-provided housing. Vol advances &amp;/or loans made to wrkrs, if any, may be repaid by pre-authorized payroll deductions. Emplyr offers free daily transport to/from worksite from designated pick-up location. Use of transportation is vol.  Emplyr will deduct for reasonable cost of negligent damage to lodging facilities. Emplyr may deduct retirement/savings plan contributions &amp;/or health insurance premiums for wrkrs voluntarily participating in plan(s). Uniform provided at no cost. Emplyr may deduct cost for vol purchase of additional uniforms for wrkr's benefit.  Emplyr may also deduct for vol boot purchase program. Emplyr provides incidental transportation between worksites as necessary.</t>
  </si>
  <si>
    <t>H-400-22335-614464</t>
  </si>
  <si>
    <t>H-400-22335-614349</t>
  </si>
  <si>
    <t>Able to lift 50lbs. Pre-hire background check required; Random drug testing during employment; Pre-employment drug testing required. Monday-Friday, Some Saturdays required, schedule varies,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</si>
  <si>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H-400-22335-614411</t>
  </si>
  <si>
    <t>DESIGNIA MAINTENANCE, INC.</t>
  </si>
  <si>
    <t>919 EXCHANGE STREET</t>
  </si>
  <si>
    <t>SEAMON</t>
  </si>
  <si>
    <t>JONATHAN@DESIGNIALANDSCAPE.COM</t>
  </si>
  <si>
    <t>P-400-22243-448671</t>
  </si>
  <si>
    <t>employment@designialandscape.com</t>
  </si>
  <si>
    <t>H-400-22335-615037</t>
  </si>
  <si>
    <t>66 Friars Blvd.</t>
  </si>
  <si>
    <t>Thorofare</t>
  </si>
  <si>
    <t>P-400-22244-450862</t>
  </si>
  <si>
    <t>H-400-22304-558472</t>
  </si>
  <si>
    <t>Job Requirements: SERVER
The server during the first day on the job will train, using an online program self-study program, instruction booklet or audiovisual presentation, with classroom training that help to establish rapport with other staff members, encourages working as a team and teaches formal. Restaurant is competitive a Waiter must have excellent service skills 
Waiters and waitress skills server must be able to stand for long periods to stand for long period to attend to customers' needs all server take food and drink orders and brings meal to patron in a variety of dining establishments
Obtaining a server position may require some background experience
Educational:  the associate degree in hospitality can be beneficial in an upscale dining establishment
Training: the training will receive on the job training throughout their first few shifts, the training will observe, and experience serve to learn the establishments handling and serving techniques. If the server will be serving alcohol they will  learn the restaurant's garnishing technique to assist the bartender in quickly  preparing drinks. 
certified : if they are serving alcohol, server are required to be certified in the safe sale of alcoholic beverages, these certifications can vary by the state, the most obtained certificates are used by the National Restaurant  Association
Excellent interpersonal and customer service skills, ability to solve
Ability to operate point of sale system
Ability to work quickly and efficiently 
Organizational and time management skills
Ability to work with a team
Ability to maintain personal hygiene
Must be at least 18 years of age
High school diploma or equivalent preferred
Previous experience as a server preferred
Ability to work 7 days rotational schedule including nights weekends and holidays 
Experience providing excellent customer service in a fast-paced environment.
A positive attitude and ability to work well under pressure with bussers, cooks, and other staff.
Able to perform high-quality work while unsupervised.
Able to handle money accurately and operate a point-of-sale system.
Ability to work in a fast-paced work environment and deliver orders in a timely manner.
Skills: 
General Math Skills
Verbal Communication
Customer Service
Resolving Conflict
Teamwork
Energy Level
Thoroughness
Professionalism</t>
  </si>
  <si>
    <t>1657 WORCESTER RD FRAMINGHAM</t>
  </si>
  <si>
    <t>MALDEN</t>
  </si>
  <si>
    <t>P-400-22161-268644</t>
  </si>
  <si>
    <t>H-400-22334-612785</t>
  </si>
  <si>
    <t xml:space="preserve">Yardperson Helper </t>
  </si>
  <si>
    <t>Rail Yard Engineers, Dinkey Operators, and Hostlers</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</si>
  <si>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High school education or equivalent desired.
Must be able to pass a forklift certification test (Training provided onsite by employer).
Must be able to read, write and follow written or verbal instructions. 
Must be organized with excellent time management skills. 
Must be able to communicate effectively with employees at all levels.
Must be capable of lifting up to 50 pounds on a frequent basis and 100 pounds on an occasional basis. 
Must be able to push/pull/bend  20 to 100 pounds.
Must be able work in hot/cold environments (-20 deg. F to 100 deg. F) throughout an 8-hour day. 
Must be able to climb ladders and stairs.
Must be able to stand or walk for an entire 8- hour shift if necessary. 
Must be able to work in dusty conditions.
Must be able to work in loud environments. 
</t>
  </si>
  <si>
    <t>P-400-22151-226898</t>
  </si>
  <si>
    <t>H-400-22337-619406</t>
  </si>
  <si>
    <t>H-400-22335-614438</t>
  </si>
  <si>
    <t>Yellowstone Landscape - Southeast, LLC_Jacksonville</t>
  </si>
  <si>
    <t>2663 Robert Street</t>
  </si>
  <si>
    <t>P-400-22284-521193</t>
  </si>
  <si>
    <t>H-400-22335-615345</t>
  </si>
  <si>
    <t>H-400-22335-614520</t>
  </si>
  <si>
    <t>H-400-22335-613926</t>
  </si>
  <si>
    <t>Progressive Landscaping LLC</t>
  </si>
  <si>
    <t>17324 Tigerbend Road</t>
  </si>
  <si>
    <t>8644 Carriage Court Drive</t>
  </si>
  <si>
    <t>prolandscape1@cox.net</t>
  </si>
  <si>
    <t>P-400-22255-466869</t>
  </si>
  <si>
    <t>NO DEDUCTIONS SEE Job Description for housing details in reference to F.d.5.</t>
  </si>
  <si>
    <t>H-400-22335-615840</t>
  </si>
  <si>
    <t xml:space="preserve">Ability to lift 25lbs, employment reference
40+ hrs, 6:30a-3:30p, M-Sun, hours and workdays may vary depending on weather.
</t>
  </si>
  <si>
    <t>Optional housing provided for $75/wk.  If breach of contract occurs, worker will be responsible for remaining rent for the contract period.  
Employer will make all deductions required by law.  Other deductions may be taken at employee's written request, i.e. internet, cable, cash advances, medical expenses, etc. See addendum.</t>
  </si>
  <si>
    <t>H-400-22336-617864</t>
  </si>
  <si>
    <t>Frank Joseph and Sons, Inc.</t>
  </si>
  <si>
    <t>Jolly Shows</t>
  </si>
  <si>
    <t>tiffdink@icloud.com</t>
  </si>
  <si>
    <t xml:space="preserve">1411 Colonial Manor Court </t>
  </si>
  <si>
    <t>P-400-22193-346434</t>
  </si>
  <si>
    <t xml:space="preserve">Employer will make all deductions from the worker’s paycheck required by law. Optional mobile housing (valued at $100.00 per week) and local convenience travel (valued at $25.00 per week) are available at no cost to the worker.  </t>
  </si>
  <si>
    <t>jollyshows@gmail.com</t>
  </si>
  <si>
    <t>H-400-22335-613737</t>
  </si>
  <si>
    <t xml:space="preserve">No minimum education or experience required. Must be able to lift, push, and pull 50 lbs. Must be able to work weekends and holidays. Applicants must complete an employment application. Employer will offer 40 hours of work per week. Resort is open 7 days a week, workdays vary Sunday-Saturday. Rotating schedule, shift times 8am-5pm, 11am-8pm, and 3pm-12am (includes 1-hour unpaid break).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Optional employee shared housing, including utilities, is available at a rate of approximately $150 per week. Optional housing requires a $500 deposit, of which $400 is refundable. Cost of housing and deposit payroll deducted if worker elects. Optional meals during shift available for $2.25 per meal, cost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between employee housing and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</si>
  <si>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P-400-22152-230567</t>
  </si>
  <si>
    <t>H-400-22335-613876</t>
  </si>
  <si>
    <t>P-400-22194-348330</t>
  </si>
  <si>
    <t>Optional housing available for 75.00/week to be deducted weekly from payroll. A refundable deposit of $250.00 will be deducted from paycheck.</t>
  </si>
  <si>
    <t>toni@elkriverclubmc.com</t>
  </si>
  <si>
    <t>H-400-22335-614928</t>
  </si>
  <si>
    <t xml:space="preserve">Post-Accident Drug Testing, Able to lift 50lbs, Monday-Friday, Saturdays may be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</si>
  <si>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H-400-22336-616488</t>
  </si>
  <si>
    <t>FTS Attractions, LLC</t>
  </si>
  <si>
    <t>10500 US Highway 160 E</t>
  </si>
  <si>
    <t>[MAIL: P.O. Box 86 Doniphan, MO 63939]</t>
  </si>
  <si>
    <t>fts.carnival2007@gmail.com</t>
  </si>
  <si>
    <t>P-400-22266-491045</t>
  </si>
  <si>
    <t>H-400-22333-610826</t>
  </si>
  <si>
    <t>American Banner Amusements</t>
  </si>
  <si>
    <t>225 S. Vernon</t>
  </si>
  <si>
    <t>Marine</t>
  </si>
  <si>
    <t>abafamilyfun@gmail.com</t>
  </si>
  <si>
    <t>P-400-22266-491762</t>
  </si>
  <si>
    <t>H-400-22321-593478</t>
  </si>
  <si>
    <t xml:space="preserve">No minimum education or experience required. Must be able to lift, push, and pull 50 lbs. Must pass a post-employment criminal background check, paid by employer and applied equally to all workers, U.S. and foreign/H-2B. Must be able to work at least 5-day work schedule, including weekends and holidays as needed. Applicants must complete an employment application. Employer will offer 40 hours of work per week. Resort is open 7 days a week, workdays vary Sunday-Saturday. Normal shift time 8 am - 4:30 pm (includes 30min unpaid break). Workdays and shift times may vary with occupancy. Basic wage rate: $15.00 per hour. Employer may increase wage based on experience and/or provide additional pay for performance and tenure. Overtime hours may be available at $22.50 per hour. An overtime premium will be paid when required by Federal, State, or local law, including at time-and-a-half after 40 hours per workweek. Employer will provide on-the-job training. A single workweek will be used in computing wages due. Pay received bi-weekly. Employer will make all deductions from the worker's paycheck required by law. Employer will assist in locating housing. Employee cafeteria available for meals at approx. cost of $1 per day ($5 per week), available for payroll deduction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Public transportation is available near the worksite.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</si>
  <si>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 xml:space="preserve">Employer will make all deductions from the worker's paycheck required by law. Employer will assist in locating housing. Employee cafeteria available for meals at approx. cost of $1 per day ($5 per week), available for payroll deduction if worker elects. Public transportation is available near the worksite.  
</t>
  </si>
  <si>
    <t>H-400-22307-567362</t>
  </si>
  <si>
    <t xml:space="preserve">No minimum education or experience required.
Workers are subject to post-employment criminal background checks, paid by employer and applied equally to all workers, U.S. and foreign/H-2B. 
Workers are subject to post-employment and post-injury/incident drug test, paid by employer and applied equally to all workers, U.S. and foreign/H-2B. 
Must be able to work at least 5-day work schedule, including weekends and holidays as required.
Must obtain Gaming Work Permit from the Mississippi Gaming Commission within 30-days of starting employment.
Applicant must complete an employment application.
</t>
  </si>
  <si>
    <t>Tip position. Employer may increase wage based on experience, market conditions, and/or provide additional pay for perfo</t>
  </si>
  <si>
    <t>H-400-22321-593164</t>
  </si>
  <si>
    <t xml:space="preserve">Post hire employer paid background check. 
</t>
  </si>
  <si>
    <t>Optional deductions for repayment of elective advance pay, optional deductions for rent ($35-$60 a week depending on rental property), utilities ($20-$40 on average, utilities are evenly split between tenants) and optional deduction for elective uniforms. All deductions are optional, deductions will not drop the overall wage below the USDOL minimum, if the deductions are too great they will not be made.</t>
  </si>
  <si>
    <t>H-400-22321-594077</t>
  </si>
  <si>
    <t>Edward M Inners &amp; Sons Amusements Inc</t>
  </si>
  <si>
    <t>Inners Shows</t>
  </si>
  <si>
    <t>4091 Oak Circle</t>
  </si>
  <si>
    <t>Franklinton</t>
  </si>
  <si>
    <t>inners.donna@yahoo.com</t>
  </si>
  <si>
    <t>P-400-22246-454555</t>
  </si>
  <si>
    <t>innersshows@gmail.com</t>
  </si>
  <si>
    <t>H-400-22326-601036</t>
  </si>
  <si>
    <t xml:space="preserve">Mon-Fri, 40 hrs/wk, overtime varies. Some Saturdays required. Schedule may vary. Able to lift 50lbs.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</si>
  <si>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H-400-22321-593601</t>
  </si>
  <si>
    <t>H-400-22322-597131</t>
  </si>
  <si>
    <t xml:space="preserve">No minimum education or experience required. 
Must be able to lift 50lbs.
Must pass a post-employment criminal background check, paid by employer and applied equally to all workers, U.S. and foreign/H-2B. 
Must be able to work weekends and holidays.
Applicants must complete an employment application. 
Basic wage rate: $16.30 per hour. Employer may increase wage based on experience and/or provide additional pay for performance and tenure. Overtime hours may be available at $24.45 per hour. 
Employer will provide on-the-job training.
A single workweek will be used in computing wages due. Workers will be paid bi-weekly. 
Employer will make all deductions from the worker's paycheck required by law. 
The employer will assist employee in locating housing. Public transportation available 2 miles from worksite.
Optional one meal available per shift at approx. $1 per meal,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</si>
  <si>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P-400-22230-424959</t>
  </si>
  <si>
    <t xml:space="preserve">A single workweek will be used in computing wages due. Workers will be paid bi-weekly. 
Employer will make all deductions from the worker's paycheck required by law. 
The employer will assist employee in locating housing. Public transportation available 2 miles from worksite.
Optional one meal available per shift at approx. $1 per meal, payroll deducted if worker elects. 
</t>
  </si>
  <si>
    <t>H-400-22321-592688</t>
  </si>
  <si>
    <t xml:space="preserve">Lift/carry up to 50 pounds.  Pre-Employment, Random (post-employment), Post Accident, Upon Suspicion (Post Employment) employer paid drug testing required. New hires only - employer paid post hire criminal background check.   Must be able to work in cold, wet, hot and humid weather and able to work on feet in bent, stooped or standing positions for long periods of time.  
</t>
  </si>
  <si>
    <t>See addendum: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If employee elects to purchase additional uniforms, there will be a weekly deduction for the employer to recover those costs only. Company provides 6 shirts and a hat. If employee elects to opt for the laundry service for uniform cleaning...</t>
  </si>
  <si>
    <t>H-400-22322-594633</t>
  </si>
  <si>
    <t>Clean Cut Lawn Care and Pressure Washing LLC</t>
  </si>
  <si>
    <t>Leeson Landscape, LLC</t>
  </si>
  <si>
    <t>4236 Rhoda Dr</t>
  </si>
  <si>
    <t xml:space="preserve"> Williams</t>
  </si>
  <si>
    <t>chad@leesonlandscape.com</t>
  </si>
  <si>
    <t>203 Jackson Ave</t>
  </si>
  <si>
    <t>P-400-22255-466936</t>
  </si>
  <si>
    <t>H-400-22335-613748</t>
  </si>
  <si>
    <t>H-400-22307-566638</t>
  </si>
  <si>
    <t>H-400-22318-584072</t>
  </si>
  <si>
    <t>Red Rock House Cleaning</t>
  </si>
  <si>
    <t>2825 E Chadburn Road</t>
  </si>
  <si>
    <t>TEASDALE</t>
  </si>
  <si>
    <t>2825 E CHADBURN RD</t>
  </si>
  <si>
    <t>flutterbyecreations@yahoo.com</t>
  </si>
  <si>
    <t>must be able to lift 50 pounds. All training will be provided</t>
  </si>
  <si>
    <t>P-400-22220-403886</t>
  </si>
  <si>
    <t>Housing will be deducted from pay in the amount of $300.00 per month</t>
  </si>
  <si>
    <t>morrisonape@gmail.com</t>
  </si>
  <si>
    <t>APRIL</t>
  </si>
  <si>
    <t>H-400-22307-565987</t>
  </si>
  <si>
    <t>Oberson's Nursery &amp; Landscapes, Inc.</t>
  </si>
  <si>
    <t>4000 Lockborune Road</t>
  </si>
  <si>
    <t>4000 Lockbourne Rd. (Report to Work)</t>
  </si>
  <si>
    <t>P-400-22223-409781</t>
  </si>
  <si>
    <t>Optional shared housing available at up to $100.00 bi-weekly to be deducted from employee's paycheck. 
 At Employer’s sole discretion: possible cash advances (if applicable/requested by worker, potential deduction from worker’s paycheck).</t>
  </si>
  <si>
    <t>H-400-22321-592899</t>
  </si>
  <si>
    <t>Mcgregor</t>
  </si>
  <si>
    <t>No minimum education or experience required. Must pass a post-employment criminal background check, paid by employer and applied equally to all workers, U.S. and foreign/H-2B. Must be able to work weekends and holidays. Applicants must complete an employment application. Employer will offer 40 hours of work per week. Resort is open 7 days a week, workdays will vary Sunday through Saturday. Shifts: 5AM  2PM, 10AM  9PM, 3PM  12AM (Includes 30 Minutes unpaid break). Workdays and shift times may vary with events and occupancy. Basic wage rate: $16.00 per hour. Employer may increase wage based on experience, market conditions, and/or provide additional pay for performance and tenure. Overtime hours may be available at $24 per hour. An overtime premium will be paid when required by Federal, State, or local law, including at time-and-a-half after 40 hours per workweek. Employer will provide on-the-job training. A single workweek will be used in computing wages due. Workers will be paid bi-weekly. 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$14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t>
  </si>
  <si>
    <t>P-400-22153-236785</t>
  </si>
  <si>
    <t xml:space="preserve">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t>
  </si>
  <si>
    <t>H-400-22335-613817</t>
  </si>
  <si>
    <t>H-400-22307-568158</t>
  </si>
  <si>
    <t>H-400-22302-558219</t>
  </si>
  <si>
    <t>Amusement &amp; Recreation Attendant – Food Concessions.</t>
  </si>
  <si>
    <t>Ormic Concessions, Inc.</t>
  </si>
  <si>
    <t>15 CALLE ANACUA</t>
  </si>
  <si>
    <t>BROWNSVILLE</t>
  </si>
  <si>
    <t>Patriarca</t>
  </si>
  <si>
    <t>oneck10699@aol.com</t>
  </si>
  <si>
    <t xml:space="preserve">15 Calle Anacua </t>
  </si>
  <si>
    <t>P-400-22244-451681</t>
  </si>
  <si>
    <t>Employer will make all deductions from the worker’s paycheck required by law.  Optional mobile housing (valued at $150.00 per week) and local convenience travel (valued at $25.00 per week) are available at no cost to the worker.</t>
  </si>
  <si>
    <t>H-400-22307-566510</t>
  </si>
  <si>
    <t xml:space="preserve">No minimum education or experience required.
Workers are subject to post-employment criminal background checks, paid by employer and applied equally to all workers, U.S. and foreign/H-2B. 
Must be able to lift 25 lbs.
Must be able to work weekends and holidays as required. 
Applicant must complete an employment application.  
Required uniform provided at no cost to employee
</t>
  </si>
  <si>
    <t>Tip Position.Employer may increase wage based on experience and/or provide additional pay for performance and tenure.</t>
  </si>
  <si>
    <t>P-400-22153-236089</t>
  </si>
  <si>
    <t xml:space="preserve">A single workweek will be used to compute wages due. Pay received bi-weekly. Employer will make all deductions from the worker's paycheck required by law. Optional employee shard housing available, including utilities, approx. $130.00 per week, plus $300.00 deposit required ($100.00 non-refundable, $200.00 refundable). Transportation provided between employer’s housing and worksite at approx. $45.00 per week. Meals available for purchase at approx. $3.00 per meal. Housing, meals, and transportation payroll deducted if employee elects.
</t>
  </si>
  <si>
    <t>H-400-22307-567297</t>
  </si>
  <si>
    <t xml:space="preserve">Gordon </t>
  </si>
  <si>
    <t>7848 Bethlehem Rd. (Report to Work)</t>
  </si>
  <si>
    <t>P-400-22211-386627</t>
  </si>
  <si>
    <t>Optional shared housing available at up to $85.00 a week to be deducted from employee's paycheck.
 At Employer’s sole discretion: possible cash advances (if applicable/requested by worker, potential deduction from worker’s paycheck).</t>
  </si>
  <si>
    <t>H-400-22307-566454</t>
  </si>
  <si>
    <t>No minimum education or experience required.
Workers are subject to post-employment criminal background checks, paid by employer and applied equally to all workers, U.S. and foreign/H-2B. 
Must be able to work weekends and holidays as required. 
Applicant must complete an employment application.  
Required uniform provided at no cost to employee</t>
  </si>
  <si>
    <t>P-400-22195-351466</t>
  </si>
  <si>
    <t xml:space="preserve">A single workweek will be used to compute wages due. Pay received bi-weekly. Employer will make all deductions from the worker's paycheck required by law. Optional employee shared housing available, including utilities, approx. $130.00 per week, plus $300.00 deposit required ($100.00 non-refundable, $200.00 refundable). Transportation provided between employer’s housing and worksite at approx. $45.00 per week. Meals available for purchase at approx. $3.00 per meal. Housing, meals, and transportation payroll deducted if employee elects. Employer will provide worker at no charge all tools, supplies, and equipment required to perform job. Required uniform provided at no cost to employee. 
</t>
  </si>
  <si>
    <t>H-400-22307-566317</t>
  </si>
  <si>
    <t>B-Thrilled Attractions, LLC</t>
  </si>
  <si>
    <t>Blake's Concessions</t>
  </si>
  <si>
    <t>901 Firwood St</t>
  </si>
  <si>
    <t>Chesaning</t>
  </si>
  <si>
    <t>Katrine</t>
  </si>
  <si>
    <t>901 Firwood Street</t>
  </si>
  <si>
    <t>katrine11@me.com</t>
  </si>
  <si>
    <t>P-400-22231-427133</t>
  </si>
  <si>
    <t>H-400-22293-540597</t>
  </si>
  <si>
    <t>Event Solutions of Louisiana, L.L.C.</t>
  </si>
  <si>
    <t>1701 West Willow Street</t>
  </si>
  <si>
    <t>Gerami</t>
  </si>
  <si>
    <t>frank@frankgerami.com</t>
  </si>
  <si>
    <t xml:space="preserve">Must be able to lift 50 pounds. May be subject to random drug screen upon hire paid for by employer and/or a drug screen paid for by employer if reasonable suspicions arise during employment. This is a drug free work zone
</t>
  </si>
  <si>
    <t xml:space="preserve">Employees may make above hourly wage and/or receive bonuses based on work performance and/or work experience. </t>
  </si>
  <si>
    <t>P-400-22241-442635</t>
  </si>
  <si>
    <t xml:space="preserve">Employer will make all deductions required by law. Additionally employer will deduct $50.00/week if the employee chooses to live in the employer-provided housing, which is not mandatory. </t>
  </si>
  <si>
    <t>H-400-22291-537178</t>
  </si>
  <si>
    <t>Sweet Time Concessions, Inc.</t>
  </si>
  <si>
    <t>2136 Edgewood Rd</t>
  </si>
  <si>
    <t>legacysummer@aol.com</t>
  </si>
  <si>
    <t>Not application</t>
  </si>
  <si>
    <t>2136 Edgewood Road</t>
  </si>
  <si>
    <t>P-400-22246-454442</t>
  </si>
  <si>
    <t>H-400-22307-566939</t>
  </si>
  <si>
    <t>2025 Zumbehl Rd, Suite 22</t>
  </si>
  <si>
    <t>Estlund</t>
  </si>
  <si>
    <t>pat@heritagell.com</t>
  </si>
  <si>
    <t>Pre-hire background check required, Able to lift 50lbs, Monday-Friday, some Saturdays and Sundays required, schedule varies, start/end times vary, overtime varies. All background checks are performed equally as to U.S. workers and H-2B workers, and all fees are paid for by the company. See the additional document attached for further details about the administration of our background check policy.</t>
  </si>
  <si>
    <t>155 Brown Rd</t>
  </si>
  <si>
    <t>P-400-22250-459648</t>
  </si>
  <si>
    <t>christine@heritagell.com</t>
  </si>
  <si>
    <t>H-400-22307-566429</t>
  </si>
  <si>
    <t>P-400-22153-236114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</si>
</sst>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lt;=9999999]###\-####;\(###\)\ ###\-####"/>
    <numFmt numFmtId="166"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14" fontId="0" fillId="0" borderId="0" xfId="0" applyNumberFormat="1"/>
    <xf numFmtId="0" fontId="0" fillId="0" borderId="0" xfId="0" applyAlignment="1">
      <alignment wrapText="1"/>
    </xf>
    <xf numFmtId="3" fontId="0" fillId="0" borderId="0" xfId="0" applyNumberFormat="1"/>
    <xf numFmtId="164" fontId="0" fillId="0" borderId="0" xfId="0" applyNumberFormat="1"/>
    <xf numFmtId="165" fontId="0" fillId="0" borderId="0" xfId="0" applyNumberFormat="1"/>
    <xf numFmtId="16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525"/>
  <sheetViews>
    <sheetView tabSelected="1" topLeftCell="DC1" workbookViewId="0">
      <pane ySplit="1" topLeftCell="A2" activePane="bottomLeft" state="frozen"/>
      <selection pane="bottomLeft" activeCell="DJ1" sqref="DJ1:DJ1048576"/>
    </sheetView>
  </sheetViews>
  <sheetFormatPr defaultRowHeight="15" customHeight="1" x14ac:dyDescent="0.25"/>
  <cols>
    <col min="1" max="1" width="18.7109375" bestFit="1" customWidth="1"/>
    <col min="2" max="2" width="54" bestFit="1" customWidth="1"/>
    <col min="3" max="4" width="17.42578125" style="1" bestFit="1" customWidth="1"/>
    <col min="5" max="5" width="14.85546875" bestFit="1" customWidth="1"/>
    <col min="6" max="6" width="60.5703125" bestFit="1" customWidth="1"/>
    <col min="7" max="7" width="12.7109375" bestFit="1" customWidth="1"/>
    <col min="8" max="8" width="96.42578125" bestFit="1" customWidth="1"/>
    <col min="9" max="9" width="30.28515625" bestFit="1" customWidth="1"/>
    <col min="10" max="10" width="28.85546875" bestFit="1" customWidth="1"/>
    <col min="11" max="11" width="25.85546875" style="1" bestFit="1" customWidth="1"/>
    <col min="12" max="12" width="24.140625" style="1" bestFit="1" customWidth="1"/>
    <col min="13" max="13" width="28.140625" style="1" bestFit="1" customWidth="1"/>
    <col min="14" max="14" width="26.28515625" style="1" bestFit="1" customWidth="1"/>
    <col min="15" max="15" width="32.140625" bestFit="1" customWidth="1"/>
    <col min="16" max="16" width="80.42578125" bestFit="1" customWidth="1"/>
    <col min="17" max="17" width="55.28515625" bestFit="1" customWidth="1"/>
    <col min="18" max="18" width="60.140625" bestFit="1" customWidth="1"/>
    <col min="19" max="19" width="59.28515625" bestFit="1" customWidth="1"/>
    <col min="20" max="20" width="23.42578125" bestFit="1" customWidth="1"/>
    <col min="21" max="21" width="19" bestFit="1" customWidth="1"/>
    <col min="22" max="22" width="26.5703125" style="4" bestFit="1" customWidth="1"/>
    <col min="23" max="23" width="26.28515625" bestFit="1" customWidth="1"/>
    <col min="24" max="24" width="23" bestFit="1" customWidth="1"/>
    <col min="25" max="25" width="20.140625" style="5" bestFit="1" customWidth="1"/>
    <col min="26" max="26" width="24.42578125" bestFit="1" customWidth="1"/>
    <col min="27" max="27" width="14.5703125" bestFit="1" customWidth="1"/>
    <col min="28" max="28" width="29.42578125" bestFit="1" customWidth="1"/>
    <col min="29" max="29" width="30" bestFit="1" customWidth="1"/>
    <col min="30" max="30" width="32.140625" bestFit="1" customWidth="1"/>
    <col min="31" max="31" width="60" bestFit="1" customWidth="1"/>
    <col min="32" max="32" width="49.5703125" bestFit="1" customWidth="1"/>
    <col min="33" max="33" width="55.42578125" bestFit="1" customWidth="1"/>
    <col min="34" max="34" width="26" bestFit="1" customWidth="1"/>
    <col min="35" max="35" width="24" bestFit="1" customWidth="1"/>
    <col min="36" max="36" width="31.42578125" style="4" bestFit="1" customWidth="1"/>
    <col min="37" max="37" width="27.140625" bestFit="1" customWidth="1"/>
    <col min="38" max="38" width="28" bestFit="1" customWidth="1"/>
    <col min="39" max="39" width="25" style="5" bestFit="1" customWidth="1"/>
    <col min="40" max="40" width="29.28515625" bestFit="1" customWidth="1"/>
    <col min="41" max="41" width="48" bestFit="1" customWidth="1"/>
    <col min="42" max="42" width="28" bestFit="1" customWidth="1"/>
    <col min="43" max="43" width="31.7109375" bestFit="1" customWidth="1"/>
    <col min="44" max="44" width="32.42578125" bestFit="1" customWidth="1"/>
    <col min="45" max="45" width="34.42578125" bestFit="1" customWidth="1"/>
    <col min="46" max="46" width="56.28515625" bestFit="1" customWidth="1"/>
    <col min="47" max="47" width="37.7109375" bestFit="1" customWidth="1"/>
    <col min="48" max="48" width="24.7109375" bestFit="1" customWidth="1"/>
    <col min="49" max="49" width="26.28515625" bestFit="1" customWidth="1"/>
    <col min="50" max="50" width="33.85546875" style="4" bestFit="1" customWidth="1"/>
    <col min="51" max="51" width="29.5703125" bestFit="1" customWidth="1"/>
    <col min="52" max="52" width="30.28515625" bestFit="1" customWidth="1"/>
    <col min="53" max="53" width="27.28515625" style="5" bestFit="1" customWidth="1"/>
    <col min="54" max="54" width="31.5703125" bestFit="1" customWidth="1"/>
    <col min="55" max="55" width="42.7109375" bestFit="1" customWidth="1"/>
    <col min="56" max="56" width="52.140625" bestFit="1" customWidth="1"/>
    <col min="57" max="57" width="28" bestFit="1" customWidth="1"/>
    <col min="58" max="58" width="62" bestFit="1" customWidth="1"/>
    <col min="59" max="59" width="13.7109375" bestFit="1" customWidth="1"/>
    <col min="60" max="60" width="27.28515625" style="1" bestFit="1" customWidth="1"/>
    <col min="61" max="61" width="35" bestFit="1" customWidth="1"/>
    <col min="62" max="62" width="17.85546875" bestFit="1" customWidth="1"/>
    <col min="63" max="63" width="18.7109375" bestFit="1" customWidth="1"/>
    <col min="64" max="64" width="18.42578125" bestFit="1" customWidth="1"/>
    <col min="65" max="65" width="21.85546875" bestFit="1" customWidth="1"/>
    <col min="66" max="66" width="20" bestFit="1" customWidth="1"/>
    <col min="67" max="67" width="16.85546875" bestFit="1" customWidth="1"/>
    <col min="68" max="68" width="20" bestFit="1" customWidth="1"/>
    <col min="69" max="69" width="27" bestFit="1" customWidth="1"/>
    <col min="70" max="70" width="25.28515625" bestFit="1" customWidth="1"/>
    <col min="71" max="71" width="20" bestFit="1" customWidth="1"/>
    <col min="72" max="72" width="21.140625" bestFit="1" customWidth="1"/>
    <col min="73" max="73" width="29.85546875" bestFit="1" customWidth="1"/>
    <col min="74" max="74" width="24.85546875" bestFit="1" customWidth="1"/>
    <col min="75" max="75" width="25.140625" bestFit="1" customWidth="1"/>
    <col min="76" max="76" width="50.7109375" customWidth="1"/>
    <col min="77" max="77" width="58.85546875" bestFit="1" customWidth="1"/>
    <col min="78" max="78" width="55" bestFit="1" customWidth="1"/>
    <col min="79" max="79" width="26" bestFit="1" customWidth="1"/>
    <col min="80" max="80" width="18.85546875" bestFit="1" customWidth="1"/>
    <col min="81" max="81" width="26.42578125" style="4" bestFit="1" customWidth="1"/>
    <col min="82" max="82" width="22.85546875" bestFit="1" customWidth="1"/>
    <col min="83" max="83" width="64.7109375" bestFit="1" customWidth="1"/>
    <col min="84" max="84" width="27" style="6" bestFit="1" customWidth="1"/>
    <col min="85" max="85" width="24.140625" style="6" bestFit="1" customWidth="1"/>
    <col min="86" max="86" width="24.5703125" style="6" bestFit="1" customWidth="1"/>
    <col min="87" max="87" width="21.5703125" style="6" bestFit="1" customWidth="1"/>
    <col min="88" max="88" width="10.28515625" bestFit="1" customWidth="1"/>
    <col min="89" max="89" width="50.7109375" customWidth="1"/>
    <col min="90" max="90" width="25.7109375" bestFit="1" customWidth="1"/>
    <col min="91" max="91" width="26.42578125" bestFit="1" customWidth="1"/>
    <col min="92" max="92" width="26" bestFit="1" customWidth="1"/>
    <col min="93" max="93" width="37.140625" bestFit="1" customWidth="1"/>
    <col min="94" max="94" width="30" bestFit="1" customWidth="1"/>
    <col min="95" max="95" width="26" bestFit="1" customWidth="1"/>
    <col min="96" max="96" width="23.28515625" bestFit="1" customWidth="1"/>
    <col min="97" max="97" width="35.7109375" bestFit="1" customWidth="1"/>
    <col min="98" max="99" width="36.42578125" bestFit="1" customWidth="1"/>
    <col min="100" max="100" width="50.7109375" customWidth="1"/>
    <col min="101" max="101" width="19.7109375" style="5" bestFit="1" customWidth="1"/>
    <col min="102" max="102" width="48" bestFit="1" customWidth="1"/>
    <col min="103" max="103" width="74.42578125" bestFit="1" customWidth="1"/>
    <col min="104" max="104" width="29" bestFit="1" customWidth="1"/>
    <col min="105" max="105" width="26.5703125" bestFit="1" customWidth="1"/>
    <col min="106" max="106" width="29" bestFit="1" customWidth="1"/>
    <col min="107" max="107" width="35.7109375" bestFit="1" customWidth="1"/>
    <col min="108" max="108" width="37.42578125" bestFit="1" customWidth="1"/>
    <col min="109" max="109" width="24.28515625" bestFit="1" customWidth="1"/>
    <col min="110" max="110" width="24.85546875" bestFit="1" customWidth="1"/>
    <col min="111" max="111" width="26.85546875" bestFit="1" customWidth="1"/>
    <col min="112" max="112" width="60.42578125" bestFit="1" customWidth="1"/>
    <col min="113" max="113" width="39.85546875" bestFit="1" customWidth="1"/>
  </cols>
  <sheetData>
    <row r="1" spans="1:113" ht="15" customHeight="1" x14ac:dyDescent="0.25">
      <c r="A1" t="s">
        <v>0</v>
      </c>
      <c r="B1" t="s">
        <v>1</v>
      </c>
      <c r="C1" s="1" t="s">
        <v>2</v>
      </c>
      <c r="D1" s="1" t="s">
        <v>3</v>
      </c>
      <c r="E1" t="s">
        <v>4</v>
      </c>
      <c r="F1" t="s">
        <v>5</v>
      </c>
      <c r="G1" t="s">
        <v>6</v>
      </c>
      <c r="H1" t="s">
        <v>7</v>
      </c>
      <c r="I1" t="s">
        <v>8</v>
      </c>
      <c r="J1" t="s">
        <v>9</v>
      </c>
      <c r="K1" s="1" t="s">
        <v>10</v>
      </c>
      <c r="L1" s="1" t="s">
        <v>11</v>
      </c>
      <c r="M1" s="1" t="s">
        <v>12</v>
      </c>
      <c r="N1" s="1" t="s">
        <v>13</v>
      </c>
      <c r="O1" t="s">
        <v>14</v>
      </c>
      <c r="P1" t="s">
        <v>15</v>
      </c>
      <c r="Q1" t="s">
        <v>16</v>
      </c>
      <c r="R1" t="s">
        <v>17</v>
      </c>
      <c r="S1" t="s">
        <v>18</v>
      </c>
      <c r="T1" t="s">
        <v>19</v>
      </c>
      <c r="U1" t="s">
        <v>20</v>
      </c>
      <c r="V1" s="4" t="s">
        <v>21</v>
      </c>
      <c r="W1" t="s">
        <v>22</v>
      </c>
      <c r="X1" t="s">
        <v>23</v>
      </c>
      <c r="Y1" s="5" t="s">
        <v>24</v>
      </c>
      <c r="Z1" t="s">
        <v>25</v>
      </c>
      <c r="AA1" t="s">
        <v>26</v>
      </c>
      <c r="AB1" t="s">
        <v>27</v>
      </c>
      <c r="AC1" t="s">
        <v>28</v>
      </c>
      <c r="AD1" t="s">
        <v>29</v>
      </c>
      <c r="AE1" t="s">
        <v>30</v>
      </c>
      <c r="AF1" t="s">
        <v>31</v>
      </c>
      <c r="AG1" t="s">
        <v>32</v>
      </c>
      <c r="AH1" t="s">
        <v>33</v>
      </c>
      <c r="AI1" t="s">
        <v>34</v>
      </c>
      <c r="AJ1" s="4" t="s">
        <v>35</v>
      </c>
      <c r="AK1" t="s">
        <v>36</v>
      </c>
      <c r="AL1" t="s">
        <v>37</v>
      </c>
      <c r="AM1" s="5" t="s">
        <v>38</v>
      </c>
      <c r="AN1" t="s">
        <v>39</v>
      </c>
      <c r="AO1" t="s">
        <v>40</v>
      </c>
      <c r="AP1" t="s">
        <v>41</v>
      </c>
      <c r="AQ1" t="s">
        <v>42</v>
      </c>
      <c r="AR1" t="s">
        <v>43</v>
      </c>
      <c r="AS1" t="s">
        <v>44</v>
      </c>
      <c r="AT1" t="s">
        <v>45</v>
      </c>
      <c r="AU1" t="s">
        <v>46</v>
      </c>
      <c r="AV1" t="s">
        <v>47</v>
      </c>
      <c r="AW1" t="s">
        <v>48</v>
      </c>
      <c r="AX1" s="4" t="s">
        <v>49</v>
      </c>
      <c r="AY1" t="s">
        <v>50</v>
      </c>
      <c r="AZ1" t="s">
        <v>51</v>
      </c>
      <c r="BA1" s="5" t="s">
        <v>52</v>
      </c>
      <c r="BB1" t="s">
        <v>53</v>
      </c>
      <c r="BC1" t="s">
        <v>54</v>
      </c>
      <c r="BD1" t="s">
        <v>55</v>
      </c>
      <c r="BE1" t="s">
        <v>56</v>
      </c>
      <c r="BF1" t="s">
        <v>57</v>
      </c>
      <c r="BG1" t="s">
        <v>58</v>
      </c>
      <c r="BH1" s="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s="4" t="s">
        <v>80</v>
      </c>
      <c r="CD1" t="s">
        <v>81</v>
      </c>
      <c r="CE1" t="s">
        <v>82</v>
      </c>
      <c r="CF1" s="6" t="s">
        <v>83</v>
      </c>
      <c r="CG1" s="6" t="s">
        <v>84</v>
      </c>
      <c r="CH1" s="6" t="s">
        <v>85</v>
      </c>
      <c r="CI1" s="6" t="s">
        <v>86</v>
      </c>
      <c r="CJ1" t="s">
        <v>87</v>
      </c>
      <c r="CK1" t="s">
        <v>88</v>
      </c>
      <c r="CL1" t="s">
        <v>89</v>
      </c>
      <c r="CM1" t="s">
        <v>90</v>
      </c>
      <c r="CN1" t="s">
        <v>91</v>
      </c>
      <c r="CO1" t="s">
        <v>92</v>
      </c>
      <c r="CP1" t="s">
        <v>93</v>
      </c>
      <c r="CQ1" t="s">
        <v>94</v>
      </c>
      <c r="CR1" t="s">
        <v>95</v>
      </c>
      <c r="CS1" t="s">
        <v>96</v>
      </c>
      <c r="CT1" t="s">
        <v>97</v>
      </c>
      <c r="CU1" t="s">
        <v>98</v>
      </c>
      <c r="CV1" t="s">
        <v>99</v>
      </c>
      <c r="CW1" s="5" t="s">
        <v>100</v>
      </c>
      <c r="CX1" t="s">
        <v>101</v>
      </c>
      <c r="CY1" t="s">
        <v>102</v>
      </c>
      <c r="CZ1" t="s">
        <v>103</v>
      </c>
      <c r="DA1" t="s">
        <v>104</v>
      </c>
      <c r="DB1" t="s">
        <v>105</v>
      </c>
      <c r="DC1" t="s">
        <v>106</v>
      </c>
      <c r="DD1" t="s">
        <v>107</v>
      </c>
      <c r="DE1" t="s">
        <v>108</v>
      </c>
      <c r="DF1" t="s">
        <v>109</v>
      </c>
      <c r="DG1" t="s">
        <v>110</v>
      </c>
      <c r="DH1" t="s">
        <v>111</v>
      </c>
      <c r="DI1" t="s">
        <v>112</v>
      </c>
    </row>
    <row r="2" spans="1:113" ht="15" customHeight="1" x14ac:dyDescent="0.25">
      <c r="A2" t="s">
        <v>5780</v>
      </c>
      <c r="B2" t="s">
        <v>165</v>
      </c>
      <c r="C2" s="1">
        <v>44900.71702546296</v>
      </c>
      <c r="D2" s="1">
        <v>44925</v>
      </c>
      <c r="E2" t="s">
        <v>134</v>
      </c>
      <c r="F2" t="s">
        <v>3920</v>
      </c>
      <c r="G2" t="str">
        <f>"35-3023.00"</f>
        <v>35-3023.00</v>
      </c>
      <c r="H2" t="s">
        <v>555</v>
      </c>
      <c r="I2">
        <v>15</v>
      </c>
      <c r="J2">
        <v>15</v>
      </c>
      <c r="K2" s="1">
        <v>44975</v>
      </c>
      <c r="L2" s="1">
        <v>45245</v>
      </c>
      <c r="M2" s="1">
        <v>44975</v>
      </c>
      <c r="N2" s="1">
        <v>45245</v>
      </c>
      <c r="O2" t="s">
        <v>199</v>
      </c>
      <c r="P2" t="s">
        <v>5781</v>
      </c>
      <c r="R2" t="s">
        <v>5782</v>
      </c>
      <c r="T2" t="s">
        <v>3942</v>
      </c>
      <c r="U2" t="s">
        <v>154</v>
      </c>
      <c r="V2" s="4" t="str">
        <f>"34243"</f>
        <v>34243</v>
      </c>
      <c r="W2" t="s">
        <v>120</v>
      </c>
      <c r="Y2" s="5">
        <v>19416504094</v>
      </c>
      <c r="Z2">
        <v>0</v>
      </c>
      <c r="AA2">
        <v>71399</v>
      </c>
      <c r="AB2" t="s">
        <v>5783</v>
      </c>
      <c r="AC2" t="s">
        <v>5784</v>
      </c>
      <c r="AE2" t="s">
        <v>424</v>
      </c>
      <c r="AF2" t="s">
        <v>5782</v>
      </c>
      <c r="AH2" t="s">
        <v>3942</v>
      </c>
      <c r="AI2" t="s">
        <v>154</v>
      </c>
      <c r="AJ2" s="4" t="str">
        <f>"34243"</f>
        <v>34243</v>
      </c>
      <c r="AK2" t="s">
        <v>120</v>
      </c>
      <c r="AM2" s="5">
        <v>19416504094</v>
      </c>
      <c r="AN2">
        <v>0</v>
      </c>
      <c r="AO2" t="s">
        <v>5785</v>
      </c>
      <c r="AP2" t="s">
        <v>256</v>
      </c>
      <c r="AQ2" t="s">
        <v>535</v>
      </c>
      <c r="AR2" t="s">
        <v>536</v>
      </c>
      <c r="AS2" t="s">
        <v>537</v>
      </c>
      <c r="AT2" t="s">
        <v>538</v>
      </c>
      <c r="AU2" t="s">
        <v>539</v>
      </c>
      <c r="AV2" t="s">
        <v>540</v>
      </c>
      <c r="AW2" t="s">
        <v>232</v>
      </c>
      <c r="AX2" s="4" t="str">
        <f>"78550"</f>
        <v>78550</v>
      </c>
      <c r="AY2" t="s">
        <v>120</v>
      </c>
      <c r="AZ2" t="s">
        <v>541</v>
      </c>
      <c r="BA2" s="5">
        <v>19564408720</v>
      </c>
      <c r="BB2">
        <v>0</v>
      </c>
      <c r="BC2" t="s">
        <v>542</v>
      </c>
      <c r="BD2" t="s">
        <v>543</v>
      </c>
      <c r="BG2" t="s">
        <v>154</v>
      </c>
      <c r="BH2" s="1">
        <v>44899.791666666664</v>
      </c>
      <c r="BI2">
        <v>40</v>
      </c>
      <c r="BJ2">
        <v>8</v>
      </c>
      <c r="BK2">
        <v>0</v>
      </c>
      <c r="BL2">
        <v>0</v>
      </c>
      <c r="BM2">
        <v>8</v>
      </c>
      <c r="BN2">
        <v>8</v>
      </c>
      <c r="BO2">
        <v>8</v>
      </c>
      <c r="BP2">
        <v>8</v>
      </c>
      <c r="BQ2" t="str">
        <f>"1:00 PM"</f>
        <v>1:00 PM</v>
      </c>
      <c r="BR2" t="str">
        <f>"10:00 PM"</f>
        <v>10:00 PM</v>
      </c>
      <c r="BS2" t="s">
        <v>133</v>
      </c>
      <c r="BT2">
        <v>0</v>
      </c>
      <c r="BU2">
        <v>0</v>
      </c>
      <c r="BV2" t="s">
        <v>134</v>
      </c>
      <c r="BX2" t="s">
        <v>3921</v>
      </c>
      <c r="BY2" t="s">
        <v>5782</v>
      </c>
      <c r="CA2" t="s">
        <v>3942</v>
      </c>
      <c r="CB2" t="s">
        <v>154</v>
      </c>
      <c r="CC2" s="4" t="str">
        <f>"34243"</f>
        <v>34243</v>
      </c>
      <c r="CD2" t="s">
        <v>3943</v>
      </c>
      <c r="CE2" t="s">
        <v>3944</v>
      </c>
      <c r="CF2" s="6">
        <v>9.39</v>
      </c>
      <c r="CG2" s="6">
        <v>13.66</v>
      </c>
      <c r="CH2" s="6">
        <v>0</v>
      </c>
      <c r="CI2" s="6">
        <v>0</v>
      </c>
      <c r="CJ2" t="s">
        <v>137</v>
      </c>
      <c r="CK2" t="s">
        <v>3922</v>
      </c>
      <c r="CL2" t="s">
        <v>5786</v>
      </c>
      <c r="CO2" t="s">
        <v>138</v>
      </c>
      <c r="CP2" t="s">
        <v>114</v>
      </c>
      <c r="CQ2" t="s">
        <v>114</v>
      </c>
      <c r="CR2" t="s">
        <v>134</v>
      </c>
      <c r="CS2" t="s">
        <v>114</v>
      </c>
      <c r="CT2" t="s">
        <v>114</v>
      </c>
      <c r="CU2" t="s">
        <v>114</v>
      </c>
      <c r="CV2" t="s">
        <v>3675</v>
      </c>
      <c r="CW2" s="5" t="str">
        <f>"+19416503033"</f>
        <v>+19416503033</v>
      </c>
      <c r="CX2" t="s">
        <v>5785</v>
      </c>
      <c r="CY2" t="s">
        <v>138</v>
      </c>
      <c r="CZ2" t="s">
        <v>139</v>
      </c>
      <c r="DA2" t="s">
        <v>134</v>
      </c>
      <c r="DB2" t="s">
        <v>114</v>
      </c>
      <c r="DC2" t="s">
        <v>114</v>
      </c>
      <c r="DD2" t="s">
        <v>134</v>
      </c>
    </row>
    <row r="3" spans="1:113" ht="15" customHeight="1" x14ac:dyDescent="0.25">
      <c r="A3" t="s">
        <v>13380</v>
      </c>
      <c r="B3" t="s">
        <v>165</v>
      </c>
      <c r="C3" s="1">
        <v>44898.78424050926</v>
      </c>
      <c r="D3" s="1">
        <v>44925</v>
      </c>
      <c r="E3" t="s">
        <v>134</v>
      </c>
      <c r="F3" t="s">
        <v>13381</v>
      </c>
      <c r="G3" t="str">
        <f>"35-1012.00"</f>
        <v>35-1012.00</v>
      </c>
      <c r="H3" t="s">
        <v>2382</v>
      </c>
      <c r="I3">
        <v>4</v>
      </c>
      <c r="J3">
        <v>4</v>
      </c>
      <c r="K3" s="1">
        <v>44973</v>
      </c>
      <c r="L3" s="1">
        <v>45260</v>
      </c>
      <c r="M3" s="1">
        <v>44973</v>
      </c>
      <c r="N3" s="1">
        <v>45260</v>
      </c>
      <c r="O3" t="s">
        <v>117</v>
      </c>
      <c r="P3" t="s">
        <v>1231</v>
      </c>
      <c r="Q3" t="s">
        <v>1232</v>
      </c>
      <c r="R3" t="s">
        <v>1233</v>
      </c>
      <c r="T3" t="s">
        <v>1234</v>
      </c>
      <c r="U3" t="s">
        <v>394</v>
      </c>
      <c r="V3" s="4" t="str">
        <f>"29455"</f>
        <v>29455</v>
      </c>
      <c r="W3" t="s">
        <v>120</v>
      </c>
      <c r="Y3" s="5">
        <v>18437682700</v>
      </c>
      <c r="AA3">
        <v>72111</v>
      </c>
      <c r="AB3" t="s">
        <v>1235</v>
      </c>
      <c r="AC3" t="s">
        <v>1236</v>
      </c>
      <c r="AE3" t="s">
        <v>398</v>
      </c>
      <c r="AF3" t="s">
        <v>1237</v>
      </c>
      <c r="AH3" t="s">
        <v>1234</v>
      </c>
      <c r="AI3" t="s">
        <v>394</v>
      </c>
      <c r="AJ3" s="4" t="str">
        <f>"29455"</f>
        <v>29455</v>
      </c>
      <c r="AK3" t="s">
        <v>120</v>
      </c>
      <c r="AM3" s="5">
        <v>18437682700</v>
      </c>
      <c r="AO3" t="s">
        <v>1238</v>
      </c>
      <c r="AP3" t="s">
        <v>256</v>
      </c>
      <c r="AQ3" t="s">
        <v>400</v>
      </c>
      <c r="AR3" t="s">
        <v>401</v>
      </c>
      <c r="AS3" t="s">
        <v>397</v>
      </c>
      <c r="AT3" t="s">
        <v>402</v>
      </c>
      <c r="AU3" t="s">
        <v>152</v>
      </c>
      <c r="AV3" t="s">
        <v>403</v>
      </c>
      <c r="AW3" t="s">
        <v>232</v>
      </c>
      <c r="AX3" s="4" t="str">
        <f>"75033"</f>
        <v>75033</v>
      </c>
      <c r="AY3" t="s">
        <v>120</v>
      </c>
      <c r="BA3" s="5">
        <v>19727789690</v>
      </c>
      <c r="BC3" t="s">
        <v>1239</v>
      </c>
      <c r="BD3" t="s">
        <v>405</v>
      </c>
      <c r="BG3" t="s">
        <v>394</v>
      </c>
      <c r="BH3" s="1">
        <v>44897.791666666664</v>
      </c>
      <c r="BI3">
        <v>40</v>
      </c>
      <c r="BJ3">
        <v>8</v>
      </c>
      <c r="BK3">
        <v>8</v>
      </c>
      <c r="BL3">
        <v>8</v>
      </c>
      <c r="BM3">
        <v>0</v>
      </c>
      <c r="BN3">
        <v>8</v>
      </c>
      <c r="BO3">
        <v>0</v>
      </c>
      <c r="BP3">
        <v>8</v>
      </c>
      <c r="BQ3" t="str">
        <f>"5:00 AM"</f>
        <v>5:00 AM</v>
      </c>
      <c r="BR3" t="str">
        <f>"1:00 PM"</f>
        <v>1:00 PM</v>
      </c>
      <c r="BS3" t="s">
        <v>133</v>
      </c>
      <c r="BT3">
        <v>0</v>
      </c>
      <c r="BU3">
        <v>3</v>
      </c>
      <c r="BV3" t="s">
        <v>114</v>
      </c>
      <c r="BW3">
        <v>15</v>
      </c>
      <c r="BX3" s="2" t="s">
        <v>13382</v>
      </c>
      <c r="BY3" t="s">
        <v>1241</v>
      </c>
      <c r="CA3" t="s">
        <v>1242</v>
      </c>
      <c r="CB3" t="s">
        <v>394</v>
      </c>
      <c r="CC3" s="4" t="str">
        <f>"29455"</f>
        <v>29455</v>
      </c>
      <c r="CD3" t="s">
        <v>1243</v>
      </c>
      <c r="CE3" t="s">
        <v>1244</v>
      </c>
      <c r="CF3" s="6">
        <v>19.47</v>
      </c>
      <c r="CG3" s="6">
        <v>19.47</v>
      </c>
      <c r="CH3" s="6">
        <v>29.21</v>
      </c>
      <c r="CI3" s="6">
        <v>29.21</v>
      </c>
      <c r="CJ3" t="s">
        <v>137</v>
      </c>
      <c r="CK3" t="s">
        <v>950</v>
      </c>
      <c r="CL3" t="s">
        <v>13383</v>
      </c>
      <c r="CO3" t="s">
        <v>138</v>
      </c>
      <c r="CP3" t="s">
        <v>134</v>
      </c>
      <c r="CQ3" t="s">
        <v>114</v>
      </c>
      <c r="CR3" t="s">
        <v>114</v>
      </c>
      <c r="CS3" t="s">
        <v>114</v>
      </c>
      <c r="CT3" t="s">
        <v>114</v>
      </c>
      <c r="CU3" t="s">
        <v>114</v>
      </c>
      <c r="CV3" s="2" t="s">
        <v>13384</v>
      </c>
      <c r="CW3" s="5" t="str">
        <f>"+18437682700"</f>
        <v>+18437682700</v>
      </c>
      <c r="CX3" t="s">
        <v>138</v>
      </c>
      <c r="CY3" t="s">
        <v>1247</v>
      </c>
      <c r="CZ3" t="s">
        <v>139</v>
      </c>
      <c r="DA3" t="s">
        <v>134</v>
      </c>
      <c r="DB3" t="s">
        <v>114</v>
      </c>
      <c r="DC3" t="s">
        <v>114</v>
      </c>
      <c r="DD3" t="s">
        <v>134</v>
      </c>
    </row>
    <row r="4" spans="1:113" ht="15" customHeight="1" x14ac:dyDescent="0.25">
      <c r="A4" t="s">
        <v>14078</v>
      </c>
      <c r="B4" t="s">
        <v>165</v>
      </c>
      <c r="C4" s="1">
        <v>44898.777719791666</v>
      </c>
      <c r="D4" s="1">
        <v>44925</v>
      </c>
      <c r="E4" t="s">
        <v>134</v>
      </c>
      <c r="F4" t="s">
        <v>3925</v>
      </c>
      <c r="G4" t="str">
        <f>"35-3011.00"</f>
        <v>35-3011.00</v>
      </c>
      <c r="H4" t="s">
        <v>956</v>
      </c>
      <c r="I4">
        <v>3</v>
      </c>
      <c r="J4">
        <v>3</v>
      </c>
      <c r="K4" s="1">
        <v>44973</v>
      </c>
      <c r="L4" s="1">
        <v>45260</v>
      </c>
      <c r="M4" s="1">
        <v>44973</v>
      </c>
      <c r="N4" s="1">
        <v>45260</v>
      </c>
      <c r="O4" t="s">
        <v>117</v>
      </c>
      <c r="P4" t="s">
        <v>1231</v>
      </c>
      <c r="Q4" t="s">
        <v>1232</v>
      </c>
      <c r="R4" t="s">
        <v>1233</v>
      </c>
      <c r="T4" t="s">
        <v>1234</v>
      </c>
      <c r="U4" t="s">
        <v>394</v>
      </c>
      <c r="V4" s="4" t="str">
        <f>"29455"</f>
        <v>29455</v>
      </c>
      <c r="W4" t="s">
        <v>120</v>
      </c>
      <c r="Y4" s="5">
        <v>18437682700</v>
      </c>
      <c r="AA4">
        <v>7211</v>
      </c>
      <c r="AB4" t="s">
        <v>1235</v>
      </c>
      <c r="AC4" t="s">
        <v>1236</v>
      </c>
      <c r="AE4" t="s">
        <v>398</v>
      </c>
      <c r="AF4" t="s">
        <v>1237</v>
      </c>
      <c r="AH4" t="s">
        <v>1234</v>
      </c>
      <c r="AI4" t="s">
        <v>394</v>
      </c>
      <c r="AJ4" s="4" t="str">
        <f>"29455"</f>
        <v>29455</v>
      </c>
      <c r="AK4" t="s">
        <v>120</v>
      </c>
      <c r="AM4" s="5">
        <v>18437682700</v>
      </c>
      <c r="AO4" t="s">
        <v>1238</v>
      </c>
      <c r="AP4" t="s">
        <v>256</v>
      </c>
      <c r="AQ4" t="s">
        <v>400</v>
      </c>
      <c r="AR4" t="s">
        <v>401</v>
      </c>
      <c r="AS4" t="s">
        <v>397</v>
      </c>
      <c r="AT4" t="s">
        <v>402</v>
      </c>
      <c r="AU4" t="s">
        <v>152</v>
      </c>
      <c r="AV4" t="s">
        <v>403</v>
      </c>
      <c r="AW4" t="s">
        <v>232</v>
      </c>
      <c r="AX4" s="4" t="str">
        <f>"75033"</f>
        <v>75033</v>
      </c>
      <c r="AY4" t="s">
        <v>120</v>
      </c>
      <c r="BA4" s="5">
        <v>19727789690</v>
      </c>
      <c r="BC4" t="s">
        <v>1239</v>
      </c>
      <c r="BD4" t="s">
        <v>405</v>
      </c>
      <c r="BG4" t="s">
        <v>394</v>
      </c>
      <c r="BH4" s="1">
        <v>44897.791666666664</v>
      </c>
      <c r="BI4">
        <v>40</v>
      </c>
      <c r="BJ4">
        <v>8</v>
      </c>
      <c r="BK4">
        <v>0</v>
      </c>
      <c r="BL4">
        <v>8</v>
      </c>
      <c r="BM4">
        <v>0</v>
      </c>
      <c r="BN4">
        <v>8</v>
      </c>
      <c r="BO4">
        <v>8</v>
      </c>
      <c r="BP4">
        <v>8</v>
      </c>
      <c r="BQ4" t="str">
        <f>"10:00 AM"</f>
        <v>10:00 AM</v>
      </c>
      <c r="BR4" t="str">
        <f>"6:00 PM"</f>
        <v>6:00 PM</v>
      </c>
      <c r="BS4" t="s">
        <v>133</v>
      </c>
      <c r="BT4">
        <v>0</v>
      </c>
      <c r="BU4">
        <v>6</v>
      </c>
      <c r="BV4" t="s">
        <v>134</v>
      </c>
      <c r="BX4" s="2" t="s">
        <v>14079</v>
      </c>
      <c r="BY4" t="s">
        <v>1241</v>
      </c>
      <c r="CA4" t="s">
        <v>1242</v>
      </c>
      <c r="CB4" t="s">
        <v>394</v>
      </c>
      <c r="CC4" s="4" t="str">
        <f>"29455"</f>
        <v>29455</v>
      </c>
      <c r="CD4" t="s">
        <v>1243</v>
      </c>
      <c r="CE4" t="s">
        <v>1244</v>
      </c>
      <c r="CF4" s="6">
        <v>12.45</v>
      </c>
      <c r="CG4" s="6">
        <v>15</v>
      </c>
      <c r="CH4" s="6">
        <v>18.68</v>
      </c>
      <c r="CI4" s="6">
        <v>22.5</v>
      </c>
      <c r="CJ4" t="s">
        <v>137</v>
      </c>
      <c r="CK4" t="s">
        <v>950</v>
      </c>
      <c r="CL4" t="s">
        <v>14080</v>
      </c>
      <c r="CO4" t="s">
        <v>138</v>
      </c>
      <c r="CP4" t="s">
        <v>134</v>
      </c>
      <c r="CQ4" t="s">
        <v>114</v>
      </c>
      <c r="CR4" t="s">
        <v>114</v>
      </c>
      <c r="CS4" t="s">
        <v>114</v>
      </c>
      <c r="CT4" t="s">
        <v>114</v>
      </c>
      <c r="CU4" t="s">
        <v>114</v>
      </c>
      <c r="CV4" s="2" t="s">
        <v>1246</v>
      </c>
      <c r="CW4" s="5" t="str">
        <f>"+18437682700"</f>
        <v>+18437682700</v>
      </c>
      <c r="CX4" t="s">
        <v>138</v>
      </c>
      <c r="CY4" t="s">
        <v>1247</v>
      </c>
      <c r="CZ4" t="s">
        <v>139</v>
      </c>
      <c r="DA4" t="s">
        <v>134</v>
      </c>
      <c r="DB4" t="s">
        <v>114</v>
      </c>
      <c r="DC4" t="s">
        <v>114</v>
      </c>
      <c r="DD4" t="s">
        <v>134</v>
      </c>
    </row>
    <row r="5" spans="1:113" ht="15" customHeight="1" x14ac:dyDescent="0.25">
      <c r="A5" t="s">
        <v>14164</v>
      </c>
      <c r="B5" t="s">
        <v>165</v>
      </c>
      <c r="C5" s="1">
        <v>44897.841382523147</v>
      </c>
      <c r="D5" s="1">
        <v>44925</v>
      </c>
      <c r="E5" t="s">
        <v>134</v>
      </c>
      <c r="F5" t="s">
        <v>1805</v>
      </c>
      <c r="G5" t="str">
        <f>"45-3031.00"</f>
        <v>45-3031.00</v>
      </c>
      <c r="H5" t="s">
        <v>496</v>
      </c>
      <c r="I5">
        <v>5</v>
      </c>
      <c r="J5">
        <v>5</v>
      </c>
      <c r="K5" s="1">
        <v>44986</v>
      </c>
      <c r="L5" s="1">
        <v>45275</v>
      </c>
      <c r="M5" s="1">
        <v>44986</v>
      </c>
      <c r="N5" s="1">
        <v>45275</v>
      </c>
      <c r="O5" t="s">
        <v>117</v>
      </c>
      <c r="P5" t="s">
        <v>9094</v>
      </c>
      <c r="R5" t="s">
        <v>9095</v>
      </c>
      <c r="T5" t="s">
        <v>1795</v>
      </c>
      <c r="U5" t="s">
        <v>232</v>
      </c>
      <c r="V5" s="4" t="str">
        <f>"77465"</f>
        <v>77465</v>
      </c>
      <c r="W5" t="s">
        <v>120</v>
      </c>
      <c r="Y5" s="5">
        <v>19799433619</v>
      </c>
      <c r="AA5">
        <v>114112</v>
      </c>
      <c r="AB5" t="s">
        <v>1751</v>
      </c>
      <c r="AC5" t="s">
        <v>2293</v>
      </c>
      <c r="AE5" t="s">
        <v>252</v>
      </c>
      <c r="AF5" t="s">
        <v>9095</v>
      </c>
      <c r="AH5" t="s">
        <v>1795</v>
      </c>
      <c r="AI5" t="s">
        <v>232</v>
      </c>
      <c r="AJ5" s="4" t="str">
        <f>"77465"</f>
        <v>77465</v>
      </c>
      <c r="AK5" t="s">
        <v>120</v>
      </c>
      <c r="AM5" s="5">
        <v>19799433619</v>
      </c>
      <c r="AO5" t="s">
        <v>1797</v>
      </c>
      <c r="AP5" t="s">
        <v>256</v>
      </c>
      <c r="AQ5" t="s">
        <v>826</v>
      </c>
      <c r="AR5" t="s">
        <v>827</v>
      </c>
      <c r="AS5" t="s">
        <v>138</v>
      </c>
      <c r="AT5" t="s">
        <v>346</v>
      </c>
      <c r="AU5" t="s">
        <v>347</v>
      </c>
      <c r="AV5" t="s">
        <v>828</v>
      </c>
      <c r="AW5" t="s">
        <v>349</v>
      </c>
      <c r="AX5" s="4" t="str">
        <f>"83814"</f>
        <v>83814</v>
      </c>
      <c r="AY5" t="s">
        <v>120</v>
      </c>
      <c r="BA5" s="5">
        <v>12087772654</v>
      </c>
      <c r="BC5" t="s">
        <v>829</v>
      </c>
      <c r="BD5" t="s">
        <v>351</v>
      </c>
      <c r="BG5" t="s">
        <v>232</v>
      </c>
      <c r="BH5" s="1">
        <v>44896.791666666664</v>
      </c>
      <c r="BI5">
        <v>40</v>
      </c>
      <c r="BJ5">
        <v>0</v>
      </c>
      <c r="BK5">
        <v>8</v>
      </c>
      <c r="BL5">
        <v>8</v>
      </c>
      <c r="BM5">
        <v>8</v>
      </c>
      <c r="BN5">
        <v>8</v>
      </c>
      <c r="BO5">
        <v>8</v>
      </c>
      <c r="BP5">
        <v>0</v>
      </c>
      <c r="BQ5" t="str">
        <f>"10:00 PM"</f>
        <v>10:00 PM</v>
      </c>
      <c r="BR5" t="str">
        <f>"6:00 AM"</f>
        <v>6:00 AM</v>
      </c>
      <c r="BS5" t="s">
        <v>133</v>
      </c>
      <c r="BT5">
        <v>0</v>
      </c>
      <c r="BU5">
        <v>0</v>
      </c>
      <c r="BV5" t="s">
        <v>134</v>
      </c>
      <c r="BX5" s="2" t="s">
        <v>1798</v>
      </c>
      <c r="BY5" t="s">
        <v>1799</v>
      </c>
      <c r="CA5" t="s">
        <v>1795</v>
      </c>
      <c r="CB5" t="s">
        <v>232</v>
      </c>
      <c r="CC5" s="4" t="str">
        <f>"77465"</f>
        <v>77465</v>
      </c>
      <c r="CD5" t="s">
        <v>1800</v>
      </c>
      <c r="CE5" t="s">
        <v>1801</v>
      </c>
      <c r="CF5" s="6">
        <v>14.46</v>
      </c>
      <c r="CH5" s="6">
        <v>21.69</v>
      </c>
      <c r="CJ5" t="s">
        <v>137</v>
      </c>
      <c r="CK5" t="s">
        <v>1802</v>
      </c>
      <c r="CL5" t="s">
        <v>9096</v>
      </c>
      <c r="CO5" t="s">
        <v>138</v>
      </c>
      <c r="CP5" t="s">
        <v>114</v>
      </c>
      <c r="CQ5" t="s">
        <v>114</v>
      </c>
      <c r="CR5" t="s">
        <v>114</v>
      </c>
      <c r="CS5" t="s">
        <v>114</v>
      </c>
      <c r="CT5" t="s">
        <v>114</v>
      </c>
      <c r="CU5" t="s">
        <v>114</v>
      </c>
      <c r="CV5" t="s">
        <v>358</v>
      </c>
      <c r="CW5" s="5" t="str">
        <f>"+19799433619"</f>
        <v>+19799433619</v>
      </c>
      <c r="CX5" t="s">
        <v>1797</v>
      </c>
      <c r="CY5" t="s">
        <v>138</v>
      </c>
      <c r="CZ5" t="s">
        <v>139</v>
      </c>
      <c r="DA5" t="s">
        <v>134</v>
      </c>
      <c r="DB5" t="s">
        <v>134</v>
      </c>
      <c r="DC5" t="s">
        <v>114</v>
      </c>
      <c r="DD5" t="s">
        <v>134</v>
      </c>
    </row>
    <row r="6" spans="1:113" ht="15" customHeight="1" x14ac:dyDescent="0.25">
      <c r="A6" t="s">
        <v>16668</v>
      </c>
      <c r="B6" t="s">
        <v>165</v>
      </c>
      <c r="C6" s="1">
        <v>44897.734363194446</v>
      </c>
      <c r="D6" s="1">
        <v>44925</v>
      </c>
      <c r="E6" t="s">
        <v>114</v>
      </c>
      <c r="F6" t="s">
        <v>334</v>
      </c>
      <c r="G6" t="str">
        <f t="shared" ref="G6:G14" si="0">"37-3011.00"</f>
        <v>37-3011.00</v>
      </c>
      <c r="H6" t="s">
        <v>335</v>
      </c>
      <c r="I6">
        <v>23</v>
      </c>
      <c r="J6">
        <v>23</v>
      </c>
      <c r="K6" s="1">
        <v>44986</v>
      </c>
      <c r="L6" s="1">
        <v>45261</v>
      </c>
      <c r="M6" s="1">
        <v>44986</v>
      </c>
      <c r="N6" s="1">
        <v>45261</v>
      </c>
      <c r="O6" t="s">
        <v>199</v>
      </c>
      <c r="P6" t="s">
        <v>9955</v>
      </c>
      <c r="R6" t="s">
        <v>9956</v>
      </c>
      <c r="T6" t="s">
        <v>4425</v>
      </c>
      <c r="U6" t="s">
        <v>1279</v>
      </c>
      <c r="V6" s="4" t="str">
        <f>"66215"</f>
        <v>66215</v>
      </c>
      <c r="W6" t="s">
        <v>120</v>
      </c>
      <c r="Y6" s="5">
        <v>19138882400</v>
      </c>
      <c r="AA6">
        <v>56173</v>
      </c>
      <c r="AB6" t="s">
        <v>1877</v>
      </c>
      <c r="AC6" t="s">
        <v>9957</v>
      </c>
      <c r="AE6" t="s">
        <v>9958</v>
      </c>
      <c r="AF6" t="s">
        <v>9956</v>
      </c>
      <c r="AH6" t="s">
        <v>4425</v>
      </c>
      <c r="AI6" t="s">
        <v>1279</v>
      </c>
      <c r="AJ6" s="4" t="str">
        <f>"66215"</f>
        <v>66215</v>
      </c>
      <c r="AK6" t="s">
        <v>120</v>
      </c>
      <c r="AM6" s="5">
        <v>19138882400</v>
      </c>
      <c r="AO6" t="s">
        <v>9959</v>
      </c>
      <c r="AP6" t="s">
        <v>256</v>
      </c>
      <c r="AQ6" t="s">
        <v>475</v>
      </c>
      <c r="AR6" t="s">
        <v>476</v>
      </c>
      <c r="AT6" t="s">
        <v>1471</v>
      </c>
      <c r="AU6" t="s">
        <v>1472</v>
      </c>
      <c r="AV6" t="s">
        <v>1473</v>
      </c>
      <c r="AW6" t="s">
        <v>479</v>
      </c>
      <c r="AX6" s="4" t="str">
        <f>"22949"</f>
        <v>22949</v>
      </c>
      <c r="AY6" t="s">
        <v>120</v>
      </c>
      <c r="BA6" s="5">
        <v>14342634300</v>
      </c>
      <c r="BC6" t="s">
        <v>1664</v>
      </c>
      <c r="BD6" t="s">
        <v>481</v>
      </c>
      <c r="BG6" t="s">
        <v>1279</v>
      </c>
      <c r="BH6" s="1">
        <v>44896.791666666664</v>
      </c>
      <c r="BI6">
        <v>35</v>
      </c>
      <c r="BJ6">
        <v>0</v>
      </c>
      <c r="BK6">
        <v>7</v>
      </c>
      <c r="BL6">
        <v>7</v>
      </c>
      <c r="BM6">
        <v>7</v>
      </c>
      <c r="BN6">
        <v>7</v>
      </c>
      <c r="BO6">
        <v>7</v>
      </c>
      <c r="BP6">
        <v>0</v>
      </c>
      <c r="BQ6" t="str">
        <f>"7:30 AM"</f>
        <v>7:30 AM</v>
      </c>
      <c r="BR6" t="str">
        <f>"3:15 PM"</f>
        <v>3:15 PM</v>
      </c>
      <c r="BS6" t="s">
        <v>133</v>
      </c>
      <c r="BT6">
        <v>0</v>
      </c>
      <c r="BU6">
        <v>0</v>
      </c>
      <c r="BV6" t="s">
        <v>134</v>
      </c>
      <c r="BX6" s="2" t="s">
        <v>9960</v>
      </c>
      <c r="BY6" t="s">
        <v>9961</v>
      </c>
      <c r="CA6" t="s">
        <v>1950</v>
      </c>
      <c r="CB6" t="s">
        <v>1279</v>
      </c>
      <c r="CC6" s="4" t="str">
        <f>"66218"</f>
        <v>66218</v>
      </c>
      <c r="CD6" t="s">
        <v>1289</v>
      </c>
      <c r="CE6" t="s">
        <v>1290</v>
      </c>
      <c r="CF6" s="6">
        <v>16.920000000000002</v>
      </c>
      <c r="CH6" s="6">
        <v>25.38</v>
      </c>
      <c r="CJ6" t="s">
        <v>137</v>
      </c>
      <c r="CK6" t="s">
        <v>2707</v>
      </c>
      <c r="CL6" t="s">
        <v>9962</v>
      </c>
      <c r="CO6" t="s">
        <v>138</v>
      </c>
      <c r="CP6" t="s">
        <v>114</v>
      </c>
      <c r="CQ6" t="s">
        <v>134</v>
      </c>
      <c r="CR6" t="s">
        <v>114</v>
      </c>
      <c r="CS6" t="s">
        <v>114</v>
      </c>
      <c r="CT6" t="s">
        <v>114</v>
      </c>
      <c r="CU6" t="s">
        <v>114</v>
      </c>
      <c r="CV6" t="s">
        <v>16669</v>
      </c>
      <c r="CW6" s="5" t="str">
        <f>"N/A"</f>
        <v>N/A</v>
      </c>
      <c r="CX6" t="s">
        <v>9963</v>
      </c>
      <c r="CY6" t="s">
        <v>1952</v>
      </c>
      <c r="CZ6" t="s">
        <v>139</v>
      </c>
      <c r="DA6" t="s">
        <v>134</v>
      </c>
      <c r="DB6" t="s">
        <v>114</v>
      </c>
      <c r="DC6" t="s">
        <v>114</v>
      </c>
      <c r="DD6" t="s">
        <v>134</v>
      </c>
      <c r="DE6" t="s">
        <v>1669</v>
      </c>
      <c r="DF6" t="s">
        <v>1670</v>
      </c>
      <c r="DH6" t="s">
        <v>481</v>
      </c>
      <c r="DI6" t="s">
        <v>1664</v>
      </c>
    </row>
    <row r="7" spans="1:113" ht="15" customHeight="1" x14ac:dyDescent="0.25">
      <c r="A7" t="s">
        <v>15555</v>
      </c>
      <c r="B7" t="s">
        <v>165</v>
      </c>
      <c r="C7" s="1">
        <v>44896.667321643516</v>
      </c>
      <c r="D7" s="1">
        <v>44925</v>
      </c>
      <c r="E7" t="s">
        <v>134</v>
      </c>
      <c r="F7" t="s">
        <v>334</v>
      </c>
      <c r="G7" t="str">
        <f t="shared" si="0"/>
        <v>37-3011.00</v>
      </c>
      <c r="H7" t="s">
        <v>335</v>
      </c>
      <c r="I7">
        <v>3</v>
      </c>
      <c r="J7">
        <v>3</v>
      </c>
      <c r="K7" s="1">
        <v>44986</v>
      </c>
      <c r="L7" s="1">
        <v>45228</v>
      </c>
      <c r="M7" s="1">
        <v>44986</v>
      </c>
      <c r="N7" s="1">
        <v>45228</v>
      </c>
      <c r="O7" t="s">
        <v>117</v>
      </c>
      <c r="P7" t="s">
        <v>15556</v>
      </c>
      <c r="R7" t="s">
        <v>15557</v>
      </c>
      <c r="T7" t="s">
        <v>5506</v>
      </c>
      <c r="U7" t="s">
        <v>657</v>
      </c>
      <c r="V7" s="4" t="str">
        <f>"38115"</f>
        <v>38115</v>
      </c>
      <c r="W7" t="s">
        <v>120</v>
      </c>
      <c r="Y7" s="5">
        <v>19017947370</v>
      </c>
      <c r="AA7">
        <v>56173</v>
      </c>
      <c r="AB7" t="s">
        <v>15558</v>
      </c>
      <c r="AC7" t="s">
        <v>8910</v>
      </c>
      <c r="AE7" t="s">
        <v>342</v>
      </c>
      <c r="AF7" t="s">
        <v>15557</v>
      </c>
      <c r="AH7" t="s">
        <v>5506</v>
      </c>
      <c r="AI7" t="s">
        <v>657</v>
      </c>
      <c r="AJ7" s="4" t="str">
        <f>"38115"</f>
        <v>38115</v>
      </c>
      <c r="AK7" t="s">
        <v>120</v>
      </c>
      <c r="AM7" s="5">
        <v>19017947370</v>
      </c>
      <c r="AO7" t="s">
        <v>1574</v>
      </c>
      <c r="AP7" t="s">
        <v>256</v>
      </c>
      <c r="AQ7" t="s">
        <v>1941</v>
      </c>
      <c r="AR7" t="s">
        <v>1942</v>
      </c>
      <c r="AT7" t="s">
        <v>1943</v>
      </c>
      <c r="AU7" t="s">
        <v>1944</v>
      </c>
      <c r="AV7" t="s">
        <v>1945</v>
      </c>
      <c r="AW7" t="s">
        <v>631</v>
      </c>
      <c r="AX7" s="4" t="str">
        <f>"74136"</f>
        <v>74136</v>
      </c>
      <c r="AY7" t="s">
        <v>120</v>
      </c>
      <c r="BA7" s="5">
        <v>19189065212</v>
      </c>
      <c r="BC7" t="s">
        <v>1946</v>
      </c>
      <c r="BD7" t="s">
        <v>1947</v>
      </c>
      <c r="BG7" t="s">
        <v>657</v>
      </c>
      <c r="BH7" s="1">
        <v>44874.791666666664</v>
      </c>
      <c r="BI7">
        <v>48</v>
      </c>
      <c r="BJ7">
        <v>0</v>
      </c>
      <c r="BK7">
        <v>8</v>
      </c>
      <c r="BL7">
        <v>8</v>
      </c>
      <c r="BM7">
        <v>8</v>
      </c>
      <c r="BN7">
        <v>8</v>
      </c>
      <c r="BO7">
        <v>8</v>
      </c>
      <c r="BP7">
        <v>8</v>
      </c>
      <c r="BQ7" t="str">
        <f>"7:30 AM"</f>
        <v>7:30 AM</v>
      </c>
      <c r="BR7" t="str">
        <f>"5:00 PM"</f>
        <v>5:00 PM</v>
      </c>
      <c r="BS7" t="s">
        <v>133</v>
      </c>
      <c r="BT7">
        <v>0</v>
      </c>
      <c r="BU7">
        <v>3</v>
      </c>
      <c r="BV7" t="s">
        <v>134</v>
      </c>
      <c r="BX7" s="2" t="s">
        <v>15559</v>
      </c>
      <c r="BY7" t="s">
        <v>15557</v>
      </c>
      <c r="CA7" t="s">
        <v>5506</v>
      </c>
      <c r="CB7" t="s">
        <v>657</v>
      </c>
      <c r="CC7" s="4" t="str">
        <f>"38115"</f>
        <v>38115</v>
      </c>
      <c r="CD7" t="s">
        <v>4017</v>
      </c>
      <c r="CE7" t="s">
        <v>5551</v>
      </c>
      <c r="CF7" s="6">
        <v>15.13</v>
      </c>
      <c r="CG7" s="6">
        <v>15.13</v>
      </c>
      <c r="CH7" s="6">
        <v>22.7</v>
      </c>
      <c r="CI7" s="6">
        <v>22.7</v>
      </c>
      <c r="CJ7" t="s">
        <v>137</v>
      </c>
      <c r="CK7" t="s">
        <v>1948</v>
      </c>
      <c r="CL7" t="s">
        <v>15560</v>
      </c>
      <c r="CO7" t="s">
        <v>138</v>
      </c>
      <c r="CP7" t="s">
        <v>114</v>
      </c>
      <c r="CQ7" t="s">
        <v>114</v>
      </c>
      <c r="CR7" t="s">
        <v>114</v>
      </c>
      <c r="CS7" t="s">
        <v>114</v>
      </c>
      <c r="CT7" t="s">
        <v>114</v>
      </c>
      <c r="CU7" t="s">
        <v>114</v>
      </c>
      <c r="CV7" s="2" t="s">
        <v>15561</v>
      </c>
      <c r="CW7" s="5" t="str">
        <f>"+19017497370"</f>
        <v>+19017497370</v>
      </c>
      <c r="CX7" t="s">
        <v>138</v>
      </c>
      <c r="CY7" t="s">
        <v>4200</v>
      </c>
      <c r="CZ7" t="s">
        <v>139</v>
      </c>
      <c r="DA7" t="s">
        <v>134</v>
      </c>
      <c r="DB7" t="s">
        <v>114</v>
      </c>
      <c r="DC7" t="s">
        <v>114</v>
      </c>
      <c r="DD7" t="s">
        <v>134</v>
      </c>
    </row>
    <row r="8" spans="1:113" ht="15" customHeight="1" x14ac:dyDescent="0.25">
      <c r="A8" t="s">
        <v>14124</v>
      </c>
      <c r="B8" t="s">
        <v>165</v>
      </c>
      <c r="C8" s="1">
        <v>44896.45246782407</v>
      </c>
      <c r="D8" s="1">
        <v>44925</v>
      </c>
      <c r="E8" t="s">
        <v>134</v>
      </c>
      <c r="F8" t="s">
        <v>1445</v>
      </c>
      <c r="G8" t="str">
        <f t="shared" si="0"/>
        <v>37-3011.00</v>
      </c>
      <c r="H8" t="s">
        <v>335</v>
      </c>
      <c r="I8">
        <v>10</v>
      </c>
      <c r="J8">
        <v>10</v>
      </c>
      <c r="K8" s="1">
        <v>44986</v>
      </c>
      <c r="L8" s="1">
        <v>45260</v>
      </c>
      <c r="M8" s="1">
        <v>44986</v>
      </c>
      <c r="N8" s="1">
        <v>45260</v>
      </c>
      <c r="O8" t="s">
        <v>199</v>
      </c>
      <c r="P8" t="s">
        <v>4157</v>
      </c>
      <c r="R8" t="s">
        <v>4158</v>
      </c>
      <c r="T8" t="s">
        <v>4159</v>
      </c>
      <c r="U8" t="s">
        <v>394</v>
      </c>
      <c r="V8" s="4" t="str">
        <f>"29650"</f>
        <v>29650</v>
      </c>
      <c r="W8" t="s">
        <v>120</v>
      </c>
      <c r="Y8" s="5">
        <v>18642345100</v>
      </c>
      <c r="AA8">
        <v>7139</v>
      </c>
      <c r="AB8" t="s">
        <v>14075</v>
      </c>
      <c r="AC8" t="s">
        <v>1451</v>
      </c>
      <c r="AE8" t="s">
        <v>14076</v>
      </c>
      <c r="AF8" t="s">
        <v>4160</v>
      </c>
      <c r="AH8" t="s">
        <v>4161</v>
      </c>
      <c r="AI8" t="s">
        <v>394</v>
      </c>
      <c r="AJ8" s="4" t="str">
        <f>"29650"</f>
        <v>29650</v>
      </c>
      <c r="AK8" t="s">
        <v>120</v>
      </c>
      <c r="AM8" s="5">
        <v>18642345100</v>
      </c>
      <c r="AO8" t="s">
        <v>4162</v>
      </c>
      <c r="AP8" t="s">
        <v>256</v>
      </c>
      <c r="AQ8" t="s">
        <v>1447</v>
      </c>
      <c r="AR8" t="s">
        <v>1448</v>
      </c>
      <c r="AS8" t="s">
        <v>1449</v>
      </c>
      <c r="AT8" t="s">
        <v>1450</v>
      </c>
      <c r="AV8" t="s">
        <v>1451</v>
      </c>
      <c r="AW8" t="s">
        <v>232</v>
      </c>
      <c r="AX8" s="4" t="str">
        <f>"78640"</f>
        <v>78640</v>
      </c>
      <c r="AY8" t="s">
        <v>120</v>
      </c>
      <c r="BA8" s="5">
        <v>15127405256</v>
      </c>
      <c r="BC8" t="s">
        <v>1452</v>
      </c>
      <c r="BD8" t="s">
        <v>1453</v>
      </c>
      <c r="BG8" t="s">
        <v>394</v>
      </c>
      <c r="BH8" s="1">
        <v>44894.791666666664</v>
      </c>
      <c r="BI8">
        <v>40</v>
      </c>
      <c r="BJ8">
        <v>0</v>
      </c>
      <c r="BK8">
        <v>8</v>
      </c>
      <c r="BL8">
        <v>8</v>
      </c>
      <c r="BM8">
        <v>8</v>
      </c>
      <c r="BN8">
        <v>8</v>
      </c>
      <c r="BO8">
        <v>8</v>
      </c>
      <c r="BP8">
        <v>0</v>
      </c>
      <c r="BQ8" t="str">
        <f>"6:00 AM"</f>
        <v>6:00 AM</v>
      </c>
      <c r="BR8" t="str">
        <f>"3:00 PM"</f>
        <v>3:00 PM</v>
      </c>
      <c r="BS8" t="s">
        <v>133</v>
      </c>
      <c r="BT8">
        <v>0</v>
      </c>
      <c r="BU8">
        <v>0</v>
      </c>
      <c r="BV8" t="s">
        <v>134</v>
      </c>
      <c r="BX8" t="s">
        <v>138</v>
      </c>
      <c r="BY8" t="s">
        <v>4163</v>
      </c>
      <c r="CA8" t="s">
        <v>4161</v>
      </c>
      <c r="CB8" t="s">
        <v>394</v>
      </c>
      <c r="CC8" s="4" t="str">
        <f>"29650"</f>
        <v>29650</v>
      </c>
      <c r="CD8" t="s">
        <v>4164</v>
      </c>
      <c r="CE8" t="s">
        <v>4165</v>
      </c>
      <c r="CF8" s="6">
        <v>14.92</v>
      </c>
      <c r="CG8" s="6">
        <v>15</v>
      </c>
      <c r="CH8" s="6">
        <v>22.38</v>
      </c>
      <c r="CI8" s="6">
        <v>22.5</v>
      </c>
      <c r="CJ8" t="s">
        <v>137</v>
      </c>
      <c r="CK8" t="s">
        <v>138</v>
      </c>
      <c r="CL8" t="s">
        <v>14077</v>
      </c>
      <c r="CO8" t="s">
        <v>138</v>
      </c>
      <c r="CP8" t="s">
        <v>134</v>
      </c>
      <c r="CQ8" t="s">
        <v>114</v>
      </c>
      <c r="CR8" t="s">
        <v>114</v>
      </c>
      <c r="CS8" t="s">
        <v>134</v>
      </c>
      <c r="CT8" t="s">
        <v>114</v>
      </c>
      <c r="CU8" t="s">
        <v>134</v>
      </c>
      <c r="CV8" t="s">
        <v>1456</v>
      </c>
      <c r="CW8" s="5" t="str">
        <f>"+18644678080"</f>
        <v>+18644678080</v>
      </c>
      <c r="CX8" t="s">
        <v>138</v>
      </c>
      <c r="CY8" t="s">
        <v>4166</v>
      </c>
      <c r="CZ8" t="s">
        <v>139</v>
      </c>
      <c r="DA8" t="s">
        <v>134</v>
      </c>
      <c r="DB8" t="s">
        <v>134</v>
      </c>
      <c r="DC8" t="s">
        <v>114</v>
      </c>
      <c r="DD8" t="s">
        <v>134</v>
      </c>
    </row>
    <row r="9" spans="1:113" ht="15" customHeight="1" x14ac:dyDescent="0.25">
      <c r="A9" t="s">
        <v>14081</v>
      </c>
      <c r="B9" t="s">
        <v>165</v>
      </c>
      <c r="C9" s="1">
        <v>44896.441121296295</v>
      </c>
      <c r="D9" s="1">
        <v>44925</v>
      </c>
      <c r="E9" t="s">
        <v>134</v>
      </c>
      <c r="F9" t="s">
        <v>1376</v>
      </c>
      <c r="G9" t="str">
        <f t="shared" si="0"/>
        <v>37-3011.00</v>
      </c>
      <c r="H9" t="s">
        <v>335</v>
      </c>
      <c r="I9">
        <v>15</v>
      </c>
      <c r="J9">
        <v>15</v>
      </c>
      <c r="K9" s="1">
        <v>44986</v>
      </c>
      <c r="L9" s="1">
        <v>45230</v>
      </c>
      <c r="M9" s="1">
        <v>44986</v>
      </c>
      <c r="N9" s="1">
        <v>45230</v>
      </c>
      <c r="O9" t="s">
        <v>117</v>
      </c>
      <c r="P9" t="s">
        <v>14082</v>
      </c>
      <c r="R9" t="s">
        <v>14083</v>
      </c>
      <c r="S9" t="s">
        <v>138</v>
      </c>
      <c r="T9" t="s">
        <v>4410</v>
      </c>
      <c r="U9" t="s">
        <v>1349</v>
      </c>
      <c r="V9" s="4" t="str">
        <f>"72205"</f>
        <v>72205</v>
      </c>
      <c r="W9" t="s">
        <v>120</v>
      </c>
      <c r="Y9" s="5">
        <v>15014549803</v>
      </c>
      <c r="AA9">
        <v>561730</v>
      </c>
      <c r="AB9" t="s">
        <v>14084</v>
      </c>
      <c r="AC9" t="s">
        <v>146</v>
      </c>
      <c r="AE9" t="s">
        <v>424</v>
      </c>
      <c r="AF9" t="s">
        <v>14083</v>
      </c>
      <c r="AG9" t="s">
        <v>138</v>
      </c>
      <c r="AH9" t="s">
        <v>4410</v>
      </c>
      <c r="AI9" t="s">
        <v>1349</v>
      </c>
      <c r="AJ9" s="4" t="str">
        <f>"72205"</f>
        <v>72205</v>
      </c>
      <c r="AK9" t="s">
        <v>120</v>
      </c>
      <c r="AM9" s="5">
        <v>15014549803</v>
      </c>
      <c r="AO9" t="s">
        <v>14085</v>
      </c>
      <c r="AP9" t="s">
        <v>256</v>
      </c>
      <c r="AQ9" t="s">
        <v>2327</v>
      </c>
      <c r="AR9" t="s">
        <v>1063</v>
      </c>
      <c r="AS9" t="s">
        <v>1857</v>
      </c>
      <c r="AT9" t="s">
        <v>1284</v>
      </c>
      <c r="AU9" t="s">
        <v>138</v>
      </c>
      <c r="AV9" t="s">
        <v>1285</v>
      </c>
      <c r="AW9" t="s">
        <v>232</v>
      </c>
      <c r="AX9" s="4" t="str">
        <f>"77414"</f>
        <v>77414</v>
      </c>
      <c r="AY9" t="s">
        <v>120</v>
      </c>
      <c r="BA9" s="5">
        <v>19793187280</v>
      </c>
      <c r="BC9" t="s">
        <v>2328</v>
      </c>
      <c r="BD9" t="s">
        <v>1287</v>
      </c>
      <c r="BG9" t="s">
        <v>1349</v>
      </c>
      <c r="BH9" s="1">
        <v>44895.791666666664</v>
      </c>
      <c r="BI9">
        <v>45</v>
      </c>
      <c r="BJ9">
        <v>0</v>
      </c>
      <c r="BK9">
        <v>9</v>
      </c>
      <c r="BL9">
        <v>9</v>
      </c>
      <c r="BM9">
        <v>9</v>
      </c>
      <c r="BN9">
        <v>9</v>
      </c>
      <c r="BO9">
        <v>9</v>
      </c>
      <c r="BP9">
        <v>0</v>
      </c>
      <c r="BQ9" t="str">
        <f>"7:00 AM"</f>
        <v>7:00 AM</v>
      </c>
      <c r="BR9" t="str">
        <f>"5:00 PM"</f>
        <v>5:00 PM</v>
      </c>
      <c r="BS9" t="s">
        <v>133</v>
      </c>
      <c r="BT9">
        <v>0</v>
      </c>
      <c r="BU9">
        <v>0</v>
      </c>
      <c r="BV9" t="s">
        <v>134</v>
      </c>
      <c r="BX9" s="2" t="s">
        <v>14086</v>
      </c>
      <c r="BY9" t="s">
        <v>14087</v>
      </c>
      <c r="BZ9" t="s">
        <v>138</v>
      </c>
      <c r="CA9" t="s">
        <v>4410</v>
      </c>
      <c r="CB9" t="s">
        <v>1349</v>
      </c>
      <c r="CC9" s="4" t="str">
        <f>"72205"</f>
        <v>72205</v>
      </c>
      <c r="CD9" t="s">
        <v>4412</v>
      </c>
      <c r="CE9" t="s">
        <v>4413</v>
      </c>
      <c r="CF9" s="6">
        <v>14.33</v>
      </c>
      <c r="CH9" s="6">
        <v>21.5</v>
      </c>
      <c r="CJ9" t="s">
        <v>137</v>
      </c>
      <c r="CK9" t="s">
        <v>14088</v>
      </c>
      <c r="CL9" t="s">
        <v>14089</v>
      </c>
      <c r="CO9" t="s">
        <v>138</v>
      </c>
      <c r="CP9" t="s">
        <v>114</v>
      </c>
      <c r="CQ9" t="s">
        <v>114</v>
      </c>
      <c r="CR9" t="s">
        <v>114</v>
      </c>
      <c r="CS9" t="s">
        <v>114</v>
      </c>
      <c r="CT9" t="s">
        <v>114</v>
      </c>
      <c r="CU9" t="s">
        <v>134</v>
      </c>
      <c r="CV9" t="s">
        <v>12658</v>
      </c>
      <c r="CW9" s="5" t="str">
        <f>"+15014549803"</f>
        <v>+15014549803</v>
      </c>
      <c r="CX9" t="s">
        <v>14090</v>
      </c>
      <c r="CY9" t="s">
        <v>138</v>
      </c>
      <c r="CZ9" t="s">
        <v>139</v>
      </c>
      <c r="DA9" t="s">
        <v>134</v>
      </c>
      <c r="DB9" t="s">
        <v>134</v>
      </c>
      <c r="DC9" t="s">
        <v>114</v>
      </c>
      <c r="DD9" t="s">
        <v>134</v>
      </c>
    </row>
    <row r="10" spans="1:113" ht="15" customHeight="1" x14ac:dyDescent="0.25">
      <c r="A10" t="s">
        <v>3976</v>
      </c>
      <c r="B10" t="s">
        <v>165</v>
      </c>
      <c r="C10" s="1">
        <v>44896.416064351855</v>
      </c>
      <c r="D10" s="1">
        <v>44925</v>
      </c>
      <c r="E10" t="s">
        <v>134</v>
      </c>
      <c r="F10" t="s">
        <v>334</v>
      </c>
      <c r="G10" t="str">
        <f t="shared" si="0"/>
        <v>37-3011.00</v>
      </c>
      <c r="H10" t="s">
        <v>335</v>
      </c>
      <c r="I10">
        <v>15</v>
      </c>
      <c r="J10">
        <v>15</v>
      </c>
      <c r="K10" s="1">
        <v>44986</v>
      </c>
      <c r="L10" s="1">
        <v>45277</v>
      </c>
      <c r="M10" s="1">
        <v>44986</v>
      </c>
      <c r="N10" s="1">
        <v>45277</v>
      </c>
      <c r="O10" t="s">
        <v>117</v>
      </c>
      <c r="P10" t="s">
        <v>3977</v>
      </c>
      <c r="R10" t="s">
        <v>3978</v>
      </c>
      <c r="S10" t="s">
        <v>3979</v>
      </c>
      <c r="T10" t="s">
        <v>3980</v>
      </c>
      <c r="U10" t="s">
        <v>479</v>
      </c>
      <c r="V10" s="4" t="str">
        <f>"24092"</f>
        <v>24092</v>
      </c>
      <c r="W10" t="s">
        <v>120</v>
      </c>
      <c r="Y10" s="5">
        <v>15404893715</v>
      </c>
      <c r="AA10">
        <v>561730</v>
      </c>
      <c r="AB10" t="s">
        <v>3981</v>
      </c>
      <c r="AC10" t="s">
        <v>146</v>
      </c>
      <c r="AD10" t="s">
        <v>259</v>
      </c>
      <c r="AE10" t="s">
        <v>342</v>
      </c>
      <c r="AF10" t="s">
        <v>3978</v>
      </c>
      <c r="AG10" t="s">
        <v>3979</v>
      </c>
      <c r="AH10" t="s">
        <v>3980</v>
      </c>
      <c r="AI10" t="s">
        <v>479</v>
      </c>
      <c r="AJ10" s="4" t="str">
        <f>"24092"</f>
        <v>24092</v>
      </c>
      <c r="AK10" t="s">
        <v>120</v>
      </c>
      <c r="AM10" s="5">
        <v>15404893715</v>
      </c>
      <c r="AO10" t="s">
        <v>3982</v>
      </c>
      <c r="AP10" t="s">
        <v>256</v>
      </c>
      <c r="AQ10" t="s">
        <v>2327</v>
      </c>
      <c r="AR10" t="s">
        <v>1063</v>
      </c>
      <c r="AS10" t="s">
        <v>1857</v>
      </c>
      <c r="AT10" t="s">
        <v>1284</v>
      </c>
      <c r="AU10" t="s">
        <v>138</v>
      </c>
      <c r="AV10" t="s">
        <v>1285</v>
      </c>
      <c r="AW10" t="s">
        <v>232</v>
      </c>
      <c r="AX10" s="4" t="str">
        <f>"77414"</f>
        <v>77414</v>
      </c>
      <c r="AY10" t="s">
        <v>120</v>
      </c>
      <c r="BA10" s="5">
        <v>19793187280</v>
      </c>
      <c r="BC10" t="s">
        <v>2328</v>
      </c>
      <c r="BD10" t="s">
        <v>1287</v>
      </c>
      <c r="BG10" t="s">
        <v>479</v>
      </c>
      <c r="BH10" s="1">
        <v>44895.791666666664</v>
      </c>
      <c r="BI10">
        <v>48</v>
      </c>
      <c r="BJ10">
        <v>0</v>
      </c>
      <c r="BK10">
        <v>11</v>
      </c>
      <c r="BL10">
        <v>10</v>
      </c>
      <c r="BM10">
        <v>10</v>
      </c>
      <c r="BN10">
        <v>10</v>
      </c>
      <c r="BO10">
        <v>7</v>
      </c>
      <c r="BP10">
        <v>0</v>
      </c>
      <c r="BQ10" t="str">
        <f>"7:00 AM"</f>
        <v>7:00 AM</v>
      </c>
      <c r="BR10" t="str">
        <f>"5:30 PM"</f>
        <v>5:30 PM</v>
      </c>
      <c r="BS10" t="s">
        <v>133</v>
      </c>
      <c r="BT10">
        <v>0</v>
      </c>
      <c r="BU10">
        <v>0</v>
      </c>
      <c r="BV10" t="s">
        <v>134</v>
      </c>
      <c r="BX10" s="2" t="s">
        <v>3983</v>
      </c>
      <c r="BY10" t="s">
        <v>3978</v>
      </c>
      <c r="BZ10" t="s">
        <v>138</v>
      </c>
      <c r="CA10" t="s">
        <v>3980</v>
      </c>
      <c r="CB10" t="s">
        <v>479</v>
      </c>
      <c r="CC10" s="4" t="str">
        <f>"24092"</f>
        <v>24092</v>
      </c>
      <c r="CD10" t="s">
        <v>1679</v>
      </c>
      <c r="CE10" t="s">
        <v>1424</v>
      </c>
      <c r="CF10" s="6">
        <v>14.48</v>
      </c>
      <c r="CG10" s="6">
        <v>18</v>
      </c>
      <c r="CH10" s="6">
        <v>21.72</v>
      </c>
      <c r="CI10" s="6">
        <v>27</v>
      </c>
      <c r="CJ10" t="s">
        <v>137</v>
      </c>
      <c r="CK10" t="s">
        <v>3984</v>
      </c>
      <c r="CL10" t="s">
        <v>3985</v>
      </c>
      <c r="CO10" t="s">
        <v>138</v>
      </c>
      <c r="CP10" t="s">
        <v>114</v>
      </c>
      <c r="CQ10" t="s">
        <v>114</v>
      </c>
      <c r="CR10" t="s">
        <v>114</v>
      </c>
      <c r="CS10" t="s">
        <v>114</v>
      </c>
      <c r="CT10" t="s">
        <v>114</v>
      </c>
      <c r="CU10" t="s">
        <v>114</v>
      </c>
      <c r="CV10" t="s">
        <v>3986</v>
      </c>
      <c r="CW10" s="5" t="str">
        <f>"+15404893715"</f>
        <v>+15404893715</v>
      </c>
      <c r="CX10" t="s">
        <v>3982</v>
      </c>
      <c r="CY10" t="s">
        <v>138</v>
      </c>
      <c r="CZ10" t="s">
        <v>139</v>
      </c>
      <c r="DA10" t="s">
        <v>134</v>
      </c>
      <c r="DB10" t="s">
        <v>134</v>
      </c>
      <c r="DC10" t="s">
        <v>114</v>
      </c>
      <c r="DD10" t="s">
        <v>134</v>
      </c>
    </row>
    <row r="11" spans="1:113" ht="15" customHeight="1" x14ac:dyDescent="0.25">
      <c r="A11" t="s">
        <v>6960</v>
      </c>
      <c r="B11" t="s">
        <v>165</v>
      </c>
      <c r="C11" s="1">
        <v>44896.389699768515</v>
      </c>
      <c r="D11" s="1">
        <v>44925</v>
      </c>
      <c r="E11" t="s">
        <v>134</v>
      </c>
      <c r="F11" t="s">
        <v>334</v>
      </c>
      <c r="G11" t="str">
        <f t="shared" si="0"/>
        <v>37-3011.00</v>
      </c>
      <c r="H11" t="s">
        <v>335</v>
      </c>
      <c r="I11">
        <v>13</v>
      </c>
      <c r="J11">
        <v>13</v>
      </c>
      <c r="K11" s="1">
        <v>44986</v>
      </c>
      <c r="L11" s="1">
        <v>45260</v>
      </c>
      <c r="M11" s="1">
        <v>44986</v>
      </c>
      <c r="N11" s="1">
        <v>45260</v>
      </c>
      <c r="O11" t="s">
        <v>117</v>
      </c>
      <c r="P11" t="s">
        <v>6961</v>
      </c>
      <c r="Q11" t="s">
        <v>6962</v>
      </c>
      <c r="R11" t="s">
        <v>6963</v>
      </c>
      <c r="S11" t="s">
        <v>6964</v>
      </c>
      <c r="T11" t="s">
        <v>1285</v>
      </c>
      <c r="U11" t="s">
        <v>232</v>
      </c>
      <c r="V11" s="4" t="str">
        <f>"77414"</f>
        <v>77414</v>
      </c>
      <c r="W11" t="s">
        <v>120</v>
      </c>
      <c r="X11" t="s">
        <v>138</v>
      </c>
      <c r="Y11" s="5">
        <v>19792459091</v>
      </c>
      <c r="AA11">
        <v>561730</v>
      </c>
      <c r="AB11" t="s">
        <v>6965</v>
      </c>
      <c r="AC11" t="s">
        <v>5958</v>
      </c>
      <c r="AE11" t="s">
        <v>1835</v>
      </c>
      <c r="AF11" t="s">
        <v>6963</v>
      </c>
      <c r="AG11" t="s">
        <v>6964</v>
      </c>
      <c r="AH11" t="s">
        <v>1285</v>
      </c>
      <c r="AI11" t="s">
        <v>232</v>
      </c>
      <c r="AJ11" s="4" t="str">
        <f>"77414"</f>
        <v>77414</v>
      </c>
      <c r="AK11" t="s">
        <v>120</v>
      </c>
      <c r="AM11" s="5">
        <v>19792459091</v>
      </c>
      <c r="AO11" t="s">
        <v>6966</v>
      </c>
      <c r="AP11" t="s">
        <v>256</v>
      </c>
      <c r="AQ11" t="s">
        <v>2362</v>
      </c>
      <c r="AR11" t="s">
        <v>1907</v>
      </c>
      <c r="AS11" t="s">
        <v>1857</v>
      </c>
      <c r="AT11" t="s">
        <v>1284</v>
      </c>
      <c r="AU11" t="s">
        <v>138</v>
      </c>
      <c r="AV11" t="s">
        <v>1285</v>
      </c>
      <c r="AW11" t="s">
        <v>232</v>
      </c>
      <c r="AX11" s="4" t="str">
        <f>"77414"</f>
        <v>77414</v>
      </c>
      <c r="AY11" t="s">
        <v>120</v>
      </c>
      <c r="BA11" s="5">
        <v>19793187282</v>
      </c>
      <c r="BC11" t="s">
        <v>2363</v>
      </c>
      <c r="BD11" t="s">
        <v>1287</v>
      </c>
      <c r="BG11" t="s">
        <v>232</v>
      </c>
      <c r="BH11" s="1">
        <v>44895.791666666664</v>
      </c>
      <c r="BI11">
        <v>40</v>
      </c>
      <c r="BJ11">
        <v>0</v>
      </c>
      <c r="BK11">
        <v>8</v>
      </c>
      <c r="BL11">
        <v>8</v>
      </c>
      <c r="BM11">
        <v>8</v>
      </c>
      <c r="BN11">
        <v>8</v>
      </c>
      <c r="BO11">
        <v>8</v>
      </c>
      <c r="BP11">
        <v>0</v>
      </c>
      <c r="BQ11" t="str">
        <f>"7:30 AM"</f>
        <v>7:30 AM</v>
      </c>
      <c r="BR11" t="str">
        <f>"4:30 PM"</f>
        <v>4:30 PM</v>
      </c>
      <c r="BS11" t="s">
        <v>133</v>
      </c>
      <c r="BT11">
        <v>0</v>
      </c>
      <c r="BU11">
        <v>0</v>
      </c>
      <c r="BV11" t="s">
        <v>134</v>
      </c>
      <c r="BX11" s="2" t="s">
        <v>4373</v>
      </c>
      <c r="BY11" t="s">
        <v>6967</v>
      </c>
      <c r="BZ11" t="s">
        <v>138</v>
      </c>
      <c r="CA11" t="s">
        <v>6968</v>
      </c>
      <c r="CB11" t="s">
        <v>232</v>
      </c>
      <c r="CC11" s="4" t="str">
        <f>"77422"</f>
        <v>77422</v>
      </c>
      <c r="CD11" t="s">
        <v>4126</v>
      </c>
      <c r="CE11" t="s">
        <v>873</v>
      </c>
      <c r="CF11" s="6">
        <v>15.56</v>
      </c>
      <c r="CG11" s="6">
        <v>15.69</v>
      </c>
      <c r="CH11" s="6">
        <v>23.34</v>
      </c>
      <c r="CI11" s="6">
        <v>23.54</v>
      </c>
      <c r="CJ11" t="s">
        <v>137</v>
      </c>
      <c r="CK11" t="s">
        <v>6969</v>
      </c>
      <c r="CL11" t="s">
        <v>6970</v>
      </c>
      <c r="CO11" t="s">
        <v>138</v>
      </c>
      <c r="CP11" t="s">
        <v>114</v>
      </c>
      <c r="CQ11" t="s">
        <v>114</v>
      </c>
      <c r="CR11" t="s">
        <v>114</v>
      </c>
      <c r="CS11" t="s">
        <v>114</v>
      </c>
      <c r="CT11" t="s">
        <v>114</v>
      </c>
      <c r="CU11" t="s">
        <v>134</v>
      </c>
      <c r="CV11" t="s">
        <v>1356</v>
      </c>
      <c r="CW11" s="5" t="str">
        <f>"+19792459091"</f>
        <v>+19792459091</v>
      </c>
      <c r="CX11" t="s">
        <v>6966</v>
      </c>
      <c r="CY11" t="s">
        <v>138</v>
      </c>
      <c r="CZ11" t="s">
        <v>139</v>
      </c>
      <c r="DA11" t="s">
        <v>134</v>
      </c>
      <c r="DB11" t="s">
        <v>134</v>
      </c>
      <c r="DC11" t="s">
        <v>114</v>
      </c>
      <c r="DD11" t="s">
        <v>134</v>
      </c>
    </row>
    <row r="12" spans="1:113" ht="15" customHeight="1" x14ac:dyDescent="0.25">
      <c r="A12" t="s">
        <v>12697</v>
      </c>
      <c r="B12" t="s">
        <v>165</v>
      </c>
      <c r="C12" s="1">
        <v>44896.062717824076</v>
      </c>
      <c r="D12" s="1">
        <v>44925</v>
      </c>
      <c r="E12" t="s">
        <v>134</v>
      </c>
      <c r="F12" t="s">
        <v>334</v>
      </c>
      <c r="G12" t="str">
        <f t="shared" si="0"/>
        <v>37-3011.00</v>
      </c>
      <c r="H12" t="s">
        <v>335</v>
      </c>
      <c r="I12">
        <v>9</v>
      </c>
      <c r="J12">
        <v>9</v>
      </c>
      <c r="K12" s="1">
        <v>44986</v>
      </c>
      <c r="L12" s="1">
        <v>45261</v>
      </c>
      <c r="M12" s="1">
        <v>44986</v>
      </c>
      <c r="N12" s="1">
        <v>45261</v>
      </c>
      <c r="O12" t="s">
        <v>199</v>
      </c>
      <c r="P12" t="s">
        <v>12698</v>
      </c>
      <c r="R12" t="s">
        <v>12699</v>
      </c>
      <c r="T12" t="s">
        <v>3296</v>
      </c>
      <c r="U12" t="s">
        <v>748</v>
      </c>
      <c r="V12" s="4" t="str">
        <f>"19057"</f>
        <v>19057</v>
      </c>
      <c r="W12" t="s">
        <v>120</v>
      </c>
      <c r="Y12" s="5">
        <v>12156097529</v>
      </c>
      <c r="AA12">
        <v>56173</v>
      </c>
      <c r="AB12" t="s">
        <v>12700</v>
      </c>
      <c r="AC12" t="s">
        <v>12701</v>
      </c>
      <c r="AE12" t="s">
        <v>342</v>
      </c>
      <c r="AF12" t="s">
        <v>12702</v>
      </c>
      <c r="AH12" t="s">
        <v>9058</v>
      </c>
      <c r="AI12" t="s">
        <v>748</v>
      </c>
      <c r="AJ12" s="4" t="str">
        <f>"19047"</f>
        <v>19047</v>
      </c>
      <c r="AK12" t="s">
        <v>120</v>
      </c>
      <c r="AM12" s="5">
        <v>12156097529</v>
      </c>
      <c r="AO12" t="s">
        <v>12703</v>
      </c>
      <c r="AP12" t="s">
        <v>256</v>
      </c>
      <c r="AQ12" t="s">
        <v>2083</v>
      </c>
      <c r="AR12" t="s">
        <v>886</v>
      </c>
      <c r="AT12" t="s">
        <v>887</v>
      </c>
      <c r="AV12" t="s">
        <v>888</v>
      </c>
      <c r="AW12" t="s">
        <v>232</v>
      </c>
      <c r="AX12" s="4" t="str">
        <f>"75098"</f>
        <v>75098</v>
      </c>
      <c r="AY12" t="s">
        <v>120</v>
      </c>
      <c r="BA12" s="5">
        <v>19724424244</v>
      </c>
      <c r="BC12" t="s">
        <v>889</v>
      </c>
      <c r="BD12" t="s">
        <v>1264</v>
      </c>
      <c r="BG12" t="s">
        <v>748</v>
      </c>
      <c r="BH12" s="1">
        <v>44895.791666666664</v>
      </c>
      <c r="BI12">
        <v>40</v>
      </c>
      <c r="BJ12">
        <v>0</v>
      </c>
      <c r="BK12">
        <v>8</v>
      </c>
      <c r="BL12">
        <v>8</v>
      </c>
      <c r="BM12">
        <v>8</v>
      </c>
      <c r="BN12">
        <v>8</v>
      </c>
      <c r="BO12">
        <v>8</v>
      </c>
      <c r="BP12">
        <v>0</v>
      </c>
      <c r="BQ12" t="str">
        <f>"8:00 AM"</f>
        <v>8:00 AM</v>
      </c>
      <c r="BR12" t="str">
        <f>"4:00 PM"</f>
        <v>4:00 PM</v>
      </c>
      <c r="BS12" t="s">
        <v>133</v>
      </c>
      <c r="BT12">
        <v>0</v>
      </c>
      <c r="BU12">
        <v>0</v>
      </c>
      <c r="BV12" t="s">
        <v>134</v>
      </c>
      <c r="BX12" t="s">
        <v>219</v>
      </c>
      <c r="BY12" t="s">
        <v>12699</v>
      </c>
      <c r="CA12" t="s">
        <v>3296</v>
      </c>
      <c r="CB12" t="s">
        <v>748</v>
      </c>
      <c r="CC12" s="4" t="str">
        <f>"19057"</f>
        <v>19057</v>
      </c>
      <c r="CD12" t="s">
        <v>1533</v>
      </c>
      <c r="CE12" t="s">
        <v>1266</v>
      </c>
      <c r="CF12" s="6">
        <v>17.82</v>
      </c>
      <c r="CG12" s="6">
        <v>19.82</v>
      </c>
      <c r="CH12" s="6">
        <v>26.73</v>
      </c>
      <c r="CI12" s="6">
        <v>29.73</v>
      </c>
      <c r="CJ12" t="s">
        <v>137</v>
      </c>
      <c r="CL12" t="s">
        <v>12704</v>
      </c>
      <c r="CO12" t="s">
        <v>138</v>
      </c>
      <c r="CP12" t="s">
        <v>114</v>
      </c>
      <c r="CQ12" t="s">
        <v>114</v>
      </c>
      <c r="CR12" t="s">
        <v>114</v>
      </c>
      <c r="CS12" t="s">
        <v>114</v>
      </c>
      <c r="CT12" t="s">
        <v>114</v>
      </c>
      <c r="CU12" t="s">
        <v>114</v>
      </c>
      <c r="CV12" t="s">
        <v>12705</v>
      </c>
      <c r="CW12" s="5" t="str">
        <f>"+12156097529"</f>
        <v>+12156097529</v>
      </c>
      <c r="CX12" t="s">
        <v>138</v>
      </c>
      <c r="CY12" t="s">
        <v>1269</v>
      </c>
      <c r="CZ12" t="s">
        <v>139</v>
      </c>
      <c r="DA12" t="s">
        <v>134</v>
      </c>
      <c r="DB12" t="s">
        <v>134</v>
      </c>
      <c r="DC12" t="s">
        <v>114</v>
      </c>
      <c r="DD12" t="s">
        <v>134</v>
      </c>
    </row>
    <row r="13" spans="1:113" ht="15" customHeight="1" x14ac:dyDescent="0.25">
      <c r="A13" t="s">
        <v>2197</v>
      </c>
      <c r="B13" t="s">
        <v>165</v>
      </c>
      <c r="C13" s="1">
        <v>44896.05065902778</v>
      </c>
      <c r="D13" s="1">
        <v>44925</v>
      </c>
      <c r="E13" t="s">
        <v>134</v>
      </c>
      <c r="F13" t="s">
        <v>1219</v>
      </c>
      <c r="G13" t="str">
        <f t="shared" si="0"/>
        <v>37-3011.00</v>
      </c>
      <c r="H13" t="s">
        <v>335</v>
      </c>
      <c r="I13">
        <v>33</v>
      </c>
      <c r="J13">
        <v>33</v>
      </c>
      <c r="K13" s="1">
        <v>44986</v>
      </c>
      <c r="L13" s="1">
        <v>45280</v>
      </c>
      <c r="M13" s="1">
        <v>44986</v>
      </c>
      <c r="N13" s="1">
        <v>45280</v>
      </c>
      <c r="O13" t="s">
        <v>199</v>
      </c>
      <c r="P13" t="s">
        <v>2198</v>
      </c>
      <c r="R13" t="s">
        <v>2199</v>
      </c>
      <c r="T13" t="s">
        <v>1368</v>
      </c>
      <c r="U13" t="s">
        <v>848</v>
      </c>
      <c r="V13" s="4" t="str">
        <f>"11968"</f>
        <v>11968</v>
      </c>
      <c r="W13" t="s">
        <v>120</v>
      </c>
      <c r="Y13" s="5">
        <v>16312876400</v>
      </c>
      <c r="AA13">
        <v>56173</v>
      </c>
      <c r="AB13" t="s">
        <v>2200</v>
      </c>
      <c r="AC13" t="s">
        <v>2201</v>
      </c>
      <c r="AE13" t="s">
        <v>700</v>
      </c>
      <c r="AF13" t="s">
        <v>2199</v>
      </c>
      <c r="AH13" t="s">
        <v>1368</v>
      </c>
      <c r="AI13" t="s">
        <v>848</v>
      </c>
      <c r="AJ13" s="4" t="str">
        <f>"11968"</f>
        <v>11968</v>
      </c>
      <c r="AK13" t="s">
        <v>120</v>
      </c>
      <c r="AM13" s="5">
        <v>16312876400</v>
      </c>
      <c r="AO13" t="s">
        <v>138</v>
      </c>
      <c r="AP13" t="s">
        <v>256</v>
      </c>
      <c r="AQ13" t="s">
        <v>1220</v>
      </c>
      <c r="AR13" t="s">
        <v>1221</v>
      </c>
      <c r="AT13" t="s">
        <v>1222</v>
      </c>
      <c r="AV13" t="s">
        <v>1223</v>
      </c>
      <c r="AW13" t="s">
        <v>848</v>
      </c>
      <c r="AX13" s="4" t="str">
        <f>"11590"</f>
        <v>11590</v>
      </c>
      <c r="AY13" t="s">
        <v>120</v>
      </c>
      <c r="BA13" s="5">
        <v>15163307168</v>
      </c>
      <c r="BC13" t="s">
        <v>1224</v>
      </c>
      <c r="BD13" t="s">
        <v>1225</v>
      </c>
      <c r="BG13" t="s">
        <v>848</v>
      </c>
      <c r="BH13" s="1">
        <v>44894.791666666664</v>
      </c>
      <c r="BI13">
        <v>40</v>
      </c>
      <c r="BJ13">
        <v>0</v>
      </c>
      <c r="BK13">
        <v>8</v>
      </c>
      <c r="BL13">
        <v>8</v>
      </c>
      <c r="BM13">
        <v>8</v>
      </c>
      <c r="BN13">
        <v>8</v>
      </c>
      <c r="BO13">
        <v>8</v>
      </c>
      <c r="BP13">
        <v>0</v>
      </c>
      <c r="BQ13" t="str">
        <f>"8:00 AM"</f>
        <v>8:00 AM</v>
      </c>
      <c r="BR13" t="str">
        <f>"4:00 PM"</f>
        <v>4:00 PM</v>
      </c>
      <c r="BS13" t="s">
        <v>133</v>
      </c>
      <c r="BT13">
        <v>0</v>
      </c>
      <c r="BU13">
        <v>0</v>
      </c>
      <c r="BV13" t="s">
        <v>134</v>
      </c>
      <c r="BX13" t="s">
        <v>138</v>
      </c>
      <c r="BY13" t="s">
        <v>2199</v>
      </c>
      <c r="CA13" t="s">
        <v>1368</v>
      </c>
      <c r="CB13" t="s">
        <v>848</v>
      </c>
      <c r="CC13" s="4" t="str">
        <f>"11968"</f>
        <v>11968</v>
      </c>
      <c r="CD13" t="s">
        <v>1227</v>
      </c>
      <c r="CE13" t="s">
        <v>1009</v>
      </c>
      <c r="CF13" s="6">
        <v>19.940000000000001</v>
      </c>
      <c r="CG13" s="6">
        <v>19.940000000000001</v>
      </c>
      <c r="CH13" s="6">
        <v>29.91</v>
      </c>
      <c r="CI13" s="6">
        <v>29.91</v>
      </c>
      <c r="CJ13" t="s">
        <v>137</v>
      </c>
      <c r="CK13" t="s">
        <v>138</v>
      </c>
      <c r="CL13" t="s">
        <v>2202</v>
      </c>
      <c r="CO13" t="s">
        <v>138</v>
      </c>
      <c r="CP13" t="s">
        <v>114</v>
      </c>
      <c r="CQ13" t="s">
        <v>114</v>
      </c>
      <c r="CR13" t="s">
        <v>114</v>
      </c>
      <c r="CS13" t="s">
        <v>134</v>
      </c>
      <c r="CT13" t="s">
        <v>114</v>
      </c>
      <c r="CU13" t="s">
        <v>134</v>
      </c>
      <c r="CV13" t="s">
        <v>219</v>
      </c>
      <c r="CW13" s="5" t="str">
        <f>"+16312876400"</f>
        <v>+16312876400</v>
      </c>
      <c r="CX13" t="s">
        <v>2203</v>
      </c>
      <c r="CY13" t="s">
        <v>138</v>
      </c>
      <c r="CZ13" t="s">
        <v>139</v>
      </c>
      <c r="DA13" t="s">
        <v>134</v>
      </c>
      <c r="DB13" t="s">
        <v>134</v>
      </c>
      <c r="DC13" t="s">
        <v>114</v>
      </c>
      <c r="DD13" t="s">
        <v>134</v>
      </c>
    </row>
    <row r="14" spans="1:113" ht="15" customHeight="1" x14ac:dyDescent="0.25">
      <c r="A14" t="s">
        <v>4323</v>
      </c>
      <c r="B14" t="s">
        <v>165</v>
      </c>
      <c r="C14" s="1">
        <v>44896.047662152778</v>
      </c>
      <c r="D14" s="1">
        <v>44925</v>
      </c>
      <c r="E14" t="s">
        <v>134</v>
      </c>
      <c r="F14" t="s">
        <v>1612</v>
      </c>
      <c r="G14" t="str">
        <f t="shared" si="0"/>
        <v>37-3011.00</v>
      </c>
      <c r="H14" t="s">
        <v>335</v>
      </c>
      <c r="I14">
        <v>2</v>
      </c>
      <c r="J14">
        <v>2</v>
      </c>
      <c r="K14" s="1">
        <v>44986</v>
      </c>
      <c r="L14" s="1">
        <v>45260</v>
      </c>
      <c r="M14" s="1">
        <v>44986</v>
      </c>
      <c r="N14" s="1">
        <v>45260</v>
      </c>
      <c r="O14" t="s">
        <v>199</v>
      </c>
      <c r="P14" t="s">
        <v>2824</v>
      </c>
      <c r="R14" t="s">
        <v>2825</v>
      </c>
      <c r="T14" t="s">
        <v>2826</v>
      </c>
      <c r="U14" t="s">
        <v>848</v>
      </c>
      <c r="V14" s="4" t="str">
        <f>"12845"</f>
        <v>12845</v>
      </c>
      <c r="W14" t="s">
        <v>120</v>
      </c>
      <c r="Y14" s="5">
        <v>15186685478</v>
      </c>
      <c r="AA14">
        <v>72111</v>
      </c>
      <c r="AB14" t="s">
        <v>2827</v>
      </c>
      <c r="AC14" t="s">
        <v>2828</v>
      </c>
      <c r="AE14" t="s">
        <v>2710</v>
      </c>
      <c r="AF14" t="s">
        <v>2825</v>
      </c>
      <c r="AH14" t="s">
        <v>2826</v>
      </c>
      <c r="AI14" t="s">
        <v>848</v>
      </c>
      <c r="AJ14" s="4" t="str">
        <f>"12845"</f>
        <v>12845</v>
      </c>
      <c r="AK14" t="s">
        <v>120</v>
      </c>
      <c r="AM14" s="5">
        <v>15186685478</v>
      </c>
      <c r="AO14" t="s">
        <v>138</v>
      </c>
      <c r="AP14" t="s">
        <v>256</v>
      </c>
      <c r="AQ14" t="s">
        <v>1220</v>
      </c>
      <c r="AR14" t="s">
        <v>1221</v>
      </c>
      <c r="AT14" t="s">
        <v>1222</v>
      </c>
      <c r="AV14" t="s">
        <v>1223</v>
      </c>
      <c r="AW14" t="s">
        <v>848</v>
      </c>
      <c r="AX14" s="4" t="str">
        <f>"11590"</f>
        <v>11590</v>
      </c>
      <c r="AY14" t="s">
        <v>120</v>
      </c>
      <c r="BA14" s="5">
        <v>15163307168</v>
      </c>
      <c r="BC14" t="s">
        <v>1224</v>
      </c>
      <c r="BD14" t="s">
        <v>1225</v>
      </c>
      <c r="BG14" t="s">
        <v>848</v>
      </c>
      <c r="BH14" s="1">
        <v>44859.833333333336</v>
      </c>
      <c r="BI14">
        <v>40</v>
      </c>
      <c r="BJ14">
        <v>0</v>
      </c>
      <c r="BK14">
        <v>8</v>
      </c>
      <c r="BL14">
        <v>8</v>
      </c>
      <c r="BM14">
        <v>8</v>
      </c>
      <c r="BN14">
        <v>8</v>
      </c>
      <c r="BO14">
        <v>8</v>
      </c>
      <c r="BP14">
        <v>0</v>
      </c>
      <c r="BQ14" t="str">
        <f>"7:30 AM"</f>
        <v>7:30 AM</v>
      </c>
      <c r="BR14" t="str">
        <f>"4:30 PM"</f>
        <v>4:30 PM</v>
      </c>
      <c r="BS14" t="s">
        <v>133</v>
      </c>
      <c r="BT14">
        <v>0</v>
      </c>
      <c r="BU14">
        <v>0</v>
      </c>
      <c r="BV14" t="s">
        <v>134</v>
      </c>
      <c r="BX14" t="s">
        <v>138</v>
      </c>
      <c r="BY14" t="s">
        <v>2825</v>
      </c>
      <c r="CA14" t="s">
        <v>2826</v>
      </c>
      <c r="CB14" t="s">
        <v>848</v>
      </c>
      <c r="CC14" s="4" t="str">
        <f>"12845"</f>
        <v>12845</v>
      </c>
      <c r="CD14" t="s">
        <v>1535</v>
      </c>
      <c r="CE14" t="s">
        <v>1536</v>
      </c>
      <c r="CF14" s="6">
        <v>16.78</v>
      </c>
      <c r="CG14" s="6">
        <v>16.78</v>
      </c>
      <c r="CH14" s="6">
        <v>25.17</v>
      </c>
      <c r="CI14" s="6">
        <v>25.17</v>
      </c>
      <c r="CJ14" t="s">
        <v>137</v>
      </c>
      <c r="CK14" t="s">
        <v>138</v>
      </c>
      <c r="CL14" t="s">
        <v>2829</v>
      </c>
      <c r="CO14" t="s">
        <v>138</v>
      </c>
      <c r="CP14" t="s">
        <v>134</v>
      </c>
      <c r="CQ14" t="s">
        <v>134</v>
      </c>
      <c r="CR14" t="s">
        <v>114</v>
      </c>
      <c r="CS14" t="s">
        <v>134</v>
      </c>
      <c r="CT14" t="s">
        <v>114</v>
      </c>
      <c r="CU14" t="s">
        <v>134</v>
      </c>
      <c r="CV14" t="s">
        <v>219</v>
      </c>
      <c r="CW14" s="5" t="str">
        <f>"+15186685478"</f>
        <v>+15186685478</v>
      </c>
      <c r="CX14" t="s">
        <v>2830</v>
      </c>
      <c r="CY14" t="s">
        <v>138</v>
      </c>
      <c r="CZ14" t="s">
        <v>139</v>
      </c>
      <c r="DA14" t="s">
        <v>134</v>
      </c>
      <c r="DB14" t="s">
        <v>134</v>
      </c>
      <c r="DC14" t="s">
        <v>114</v>
      </c>
      <c r="DD14" t="s">
        <v>134</v>
      </c>
    </row>
    <row r="15" spans="1:113" ht="15" customHeight="1" x14ac:dyDescent="0.25">
      <c r="A15" t="s">
        <v>16740</v>
      </c>
      <c r="B15" t="s">
        <v>165</v>
      </c>
      <c r="C15" s="1">
        <v>44896.028301041668</v>
      </c>
      <c r="D15" s="1">
        <v>44925</v>
      </c>
      <c r="E15" t="s">
        <v>134</v>
      </c>
      <c r="F15" t="s">
        <v>2182</v>
      </c>
      <c r="G15" t="str">
        <f>"39-2021.00"</f>
        <v>39-2021.00</v>
      </c>
      <c r="H15" t="s">
        <v>615</v>
      </c>
      <c r="I15">
        <v>2</v>
      </c>
      <c r="J15">
        <v>2</v>
      </c>
      <c r="K15" s="1">
        <v>44986</v>
      </c>
      <c r="L15" s="1">
        <v>45231</v>
      </c>
      <c r="M15" s="1">
        <v>44986</v>
      </c>
      <c r="N15" s="1">
        <v>45231</v>
      </c>
      <c r="O15" t="s">
        <v>199</v>
      </c>
      <c r="P15" t="s">
        <v>9981</v>
      </c>
      <c r="R15" t="s">
        <v>9982</v>
      </c>
      <c r="T15" t="s">
        <v>9983</v>
      </c>
      <c r="U15" t="s">
        <v>119</v>
      </c>
      <c r="V15" s="4" t="str">
        <f>"28604"</f>
        <v>28604</v>
      </c>
      <c r="W15" t="s">
        <v>120</v>
      </c>
      <c r="Y15" s="5">
        <v>18288981725</v>
      </c>
      <c r="AA15">
        <v>713910</v>
      </c>
      <c r="AB15" t="s">
        <v>9984</v>
      </c>
      <c r="AC15" t="s">
        <v>9985</v>
      </c>
      <c r="AE15" t="s">
        <v>1212</v>
      </c>
      <c r="AF15" t="s">
        <v>9982</v>
      </c>
      <c r="AH15" t="s">
        <v>9983</v>
      </c>
      <c r="AI15" t="s">
        <v>119</v>
      </c>
      <c r="AJ15" s="4" t="str">
        <f>"28604"</f>
        <v>28604</v>
      </c>
      <c r="AK15" t="s">
        <v>120</v>
      </c>
      <c r="AM15" s="5">
        <v>18288981725</v>
      </c>
      <c r="AO15" t="s">
        <v>138</v>
      </c>
      <c r="AP15" t="s">
        <v>256</v>
      </c>
      <c r="AQ15" t="s">
        <v>1220</v>
      </c>
      <c r="AR15" t="s">
        <v>1221</v>
      </c>
      <c r="AT15" t="s">
        <v>1222</v>
      </c>
      <c r="AV15" t="s">
        <v>1223</v>
      </c>
      <c r="AW15" t="s">
        <v>848</v>
      </c>
      <c r="AX15" s="4" t="str">
        <f>"11590"</f>
        <v>11590</v>
      </c>
      <c r="AY15" t="s">
        <v>120</v>
      </c>
      <c r="BA15" s="5">
        <v>15163307168</v>
      </c>
      <c r="BC15" t="s">
        <v>1224</v>
      </c>
      <c r="BD15" t="s">
        <v>1225</v>
      </c>
      <c r="BG15" t="s">
        <v>119</v>
      </c>
      <c r="BH15" s="1">
        <v>44879.791666666664</v>
      </c>
      <c r="BI15">
        <v>35</v>
      </c>
      <c r="BJ15">
        <v>7</v>
      </c>
      <c r="BK15">
        <v>0</v>
      </c>
      <c r="BL15">
        <v>7</v>
      </c>
      <c r="BM15">
        <v>0</v>
      </c>
      <c r="BN15">
        <v>7</v>
      </c>
      <c r="BO15">
        <v>7</v>
      </c>
      <c r="BP15">
        <v>7</v>
      </c>
      <c r="BQ15" t="str">
        <f>"6:00 AM"</f>
        <v>6:00 AM</v>
      </c>
      <c r="BR15" t="str">
        <f>"6:00 PM"</f>
        <v>6:00 PM</v>
      </c>
      <c r="BS15" t="s">
        <v>133</v>
      </c>
      <c r="BT15">
        <v>0</v>
      </c>
      <c r="BU15">
        <v>0</v>
      </c>
      <c r="BV15" t="s">
        <v>134</v>
      </c>
      <c r="BX15" t="s">
        <v>133</v>
      </c>
      <c r="BY15" t="s">
        <v>9982</v>
      </c>
      <c r="CA15" t="s">
        <v>9983</v>
      </c>
      <c r="CB15" t="s">
        <v>119</v>
      </c>
      <c r="CC15" s="4" t="str">
        <f>"28604"</f>
        <v>28604</v>
      </c>
      <c r="CD15" t="s">
        <v>4245</v>
      </c>
      <c r="CE15" t="s">
        <v>4043</v>
      </c>
      <c r="CF15" s="6">
        <v>16.5</v>
      </c>
      <c r="CG15" s="6">
        <v>16.5</v>
      </c>
      <c r="CH15" s="6">
        <v>24.75</v>
      </c>
      <c r="CI15" s="6">
        <v>24.75</v>
      </c>
      <c r="CJ15" t="s">
        <v>137</v>
      </c>
      <c r="CL15" t="s">
        <v>16741</v>
      </c>
      <c r="CO15" t="s">
        <v>138</v>
      </c>
      <c r="CP15" t="s">
        <v>134</v>
      </c>
      <c r="CQ15" t="s">
        <v>134</v>
      </c>
      <c r="CR15" t="s">
        <v>114</v>
      </c>
      <c r="CS15" t="s">
        <v>134</v>
      </c>
      <c r="CT15" t="s">
        <v>114</v>
      </c>
      <c r="CU15" t="s">
        <v>114</v>
      </c>
      <c r="CV15" t="s">
        <v>16742</v>
      </c>
      <c r="CW15" s="5" t="str">
        <f>"+18288981725"</f>
        <v>+18288981725</v>
      </c>
      <c r="CX15" t="s">
        <v>16743</v>
      </c>
      <c r="CY15" t="s">
        <v>138</v>
      </c>
      <c r="CZ15" t="s">
        <v>139</v>
      </c>
      <c r="DA15" t="s">
        <v>134</v>
      </c>
      <c r="DB15" t="s">
        <v>134</v>
      </c>
      <c r="DC15" t="s">
        <v>114</v>
      </c>
      <c r="DD15" t="s">
        <v>134</v>
      </c>
    </row>
    <row r="16" spans="1:113" ht="15" customHeight="1" x14ac:dyDescent="0.25">
      <c r="A16" t="s">
        <v>14056</v>
      </c>
      <c r="B16" t="s">
        <v>165</v>
      </c>
      <c r="C16" s="1">
        <v>44896.026593518516</v>
      </c>
      <c r="D16" s="1">
        <v>44925</v>
      </c>
      <c r="E16" t="s">
        <v>134</v>
      </c>
      <c r="F16" t="s">
        <v>115</v>
      </c>
      <c r="G16" t="str">
        <f>"37-2012.00"</f>
        <v>37-2012.00</v>
      </c>
      <c r="H16" t="s">
        <v>116</v>
      </c>
      <c r="I16">
        <v>10</v>
      </c>
      <c r="J16">
        <v>10</v>
      </c>
      <c r="K16" s="1">
        <v>44986</v>
      </c>
      <c r="L16" s="1">
        <v>45260</v>
      </c>
      <c r="M16" s="1">
        <v>44986</v>
      </c>
      <c r="N16" s="1">
        <v>45260</v>
      </c>
      <c r="O16" t="s">
        <v>117</v>
      </c>
      <c r="P16" t="s">
        <v>14057</v>
      </c>
      <c r="Q16" t="s">
        <v>14058</v>
      </c>
      <c r="R16" t="s">
        <v>14059</v>
      </c>
      <c r="T16" t="s">
        <v>4187</v>
      </c>
      <c r="U16" t="s">
        <v>420</v>
      </c>
      <c r="V16" s="4" t="str">
        <f>"84532"</f>
        <v>84532</v>
      </c>
      <c r="W16" t="s">
        <v>120</v>
      </c>
      <c r="Y16" s="5">
        <v>14357192400</v>
      </c>
      <c r="AA16">
        <v>72111</v>
      </c>
      <c r="AB16" t="s">
        <v>3987</v>
      </c>
      <c r="AC16" t="s">
        <v>2116</v>
      </c>
      <c r="AE16" t="s">
        <v>1555</v>
      </c>
      <c r="AF16" t="s">
        <v>14059</v>
      </c>
      <c r="AH16" t="s">
        <v>4187</v>
      </c>
      <c r="AI16" t="s">
        <v>420</v>
      </c>
      <c r="AJ16" s="4" t="str">
        <f>"84532"</f>
        <v>84532</v>
      </c>
      <c r="AK16" t="s">
        <v>120</v>
      </c>
      <c r="AM16" s="5">
        <v>14357192400</v>
      </c>
      <c r="AO16" t="s">
        <v>3988</v>
      </c>
      <c r="AP16" t="s">
        <v>256</v>
      </c>
      <c r="AQ16" t="s">
        <v>400</v>
      </c>
      <c r="AR16" t="s">
        <v>401</v>
      </c>
      <c r="AS16" t="s">
        <v>397</v>
      </c>
      <c r="AT16" t="s">
        <v>402</v>
      </c>
      <c r="AU16" t="s">
        <v>152</v>
      </c>
      <c r="AV16" t="s">
        <v>403</v>
      </c>
      <c r="AW16" t="s">
        <v>232</v>
      </c>
      <c r="AX16" s="4" t="str">
        <f>"75033"</f>
        <v>75033</v>
      </c>
      <c r="AY16" t="s">
        <v>120</v>
      </c>
      <c r="BA16" s="5">
        <v>19727789690</v>
      </c>
      <c r="BC16" t="s">
        <v>905</v>
      </c>
      <c r="BD16" t="s">
        <v>405</v>
      </c>
      <c r="BG16" t="s">
        <v>420</v>
      </c>
      <c r="BH16" s="1">
        <v>44895.791666666664</v>
      </c>
      <c r="BI16">
        <v>40</v>
      </c>
      <c r="BJ16">
        <v>8</v>
      </c>
      <c r="BK16">
        <v>0</v>
      </c>
      <c r="BL16">
        <v>0</v>
      </c>
      <c r="BM16">
        <v>8</v>
      </c>
      <c r="BN16">
        <v>8</v>
      </c>
      <c r="BO16">
        <v>8</v>
      </c>
      <c r="BP16">
        <v>8</v>
      </c>
      <c r="BQ16" t="str">
        <f>"8:30 AM"</f>
        <v>8:30 AM</v>
      </c>
      <c r="BR16" t="str">
        <f>"5:00 PM"</f>
        <v>5:00 PM</v>
      </c>
      <c r="BS16" t="s">
        <v>133</v>
      </c>
      <c r="BT16">
        <v>0</v>
      </c>
      <c r="BU16">
        <v>0</v>
      </c>
      <c r="BV16" t="s">
        <v>134</v>
      </c>
      <c r="BX16" s="2" t="s">
        <v>14060</v>
      </c>
      <c r="BY16" t="s">
        <v>14059</v>
      </c>
      <c r="CA16" t="s">
        <v>4187</v>
      </c>
      <c r="CB16" t="s">
        <v>420</v>
      </c>
      <c r="CC16" s="4" t="str">
        <f>"84532"</f>
        <v>84532</v>
      </c>
      <c r="CD16" t="s">
        <v>1847</v>
      </c>
      <c r="CE16" t="s">
        <v>4193</v>
      </c>
      <c r="CF16" s="6">
        <v>20</v>
      </c>
      <c r="CH16" s="6">
        <v>30</v>
      </c>
      <c r="CJ16" t="s">
        <v>137</v>
      </c>
      <c r="CK16" t="s">
        <v>14061</v>
      </c>
      <c r="CL16" t="s">
        <v>14062</v>
      </c>
      <c r="CO16" t="s">
        <v>138</v>
      </c>
      <c r="CP16" t="s">
        <v>134</v>
      </c>
      <c r="CQ16" t="s">
        <v>134</v>
      </c>
      <c r="CR16" t="s">
        <v>114</v>
      </c>
      <c r="CS16" t="s">
        <v>114</v>
      </c>
      <c r="CT16" t="s">
        <v>114</v>
      </c>
      <c r="CU16" t="s">
        <v>114</v>
      </c>
      <c r="CV16" s="2" t="s">
        <v>14063</v>
      </c>
      <c r="CW16" s="5" t="str">
        <f>"+14357192400"</f>
        <v>+14357192400</v>
      </c>
      <c r="CX16" t="s">
        <v>138</v>
      </c>
      <c r="CY16" t="s">
        <v>14064</v>
      </c>
      <c r="CZ16" t="s">
        <v>139</v>
      </c>
      <c r="DA16" t="s">
        <v>134</v>
      </c>
      <c r="DB16" t="s">
        <v>114</v>
      </c>
      <c r="DC16" t="s">
        <v>114</v>
      </c>
      <c r="DD16" t="s">
        <v>134</v>
      </c>
    </row>
    <row r="17" spans="1:108" ht="15" customHeight="1" x14ac:dyDescent="0.25">
      <c r="A17" t="s">
        <v>14054</v>
      </c>
      <c r="B17" t="s">
        <v>165</v>
      </c>
      <c r="C17" s="1">
        <v>44896.023006134259</v>
      </c>
      <c r="D17" s="1">
        <v>44925</v>
      </c>
      <c r="E17" t="s">
        <v>134</v>
      </c>
      <c r="F17" t="s">
        <v>1219</v>
      </c>
      <c r="G17" t="str">
        <f>"37-3011.00"</f>
        <v>37-3011.00</v>
      </c>
      <c r="H17" t="s">
        <v>335</v>
      </c>
      <c r="I17">
        <v>6</v>
      </c>
      <c r="J17">
        <v>6</v>
      </c>
      <c r="K17" s="1">
        <v>44986</v>
      </c>
      <c r="L17" s="1">
        <v>45284</v>
      </c>
      <c r="M17" s="1">
        <v>44986</v>
      </c>
      <c r="N17" s="1">
        <v>45284</v>
      </c>
      <c r="O17" t="s">
        <v>199</v>
      </c>
      <c r="P17" t="s">
        <v>8024</v>
      </c>
      <c r="R17" t="s">
        <v>8025</v>
      </c>
      <c r="T17" t="s">
        <v>8026</v>
      </c>
      <c r="U17" t="s">
        <v>697</v>
      </c>
      <c r="V17" s="4" t="str">
        <f>"63026"</f>
        <v>63026</v>
      </c>
      <c r="W17" t="s">
        <v>120</v>
      </c>
      <c r="Y17" s="5">
        <v>13146987449</v>
      </c>
      <c r="AA17">
        <v>56173</v>
      </c>
      <c r="AB17" t="s">
        <v>8027</v>
      </c>
      <c r="AC17" t="s">
        <v>210</v>
      </c>
      <c r="AE17" t="s">
        <v>700</v>
      </c>
      <c r="AF17" t="s">
        <v>8025</v>
      </c>
      <c r="AH17" t="s">
        <v>8026</v>
      </c>
      <c r="AI17" t="s">
        <v>697</v>
      </c>
      <c r="AJ17" s="4" t="str">
        <f>"63026"</f>
        <v>63026</v>
      </c>
      <c r="AK17" t="s">
        <v>120</v>
      </c>
      <c r="AM17" s="5">
        <v>13146987449</v>
      </c>
      <c r="AO17" t="s">
        <v>138</v>
      </c>
      <c r="AP17" t="s">
        <v>256</v>
      </c>
      <c r="AQ17" t="s">
        <v>1220</v>
      </c>
      <c r="AR17" t="s">
        <v>1221</v>
      </c>
      <c r="AT17" t="s">
        <v>1222</v>
      </c>
      <c r="AV17" t="s">
        <v>1223</v>
      </c>
      <c r="AW17" t="s">
        <v>848</v>
      </c>
      <c r="AX17" s="4" t="str">
        <f>"11590"</f>
        <v>11590</v>
      </c>
      <c r="AY17" t="s">
        <v>120</v>
      </c>
      <c r="BA17" s="5">
        <v>15163307168</v>
      </c>
      <c r="BC17" t="s">
        <v>1224</v>
      </c>
      <c r="BD17" t="s">
        <v>1225</v>
      </c>
      <c r="BG17" t="s">
        <v>697</v>
      </c>
      <c r="BH17" s="1">
        <v>44887.791666666664</v>
      </c>
      <c r="BI17">
        <v>40</v>
      </c>
      <c r="BJ17">
        <v>0</v>
      </c>
      <c r="BK17">
        <v>8</v>
      </c>
      <c r="BL17">
        <v>8</v>
      </c>
      <c r="BM17">
        <v>8</v>
      </c>
      <c r="BN17">
        <v>8</v>
      </c>
      <c r="BO17">
        <v>8</v>
      </c>
      <c r="BP17">
        <v>0</v>
      </c>
      <c r="BQ17" t="str">
        <f>"8:00 AM"</f>
        <v>8:00 AM</v>
      </c>
      <c r="BR17" t="str">
        <f>"5:00 PM"</f>
        <v>5:00 PM</v>
      </c>
      <c r="BS17" t="s">
        <v>133</v>
      </c>
      <c r="BT17">
        <v>0</v>
      </c>
      <c r="BU17">
        <v>0</v>
      </c>
      <c r="BV17" t="s">
        <v>134</v>
      </c>
      <c r="BX17" t="s">
        <v>133</v>
      </c>
      <c r="BY17" t="s">
        <v>8025</v>
      </c>
      <c r="CA17" t="s">
        <v>8026</v>
      </c>
      <c r="CB17" t="s">
        <v>697</v>
      </c>
      <c r="CC17" s="4" t="str">
        <f>"63026"</f>
        <v>63026</v>
      </c>
      <c r="CD17" t="s">
        <v>712</v>
      </c>
      <c r="CE17" t="s">
        <v>713</v>
      </c>
      <c r="CF17" s="6">
        <v>16.96</v>
      </c>
      <c r="CG17" s="6">
        <v>16.96</v>
      </c>
      <c r="CH17" s="6">
        <v>25.44</v>
      </c>
      <c r="CI17" s="6">
        <v>25.44</v>
      </c>
      <c r="CJ17" t="s">
        <v>137</v>
      </c>
      <c r="CL17" t="s">
        <v>8028</v>
      </c>
      <c r="CO17" t="s">
        <v>138</v>
      </c>
      <c r="CP17" t="s">
        <v>114</v>
      </c>
      <c r="CQ17" t="s">
        <v>114</v>
      </c>
      <c r="CR17" t="s">
        <v>114</v>
      </c>
      <c r="CS17" t="s">
        <v>134</v>
      </c>
      <c r="CT17" t="s">
        <v>114</v>
      </c>
      <c r="CU17" t="s">
        <v>134</v>
      </c>
      <c r="CV17" t="s">
        <v>133</v>
      </c>
      <c r="CW17" s="5" t="str">
        <f>"+13146910495"</f>
        <v>+13146910495</v>
      </c>
      <c r="CX17" t="s">
        <v>14055</v>
      </c>
      <c r="CY17" t="s">
        <v>138</v>
      </c>
      <c r="CZ17" t="s">
        <v>139</v>
      </c>
      <c r="DA17" t="s">
        <v>134</v>
      </c>
      <c r="DB17" t="s">
        <v>134</v>
      </c>
      <c r="DC17" t="s">
        <v>114</v>
      </c>
      <c r="DD17" t="s">
        <v>134</v>
      </c>
    </row>
    <row r="18" spans="1:108" ht="15" customHeight="1" x14ac:dyDescent="0.25">
      <c r="A18" t="s">
        <v>16052</v>
      </c>
      <c r="B18" t="s">
        <v>165</v>
      </c>
      <c r="C18" s="1">
        <v>44896.019214120373</v>
      </c>
      <c r="D18" s="1">
        <v>44925</v>
      </c>
      <c r="E18" t="s">
        <v>134</v>
      </c>
      <c r="F18" t="s">
        <v>16053</v>
      </c>
      <c r="G18" t="str">
        <f>"39-3091.00"</f>
        <v>39-3091.00</v>
      </c>
      <c r="H18" t="s">
        <v>362</v>
      </c>
      <c r="I18">
        <v>20</v>
      </c>
      <c r="J18">
        <v>20</v>
      </c>
      <c r="K18" s="1">
        <v>44986</v>
      </c>
      <c r="L18" s="1">
        <v>45291</v>
      </c>
      <c r="M18" s="1">
        <v>44986</v>
      </c>
      <c r="N18" s="1">
        <v>45291</v>
      </c>
      <c r="O18" t="s">
        <v>199</v>
      </c>
      <c r="P18" t="s">
        <v>16054</v>
      </c>
      <c r="Q18" t="s">
        <v>16055</v>
      </c>
      <c r="R18" t="s">
        <v>16056</v>
      </c>
      <c r="T18" t="s">
        <v>5743</v>
      </c>
      <c r="U18" t="s">
        <v>661</v>
      </c>
      <c r="V18" s="4" t="str">
        <f>"59808"</f>
        <v>59808</v>
      </c>
      <c r="W18" t="s">
        <v>120</v>
      </c>
      <c r="Y18" s="5">
        <v>14238172263</v>
      </c>
      <c r="AA18">
        <v>71119</v>
      </c>
      <c r="AB18" t="s">
        <v>10915</v>
      </c>
      <c r="AC18" t="s">
        <v>10916</v>
      </c>
      <c r="AE18" t="s">
        <v>424</v>
      </c>
      <c r="AF18" t="s">
        <v>16056</v>
      </c>
      <c r="AH18" t="s">
        <v>5743</v>
      </c>
      <c r="AI18" t="s">
        <v>661</v>
      </c>
      <c r="AJ18" s="4" t="str">
        <f>"59808"</f>
        <v>59808</v>
      </c>
      <c r="AK18" t="s">
        <v>120</v>
      </c>
      <c r="AM18" s="5">
        <v>14238172263</v>
      </c>
      <c r="AO18" t="s">
        <v>10917</v>
      </c>
      <c r="AP18" t="s">
        <v>256</v>
      </c>
      <c r="AQ18" t="s">
        <v>1615</v>
      </c>
      <c r="AR18" t="s">
        <v>1616</v>
      </c>
      <c r="AT18" t="s">
        <v>1617</v>
      </c>
      <c r="AV18" t="s">
        <v>1618</v>
      </c>
      <c r="AW18" t="s">
        <v>444</v>
      </c>
      <c r="AX18" s="4" t="str">
        <f>"93446"</f>
        <v>93446</v>
      </c>
      <c r="AY18" t="s">
        <v>120</v>
      </c>
      <c r="AZ18" t="s">
        <v>1619</v>
      </c>
      <c r="BA18" s="5">
        <v>13217042589</v>
      </c>
      <c r="BC18" t="s">
        <v>1620</v>
      </c>
      <c r="BD18" t="s">
        <v>1621</v>
      </c>
      <c r="BG18" t="s">
        <v>154</v>
      </c>
      <c r="BH18" s="1">
        <v>44895.791666666664</v>
      </c>
      <c r="BI18">
        <v>35</v>
      </c>
      <c r="BJ18">
        <v>0</v>
      </c>
      <c r="BK18">
        <v>0</v>
      </c>
      <c r="BL18">
        <v>0</v>
      </c>
      <c r="BM18">
        <v>8.8000000000000007</v>
      </c>
      <c r="BN18">
        <v>8.8000000000000007</v>
      </c>
      <c r="BO18">
        <v>8.6999999999999993</v>
      </c>
      <c r="BP18">
        <v>8.6999999999999993</v>
      </c>
      <c r="BQ18" t="str">
        <f>"4:00 PM"</f>
        <v>4:00 PM</v>
      </c>
      <c r="BR18" t="str">
        <f>"11:00 PM"</f>
        <v>11:00 PM</v>
      </c>
      <c r="BS18" t="s">
        <v>133</v>
      </c>
      <c r="BT18">
        <v>0</v>
      </c>
      <c r="BU18">
        <v>0</v>
      </c>
      <c r="BV18" t="s">
        <v>134</v>
      </c>
      <c r="BX18" s="2" t="s">
        <v>16057</v>
      </c>
      <c r="BY18" t="s">
        <v>16058</v>
      </c>
      <c r="CA18" t="s">
        <v>16059</v>
      </c>
      <c r="CB18" t="s">
        <v>154</v>
      </c>
      <c r="CC18" s="4" t="str">
        <f>"32168"</f>
        <v>32168</v>
      </c>
      <c r="CD18" t="s">
        <v>10131</v>
      </c>
      <c r="CE18" t="s">
        <v>10132</v>
      </c>
      <c r="CF18" s="6">
        <v>10.06</v>
      </c>
      <c r="CG18" s="6">
        <v>11.86</v>
      </c>
      <c r="CJ18" t="s">
        <v>137</v>
      </c>
      <c r="CK18" t="s">
        <v>1623</v>
      </c>
      <c r="CL18" t="s">
        <v>16060</v>
      </c>
      <c r="CO18" t="s">
        <v>138</v>
      </c>
      <c r="CP18" t="s">
        <v>114</v>
      </c>
      <c r="CQ18" t="s">
        <v>114</v>
      </c>
      <c r="CR18" t="s">
        <v>114</v>
      </c>
      <c r="CS18" t="s">
        <v>114</v>
      </c>
      <c r="CT18" t="s">
        <v>114</v>
      </c>
      <c r="CU18" t="s">
        <v>114</v>
      </c>
      <c r="CV18" t="s">
        <v>16061</v>
      </c>
      <c r="CW18" s="5" t="str">
        <f>"+14238172263"</f>
        <v>+14238172263</v>
      </c>
      <c r="CX18" t="s">
        <v>10917</v>
      </c>
      <c r="CY18" t="s">
        <v>138</v>
      </c>
      <c r="CZ18" t="s">
        <v>139</v>
      </c>
      <c r="DA18" t="s">
        <v>134</v>
      </c>
      <c r="DB18" t="s">
        <v>134</v>
      </c>
      <c r="DC18" t="s">
        <v>114</v>
      </c>
      <c r="DD18" t="s">
        <v>134</v>
      </c>
    </row>
    <row r="19" spans="1:108" ht="15" customHeight="1" x14ac:dyDescent="0.25">
      <c r="A19" t="s">
        <v>12476</v>
      </c>
      <c r="B19" t="s">
        <v>165</v>
      </c>
      <c r="C19" s="1">
        <v>44896.01770034722</v>
      </c>
      <c r="D19" s="1">
        <v>44925</v>
      </c>
      <c r="E19" t="s">
        <v>134</v>
      </c>
      <c r="F19" t="s">
        <v>1219</v>
      </c>
      <c r="G19" t="str">
        <f>"37-3011.00"</f>
        <v>37-3011.00</v>
      </c>
      <c r="H19" t="s">
        <v>335</v>
      </c>
      <c r="I19">
        <v>22</v>
      </c>
      <c r="J19">
        <v>22</v>
      </c>
      <c r="K19" s="1">
        <v>44986</v>
      </c>
      <c r="L19" s="1">
        <v>45275</v>
      </c>
      <c r="M19" s="1">
        <v>44986</v>
      </c>
      <c r="N19" s="1">
        <v>45275</v>
      </c>
      <c r="O19" t="s">
        <v>199</v>
      </c>
      <c r="P19" t="s">
        <v>12477</v>
      </c>
      <c r="R19" t="s">
        <v>12478</v>
      </c>
      <c r="T19" t="s">
        <v>12479</v>
      </c>
      <c r="U19" t="s">
        <v>697</v>
      </c>
      <c r="V19" s="4" t="str">
        <f>"63132"</f>
        <v>63132</v>
      </c>
      <c r="W19" t="s">
        <v>120</v>
      </c>
      <c r="Y19" s="5">
        <v>13146577050</v>
      </c>
      <c r="AA19">
        <v>56173</v>
      </c>
      <c r="AB19" t="s">
        <v>12480</v>
      </c>
      <c r="AC19" t="s">
        <v>4405</v>
      </c>
      <c r="AE19" t="s">
        <v>700</v>
      </c>
      <c r="AF19" t="s">
        <v>12478</v>
      </c>
      <c r="AH19" t="s">
        <v>712</v>
      </c>
      <c r="AI19" t="s">
        <v>697</v>
      </c>
      <c r="AJ19" s="4" t="str">
        <f>"63132"</f>
        <v>63132</v>
      </c>
      <c r="AK19" t="s">
        <v>120</v>
      </c>
      <c r="AM19" s="5">
        <v>13146577050</v>
      </c>
      <c r="AO19" t="s">
        <v>138</v>
      </c>
      <c r="AP19" t="s">
        <v>256</v>
      </c>
      <c r="AQ19" t="s">
        <v>1220</v>
      </c>
      <c r="AR19" t="s">
        <v>1221</v>
      </c>
      <c r="AT19" t="s">
        <v>1222</v>
      </c>
      <c r="AV19" t="s">
        <v>1223</v>
      </c>
      <c r="AW19" t="s">
        <v>848</v>
      </c>
      <c r="AX19" s="4" t="str">
        <f>"11590"</f>
        <v>11590</v>
      </c>
      <c r="AY19" t="s">
        <v>120</v>
      </c>
      <c r="BA19" s="5">
        <v>15163307168</v>
      </c>
      <c r="BC19" t="s">
        <v>1224</v>
      </c>
      <c r="BD19" t="s">
        <v>1225</v>
      </c>
      <c r="BG19" t="s">
        <v>697</v>
      </c>
      <c r="BH19" s="1">
        <v>44894.791666666664</v>
      </c>
      <c r="BI19">
        <v>40</v>
      </c>
      <c r="BJ19">
        <v>0</v>
      </c>
      <c r="BK19">
        <v>8</v>
      </c>
      <c r="BL19">
        <v>8</v>
      </c>
      <c r="BM19">
        <v>8</v>
      </c>
      <c r="BN19">
        <v>8</v>
      </c>
      <c r="BO19">
        <v>8</v>
      </c>
      <c r="BP19">
        <v>0</v>
      </c>
      <c r="BQ19" t="str">
        <f>"8:00 AM"</f>
        <v>8:00 AM</v>
      </c>
      <c r="BR19" t="str">
        <f>"5:00 PM"</f>
        <v>5:00 PM</v>
      </c>
      <c r="BS19" t="s">
        <v>133</v>
      </c>
      <c r="BT19">
        <v>0</v>
      </c>
      <c r="BU19">
        <v>0</v>
      </c>
      <c r="BV19" t="s">
        <v>134</v>
      </c>
      <c r="BX19" t="s">
        <v>133</v>
      </c>
      <c r="BY19" t="s">
        <v>12478</v>
      </c>
      <c r="CA19" t="s">
        <v>12479</v>
      </c>
      <c r="CB19" t="s">
        <v>697</v>
      </c>
      <c r="CC19" s="4" t="str">
        <f>"63132"</f>
        <v>63132</v>
      </c>
      <c r="CD19" t="s">
        <v>712</v>
      </c>
      <c r="CE19" t="s">
        <v>713</v>
      </c>
      <c r="CF19" s="6">
        <v>17</v>
      </c>
      <c r="CG19" s="6">
        <v>19.5</v>
      </c>
      <c r="CH19" s="6">
        <v>25.5</v>
      </c>
      <c r="CI19" s="6">
        <v>29.25</v>
      </c>
      <c r="CJ19" t="s">
        <v>137</v>
      </c>
      <c r="CL19" t="s">
        <v>12481</v>
      </c>
      <c r="CO19" t="s">
        <v>138</v>
      </c>
      <c r="CP19" t="s">
        <v>114</v>
      </c>
      <c r="CQ19" t="s">
        <v>114</v>
      </c>
      <c r="CR19" t="s">
        <v>114</v>
      </c>
      <c r="CS19" t="s">
        <v>134</v>
      </c>
      <c r="CT19" t="s">
        <v>114</v>
      </c>
      <c r="CU19" t="s">
        <v>134</v>
      </c>
      <c r="CV19" t="s">
        <v>133</v>
      </c>
      <c r="CW19" s="5" t="str">
        <f>"+13146577050"</f>
        <v>+13146577050</v>
      </c>
      <c r="CX19" t="s">
        <v>12482</v>
      </c>
      <c r="CY19" t="s">
        <v>138</v>
      </c>
      <c r="CZ19" t="s">
        <v>139</v>
      </c>
      <c r="DA19" t="s">
        <v>134</v>
      </c>
      <c r="DB19" t="s">
        <v>134</v>
      </c>
      <c r="DC19" t="s">
        <v>114</v>
      </c>
      <c r="DD19" t="s">
        <v>134</v>
      </c>
    </row>
    <row r="20" spans="1:108" ht="15" customHeight="1" x14ac:dyDescent="0.25">
      <c r="A20" t="s">
        <v>1365</v>
      </c>
      <c r="B20" t="s">
        <v>165</v>
      </c>
      <c r="C20" s="1">
        <v>44896.013281712963</v>
      </c>
      <c r="D20" s="1">
        <v>44925</v>
      </c>
      <c r="E20" t="s">
        <v>134</v>
      </c>
      <c r="F20" t="s">
        <v>1219</v>
      </c>
      <c r="G20" t="str">
        <f>"37-3011.00"</f>
        <v>37-3011.00</v>
      </c>
      <c r="H20" t="s">
        <v>335</v>
      </c>
      <c r="I20">
        <v>6</v>
      </c>
      <c r="J20">
        <v>6</v>
      </c>
      <c r="K20" s="1">
        <v>44986</v>
      </c>
      <c r="L20" s="1">
        <v>45261</v>
      </c>
      <c r="M20" s="1">
        <v>44986</v>
      </c>
      <c r="N20" s="1">
        <v>45261</v>
      </c>
      <c r="O20" t="s">
        <v>199</v>
      </c>
      <c r="P20" t="s">
        <v>1366</v>
      </c>
      <c r="R20" t="s">
        <v>1367</v>
      </c>
      <c r="T20" t="s">
        <v>1368</v>
      </c>
      <c r="U20" t="s">
        <v>848</v>
      </c>
      <c r="V20" s="4" t="str">
        <f>"11968"</f>
        <v>11968</v>
      </c>
      <c r="W20" t="s">
        <v>120</v>
      </c>
      <c r="Y20" s="5">
        <v>16316045693</v>
      </c>
      <c r="AA20">
        <v>56173</v>
      </c>
      <c r="AB20" t="s">
        <v>1369</v>
      </c>
      <c r="AC20" t="s">
        <v>1370</v>
      </c>
      <c r="AE20" t="s">
        <v>700</v>
      </c>
      <c r="AF20" t="s">
        <v>1367</v>
      </c>
      <c r="AH20" t="s">
        <v>1368</v>
      </c>
      <c r="AI20" t="s">
        <v>848</v>
      </c>
      <c r="AJ20" s="4" t="str">
        <f>"11968"</f>
        <v>11968</v>
      </c>
      <c r="AK20" t="s">
        <v>120</v>
      </c>
      <c r="AM20" s="5">
        <v>16316045693</v>
      </c>
      <c r="AO20" t="s">
        <v>138</v>
      </c>
      <c r="AP20" t="s">
        <v>256</v>
      </c>
      <c r="AQ20" t="s">
        <v>1220</v>
      </c>
      <c r="AR20" t="s">
        <v>1221</v>
      </c>
      <c r="AT20" t="s">
        <v>1222</v>
      </c>
      <c r="AV20" t="s">
        <v>1223</v>
      </c>
      <c r="AW20" t="s">
        <v>848</v>
      </c>
      <c r="AX20" s="4" t="str">
        <f>"11590"</f>
        <v>11590</v>
      </c>
      <c r="AY20" t="s">
        <v>120</v>
      </c>
      <c r="BA20" s="5">
        <v>15163307168</v>
      </c>
      <c r="BC20" t="s">
        <v>1224</v>
      </c>
      <c r="BD20" t="s">
        <v>1225</v>
      </c>
      <c r="BG20" t="s">
        <v>848</v>
      </c>
      <c r="BH20" s="1">
        <v>44885.791666666664</v>
      </c>
      <c r="BI20">
        <v>40</v>
      </c>
      <c r="BJ20">
        <v>0</v>
      </c>
      <c r="BK20">
        <v>8</v>
      </c>
      <c r="BL20">
        <v>8</v>
      </c>
      <c r="BM20">
        <v>8</v>
      </c>
      <c r="BN20">
        <v>8</v>
      </c>
      <c r="BO20">
        <v>8</v>
      </c>
      <c r="BP20">
        <v>0</v>
      </c>
      <c r="BQ20" t="str">
        <f>"8:00 AM"</f>
        <v>8:00 AM</v>
      </c>
      <c r="BR20" t="str">
        <f>"4:00 PM"</f>
        <v>4:00 PM</v>
      </c>
      <c r="BS20" t="s">
        <v>133</v>
      </c>
      <c r="BT20">
        <v>0</v>
      </c>
      <c r="BU20">
        <v>0</v>
      </c>
      <c r="BV20" t="s">
        <v>134</v>
      </c>
      <c r="BX20" t="s">
        <v>1371</v>
      </c>
      <c r="BY20" t="s">
        <v>1372</v>
      </c>
      <c r="CA20" t="s">
        <v>1373</v>
      </c>
      <c r="CB20" t="s">
        <v>848</v>
      </c>
      <c r="CC20" s="4" t="str">
        <f>"11968"</f>
        <v>11968</v>
      </c>
      <c r="CD20" t="s">
        <v>1227</v>
      </c>
      <c r="CE20" t="s">
        <v>1009</v>
      </c>
      <c r="CF20" s="6">
        <v>20</v>
      </c>
      <c r="CG20" s="6">
        <v>20</v>
      </c>
      <c r="CH20" s="6">
        <v>30</v>
      </c>
      <c r="CI20" s="6">
        <v>30</v>
      </c>
      <c r="CJ20" t="s">
        <v>137</v>
      </c>
      <c r="CK20" t="s">
        <v>138</v>
      </c>
      <c r="CL20" t="s">
        <v>1374</v>
      </c>
      <c r="CO20" t="s">
        <v>138</v>
      </c>
      <c r="CP20" t="s">
        <v>114</v>
      </c>
      <c r="CQ20" t="s">
        <v>114</v>
      </c>
      <c r="CR20" t="s">
        <v>114</v>
      </c>
      <c r="CS20" t="s">
        <v>134</v>
      </c>
      <c r="CT20" t="s">
        <v>114</v>
      </c>
      <c r="CU20" t="s">
        <v>134</v>
      </c>
      <c r="CV20" t="s">
        <v>219</v>
      </c>
      <c r="CW20" s="5" t="str">
        <f>"+16316045693"</f>
        <v>+16316045693</v>
      </c>
      <c r="CX20" t="s">
        <v>1375</v>
      </c>
      <c r="CY20" t="s">
        <v>138</v>
      </c>
      <c r="CZ20" t="s">
        <v>139</v>
      </c>
      <c r="DA20" t="s">
        <v>134</v>
      </c>
      <c r="DB20" t="s">
        <v>134</v>
      </c>
      <c r="DC20" t="s">
        <v>114</v>
      </c>
      <c r="DD20" t="s">
        <v>134</v>
      </c>
    </row>
    <row r="21" spans="1:108" ht="15" customHeight="1" x14ac:dyDescent="0.25">
      <c r="A21" t="s">
        <v>16670</v>
      </c>
      <c r="B21" t="s">
        <v>165</v>
      </c>
      <c r="C21" s="1">
        <v>44896.010618518521</v>
      </c>
      <c r="D21" s="1">
        <v>44925</v>
      </c>
      <c r="E21" t="s">
        <v>134</v>
      </c>
      <c r="F21" t="s">
        <v>1219</v>
      </c>
      <c r="G21" t="str">
        <f>"37-3011.00"</f>
        <v>37-3011.00</v>
      </c>
      <c r="H21" t="s">
        <v>335</v>
      </c>
      <c r="I21">
        <v>25</v>
      </c>
      <c r="J21">
        <v>25</v>
      </c>
      <c r="K21" s="1">
        <v>44986</v>
      </c>
      <c r="L21" s="1">
        <v>45280</v>
      </c>
      <c r="M21" s="1">
        <v>44986</v>
      </c>
      <c r="N21" s="1">
        <v>45280</v>
      </c>
      <c r="O21" t="s">
        <v>199</v>
      </c>
      <c r="P21" t="s">
        <v>4272</v>
      </c>
      <c r="R21" t="s">
        <v>4273</v>
      </c>
      <c r="T21" t="s">
        <v>2556</v>
      </c>
      <c r="U21" t="s">
        <v>1003</v>
      </c>
      <c r="V21" s="4" t="str">
        <f>"08535"</f>
        <v>08535</v>
      </c>
      <c r="W21" t="s">
        <v>120</v>
      </c>
      <c r="Y21" s="5">
        <v>17326853430</v>
      </c>
      <c r="AA21">
        <v>56173</v>
      </c>
      <c r="AB21" t="s">
        <v>2557</v>
      </c>
      <c r="AC21" t="s">
        <v>1716</v>
      </c>
      <c r="AE21" t="s">
        <v>700</v>
      </c>
      <c r="AF21" t="s">
        <v>4273</v>
      </c>
      <c r="AH21" t="s">
        <v>2556</v>
      </c>
      <c r="AI21" t="s">
        <v>1003</v>
      </c>
      <c r="AJ21" s="4" t="str">
        <f>"08535"</f>
        <v>08535</v>
      </c>
      <c r="AK21" t="s">
        <v>120</v>
      </c>
      <c r="AM21" s="5">
        <v>17326853430</v>
      </c>
      <c r="AO21" t="s">
        <v>138</v>
      </c>
      <c r="AP21" t="s">
        <v>256</v>
      </c>
      <c r="AQ21" t="s">
        <v>1220</v>
      </c>
      <c r="AR21" t="s">
        <v>1221</v>
      </c>
      <c r="AT21" t="s">
        <v>1222</v>
      </c>
      <c r="AV21" t="s">
        <v>1223</v>
      </c>
      <c r="AW21" t="s">
        <v>848</v>
      </c>
      <c r="AX21" s="4" t="str">
        <f>"11590"</f>
        <v>11590</v>
      </c>
      <c r="AY21" t="s">
        <v>120</v>
      </c>
      <c r="BA21" s="5">
        <v>15163307168</v>
      </c>
      <c r="BC21" t="s">
        <v>1224</v>
      </c>
      <c r="BD21" t="s">
        <v>1225</v>
      </c>
      <c r="BG21" t="s">
        <v>1003</v>
      </c>
      <c r="BH21" s="1">
        <v>44868.833333333336</v>
      </c>
      <c r="BI21">
        <v>40</v>
      </c>
      <c r="BJ21">
        <v>0</v>
      </c>
      <c r="BK21">
        <v>8</v>
      </c>
      <c r="BL21">
        <v>8</v>
      </c>
      <c r="BM21">
        <v>8</v>
      </c>
      <c r="BN21">
        <v>8</v>
      </c>
      <c r="BO21">
        <v>8</v>
      </c>
      <c r="BP21">
        <v>0</v>
      </c>
      <c r="BQ21" t="str">
        <f>"8:00 AM"</f>
        <v>8:00 AM</v>
      </c>
      <c r="BR21" t="str">
        <f>"5:00 PM"</f>
        <v>5:00 PM</v>
      </c>
      <c r="BS21" t="s">
        <v>133</v>
      </c>
      <c r="BT21">
        <v>0</v>
      </c>
      <c r="BU21">
        <v>0</v>
      </c>
      <c r="BV21" t="s">
        <v>134</v>
      </c>
      <c r="BX21" t="s">
        <v>219</v>
      </c>
      <c r="BY21" t="s">
        <v>4273</v>
      </c>
      <c r="CA21" t="s">
        <v>2556</v>
      </c>
      <c r="CB21" t="s">
        <v>1003</v>
      </c>
      <c r="CC21" s="4" t="str">
        <f>"08535"</f>
        <v>08535</v>
      </c>
      <c r="CD21" t="s">
        <v>2558</v>
      </c>
      <c r="CE21" t="s">
        <v>1266</v>
      </c>
      <c r="CF21" s="6">
        <v>17.82</v>
      </c>
      <c r="CG21" s="6">
        <v>17.82</v>
      </c>
      <c r="CH21" s="6">
        <v>26.73</v>
      </c>
      <c r="CI21" s="6">
        <v>26.73</v>
      </c>
      <c r="CJ21" t="s">
        <v>137</v>
      </c>
      <c r="CL21" t="s">
        <v>4274</v>
      </c>
      <c r="CO21" t="s">
        <v>138</v>
      </c>
      <c r="CP21" t="s">
        <v>114</v>
      </c>
      <c r="CQ21" t="s">
        <v>114</v>
      </c>
      <c r="CR21" t="s">
        <v>114</v>
      </c>
      <c r="CS21" t="s">
        <v>134</v>
      </c>
      <c r="CT21" t="s">
        <v>114</v>
      </c>
      <c r="CU21" t="s">
        <v>134</v>
      </c>
      <c r="CV21" t="s">
        <v>219</v>
      </c>
      <c r="CW21" s="5" t="str">
        <f>"+17326853430"</f>
        <v>+17326853430</v>
      </c>
      <c r="CX21" t="s">
        <v>2559</v>
      </c>
      <c r="CY21" t="s">
        <v>138</v>
      </c>
      <c r="CZ21" t="s">
        <v>139</v>
      </c>
      <c r="DA21" t="s">
        <v>134</v>
      </c>
      <c r="DB21" t="s">
        <v>134</v>
      </c>
      <c r="DC21" t="s">
        <v>114</v>
      </c>
      <c r="DD21" t="s">
        <v>134</v>
      </c>
    </row>
    <row r="22" spans="1:108" ht="15" customHeight="1" x14ac:dyDescent="0.25">
      <c r="A22" t="s">
        <v>10052</v>
      </c>
      <c r="B22" t="s">
        <v>165</v>
      </c>
      <c r="C22" s="1">
        <v>44896.004792824075</v>
      </c>
      <c r="D22" s="1">
        <v>44925</v>
      </c>
      <c r="E22" t="s">
        <v>134</v>
      </c>
      <c r="F22" t="s">
        <v>334</v>
      </c>
      <c r="G22" t="str">
        <f>"37-3011.00"</f>
        <v>37-3011.00</v>
      </c>
      <c r="H22" t="s">
        <v>335</v>
      </c>
      <c r="I22">
        <v>11</v>
      </c>
      <c r="J22">
        <v>11</v>
      </c>
      <c r="K22" s="1">
        <v>44986</v>
      </c>
      <c r="L22" s="1">
        <v>45170</v>
      </c>
      <c r="M22" s="1">
        <v>44986</v>
      </c>
      <c r="N22" s="1">
        <v>45170</v>
      </c>
      <c r="O22" t="s">
        <v>117</v>
      </c>
      <c r="P22" t="s">
        <v>10053</v>
      </c>
      <c r="R22" t="s">
        <v>10054</v>
      </c>
      <c r="S22" t="s">
        <v>10055</v>
      </c>
      <c r="T22" t="s">
        <v>2924</v>
      </c>
      <c r="U22" t="s">
        <v>631</v>
      </c>
      <c r="V22" s="4" t="str">
        <f>"73141"</f>
        <v>73141</v>
      </c>
      <c r="W22" t="s">
        <v>120</v>
      </c>
      <c r="Y22" s="5">
        <v>14055175433</v>
      </c>
      <c r="AA22">
        <v>56173</v>
      </c>
      <c r="AB22" t="s">
        <v>2215</v>
      </c>
      <c r="AC22" t="s">
        <v>1566</v>
      </c>
      <c r="AE22" t="s">
        <v>424</v>
      </c>
      <c r="AF22" t="s">
        <v>10054</v>
      </c>
      <c r="AG22" t="s">
        <v>10055</v>
      </c>
      <c r="AH22" t="s">
        <v>2924</v>
      </c>
      <c r="AI22" t="s">
        <v>631</v>
      </c>
      <c r="AJ22" s="4" t="str">
        <f>"73141"</f>
        <v>73141</v>
      </c>
      <c r="AK22" t="s">
        <v>120</v>
      </c>
      <c r="AM22" s="5">
        <v>14055175433</v>
      </c>
      <c r="AO22" t="s">
        <v>10056</v>
      </c>
      <c r="AP22" t="s">
        <v>256</v>
      </c>
      <c r="AQ22" t="s">
        <v>400</v>
      </c>
      <c r="AR22" t="s">
        <v>401</v>
      </c>
      <c r="AS22" t="s">
        <v>397</v>
      </c>
      <c r="AT22" t="s">
        <v>402</v>
      </c>
      <c r="AU22" t="s">
        <v>152</v>
      </c>
      <c r="AV22" t="s">
        <v>403</v>
      </c>
      <c r="AW22" t="s">
        <v>232</v>
      </c>
      <c r="AX22" s="4" t="str">
        <f>"75033"</f>
        <v>75033</v>
      </c>
      <c r="AY22" t="s">
        <v>120</v>
      </c>
      <c r="BA22" s="5">
        <v>19727789690</v>
      </c>
      <c r="BC22" t="s">
        <v>1534</v>
      </c>
      <c r="BD22" t="s">
        <v>405</v>
      </c>
      <c r="BG22" t="s">
        <v>631</v>
      </c>
      <c r="BH22" s="1">
        <v>44895.791666666664</v>
      </c>
      <c r="BI22">
        <v>40</v>
      </c>
      <c r="BJ22">
        <v>0</v>
      </c>
      <c r="BK22">
        <v>8</v>
      </c>
      <c r="BL22">
        <v>8</v>
      </c>
      <c r="BM22">
        <v>8</v>
      </c>
      <c r="BN22">
        <v>8</v>
      </c>
      <c r="BO22">
        <v>8</v>
      </c>
      <c r="BP22">
        <v>0</v>
      </c>
      <c r="BQ22" t="str">
        <f>"8:00 AM"</f>
        <v>8:00 AM</v>
      </c>
      <c r="BR22" t="str">
        <f>"5:00 PM"</f>
        <v>5:00 PM</v>
      </c>
      <c r="BS22" t="s">
        <v>133</v>
      </c>
      <c r="BT22">
        <v>0</v>
      </c>
      <c r="BU22">
        <v>0</v>
      </c>
      <c r="BV22" t="s">
        <v>134</v>
      </c>
      <c r="BX22" s="2" t="s">
        <v>10057</v>
      </c>
      <c r="BY22" t="s">
        <v>10054</v>
      </c>
      <c r="BZ22" t="s">
        <v>10058</v>
      </c>
      <c r="CA22" t="s">
        <v>10059</v>
      </c>
      <c r="CB22" t="s">
        <v>631</v>
      </c>
      <c r="CC22" s="4" t="str">
        <f>"73141"</f>
        <v>73141</v>
      </c>
      <c r="CD22" t="s">
        <v>2925</v>
      </c>
      <c r="CE22" t="s">
        <v>2926</v>
      </c>
      <c r="CF22" s="6">
        <v>15.35</v>
      </c>
      <c r="CG22" s="6">
        <v>15.35</v>
      </c>
      <c r="CH22" s="6">
        <v>23.03</v>
      </c>
      <c r="CI22" s="6">
        <v>23.03</v>
      </c>
      <c r="CJ22" t="s">
        <v>137</v>
      </c>
      <c r="CK22" t="s">
        <v>8411</v>
      </c>
      <c r="CL22" t="s">
        <v>10060</v>
      </c>
      <c r="CO22" t="s">
        <v>138</v>
      </c>
      <c r="CP22" t="s">
        <v>114</v>
      </c>
      <c r="CQ22" t="s">
        <v>114</v>
      </c>
      <c r="CR22" t="s">
        <v>114</v>
      </c>
      <c r="CS22" t="s">
        <v>114</v>
      </c>
      <c r="CT22" t="s">
        <v>114</v>
      </c>
      <c r="CU22" t="s">
        <v>114</v>
      </c>
      <c r="CV22" t="s">
        <v>10061</v>
      </c>
      <c r="CW22" s="5" t="str">
        <f>"+14055175433"</f>
        <v>+14055175433</v>
      </c>
      <c r="CX22" t="s">
        <v>138</v>
      </c>
      <c r="CY22" t="s">
        <v>2708</v>
      </c>
      <c r="CZ22" t="s">
        <v>139</v>
      </c>
      <c r="DA22" t="s">
        <v>134</v>
      </c>
      <c r="DB22" t="s">
        <v>114</v>
      </c>
      <c r="DC22" t="s">
        <v>114</v>
      </c>
      <c r="DD22" t="s">
        <v>134</v>
      </c>
    </row>
    <row r="23" spans="1:108" ht="15" customHeight="1" x14ac:dyDescent="0.25">
      <c r="A23" t="s">
        <v>10791</v>
      </c>
      <c r="B23" t="s">
        <v>165</v>
      </c>
      <c r="C23" s="1">
        <v>44867.963493518517</v>
      </c>
      <c r="D23" s="1">
        <v>44925</v>
      </c>
      <c r="E23" t="s">
        <v>134</v>
      </c>
      <c r="F23" t="s">
        <v>10792</v>
      </c>
      <c r="G23" t="str">
        <f>"47-3012.00"</f>
        <v>47-3012.00</v>
      </c>
      <c r="H23" t="s">
        <v>2563</v>
      </c>
      <c r="I23">
        <v>20</v>
      </c>
      <c r="J23">
        <v>20</v>
      </c>
      <c r="K23" s="1">
        <v>44942</v>
      </c>
      <c r="L23" s="1">
        <v>45214</v>
      </c>
      <c r="M23" s="1">
        <v>44942</v>
      </c>
      <c r="N23" s="1">
        <v>45214</v>
      </c>
      <c r="O23" t="s">
        <v>117</v>
      </c>
      <c r="P23" t="s">
        <v>10793</v>
      </c>
      <c r="R23" t="s">
        <v>10794</v>
      </c>
      <c r="T23" t="s">
        <v>1386</v>
      </c>
      <c r="U23" t="s">
        <v>203</v>
      </c>
      <c r="V23" s="4" t="str">
        <f>"35242"</f>
        <v>35242</v>
      </c>
      <c r="W23" t="s">
        <v>120</v>
      </c>
      <c r="Y23" s="5">
        <v>12054822226</v>
      </c>
      <c r="AA23">
        <v>238130</v>
      </c>
      <c r="AB23" t="s">
        <v>4588</v>
      </c>
      <c r="AC23" t="s">
        <v>10795</v>
      </c>
      <c r="AE23" t="s">
        <v>342</v>
      </c>
      <c r="AF23" t="s">
        <v>10794</v>
      </c>
      <c r="AH23" t="s">
        <v>1386</v>
      </c>
      <c r="AI23" t="s">
        <v>203</v>
      </c>
      <c r="AJ23" s="4" t="str">
        <f>"35242"</f>
        <v>35242</v>
      </c>
      <c r="AK23" t="s">
        <v>120</v>
      </c>
      <c r="AM23" s="5">
        <v>12054822226</v>
      </c>
      <c r="AO23" t="s">
        <v>10796</v>
      </c>
      <c r="AX23" s="4" t="str">
        <f>""</f>
        <v/>
      </c>
      <c r="BG23" t="s">
        <v>203</v>
      </c>
      <c r="BH23" s="1">
        <v>44866.833333333336</v>
      </c>
      <c r="BI23">
        <v>40</v>
      </c>
      <c r="BJ23">
        <v>0</v>
      </c>
      <c r="BK23">
        <v>8</v>
      </c>
      <c r="BL23">
        <v>8</v>
      </c>
      <c r="BM23">
        <v>8</v>
      </c>
      <c r="BN23">
        <v>8</v>
      </c>
      <c r="BO23">
        <v>8</v>
      </c>
      <c r="BP23">
        <v>0</v>
      </c>
      <c r="BQ23" t="str">
        <f>"7:00 AM"</f>
        <v>7:00 AM</v>
      </c>
      <c r="BR23" t="str">
        <f>"3:00 PM"</f>
        <v>3:00 PM</v>
      </c>
      <c r="BS23" t="s">
        <v>133</v>
      </c>
      <c r="BT23">
        <v>0</v>
      </c>
      <c r="BU23">
        <v>3</v>
      </c>
      <c r="BV23" t="s">
        <v>134</v>
      </c>
      <c r="BX23" s="2" t="s">
        <v>10797</v>
      </c>
      <c r="BY23" t="s">
        <v>10798</v>
      </c>
      <c r="CA23" t="s">
        <v>1386</v>
      </c>
      <c r="CB23" t="s">
        <v>203</v>
      </c>
      <c r="CC23" s="4" t="str">
        <f>"35242"</f>
        <v>35242</v>
      </c>
      <c r="CD23" t="s">
        <v>1387</v>
      </c>
      <c r="CE23" t="s">
        <v>1388</v>
      </c>
      <c r="CF23" s="6">
        <v>13.43</v>
      </c>
      <c r="CG23" s="6">
        <v>13.43</v>
      </c>
      <c r="CH23" s="6">
        <v>20.149999999999999</v>
      </c>
      <c r="CI23" s="6">
        <v>20.149999999999999</v>
      </c>
      <c r="CJ23" t="s">
        <v>137</v>
      </c>
      <c r="CK23" t="s">
        <v>10799</v>
      </c>
      <c r="CL23" t="s">
        <v>10800</v>
      </c>
      <c r="CO23" t="s">
        <v>138</v>
      </c>
      <c r="CP23" t="s">
        <v>114</v>
      </c>
      <c r="CQ23" t="s">
        <v>114</v>
      </c>
      <c r="CR23" t="s">
        <v>114</v>
      </c>
      <c r="CS23" t="s">
        <v>134</v>
      </c>
      <c r="CT23" t="s">
        <v>114</v>
      </c>
      <c r="CU23" t="s">
        <v>114</v>
      </c>
      <c r="CV23" t="s">
        <v>10801</v>
      </c>
      <c r="CW23" s="5" t="str">
        <f>"+12055690993"</f>
        <v>+12055690993</v>
      </c>
      <c r="CX23" t="s">
        <v>10796</v>
      </c>
      <c r="CY23" t="s">
        <v>138</v>
      </c>
      <c r="CZ23" t="s">
        <v>139</v>
      </c>
      <c r="DA23" t="s">
        <v>134</v>
      </c>
      <c r="DB23" t="s">
        <v>114</v>
      </c>
      <c r="DC23" t="s">
        <v>114</v>
      </c>
      <c r="DD23" t="s">
        <v>134</v>
      </c>
    </row>
    <row r="24" spans="1:108" ht="15" customHeight="1" x14ac:dyDescent="0.25">
      <c r="A24" t="s">
        <v>1804</v>
      </c>
      <c r="B24" t="s">
        <v>165</v>
      </c>
      <c r="C24" s="1">
        <v>44901.752715393515</v>
      </c>
      <c r="D24" s="1">
        <v>44924</v>
      </c>
      <c r="E24" t="s">
        <v>134</v>
      </c>
      <c r="F24" t="s">
        <v>1805</v>
      </c>
      <c r="G24" t="str">
        <f>"45-3031.00"</f>
        <v>45-3031.00</v>
      </c>
      <c r="H24" t="s">
        <v>496</v>
      </c>
      <c r="I24">
        <v>5</v>
      </c>
      <c r="J24">
        <v>5</v>
      </c>
      <c r="K24" s="1">
        <v>44986</v>
      </c>
      <c r="L24" s="1">
        <v>45275</v>
      </c>
      <c r="M24" s="1">
        <v>44986</v>
      </c>
      <c r="N24" s="1">
        <v>45275</v>
      </c>
      <c r="O24" t="s">
        <v>117</v>
      </c>
      <c r="P24" t="s">
        <v>1806</v>
      </c>
      <c r="R24" t="s">
        <v>1807</v>
      </c>
      <c r="S24" t="s">
        <v>1808</v>
      </c>
      <c r="T24" t="s">
        <v>1795</v>
      </c>
      <c r="U24" t="s">
        <v>232</v>
      </c>
      <c r="V24" s="4" t="str">
        <f>"77465"</f>
        <v>77465</v>
      </c>
      <c r="W24" t="s">
        <v>120</v>
      </c>
      <c r="Y24" s="5">
        <v>19799433619</v>
      </c>
      <c r="AA24">
        <v>114112</v>
      </c>
      <c r="AB24" t="s">
        <v>1352</v>
      </c>
      <c r="AC24" t="s">
        <v>1809</v>
      </c>
      <c r="AE24" t="s">
        <v>252</v>
      </c>
      <c r="AF24" t="s">
        <v>1807</v>
      </c>
      <c r="AG24" t="s">
        <v>1808</v>
      </c>
      <c r="AH24" t="s">
        <v>1795</v>
      </c>
      <c r="AI24" t="s">
        <v>232</v>
      </c>
      <c r="AJ24" s="4" t="str">
        <f>"77465"</f>
        <v>77465</v>
      </c>
      <c r="AK24" t="s">
        <v>120</v>
      </c>
      <c r="AM24" s="5">
        <v>19799433619</v>
      </c>
      <c r="AO24" t="s">
        <v>1797</v>
      </c>
      <c r="AP24" t="s">
        <v>256</v>
      </c>
      <c r="AQ24" t="s">
        <v>826</v>
      </c>
      <c r="AR24" t="s">
        <v>827</v>
      </c>
      <c r="AS24" t="s">
        <v>138</v>
      </c>
      <c r="AT24" t="s">
        <v>346</v>
      </c>
      <c r="AU24" t="s">
        <v>347</v>
      </c>
      <c r="AV24" t="s">
        <v>828</v>
      </c>
      <c r="AW24" t="s">
        <v>349</v>
      </c>
      <c r="AX24" s="4" t="str">
        <f>"83814"</f>
        <v>83814</v>
      </c>
      <c r="AY24" t="s">
        <v>120</v>
      </c>
      <c r="BA24" s="5">
        <v>12087772654</v>
      </c>
      <c r="BC24" t="s">
        <v>829</v>
      </c>
      <c r="BD24" t="s">
        <v>351</v>
      </c>
      <c r="BG24" t="s">
        <v>232</v>
      </c>
      <c r="BH24" s="1">
        <v>44900.791666666664</v>
      </c>
      <c r="BI24">
        <v>40</v>
      </c>
      <c r="BJ24">
        <v>0</v>
      </c>
      <c r="BK24">
        <v>8</v>
      </c>
      <c r="BL24">
        <v>8</v>
      </c>
      <c r="BM24">
        <v>8</v>
      </c>
      <c r="BN24">
        <v>8</v>
      </c>
      <c r="BO24">
        <v>8</v>
      </c>
      <c r="BP24">
        <v>0</v>
      </c>
      <c r="BQ24" t="str">
        <f>"10:00 PM"</f>
        <v>10:00 PM</v>
      </c>
      <c r="BR24" t="str">
        <f>"6:00 AM"</f>
        <v>6:00 AM</v>
      </c>
      <c r="BS24" t="s">
        <v>133</v>
      </c>
      <c r="BT24">
        <v>0</v>
      </c>
      <c r="BU24">
        <v>0</v>
      </c>
      <c r="BV24" t="s">
        <v>134</v>
      </c>
      <c r="BX24" s="2" t="s">
        <v>1810</v>
      </c>
      <c r="BY24" t="s">
        <v>1799</v>
      </c>
      <c r="CA24" t="s">
        <v>1795</v>
      </c>
      <c r="CB24" t="s">
        <v>232</v>
      </c>
      <c r="CC24" s="4" t="str">
        <f>"77465"</f>
        <v>77465</v>
      </c>
      <c r="CD24" t="s">
        <v>1800</v>
      </c>
      <c r="CE24" t="s">
        <v>1801</v>
      </c>
      <c r="CF24" s="6">
        <v>14.46</v>
      </c>
      <c r="CH24" s="6">
        <v>21.69</v>
      </c>
      <c r="CJ24" t="s">
        <v>137</v>
      </c>
      <c r="CK24" t="s">
        <v>1802</v>
      </c>
      <c r="CL24" t="s">
        <v>1811</v>
      </c>
      <c r="CO24" t="s">
        <v>138</v>
      </c>
      <c r="CP24" t="s">
        <v>114</v>
      </c>
      <c r="CQ24" t="s">
        <v>114</v>
      </c>
      <c r="CR24" t="s">
        <v>114</v>
      </c>
      <c r="CS24" t="s">
        <v>114</v>
      </c>
      <c r="CT24" t="s">
        <v>114</v>
      </c>
      <c r="CU24" t="s">
        <v>114</v>
      </c>
      <c r="CV24" t="s">
        <v>358</v>
      </c>
      <c r="CW24" s="5" t="str">
        <f>"+19799433619"</f>
        <v>+19799433619</v>
      </c>
      <c r="CX24" t="s">
        <v>1797</v>
      </c>
      <c r="CY24" t="s">
        <v>138</v>
      </c>
      <c r="CZ24" t="s">
        <v>139</v>
      </c>
      <c r="DA24" t="s">
        <v>134</v>
      </c>
      <c r="DB24" t="s">
        <v>134</v>
      </c>
      <c r="DC24" t="s">
        <v>114</v>
      </c>
      <c r="DD24" t="s">
        <v>134</v>
      </c>
    </row>
    <row r="25" spans="1:108" ht="15" customHeight="1" x14ac:dyDescent="0.25">
      <c r="A25" t="s">
        <v>8976</v>
      </c>
      <c r="B25" t="s">
        <v>165</v>
      </c>
      <c r="C25" s="1">
        <v>44901.567198611112</v>
      </c>
      <c r="D25" s="1">
        <v>44924</v>
      </c>
      <c r="E25" t="s">
        <v>134</v>
      </c>
      <c r="F25" t="s">
        <v>8977</v>
      </c>
      <c r="G25" t="str">
        <f>"35-3023.00"</f>
        <v>35-3023.00</v>
      </c>
      <c r="H25" t="s">
        <v>555</v>
      </c>
      <c r="I25">
        <v>15</v>
      </c>
      <c r="J25">
        <v>15</v>
      </c>
      <c r="K25" s="1">
        <v>44977</v>
      </c>
      <c r="L25" s="1">
        <v>45250</v>
      </c>
      <c r="M25" s="1">
        <v>44977</v>
      </c>
      <c r="N25" s="1">
        <v>45250</v>
      </c>
      <c r="O25" t="s">
        <v>199</v>
      </c>
      <c r="P25" t="s">
        <v>8978</v>
      </c>
      <c r="R25" t="s">
        <v>8979</v>
      </c>
      <c r="T25" t="s">
        <v>3942</v>
      </c>
      <c r="U25" t="s">
        <v>154</v>
      </c>
      <c r="V25" s="4" t="str">
        <f>"34243"</f>
        <v>34243</v>
      </c>
      <c r="W25" t="s">
        <v>120</v>
      </c>
      <c r="Y25" s="5">
        <v>19416504094</v>
      </c>
      <c r="AA25">
        <v>7139</v>
      </c>
      <c r="AB25" t="s">
        <v>5783</v>
      </c>
      <c r="AC25" t="s">
        <v>8980</v>
      </c>
      <c r="AE25" t="s">
        <v>424</v>
      </c>
      <c r="AF25" t="s">
        <v>8979</v>
      </c>
      <c r="AH25" t="s">
        <v>3942</v>
      </c>
      <c r="AI25" t="s">
        <v>154</v>
      </c>
      <c r="AJ25" s="4" t="str">
        <f>"34243"</f>
        <v>34243</v>
      </c>
      <c r="AK25" t="s">
        <v>120</v>
      </c>
      <c r="AM25" s="5">
        <v>19416504094</v>
      </c>
      <c r="AO25" t="s">
        <v>8981</v>
      </c>
      <c r="AP25" t="s">
        <v>122</v>
      </c>
      <c r="AQ25" t="s">
        <v>369</v>
      </c>
      <c r="AR25" t="s">
        <v>370</v>
      </c>
      <c r="AS25" t="s">
        <v>371</v>
      </c>
      <c r="AT25" t="s">
        <v>372</v>
      </c>
      <c r="AU25" t="s">
        <v>373</v>
      </c>
      <c r="AV25" t="s">
        <v>374</v>
      </c>
      <c r="AW25" t="s">
        <v>339</v>
      </c>
      <c r="AX25" s="4" t="str">
        <f>"21401"</f>
        <v>21401</v>
      </c>
      <c r="AY25" t="s">
        <v>120</v>
      </c>
      <c r="BA25" s="5">
        <v>14105739955</v>
      </c>
      <c r="BB25">
        <v>0</v>
      </c>
      <c r="BC25" t="s">
        <v>375</v>
      </c>
      <c r="BD25" t="s">
        <v>376</v>
      </c>
      <c r="BE25" t="s">
        <v>339</v>
      </c>
      <c r="BF25" t="s">
        <v>377</v>
      </c>
      <c r="BG25" t="s">
        <v>154</v>
      </c>
      <c r="BH25" s="1">
        <v>44900.791666666664</v>
      </c>
      <c r="BI25">
        <v>35</v>
      </c>
      <c r="BJ25">
        <v>7</v>
      </c>
      <c r="BK25">
        <v>0</v>
      </c>
      <c r="BL25">
        <v>0</v>
      </c>
      <c r="BM25">
        <v>7</v>
      </c>
      <c r="BN25">
        <v>7</v>
      </c>
      <c r="BO25">
        <v>7</v>
      </c>
      <c r="BP25">
        <v>7</v>
      </c>
      <c r="BQ25" t="str">
        <f>"4:00 PM"</f>
        <v>4:00 PM</v>
      </c>
      <c r="BR25" t="str">
        <f>"11:00 PM"</f>
        <v>11:00 PM</v>
      </c>
      <c r="BS25" t="s">
        <v>133</v>
      </c>
      <c r="BT25">
        <v>0</v>
      </c>
      <c r="BU25">
        <v>0</v>
      </c>
      <c r="BV25" t="s">
        <v>134</v>
      </c>
      <c r="BX25" s="2" t="s">
        <v>8982</v>
      </c>
      <c r="BY25" t="s">
        <v>8979</v>
      </c>
      <c r="CA25" t="s">
        <v>3942</v>
      </c>
      <c r="CB25" t="s">
        <v>154</v>
      </c>
      <c r="CC25" s="4" t="str">
        <f>"34243"</f>
        <v>34243</v>
      </c>
      <c r="CD25" t="s">
        <v>3943</v>
      </c>
      <c r="CE25" t="s">
        <v>3944</v>
      </c>
      <c r="CF25" s="6">
        <v>9.39</v>
      </c>
      <c r="CG25" s="6">
        <v>13.66</v>
      </c>
      <c r="CH25" s="6">
        <v>14.09</v>
      </c>
      <c r="CI25" s="6">
        <v>20.49</v>
      </c>
      <c r="CJ25" t="s">
        <v>137</v>
      </c>
      <c r="CK25" t="s">
        <v>8983</v>
      </c>
      <c r="CL25" t="s">
        <v>8984</v>
      </c>
      <c r="CO25" t="s">
        <v>138</v>
      </c>
      <c r="CP25" t="s">
        <v>114</v>
      </c>
      <c r="CQ25" t="s">
        <v>134</v>
      </c>
      <c r="CR25" t="s">
        <v>114</v>
      </c>
      <c r="CS25" t="s">
        <v>114</v>
      </c>
      <c r="CT25" t="s">
        <v>114</v>
      </c>
      <c r="CU25" t="s">
        <v>114</v>
      </c>
      <c r="CV25" s="2" t="s">
        <v>8985</v>
      </c>
      <c r="CW25" s="5" t="str">
        <f>"+19418944217"</f>
        <v>+19418944217</v>
      </c>
      <c r="CX25" t="s">
        <v>8981</v>
      </c>
      <c r="CY25" t="s">
        <v>138</v>
      </c>
      <c r="CZ25" t="s">
        <v>139</v>
      </c>
      <c r="DA25" t="s">
        <v>134</v>
      </c>
      <c r="DB25" t="s">
        <v>114</v>
      </c>
      <c r="DC25" t="s">
        <v>114</v>
      </c>
      <c r="DD25" t="s">
        <v>134</v>
      </c>
    </row>
    <row r="26" spans="1:108" ht="15" customHeight="1" x14ac:dyDescent="0.25">
      <c r="A26" t="s">
        <v>6925</v>
      </c>
      <c r="B26" t="s">
        <v>165</v>
      </c>
      <c r="C26" s="1">
        <v>44901.547447106481</v>
      </c>
      <c r="D26" s="1">
        <v>44924</v>
      </c>
      <c r="E26" t="s">
        <v>134</v>
      </c>
      <c r="F26" t="s">
        <v>334</v>
      </c>
      <c r="G26" t="str">
        <f>"37-3011.00"</f>
        <v>37-3011.00</v>
      </c>
      <c r="H26" t="s">
        <v>335</v>
      </c>
      <c r="I26">
        <v>45</v>
      </c>
      <c r="J26">
        <v>45</v>
      </c>
      <c r="K26" s="1">
        <v>44991</v>
      </c>
      <c r="L26" s="1">
        <v>45237</v>
      </c>
      <c r="M26" s="1">
        <v>44991</v>
      </c>
      <c r="N26" s="1">
        <v>45237</v>
      </c>
      <c r="O26" t="s">
        <v>117</v>
      </c>
      <c r="P26" t="s">
        <v>6926</v>
      </c>
      <c r="Q26" t="s">
        <v>6927</v>
      </c>
      <c r="R26" t="s">
        <v>6928</v>
      </c>
      <c r="T26" t="s">
        <v>6929</v>
      </c>
      <c r="U26" t="s">
        <v>339</v>
      </c>
      <c r="V26" s="4" t="str">
        <f>"20716"</f>
        <v>20716</v>
      </c>
      <c r="W26" t="s">
        <v>120</v>
      </c>
      <c r="Y26" s="5">
        <v>13012181800</v>
      </c>
      <c r="AA26">
        <v>56173</v>
      </c>
      <c r="AB26" t="s">
        <v>6930</v>
      </c>
      <c r="AC26" t="s">
        <v>1362</v>
      </c>
      <c r="AE26" t="s">
        <v>342</v>
      </c>
      <c r="AF26" t="s">
        <v>6928</v>
      </c>
      <c r="AH26" t="s">
        <v>6929</v>
      </c>
      <c r="AI26" t="s">
        <v>339</v>
      </c>
      <c r="AJ26" s="4" t="str">
        <f>"20716"</f>
        <v>20716</v>
      </c>
      <c r="AK26" t="s">
        <v>120</v>
      </c>
      <c r="AM26" s="5">
        <v>13012181800</v>
      </c>
      <c r="AO26" t="s">
        <v>6931</v>
      </c>
      <c r="AP26" t="s">
        <v>256</v>
      </c>
      <c r="AQ26" t="s">
        <v>2121</v>
      </c>
      <c r="AR26" t="s">
        <v>2122</v>
      </c>
      <c r="AS26" t="s">
        <v>138</v>
      </c>
      <c r="AT26" t="s">
        <v>1422</v>
      </c>
      <c r="AU26" t="s">
        <v>347</v>
      </c>
      <c r="AV26" t="s">
        <v>828</v>
      </c>
      <c r="AW26" t="s">
        <v>349</v>
      </c>
      <c r="AX26" s="4" t="str">
        <f>"83814"</f>
        <v>83814</v>
      </c>
      <c r="AY26" t="s">
        <v>120</v>
      </c>
      <c r="BA26" s="5">
        <v>12087772654</v>
      </c>
      <c r="BC26" t="s">
        <v>2123</v>
      </c>
      <c r="BD26" t="s">
        <v>351</v>
      </c>
      <c r="BG26" t="s">
        <v>339</v>
      </c>
      <c r="BH26" s="1">
        <v>44899.791666666664</v>
      </c>
      <c r="BI26">
        <v>40</v>
      </c>
      <c r="BJ26">
        <v>0</v>
      </c>
      <c r="BK26">
        <v>8</v>
      </c>
      <c r="BL26">
        <v>8</v>
      </c>
      <c r="BM26">
        <v>8</v>
      </c>
      <c r="BN26">
        <v>8</v>
      </c>
      <c r="BO26">
        <v>8</v>
      </c>
      <c r="BP26">
        <v>0</v>
      </c>
      <c r="BQ26" t="str">
        <f>"7:00 AM"</f>
        <v>7:00 AM</v>
      </c>
      <c r="BR26" t="str">
        <f>"4:00 PM"</f>
        <v>4:00 PM</v>
      </c>
      <c r="BS26" t="s">
        <v>133</v>
      </c>
      <c r="BT26">
        <v>0</v>
      </c>
      <c r="BU26">
        <v>0</v>
      </c>
      <c r="BV26" t="s">
        <v>134</v>
      </c>
      <c r="BX26" s="2" t="s">
        <v>6932</v>
      </c>
      <c r="BY26" t="s">
        <v>6933</v>
      </c>
      <c r="CA26" t="s">
        <v>6929</v>
      </c>
      <c r="CB26" t="s">
        <v>339</v>
      </c>
      <c r="CC26" s="4" t="str">
        <f>"20716"</f>
        <v>20716</v>
      </c>
      <c r="CD26" t="s">
        <v>1102</v>
      </c>
      <c r="CE26" t="s">
        <v>355</v>
      </c>
      <c r="CF26" s="6">
        <v>18.36</v>
      </c>
      <c r="CG26" s="6">
        <v>20.36</v>
      </c>
      <c r="CH26" s="6">
        <v>27.54</v>
      </c>
      <c r="CI26" s="6">
        <v>30.54</v>
      </c>
      <c r="CJ26" t="s">
        <v>137</v>
      </c>
      <c r="CK26" t="s">
        <v>356</v>
      </c>
      <c r="CL26" t="s">
        <v>6934</v>
      </c>
      <c r="CO26" t="s">
        <v>138</v>
      </c>
      <c r="CP26" t="s">
        <v>114</v>
      </c>
      <c r="CQ26" t="s">
        <v>114</v>
      </c>
      <c r="CR26" t="s">
        <v>114</v>
      </c>
      <c r="CS26" t="s">
        <v>114</v>
      </c>
      <c r="CT26" t="s">
        <v>114</v>
      </c>
      <c r="CU26" t="s">
        <v>134</v>
      </c>
      <c r="CV26" t="s">
        <v>358</v>
      </c>
      <c r="CW26" s="5" t="str">
        <f>"+13012181800"</f>
        <v>+13012181800</v>
      </c>
      <c r="CX26" t="s">
        <v>6935</v>
      </c>
      <c r="CY26" t="s">
        <v>138</v>
      </c>
      <c r="CZ26" t="s">
        <v>139</v>
      </c>
      <c r="DA26" t="s">
        <v>134</v>
      </c>
      <c r="DB26" t="s">
        <v>114</v>
      </c>
      <c r="DC26" t="s">
        <v>114</v>
      </c>
      <c r="DD26" t="s">
        <v>134</v>
      </c>
    </row>
    <row r="27" spans="1:108" ht="15" customHeight="1" x14ac:dyDescent="0.25">
      <c r="A27" t="s">
        <v>2096</v>
      </c>
      <c r="B27" t="s">
        <v>165</v>
      </c>
      <c r="C27" s="1">
        <v>44901.449974189818</v>
      </c>
      <c r="D27" s="1">
        <v>44924</v>
      </c>
      <c r="E27" t="s">
        <v>134</v>
      </c>
      <c r="F27" t="s">
        <v>1357</v>
      </c>
      <c r="G27" t="str">
        <f>"39-3091.00"</f>
        <v>39-3091.00</v>
      </c>
      <c r="H27" t="s">
        <v>362</v>
      </c>
      <c r="I27">
        <v>12</v>
      </c>
      <c r="J27">
        <v>12</v>
      </c>
      <c r="K27" s="1">
        <v>44986</v>
      </c>
      <c r="L27" s="1">
        <v>45244</v>
      </c>
      <c r="M27" s="1">
        <v>44986</v>
      </c>
      <c r="N27" s="1">
        <v>45244</v>
      </c>
      <c r="O27" t="s">
        <v>199</v>
      </c>
      <c r="P27" t="s">
        <v>2097</v>
      </c>
      <c r="R27" t="s">
        <v>2098</v>
      </c>
      <c r="S27" t="s">
        <v>2099</v>
      </c>
      <c r="T27" t="s">
        <v>2100</v>
      </c>
      <c r="U27" t="s">
        <v>1147</v>
      </c>
      <c r="V27" s="4" t="str">
        <f>"54935"</f>
        <v>54935</v>
      </c>
      <c r="W27" t="s">
        <v>120</v>
      </c>
      <c r="Y27" s="5">
        <v>19209337021</v>
      </c>
      <c r="AA27">
        <v>7139</v>
      </c>
      <c r="AB27" t="s">
        <v>2101</v>
      </c>
      <c r="AC27" t="s">
        <v>2077</v>
      </c>
      <c r="AE27" t="s">
        <v>424</v>
      </c>
      <c r="AF27" t="s">
        <v>2098</v>
      </c>
      <c r="AG27" t="s">
        <v>2102</v>
      </c>
      <c r="AH27" t="s">
        <v>2100</v>
      </c>
      <c r="AI27" t="s">
        <v>1147</v>
      </c>
      <c r="AJ27" s="4" t="str">
        <f>"54935"</f>
        <v>54935</v>
      </c>
      <c r="AK27" t="s">
        <v>120</v>
      </c>
      <c r="AM27" s="5">
        <v>19209337021</v>
      </c>
      <c r="AO27" t="s">
        <v>2103</v>
      </c>
      <c r="AP27" t="s">
        <v>256</v>
      </c>
      <c r="AQ27" t="s">
        <v>535</v>
      </c>
      <c r="AR27" t="s">
        <v>536</v>
      </c>
      <c r="AS27" t="s">
        <v>537</v>
      </c>
      <c r="AT27" t="s">
        <v>538</v>
      </c>
      <c r="AU27" t="s">
        <v>539</v>
      </c>
      <c r="AV27" t="s">
        <v>540</v>
      </c>
      <c r="AW27" t="s">
        <v>232</v>
      </c>
      <c r="AX27" s="4" t="str">
        <f>"78550"</f>
        <v>78550</v>
      </c>
      <c r="AY27" t="s">
        <v>120</v>
      </c>
      <c r="BA27" s="5">
        <v>19564408720</v>
      </c>
      <c r="BB27">
        <v>0</v>
      </c>
      <c r="BC27" t="s">
        <v>563</v>
      </c>
      <c r="BD27" t="s">
        <v>543</v>
      </c>
      <c r="BG27" t="s">
        <v>154</v>
      </c>
      <c r="BH27" s="1">
        <v>44900.791666666664</v>
      </c>
      <c r="BI27">
        <v>40</v>
      </c>
      <c r="BJ27">
        <v>8</v>
      </c>
      <c r="BK27">
        <v>0</v>
      </c>
      <c r="BL27">
        <v>0</v>
      </c>
      <c r="BM27">
        <v>8</v>
      </c>
      <c r="BN27">
        <v>8</v>
      </c>
      <c r="BO27">
        <v>8</v>
      </c>
      <c r="BP27">
        <v>8</v>
      </c>
      <c r="BQ27" t="str">
        <f>"1:00 PM"</f>
        <v>1:00 PM</v>
      </c>
      <c r="BR27" t="str">
        <f>"10:00 PM"</f>
        <v>10:00 PM</v>
      </c>
      <c r="BS27" t="s">
        <v>133</v>
      </c>
      <c r="BT27">
        <v>0</v>
      </c>
      <c r="BU27">
        <v>0</v>
      </c>
      <c r="BV27" t="s">
        <v>134</v>
      </c>
      <c r="BX27" s="2" t="s">
        <v>2104</v>
      </c>
      <c r="BY27" t="s">
        <v>2105</v>
      </c>
      <c r="CA27" t="s">
        <v>2106</v>
      </c>
      <c r="CB27" t="s">
        <v>154</v>
      </c>
      <c r="CC27" s="4" t="str">
        <f>"33534"</f>
        <v>33534</v>
      </c>
      <c r="CD27" t="s">
        <v>566</v>
      </c>
      <c r="CE27" t="s">
        <v>567</v>
      </c>
      <c r="CF27" s="6">
        <v>9.09</v>
      </c>
      <c r="CG27" s="6">
        <v>13.42</v>
      </c>
      <c r="CJ27" t="s">
        <v>137</v>
      </c>
      <c r="CK27" t="s">
        <v>549</v>
      </c>
      <c r="CL27" t="s">
        <v>2107</v>
      </c>
      <c r="CO27" t="s">
        <v>138</v>
      </c>
      <c r="CP27" t="s">
        <v>114</v>
      </c>
      <c r="CQ27" t="s">
        <v>114</v>
      </c>
      <c r="CR27" t="s">
        <v>134</v>
      </c>
      <c r="CS27" t="s">
        <v>114</v>
      </c>
      <c r="CT27" t="s">
        <v>114</v>
      </c>
      <c r="CU27" t="s">
        <v>114</v>
      </c>
      <c r="CV27" t="s">
        <v>1029</v>
      </c>
      <c r="CW27" s="5" t="str">
        <f>"+19209337021"</f>
        <v>+19209337021</v>
      </c>
      <c r="CX27" t="s">
        <v>2103</v>
      </c>
      <c r="CY27" t="s">
        <v>138</v>
      </c>
      <c r="CZ27" t="s">
        <v>139</v>
      </c>
      <c r="DA27" t="s">
        <v>134</v>
      </c>
      <c r="DB27" t="s">
        <v>114</v>
      </c>
      <c r="DC27" t="s">
        <v>114</v>
      </c>
      <c r="DD27" t="s">
        <v>134</v>
      </c>
    </row>
    <row r="28" spans="1:108" ht="15" customHeight="1" x14ac:dyDescent="0.25">
      <c r="A28" t="s">
        <v>16122</v>
      </c>
      <c r="B28" t="s">
        <v>165</v>
      </c>
      <c r="C28" s="1">
        <v>44897.840820949074</v>
      </c>
      <c r="D28" s="1">
        <v>44924</v>
      </c>
      <c r="E28" t="s">
        <v>134</v>
      </c>
      <c r="F28" t="s">
        <v>4898</v>
      </c>
      <c r="G28" t="str">
        <f>"45-3031.00"</f>
        <v>45-3031.00</v>
      </c>
      <c r="H28" t="s">
        <v>496</v>
      </c>
      <c r="I28">
        <v>5</v>
      </c>
      <c r="J28">
        <v>5</v>
      </c>
      <c r="K28" s="1">
        <v>44986</v>
      </c>
      <c r="L28" s="1">
        <v>45275</v>
      </c>
      <c r="M28" s="1">
        <v>44986</v>
      </c>
      <c r="N28" s="1">
        <v>45275</v>
      </c>
      <c r="O28" t="s">
        <v>117</v>
      </c>
      <c r="P28" t="s">
        <v>6974</v>
      </c>
      <c r="R28" t="s">
        <v>6975</v>
      </c>
      <c r="T28" t="s">
        <v>1795</v>
      </c>
      <c r="U28" t="s">
        <v>232</v>
      </c>
      <c r="V28" s="4" t="str">
        <f>"77465"</f>
        <v>77465</v>
      </c>
      <c r="W28" t="s">
        <v>120</v>
      </c>
      <c r="Y28" s="5">
        <v>19799433619</v>
      </c>
      <c r="AA28">
        <v>114112</v>
      </c>
      <c r="AB28" t="s">
        <v>2120</v>
      </c>
      <c r="AC28" t="s">
        <v>4479</v>
      </c>
      <c r="AE28" t="s">
        <v>252</v>
      </c>
      <c r="AF28" t="s">
        <v>6975</v>
      </c>
      <c r="AH28" t="s">
        <v>1795</v>
      </c>
      <c r="AI28" t="s">
        <v>232</v>
      </c>
      <c r="AJ28" s="4" t="str">
        <f>"77465"</f>
        <v>77465</v>
      </c>
      <c r="AK28" t="s">
        <v>120</v>
      </c>
      <c r="AM28" s="5">
        <v>19799433619</v>
      </c>
      <c r="AO28" t="s">
        <v>1797</v>
      </c>
      <c r="AP28" t="s">
        <v>256</v>
      </c>
      <c r="AQ28" t="s">
        <v>826</v>
      </c>
      <c r="AR28" t="s">
        <v>827</v>
      </c>
      <c r="AS28" t="s">
        <v>138</v>
      </c>
      <c r="AT28" t="s">
        <v>346</v>
      </c>
      <c r="AU28" t="s">
        <v>347</v>
      </c>
      <c r="AV28" t="s">
        <v>828</v>
      </c>
      <c r="AW28" t="s">
        <v>349</v>
      </c>
      <c r="AX28" s="4" t="str">
        <f>"83814"</f>
        <v>83814</v>
      </c>
      <c r="AY28" t="s">
        <v>120</v>
      </c>
      <c r="BA28" s="5">
        <v>12087772654</v>
      </c>
      <c r="BC28" t="s">
        <v>829</v>
      </c>
      <c r="BD28" t="s">
        <v>351</v>
      </c>
      <c r="BG28" t="s">
        <v>232</v>
      </c>
      <c r="BH28" s="1">
        <v>44896.791666666664</v>
      </c>
      <c r="BI28">
        <v>40</v>
      </c>
      <c r="BJ28">
        <v>0</v>
      </c>
      <c r="BK28">
        <v>8</v>
      </c>
      <c r="BL28">
        <v>8</v>
      </c>
      <c r="BM28">
        <v>8</v>
      </c>
      <c r="BN28">
        <v>8</v>
      </c>
      <c r="BO28">
        <v>8</v>
      </c>
      <c r="BP28">
        <v>0</v>
      </c>
      <c r="BQ28" t="str">
        <f>"10:00 PM"</f>
        <v>10:00 PM</v>
      </c>
      <c r="BR28" t="str">
        <f>"6:00 AM"</f>
        <v>6:00 AM</v>
      </c>
      <c r="BS28" t="s">
        <v>133</v>
      </c>
      <c r="BT28">
        <v>0</v>
      </c>
      <c r="BU28">
        <v>0</v>
      </c>
      <c r="BV28" t="s">
        <v>134</v>
      </c>
      <c r="BX28" s="2" t="s">
        <v>1798</v>
      </c>
      <c r="BY28" t="s">
        <v>4182</v>
      </c>
      <c r="CA28" t="s">
        <v>1795</v>
      </c>
      <c r="CB28" t="s">
        <v>232</v>
      </c>
      <c r="CC28" s="4" t="str">
        <f>"77465"</f>
        <v>77465</v>
      </c>
      <c r="CD28" t="s">
        <v>1800</v>
      </c>
      <c r="CE28" t="s">
        <v>1801</v>
      </c>
      <c r="CF28" s="6">
        <v>14.46</v>
      </c>
      <c r="CH28" s="6">
        <v>21.69</v>
      </c>
      <c r="CJ28" t="s">
        <v>137</v>
      </c>
      <c r="CK28" t="s">
        <v>1802</v>
      </c>
      <c r="CL28" t="s">
        <v>6976</v>
      </c>
      <c r="CO28" t="s">
        <v>138</v>
      </c>
      <c r="CP28" t="s">
        <v>114</v>
      </c>
      <c r="CQ28" t="s">
        <v>114</v>
      </c>
      <c r="CR28" t="s">
        <v>114</v>
      </c>
      <c r="CS28" t="s">
        <v>114</v>
      </c>
      <c r="CT28" t="s">
        <v>114</v>
      </c>
      <c r="CU28" t="s">
        <v>114</v>
      </c>
      <c r="CV28" t="s">
        <v>358</v>
      </c>
      <c r="CW28" s="5" t="str">
        <f>"+19799433619"</f>
        <v>+19799433619</v>
      </c>
      <c r="CX28" t="s">
        <v>1797</v>
      </c>
      <c r="CY28" t="s">
        <v>138</v>
      </c>
      <c r="CZ28" t="s">
        <v>139</v>
      </c>
      <c r="DA28" t="s">
        <v>134</v>
      </c>
      <c r="DB28" t="s">
        <v>134</v>
      </c>
      <c r="DC28" t="s">
        <v>114</v>
      </c>
      <c r="DD28" t="s">
        <v>134</v>
      </c>
    </row>
    <row r="29" spans="1:108" ht="15" customHeight="1" x14ac:dyDescent="0.25">
      <c r="A29" t="s">
        <v>16712</v>
      </c>
      <c r="B29" t="s">
        <v>165</v>
      </c>
      <c r="C29" s="1">
        <v>44897.837962268517</v>
      </c>
      <c r="D29" s="1">
        <v>44924</v>
      </c>
      <c r="E29" t="s">
        <v>134</v>
      </c>
      <c r="F29" t="s">
        <v>4898</v>
      </c>
      <c r="G29" t="str">
        <f>"45-3031.00"</f>
        <v>45-3031.00</v>
      </c>
      <c r="H29" t="s">
        <v>496</v>
      </c>
      <c r="I29">
        <v>5</v>
      </c>
      <c r="J29">
        <v>5</v>
      </c>
      <c r="K29" s="1">
        <v>44986</v>
      </c>
      <c r="L29" s="1">
        <v>45275</v>
      </c>
      <c r="M29" s="1">
        <v>44986</v>
      </c>
      <c r="N29" s="1">
        <v>45275</v>
      </c>
      <c r="O29" t="s">
        <v>117</v>
      </c>
      <c r="P29" t="s">
        <v>10285</v>
      </c>
      <c r="R29" t="s">
        <v>10286</v>
      </c>
      <c r="T29" t="s">
        <v>1795</v>
      </c>
      <c r="U29" t="s">
        <v>232</v>
      </c>
      <c r="V29" s="4" t="str">
        <f>"77465"</f>
        <v>77465</v>
      </c>
      <c r="W29" t="s">
        <v>120</v>
      </c>
      <c r="Y29" s="5">
        <v>19799433619</v>
      </c>
      <c r="AA29">
        <v>114112</v>
      </c>
      <c r="AB29" t="s">
        <v>2204</v>
      </c>
      <c r="AC29" t="s">
        <v>10287</v>
      </c>
      <c r="AE29" t="s">
        <v>252</v>
      </c>
      <c r="AF29" t="s">
        <v>10286</v>
      </c>
      <c r="AH29" t="s">
        <v>1795</v>
      </c>
      <c r="AI29" t="s">
        <v>232</v>
      </c>
      <c r="AJ29" s="4" t="str">
        <f>"77465"</f>
        <v>77465</v>
      </c>
      <c r="AK29" t="s">
        <v>120</v>
      </c>
      <c r="AM29" s="5">
        <v>19799433619</v>
      </c>
      <c r="AO29" t="s">
        <v>1797</v>
      </c>
      <c r="AP29" t="s">
        <v>256</v>
      </c>
      <c r="AQ29" t="s">
        <v>826</v>
      </c>
      <c r="AR29" t="s">
        <v>827</v>
      </c>
      <c r="AS29" t="s">
        <v>138</v>
      </c>
      <c r="AT29" t="s">
        <v>346</v>
      </c>
      <c r="AU29" t="s">
        <v>347</v>
      </c>
      <c r="AV29" t="s">
        <v>828</v>
      </c>
      <c r="AW29" t="s">
        <v>349</v>
      </c>
      <c r="AX29" s="4" t="str">
        <f>"83814"</f>
        <v>83814</v>
      </c>
      <c r="AY29" t="s">
        <v>120</v>
      </c>
      <c r="BA29" s="5">
        <v>12087772654</v>
      </c>
      <c r="BC29" t="s">
        <v>829</v>
      </c>
      <c r="BD29" t="s">
        <v>351</v>
      </c>
      <c r="BG29" t="s">
        <v>232</v>
      </c>
      <c r="BH29" s="1">
        <v>44896.791666666664</v>
      </c>
      <c r="BI29">
        <v>40</v>
      </c>
      <c r="BJ29">
        <v>0</v>
      </c>
      <c r="BK29">
        <v>8</v>
      </c>
      <c r="BL29">
        <v>8</v>
      </c>
      <c r="BM29">
        <v>8</v>
      </c>
      <c r="BN29">
        <v>8</v>
      </c>
      <c r="BO29">
        <v>8</v>
      </c>
      <c r="BP29">
        <v>0</v>
      </c>
      <c r="BQ29" t="str">
        <f>"10:00 PM"</f>
        <v>10:00 PM</v>
      </c>
      <c r="BR29" t="str">
        <f>"6:00 AM"</f>
        <v>6:00 AM</v>
      </c>
      <c r="BS29" t="s">
        <v>133</v>
      </c>
      <c r="BT29">
        <v>0</v>
      </c>
      <c r="BU29">
        <v>0</v>
      </c>
      <c r="BV29" t="s">
        <v>134</v>
      </c>
      <c r="BX29" s="2" t="s">
        <v>1810</v>
      </c>
      <c r="BY29" t="s">
        <v>10288</v>
      </c>
      <c r="CA29" t="s">
        <v>1795</v>
      </c>
      <c r="CB29" t="s">
        <v>232</v>
      </c>
      <c r="CC29" s="4" t="str">
        <f>"77465"</f>
        <v>77465</v>
      </c>
      <c r="CD29" t="s">
        <v>1800</v>
      </c>
      <c r="CE29" t="s">
        <v>1801</v>
      </c>
      <c r="CF29" s="6">
        <v>14.46</v>
      </c>
      <c r="CH29" s="6">
        <v>21.69</v>
      </c>
      <c r="CJ29" t="s">
        <v>137</v>
      </c>
      <c r="CK29" t="s">
        <v>1802</v>
      </c>
      <c r="CL29" t="s">
        <v>10289</v>
      </c>
      <c r="CO29" t="s">
        <v>138</v>
      </c>
      <c r="CP29" t="s">
        <v>114</v>
      </c>
      <c r="CQ29" t="s">
        <v>114</v>
      </c>
      <c r="CR29" t="s">
        <v>114</v>
      </c>
      <c r="CS29" t="s">
        <v>114</v>
      </c>
      <c r="CT29" t="s">
        <v>114</v>
      </c>
      <c r="CU29" t="s">
        <v>114</v>
      </c>
      <c r="CV29" t="s">
        <v>358</v>
      </c>
      <c r="CW29" s="5" t="str">
        <f>"+19799433619"</f>
        <v>+19799433619</v>
      </c>
      <c r="CX29" t="s">
        <v>1797</v>
      </c>
      <c r="CY29" t="s">
        <v>138</v>
      </c>
      <c r="CZ29" t="s">
        <v>139</v>
      </c>
      <c r="DA29" t="s">
        <v>134</v>
      </c>
      <c r="DB29" t="s">
        <v>134</v>
      </c>
      <c r="DC29" t="s">
        <v>114</v>
      </c>
      <c r="DD29" t="s">
        <v>134</v>
      </c>
    </row>
    <row r="30" spans="1:108" ht="15" customHeight="1" x14ac:dyDescent="0.25">
      <c r="A30" t="s">
        <v>10149</v>
      </c>
      <c r="B30" t="s">
        <v>165</v>
      </c>
      <c r="C30" s="1">
        <v>44897.822931481482</v>
      </c>
      <c r="D30" s="1">
        <v>44924</v>
      </c>
      <c r="E30" t="s">
        <v>134</v>
      </c>
      <c r="F30" t="s">
        <v>1805</v>
      </c>
      <c r="G30" t="str">
        <f>"45-3031.00"</f>
        <v>45-3031.00</v>
      </c>
      <c r="H30" t="s">
        <v>496</v>
      </c>
      <c r="I30">
        <v>5</v>
      </c>
      <c r="J30">
        <v>5</v>
      </c>
      <c r="K30" s="1">
        <v>44986</v>
      </c>
      <c r="L30" s="1">
        <v>45275</v>
      </c>
      <c r="M30" s="1">
        <v>44986</v>
      </c>
      <c r="N30" s="1">
        <v>45275</v>
      </c>
      <c r="O30" t="s">
        <v>117</v>
      </c>
      <c r="P30" t="s">
        <v>5790</v>
      </c>
      <c r="Q30" t="s">
        <v>5791</v>
      </c>
      <c r="R30" t="s">
        <v>5792</v>
      </c>
      <c r="T30" t="s">
        <v>1795</v>
      </c>
      <c r="U30" t="s">
        <v>232</v>
      </c>
      <c r="V30" s="4" t="str">
        <f>"77465"</f>
        <v>77465</v>
      </c>
      <c r="W30" t="s">
        <v>120</v>
      </c>
      <c r="Y30" s="5">
        <v>19799433619</v>
      </c>
      <c r="AA30">
        <v>114112</v>
      </c>
      <c r="AB30" t="s">
        <v>5075</v>
      </c>
      <c r="AC30" t="s">
        <v>5793</v>
      </c>
      <c r="AE30" t="s">
        <v>252</v>
      </c>
      <c r="AF30" t="s">
        <v>5792</v>
      </c>
      <c r="AH30" t="s">
        <v>1795</v>
      </c>
      <c r="AI30" t="s">
        <v>232</v>
      </c>
      <c r="AJ30" s="4" t="str">
        <f>"77465"</f>
        <v>77465</v>
      </c>
      <c r="AK30" t="s">
        <v>120</v>
      </c>
      <c r="AM30" s="5">
        <v>19799433619</v>
      </c>
      <c r="AO30" t="s">
        <v>1797</v>
      </c>
      <c r="AP30" t="s">
        <v>256</v>
      </c>
      <c r="AQ30" t="s">
        <v>826</v>
      </c>
      <c r="AR30" t="s">
        <v>827</v>
      </c>
      <c r="AS30" t="s">
        <v>138</v>
      </c>
      <c r="AT30" t="s">
        <v>346</v>
      </c>
      <c r="AU30" t="s">
        <v>347</v>
      </c>
      <c r="AV30" t="s">
        <v>828</v>
      </c>
      <c r="AW30" t="s">
        <v>349</v>
      </c>
      <c r="AX30" s="4" t="str">
        <f>"83814"</f>
        <v>83814</v>
      </c>
      <c r="AY30" t="s">
        <v>120</v>
      </c>
      <c r="BA30" s="5">
        <v>12087772654</v>
      </c>
      <c r="BC30" t="s">
        <v>829</v>
      </c>
      <c r="BD30" t="s">
        <v>351</v>
      </c>
      <c r="BG30" t="s">
        <v>232</v>
      </c>
      <c r="BH30" s="1">
        <v>44895.791666666664</v>
      </c>
      <c r="BI30">
        <v>40</v>
      </c>
      <c r="BJ30">
        <v>0</v>
      </c>
      <c r="BK30">
        <v>8</v>
      </c>
      <c r="BL30">
        <v>8</v>
      </c>
      <c r="BM30">
        <v>8</v>
      </c>
      <c r="BN30">
        <v>8</v>
      </c>
      <c r="BO30">
        <v>8</v>
      </c>
      <c r="BP30">
        <v>0</v>
      </c>
      <c r="BQ30" t="str">
        <f>"10:00 PM"</f>
        <v>10:00 PM</v>
      </c>
      <c r="BR30" t="str">
        <f>"6:00 AM"</f>
        <v>6:00 AM</v>
      </c>
      <c r="BS30" t="s">
        <v>133</v>
      </c>
      <c r="BT30">
        <v>0</v>
      </c>
      <c r="BU30">
        <v>0</v>
      </c>
      <c r="BV30" t="s">
        <v>134</v>
      </c>
      <c r="BX30" s="2" t="s">
        <v>1798</v>
      </c>
      <c r="BY30" t="s">
        <v>1893</v>
      </c>
      <c r="CA30" t="s">
        <v>1795</v>
      </c>
      <c r="CB30" t="s">
        <v>232</v>
      </c>
      <c r="CC30" s="4" t="str">
        <f>"77465"</f>
        <v>77465</v>
      </c>
      <c r="CD30" t="s">
        <v>1800</v>
      </c>
      <c r="CE30" t="s">
        <v>1801</v>
      </c>
      <c r="CF30" s="6">
        <v>14.46</v>
      </c>
      <c r="CH30" s="6">
        <v>21.69</v>
      </c>
      <c r="CJ30" t="s">
        <v>137</v>
      </c>
      <c r="CK30" t="s">
        <v>1802</v>
      </c>
      <c r="CL30" t="s">
        <v>5794</v>
      </c>
      <c r="CO30" t="s">
        <v>138</v>
      </c>
      <c r="CP30" t="s">
        <v>114</v>
      </c>
      <c r="CQ30" t="s">
        <v>114</v>
      </c>
      <c r="CR30" t="s">
        <v>114</v>
      </c>
      <c r="CS30" t="s">
        <v>114</v>
      </c>
      <c r="CT30" t="s">
        <v>114</v>
      </c>
      <c r="CU30" t="s">
        <v>114</v>
      </c>
      <c r="CV30" t="s">
        <v>358</v>
      </c>
      <c r="CW30" s="5" t="str">
        <f>"+19799433619"</f>
        <v>+19799433619</v>
      </c>
      <c r="CX30" t="s">
        <v>1797</v>
      </c>
      <c r="CY30" t="s">
        <v>138</v>
      </c>
      <c r="CZ30" t="s">
        <v>139</v>
      </c>
      <c r="DA30" t="s">
        <v>134</v>
      </c>
      <c r="DB30" t="s">
        <v>134</v>
      </c>
      <c r="DC30" t="s">
        <v>114</v>
      </c>
      <c r="DD30" t="s">
        <v>134</v>
      </c>
    </row>
    <row r="31" spans="1:108" ht="15" customHeight="1" x14ac:dyDescent="0.25">
      <c r="A31" t="s">
        <v>11698</v>
      </c>
      <c r="B31" t="s">
        <v>165</v>
      </c>
      <c r="C31" s="1">
        <v>44897.821092129627</v>
      </c>
      <c r="D31" s="1">
        <v>44924</v>
      </c>
      <c r="E31" t="s">
        <v>134</v>
      </c>
      <c r="F31" t="s">
        <v>1805</v>
      </c>
      <c r="G31" t="str">
        <f>"45-3031.00"</f>
        <v>45-3031.00</v>
      </c>
      <c r="H31" t="s">
        <v>496</v>
      </c>
      <c r="I31">
        <v>5</v>
      </c>
      <c r="J31">
        <v>5</v>
      </c>
      <c r="K31" s="1">
        <v>44986</v>
      </c>
      <c r="L31" s="1">
        <v>45275</v>
      </c>
      <c r="M31" s="1">
        <v>44986</v>
      </c>
      <c r="N31" s="1">
        <v>45275</v>
      </c>
      <c r="O31" t="s">
        <v>117</v>
      </c>
      <c r="P31" t="s">
        <v>9125</v>
      </c>
      <c r="Q31" t="s">
        <v>9126</v>
      </c>
      <c r="R31" t="s">
        <v>1893</v>
      </c>
      <c r="T31" t="s">
        <v>1795</v>
      </c>
      <c r="U31" t="s">
        <v>232</v>
      </c>
      <c r="V31" s="4" t="str">
        <f>"77465"</f>
        <v>77465</v>
      </c>
      <c r="W31" t="s">
        <v>120</v>
      </c>
      <c r="Y31" s="5">
        <v>19799433619</v>
      </c>
      <c r="AA31">
        <v>114112</v>
      </c>
      <c r="AB31" t="s">
        <v>1352</v>
      </c>
      <c r="AC31" t="s">
        <v>962</v>
      </c>
      <c r="AE31" t="s">
        <v>252</v>
      </c>
      <c r="AF31" t="s">
        <v>1893</v>
      </c>
      <c r="AH31" t="s">
        <v>1795</v>
      </c>
      <c r="AI31" t="s">
        <v>232</v>
      </c>
      <c r="AJ31" s="4" t="str">
        <f>"77465"</f>
        <v>77465</v>
      </c>
      <c r="AK31" t="s">
        <v>120</v>
      </c>
      <c r="AM31" s="5">
        <v>19799433619</v>
      </c>
      <c r="AO31" t="s">
        <v>1797</v>
      </c>
      <c r="AP31" t="s">
        <v>256</v>
      </c>
      <c r="AQ31" t="s">
        <v>826</v>
      </c>
      <c r="AR31" t="s">
        <v>827</v>
      </c>
      <c r="AS31" t="s">
        <v>138</v>
      </c>
      <c r="AT31" t="s">
        <v>346</v>
      </c>
      <c r="AU31" t="s">
        <v>347</v>
      </c>
      <c r="AV31" t="s">
        <v>828</v>
      </c>
      <c r="AW31" t="s">
        <v>349</v>
      </c>
      <c r="AX31" s="4" t="str">
        <f>"83814"</f>
        <v>83814</v>
      </c>
      <c r="AY31" t="s">
        <v>120</v>
      </c>
      <c r="BA31" s="5">
        <v>12087772654</v>
      </c>
      <c r="BC31" t="s">
        <v>829</v>
      </c>
      <c r="BD31" t="s">
        <v>351</v>
      </c>
      <c r="BG31" t="s">
        <v>232</v>
      </c>
      <c r="BH31" s="1">
        <v>44895.791666666664</v>
      </c>
      <c r="BI31">
        <v>40</v>
      </c>
      <c r="BJ31">
        <v>0</v>
      </c>
      <c r="BK31">
        <v>8</v>
      </c>
      <c r="BL31">
        <v>8</v>
      </c>
      <c r="BM31">
        <v>8</v>
      </c>
      <c r="BN31">
        <v>8</v>
      </c>
      <c r="BO31">
        <v>8</v>
      </c>
      <c r="BP31">
        <v>0</v>
      </c>
      <c r="BQ31" t="str">
        <f>"10:00 PM"</f>
        <v>10:00 PM</v>
      </c>
      <c r="BR31" t="str">
        <f>"6:00 AM"</f>
        <v>6:00 AM</v>
      </c>
      <c r="BS31" t="s">
        <v>133</v>
      </c>
      <c r="BT31">
        <v>0</v>
      </c>
      <c r="BU31">
        <v>0</v>
      </c>
      <c r="BV31" t="s">
        <v>134</v>
      </c>
      <c r="BX31" s="2" t="s">
        <v>1798</v>
      </c>
      <c r="BY31" t="s">
        <v>1893</v>
      </c>
      <c r="CA31" t="s">
        <v>1795</v>
      </c>
      <c r="CB31" t="s">
        <v>232</v>
      </c>
      <c r="CC31" s="4" t="str">
        <f>"77465"</f>
        <v>77465</v>
      </c>
      <c r="CD31" t="s">
        <v>1800</v>
      </c>
      <c r="CE31" t="s">
        <v>1801</v>
      </c>
      <c r="CF31" s="6">
        <v>14.46</v>
      </c>
      <c r="CH31" s="6">
        <v>21.69</v>
      </c>
      <c r="CJ31" t="s">
        <v>137</v>
      </c>
      <c r="CK31" t="s">
        <v>1802</v>
      </c>
      <c r="CL31" t="s">
        <v>9127</v>
      </c>
      <c r="CO31" t="s">
        <v>138</v>
      </c>
      <c r="CP31" t="s">
        <v>114</v>
      </c>
      <c r="CQ31" t="s">
        <v>114</v>
      </c>
      <c r="CR31" t="s">
        <v>114</v>
      </c>
      <c r="CS31" t="s">
        <v>114</v>
      </c>
      <c r="CT31" t="s">
        <v>114</v>
      </c>
      <c r="CU31" t="s">
        <v>114</v>
      </c>
      <c r="CV31" t="s">
        <v>358</v>
      </c>
      <c r="CW31" s="5" t="str">
        <f>"+19799433619"</f>
        <v>+19799433619</v>
      </c>
      <c r="CX31" t="s">
        <v>1797</v>
      </c>
      <c r="CY31" t="s">
        <v>138</v>
      </c>
      <c r="CZ31" t="s">
        <v>139</v>
      </c>
      <c r="DA31" t="s">
        <v>134</v>
      </c>
      <c r="DB31" t="s">
        <v>134</v>
      </c>
      <c r="DC31" t="s">
        <v>114</v>
      </c>
      <c r="DD31" t="s">
        <v>134</v>
      </c>
    </row>
    <row r="32" spans="1:108" ht="15" customHeight="1" x14ac:dyDescent="0.25">
      <c r="A32" t="s">
        <v>12475</v>
      </c>
      <c r="B32" t="s">
        <v>165</v>
      </c>
      <c r="C32" s="1">
        <v>44897.815936574072</v>
      </c>
      <c r="D32" s="1">
        <v>44924</v>
      </c>
      <c r="E32" t="s">
        <v>134</v>
      </c>
      <c r="F32" t="s">
        <v>1791</v>
      </c>
      <c r="G32" t="str">
        <f>"45-3031.00"</f>
        <v>45-3031.00</v>
      </c>
      <c r="H32" t="s">
        <v>496</v>
      </c>
      <c r="I32">
        <v>5</v>
      </c>
      <c r="J32">
        <v>5</v>
      </c>
      <c r="K32" s="1">
        <v>44986</v>
      </c>
      <c r="L32" s="1">
        <v>45275</v>
      </c>
      <c r="M32" s="1">
        <v>44986</v>
      </c>
      <c r="N32" s="1">
        <v>45275</v>
      </c>
      <c r="O32" t="s">
        <v>117</v>
      </c>
      <c r="P32" t="s">
        <v>9188</v>
      </c>
      <c r="Q32" t="s">
        <v>9189</v>
      </c>
      <c r="R32" t="s">
        <v>9190</v>
      </c>
      <c r="T32" t="s">
        <v>1795</v>
      </c>
      <c r="U32" t="s">
        <v>232</v>
      </c>
      <c r="V32" s="4" t="str">
        <f>"77465"</f>
        <v>77465</v>
      </c>
      <c r="W32" t="s">
        <v>120</v>
      </c>
      <c r="Y32" s="5">
        <v>19799433619</v>
      </c>
      <c r="AA32">
        <v>114112</v>
      </c>
      <c r="AB32" t="s">
        <v>2229</v>
      </c>
      <c r="AC32" t="s">
        <v>6959</v>
      </c>
      <c r="AE32" t="s">
        <v>252</v>
      </c>
      <c r="AF32" t="s">
        <v>9190</v>
      </c>
      <c r="AH32" t="s">
        <v>1795</v>
      </c>
      <c r="AI32" t="s">
        <v>232</v>
      </c>
      <c r="AJ32" s="4" t="str">
        <f>"77465"</f>
        <v>77465</v>
      </c>
      <c r="AK32" t="s">
        <v>120</v>
      </c>
      <c r="AM32" s="5">
        <v>19799433619</v>
      </c>
      <c r="AO32" t="s">
        <v>1797</v>
      </c>
      <c r="AP32" t="s">
        <v>256</v>
      </c>
      <c r="AQ32" t="s">
        <v>826</v>
      </c>
      <c r="AR32" t="s">
        <v>827</v>
      </c>
      <c r="AS32" t="s">
        <v>138</v>
      </c>
      <c r="AT32" t="s">
        <v>346</v>
      </c>
      <c r="AU32" t="s">
        <v>347</v>
      </c>
      <c r="AV32" t="s">
        <v>828</v>
      </c>
      <c r="AW32" t="s">
        <v>349</v>
      </c>
      <c r="AX32" s="4" t="str">
        <f>"83814"</f>
        <v>83814</v>
      </c>
      <c r="AY32" t="s">
        <v>120</v>
      </c>
      <c r="BA32" s="5">
        <v>12087772654</v>
      </c>
      <c r="BC32" t="s">
        <v>829</v>
      </c>
      <c r="BD32" t="s">
        <v>351</v>
      </c>
      <c r="BG32" t="s">
        <v>232</v>
      </c>
      <c r="BH32" s="1">
        <v>44895.791666666664</v>
      </c>
      <c r="BI32">
        <v>40</v>
      </c>
      <c r="BJ32">
        <v>0</v>
      </c>
      <c r="BK32">
        <v>8</v>
      </c>
      <c r="BL32">
        <v>8</v>
      </c>
      <c r="BM32">
        <v>8</v>
      </c>
      <c r="BN32">
        <v>8</v>
      </c>
      <c r="BO32">
        <v>8</v>
      </c>
      <c r="BP32">
        <v>0</v>
      </c>
      <c r="BQ32" t="str">
        <f>"10:00 PM"</f>
        <v>10:00 PM</v>
      </c>
      <c r="BR32" t="str">
        <f>"6:00 AM"</f>
        <v>6:00 AM</v>
      </c>
      <c r="BS32" t="s">
        <v>133</v>
      </c>
      <c r="BT32">
        <v>0</v>
      </c>
      <c r="BU32">
        <v>0</v>
      </c>
      <c r="BV32" t="s">
        <v>134</v>
      </c>
      <c r="BX32" s="2" t="s">
        <v>1798</v>
      </c>
      <c r="BY32" t="s">
        <v>1893</v>
      </c>
      <c r="CA32" t="s">
        <v>1795</v>
      </c>
      <c r="CB32" t="s">
        <v>232</v>
      </c>
      <c r="CC32" s="4" t="str">
        <f>"77465"</f>
        <v>77465</v>
      </c>
      <c r="CD32" t="s">
        <v>1800</v>
      </c>
      <c r="CE32" t="s">
        <v>1801</v>
      </c>
      <c r="CF32" s="6">
        <v>14.46</v>
      </c>
      <c r="CH32" s="6">
        <v>21.69</v>
      </c>
      <c r="CJ32" t="s">
        <v>137</v>
      </c>
      <c r="CK32" t="s">
        <v>1802</v>
      </c>
      <c r="CL32" t="s">
        <v>9191</v>
      </c>
      <c r="CO32" t="s">
        <v>138</v>
      </c>
      <c r="CP32" t="s">
        <v>114</v>
      </c>
      <c r="CQ32" t="s">
        <v>114</v>
      </c>
      <c r="CR32" t="s">
        <v>114</v>
      </c>
      <c r="CS32" t="s">
        <v>114</v>
      </c>
      <c r="CT32" t="s">
        <v>114</v>
      </c>
      <c r="CU32" t="s">
        <v>114</v>
      </c>
      <c r="CV32" t="s">
        <v>358</v>
      </c>
      <c r="CW32" s="5" t="str">
        <f>"+19799433619"</f>
        <v>+19799433619</v>
      </c>
      <c r="CX32" t="s">
        <v>1797</v>
      </c>
      <c r="CY32" t="s">
        <v>138</v>
      </c>
      <c r="CZ32" t="s">
        <v>139</v>
      </c>
      <c r="DA32" t="s">
        <v>134</v>
      </c>
      <c r="DB32" t="s">
        <v>134</v>
      </c>
      <c r="DC32" t="s">
        <v>114</v>
      </c>
      <c r="DD32" t="s">
        <v>134</v>
      </c>
    </row>
    <row r="33" spans="1:108" ht="15" customHeight="1" x14ac:dyDescent="0.25">
      <c r="A33" t="s">
        <v>16746</v>
      </c>
      <c r="B33" t="s">
        <v>165</v>
      </c>
      <c r="C33" s="1">
        <v>44896.807312962963</v>
      </c>
      <c r="D33" s="1">
        <v>44924</v>
      </c>
      <c r="E33" t="s">
        <v>134</v>
      </c>
      <c r="F33" t="s">
        <v>1315</v>
      </c>
      <c r="G33" t="str">
        <f>"39-3091.00"</f>
        <v>39-3091.00</v>
      </c>
      <c r="H33" t="s">
        <v>362</v>
      </c>
      <c r="I33">
        <v>25</v>
      </c>
      <c r="J33">
        <v>25</v>
      </c>
      <c r="K33" s="1">
        <v>44971</v>
      </c>
      <c r="L33" s="1">
        <v>45230</v>
      </c>
      <c r="M33" s="1">
        <v>44971</v>
      </c>
      <c r="N33" s="1">
        <v>45230</v>
      </c>
      <c r="O33" t="s">
        <v>199</v>
      </c>
      <c r="P33" t="s">
        <v>16747</v>
      </c>
      <c r="R33" t="s">
        <v>16748</v>
      </c>
      <c r="S33" t="s">
        <v>16749</v>
      </c>
      <c r="T33" t="s">
        <v>4610</v>
      </c>
      <c r="U33" t="s">
        <v>697</v>
      </c>
      <c r="V33" s="4" t="str">
        <f>"63939"</f>
        <v>63939</v>
      </c>
      <c r="W33" t="s">
        <v>120</v>
      </c>
      <c r="Y33" s="5">
        <v>13143787057</v>
      </c>
      <c r="Z33">
        <v>0</v>
      </c>
      <c r="AA33">
        <v>71119</v>
      </c>
      <c r="AB33" t="s">
        <v>4611</v>
      </c>
      <c r="AC33" t="s">
        <v>2038</v>
      </c>
      <c r="AE33" t="s">
        <v>424</v>
      </c>
      <c r="AF33" t="s">
        <v>16748</v>
      </c>
      <c r="AG33" t="s">
        <v>16749</v>
      </c>
      <c r="AH33" t="s">
        <v>4610</v>
      </c>
      <c r="AI33" t="s">
        <v>697</v>
      </c>
      <c r="AJ33" s="4" t="str">
        <f>"63939"</f>
        <v>63939</v>
      </c>
      <c r="AK33" t="s">
        <v>120</v>
      </c>
      <c r="AM33" s="5">
        <v>13143787057</v>
      </c>
      <c r="AN33">
        <v>0</v>
      </c>
      <c r="AO33" t="s">
        <v>16750</v>
      </c>
      <c r="AP33" t="s">
        <v>256</v>
      </c>
      <c r="AQ33" t="s">
        <v>535</v>
      </c>
      <c r="AR33" t="s">
        <v>536</v>
      </c>
      <c r="AS33" t="s">
        <v>537</v>
      </c>
      <c r="AT33" t="s">
        <v>538</v>
      </c>
      <c r="AU33" t="s">
        <v>539</v>
      </c>
      <c r="AV33" t="s">
        <v>540</v>
      </c>
      <c r="AW33" t="s">
        <v>232</v>
      </c>
      <c r="AX33" s="4" t="str">
        <f>"78550"</f>
        <v>78550</v>
      </c>
      <c r="AY33" t="s">
        <v>120</v>
      </c>
      <c r="AZ33" t="s">
        <v>541</v>
      </c>
      <c r="BA33" s="5">
        <v>19564408720</v>
      </c>
      <c r="BB33">
        <v>0</v>
      </c>
      <c r="BC33" t="s">
        <v>542</v>
      </c>
      <c r="BD33" t="s">
        <v>543</v>
      </c>
      <c r="BG33" t="s">
        <v>697</v>
      </c>
      <c r="BH33" s="1">
        <v>44895.791666666664</v>
      </c>
      <c r="BI33">
        <v>40</v>
      </c>
      <c r="BJ33">
        <v>8</v>
      </c>
      <c r="BK33">
        <v>0</v>
      </c>
      <c r="BL33">
        <v>0</v>
      </c>
      <c r="BM33">
        <v>8</v>
      </c>
      <c r="BN33">
        <v>8</v>
      </c>
      <c r="BO33">
        <v>8</v>
      </c>
      <c r="BP33">
        <v>8</v>
      </c>
      <c r="BQ33" t="str">
        <f>"1:00 PM"</f>
        <v>1:00 PM</v>
      </c>
      <c r="BR33" t="str">
        <f>"10:00 PM"</f>
        <v>10:00 PM</v>
      </c>
      <c r="BS33" t="s">
        <v>133</v>
      </c>
      <c r="BT33">
        <v>0</v>
      </c>
      <c r="BU33">
        <v>0</v>
      </c>
      <c r="BV33" t="s">
        <v>134</v>
      </c>
      <c r="BX33" t="s">
        <v>3921</v>
      </c>
      <c r="BY33" t="s">
        <v>16748</v>
      </c>
      <c r="CA33" t="s">
        <v>4610</v>
      </c>
      <c r="CB33" t="s">
        <v>697</v>
      </c>
      <c r="CC33" s="4" t="str">
        <f>"63939"</f>
        <v>63939</v>
      </c>
      <c r="CD33" t="s">
        <v>4612</v>
      </c>
      <c r="CE33" t="s">
        <v>4613</v>
      </c>
      <c r="CF33" s="6">
        <v>9.59</v>
      </c>
      <c r="CG33" s="6">
        <v>12.25</v>
      </c>
      <c r="CH33" s="6">
        <v>0</v>
      </c>
      <c r="CI33" s="6">
        <v>0</v>
      </c>
      <c r="CJ33" t="s">
        <v>137</v>
      </c>
      <c r="CK33" t="s">
        <v>3922</v>
      </c>
      <c r="CL33" t="s">
        <v>16751</v>
      </c>
      <c r="CO33" t="s">
        <v>138</v>
      </c>
      <c r="CP33" t="s">
        <v>114</v>
      </c>
      <c r="CQ33" t="s">
        <v>114</v>
      </c>
      <c r="CR33" t="s">
        <v>134</v>
      </c>
      <c r="CS33" t="s">
        <v>114</v>
      </c>
      <c r="CT33" t="s">
        <v>114</v>
      </c>
      <c r="CU33" t="s">
        <v>114</v>
      </c>
      <c r="CV33" t="s">
        <v>4912</v>
      </c>
      <c r="CW33" s="5" t="str">
        <f>"+13143787057"</f>
        <v>+13143787057</v>
      </c>
      <c r="CX33" t="s">
        <v>16750</v>
      </c>
      <c r="CY33" t="s">
        <v>138</v>
      </c>
      <c r="CZ33" t="s">
        <v>139</v>
      </c>
      <c r="DA33" t="s">
        <v>134</v>
      </c>
      <c r="DB33" t="s">
        <v>114</v>
      </c>
      <c r="DC33" t="s">
        <v>114</v>
      </c>
      <c r="DD33" t="s">
        <v>134</v>
      </c>
    </row>
    <row r="34" spans="1:108" ht="15" customHeight="1" x14ac:dyDescent="0.25">
      <c r="A34" t="s">
        <v>8077</v>
      </c>
      <c r="B34" t="s">
        <v>165</v>
      </c>
      <c r="C34" s="1">
        <v>44896.781357638887</v>
      </c>
      <c r="D34" s="1">
        <v>44924</v>
      </c>
      <c r="E34" t="s">
        <v>134</v>
      </c>
      <c r="F34" t="s">
        <v>334</v>
      </c>
      <c r="G34" t="str">
        <f>"37-3011.00"</f>
        <v>37-3011.00</v>
      </c>
      <c r="H34" t="s">
        <v>335</v>
      </c>
      <c r="I34">
        <v>14</v>
      </c>
      <c r="J34">
        <v>14</v>
      </c>
      <c r="K34" s="1">
        <v>44986</v>
      </c>
      <c r="L34" s="1">
        <v>45260</v>
      </c>
      <c r="M34" s="1">
        <v>44986</v>
      </c>
      <c r="N34" s="1">
        <v>45260</v>
      </c>
      <c r="O34" t="s">
        <v>117</v>
      </c>
      <c r="P34" t="s">
        <v>8078</v>
      </c>
      <c r="Q34" t="s">
        <v>8079</v>
      </c>
      <c r="R34" t="s">
        <v>8080</v>
      </c>
      <c r="T34" t="s">
        <v>1525</v>
      </c>
      <c r="U34" t="s">
        <v>232</v>
      </c>
      <c r="V34" s="4" t="str">
        <f>"75243"</f>
        <v>75243</v>
      </c>
      <c r="W34" t="s">
        <v>120</v>
      </c>
      <c r="Y34" s="5">
        <v>19033579190</v>
      </c>
      <c r="AA34">
        <v>56173</v>
      </c>
      <c r="AB34" t="s">
        <v>8081</v>
      </c>
      <c r="AC34" t="s">
        <v>2077</v>
      </c>
      <c r="AE34" t="s">
        <v>342</v>
      </c>
      <c r="AF34" t="s">
        <v>8082</v>
      </c>
      <c r="AH34" t="s">
        <v>1525</v>
      </c>
      <c r="AI34" t="s">
        <v>232</v>
      </c>
      <c r="AJ34" s="4" t="str">
        <f>"75243"</f>
        <v>75243</v>
      </c>
      <c r="AK34" t="s">
        <v>120</v>
      </c>
      <c r="AM34" s="5">
        <v>19033579190</v>
      </c>
      <c r="AO34" t="s">
        <v>8083</v>
      </c>
      <c r="AP34" t="s">
        <v>256</v>
      </c>
      <c r="AQ34" t="s">
        <v>885</v>
      </c>
      <c r="AR34" t="s">
        <v>886</v>
      </c>
      <c r="AT34" t="s">
        <v>887</v>
      </c>
      <c r="AV34" t="s">
        <v>888</v>
      </c>
      <c r="AW34" t="s">
        <v>232</v>
      </c>
      <c r="AX34" s="4" t="str">
        <f>"75098"</f>
        <v>75098</v>
      </c>
      <c r="AY34" t="s">
        <v>120</v>
      </c>
      <c r="BA34" s="5">
        <v>19724424244</v>
      </c>
      <c r="BC34" t="s">
        <v>889</v>
      </c>
      <c r="BD34" t="s">
        <v>1264</v>
      </c>
      <c r="BG34" t="s">
        <v>232</v>
      </c>
      <c r="BH34" s="1">
        <v>44895.791666666664</v>
      </c>
      <c r="BI34">
        <v>40</v>
      </c>
      <c r="BJ34">
        <v>0</v>
      </c>
      <c r="BK34">
        <v>8</v>
      </c>
      <c r="BL34">
        <v>8</v>
      </c>
      <c r="BM34">
        <v>8</v>
      </c>
      <c r="BN34">
        <v>8</v>
      </c>
      <c r="BO34">
        <v>8</v>
      </c>
      <c r="BP34">
        <v>0</v>
      </c>
      <c r="BQ34" t="str">
        <f>"6:00 AM"</f>
        <v>6:00 AM</v>
      </c>
      <c r="BR34" t="str">
        <f>"4:00 PM"</f>
        <v>4:00 PM</v>
      </c>
      <c r="BS34" t="s">
        <v>133</v>
      </c>
      <c r="BT34">
        <v>0</v>
      </c>
      <c r="BU34">
        <v>0</v>
      </c>
      <c r="BV34" t="s">
        <v>134</v>
      </c>
      <c r="BX34" t="s">
        <v>219</v>
      </c>
      <c r="BY34" t="s">
        <v>8080</v>
      </c>
      <c r="CA34" t="s">
        <v>1525</v>
      </c>
      <c r="CB34" t="s">
        <v>232</v>
      </c>
      <c r="CC34" s="4" t="str">
        <f>"75243"</f>
        <v>75243</v>
      </c>
      <c r="CD34" t="s">
        <v>1482</v>
      </c>
      <c r="CE34" t="s">
        <v>1528</v>
      </c>
      <c r="CF34" s="6">
        <v>16.3</v>
      </c>
      <c r="CG34" s="6">
        <v>18.5</v>
      </c>
      <c r="CH34" s="6">
        <v>24.45</v>
      </c>
      <c r="CI34" s="6">
        <v>27.75</v>
      </c>
      <c r="CJ34" t="s">
        <v>137</v>
      </c>
      <c r="CK34" t="s">
        <v>2086</v>
      </c>
      <c r="CL34" t="s">
        <v>8084</v>
      </c>
      <c r="CO34" t="s">
        <v>138</v>
      </c>
      <c r="CP34" t="s">
        <v>114</v>
      </c>
      <c r="CQ34" t="s">
        <v>114</v>
      </c>
      <c r="CR34" t="s">
        <v>114</v>
      </c>
      <c r="CS34" t="s">
        <v>114</v>
      </c>
      <c r="CT34" t="s">
        <v>114</v>
      </c>
      <c r="CU34" t="s">
        <v>114</v>
      </c>
      <c r="CV34" t="s">
        <v>7992</v>
      </c>
      <c r="CW34" s="5" t="str">
        <f>"+19033579190"</f>
        <v>+19033579190</v>
      </c>
      <c r="CX34" t="s">
        <v>138</v>
      </c>
      <c r="CY34" t="s">
        <v>2072</v>
      </c>
      <c r="CZ34" t="s">
        <v>139</v>
      </c>
      <c r="DA34" t="s">
        <v>134</v>
      </c>
      <c r="DB34" t="s">
        <v>134</v>
      </c>
      <c r="DC34" t="s">
        <v>114</v>
      </c>
      <c r="DD34" t="s">
        <v>134</v>
      </c>
    </row>
    <row r="35" spans="1:108" ht="15" customHeight="1" x14ac:dyDescent="0.25">
      <c r="A35" t="s">
        <v>9235</v>
      </c>
      <c r="B35" t="s">
        <v>165</v>
      </c>
      <c r="C35" s="1">
        <v>44896.70136875</v>
      </c>
      <c r="D35" s="1">
        <v>44924</v>
      </c>
      <c r="E35" t="s">
        <v>134</v>
      </c>
      <c r="F35" t="s">
        <v>334</v>
      </c>
      <c r="G35" t="str">
        <f>"37-3011.00"</f>
        <v>37-3011.00</v>
      </c>
      <c r="H35" t="s">
        <v>335</v>
      </c>
      <c r="I35">
        <v>11</v>
      </c>
      <c r="J35">
        <v>11</v>
      </c>
      <c r="K35" s="1">
        <v>44986</v>
      </c>
      <c r="L35" s="1">
        <v>45260</v>
      </c>
      <c r="M35" s="1">
        <v>44986</v>
      </c>
      <c r="N35" s="1">
        <v>45260</v>
      </c>
      <c r="O35" t="s">
        <v>117</v>
      </c>
      <c r="P35" t="s">
        <v>9236</v>
      </c>
      <c r="R35" t="s">
        <v>9237</v>
      </c>
      <c r="T35" t="s">
        <v>2252</v>
      </c>
      <c r="U35" t="s">
        <v>214</v>
      </c>
      <c r="V35" s="4" t="str">
        <f>"70806"</f>
        <v>70806</v>
      </c>
      <c r="W35" t="s">
        <v>120</v>
      </c>
      <c r="Y35" s="5">
        <v>12252239077</v>
      </c>
      <c r="AA35">
        <v>56173</v>
      </c>
      <c r="AB35" t="s">
        <v>9238</v>
      </c>
      <c r="AC35" t="s">
        <v>2376</v>
      </c>
      <c r="AE35" t="s">
        <v>424</v>
      </c>
      <c r="AF35" t="s">
        <v>9237</v>
      </c>
      <c r="AH35" t="s">
        <v>2252</v>
      </c>
      <c r="AI35" t="s">
        <v>214</v>
      </c>
      <c r="AJ35" s="4" t="str">
        <f>"70806"</f>
        <v>70806</v>
      </c>
      <c r="AK35" t="s">
        <v>120</v>
      </c>
      <c r="AM35" s="5">
        <v>12252239077</v>
      </c>
      <c r="AO35" t="s">
        <v>138</v>
      </c>
      <c r="AP35" t="s">
        <v>256</v>
      </c>
      <c r="AQ35" t="s">
        <v>3181</v>
      </c>
      <c r="AR35" t="s">
        <v>3182</v>
      </c>
      <c r="AT35" t="s">
        <v>346</v>
      </c>
      <c r="AU35" t="s">
        <v>347</v>
      </c>
      <c r="AV35" t="s">
        <v>828</v>
      </c>
      <c r="AW35" t="s">
        <v>349</v>
      </c>
      <c r="AX35" s="4" t="str">
        <f>"83814"</f>
        <v>83814</v>
      </c>
      <c r="AY35" t="s">
        <v>120</v>
      </c>
      <c r="BA35" s="5">
        <v>12087772654</v>
      </c>
      <c r="BC35" t="s">
        <v>3183</v>
      </c>
      <c r="BD35" t="s">
        <v>351</v>
      </c>
      <c r="BG35" t="s">
        <v>214</v>
      </c>
      <c r="BH35" s="1">
        <v>44871.791666666664</v>
      </c>
      <c r="BI35">
        <v>40</v>
      </c>
      <c r="BJ35">
        <v>0</v>
      </c>
      <c r="BK35">
        <v>8</v>
      </c>
      <c r="BL35">
        <v>8</v>
      </c>
      <c r="BM35">
        <v>8</v>
      </c>
      <c r="BN35">
        <v>8</v>
      </c>
      <c r="BO35">
        <v>8</v>
      </c>
      <c r="BP35">
        <v>0</v>
      </c>
      <c r="BQ35" t="str">
        <f>"6:00 AM"</f>
        <v>6:00 AM</v>
      </c>
      <c r="BR35" t="str">
        <f>"3:00 PM"</f>
        <v>3:00 PM</v>
      </c>
      <c r="BS35" t="s">
        <v>133</v>
      </c>
      <c r="BT35">
        <v>0</v>
      </c>
      <c r="BU35">
        <v>0</v>
      </c>
      <c r="BV35" t="s">
        <v>134</v>
      </c>
      <c r="BX35" s="2" t="s">
        <v>1836</v>
      </c>
      <c r="BY35" t="s">
        <v>9239</v>
      </c>
      <c r="CA35" t="s">
        <v>2252</v>
      </c>
      <c r="CB35" t="s">
        <v>214</v>
      </c>
      <c r="CC35" s="4" t="str">
        <f>"70806"</f>
        <v>70806</v>
      </c>
      <c r="CD35" t="s">
        <v>2247</v>
      </c>
      <c r="CE35" t="s">
        <v>737</v>
      </c>
      <c r="CF35" s="6">
        <v>14.87</v>
      </c>
      <c r="CG35" s="6">
        <v>15.14</v>
      </c>
      <c r="CH35" s="6">
        <v>22.31</v>
      </c>
      <c r="CI35" s="6">
        <v>22.71</v>
      </c>
      <c r="CJ35" t="s">
        <v>137</v>
      </c>
      <c r="CK35" t="s">
        <v>356</v>
      </c>
      <c r="CL35" t="s">
        <v>9240</v>
      </c>
      <c r="CO35" t="s">
        <v>138</v>
      </c>
      <c r="CP35" t="s">
        <v>114</v>
      </c>
      <c r="CQ35" t="s">
        <v>114</v>
      </c>
      <c r="CR35" t="s">
        <v>114</v>
      </c>
      <c r="CS35" t="s">
        <v>114</v>
      </c>
      <c r="CT35" t="s">
        <v>114</v>
      </c>
      <c r="CU35" t="s">
        <v>114</v>
      </c>
      <c r="CV35" t="s">
        <v>9241</v>
      </c>
      <c r="CW35" s="5" t="str">
        <f>"+12253008822"</f>
        <v>+12253008822</v>
      </c>
      <c r="CX35" t="s">
        <v>9242</v>
      </c>
      <c r="CY35" t="s">
        <v>138</v>
      </c>
      <c r="CZ35" t="s">
        <v>139</v>
      </c>
      <c r="DA35" t="s">
        <v>134</v>
      </c>
      <c r="DB35" t="s">
        <v>134</v>
      </c>
      <c r="DC35" t="s">
        <v>114</v>
      </c>
      <c r="DD35" t="s">
        <v>134</v>
      </c>
    </row>
    <row r="36" spans="1:108" ht="15" customHeight="1" x14ac:dyDescent="0.25">
      <c r="A36" t="s">
        <v>14908</v>
      </c>
      <c r="B36" t="s">
        <v>165</v>
      </c>
      <c r="C36" s="1">
        <v>44896.682581134257</v>
      </c>
      <c r="D36" s="1">
        <v>44924</v>
      </c>
      <c r="E36" t="s">
        <v>134</v>
      </c>
      <c r="F36" t="s">
        <v>334</v>
      </c>
      <c r="G36" t="str">
        <f>"37-3011.00"</f>
        <v>37-3011.00</v>
      </c>
      <c r="H36" t="s">
        <v>335</v>
      </c>
      <c r="I36">
        <v>10</v>
      </c>
      <c r="J36">
        <v>10</v>
      </c>
      <c r="K36" s="1">
        <v>44986</v>
      </c>
      <c r="L36" s="1">
        <v>45260</v>
      </c>
      <c r="M36" s="1">
        <v>44986</v>
      </c>
      <c r="N36" s="1">
        <v>45260</v>
      </c>
      <c r="O36" t="s">
        <v>117</v>
      </c>
      <c r="P36" t="s">
        <v>14909</v>
      </c>
      <c r="Q36" t="s">
        <v>14910</v>
      </c>
      <c r="R36" t="s">
        <v>14911</v>
      </c>
      <c r="S36" t="s">
        <v>11735</v>
      </c>
      <c r="T36" t="s">
        <v>1601</v>
      </c>
      <c r="U36" t="s">
        <v>394</v>
      </c>
      <c r="V36" s="4" t="str">
        <f>"29464"</f>
        <v>29464</v>
      </c>
      <c r="W36" t="s">
        <v>120</v>
      </c>
      <c r="Y36" s="5">
        <v>18438140808</v>
      </c>
      <c r="AA36">
        <v>56173</v>
      </c>
      <c r="AB36" t="s">
        <v>14912</v>
      </c>
      <c r="AC36" t="s">
        <v>2174</v>
      </c>
      <c r="AE36" t="s">
        <v>342</v>
      </c>
      <c r="AF36" t="s">
        <v>14911</v>
      </c>
      <c r="AG36" t="s">
        <v>11735</v>
      </c>
      <c r="AH36" t="s">
        <v>1601</v>
      </c>
      <c r="AI36" t="s">
        <v>394</v>
      </c>
      <c r="AJ36" s="4" t="str">
        <f>"29464"</f>
        <v>29464</v>
      </c>
      <c r="AK36" t="s">
        <v>120</v>
      </c>
      <c r="AM36" s="5">
        <v>18438140808</v>
      </c>
      <c r="AO36" t="s">
        <v>14913</v>
      </c>
      <c r="AP36" t="s">
        <v>256</v>
      </c>
      <c r="AQ36" t="s">
        <v>2115</v>
      </c>
      <c r="AR36" t="s">
        <v>2116</v>
      </c>
      <c r="AT36" t="s">
        <v>1930</v>
      </c>
      <c r="AU36" t="s">
        <v>1931</v>
      </c>
      <c r="AV36" t="s">
        <v>1932</v>
      </c>
      <c r="AW36" t="s">
        <v>349</v>
      </c>
      <c r="AX36" s="4" t="str">
        <f>"83814"</f>
        <v>83814</v>
      </c>
      <c r="AY36" t="s">
        <v>120</v>
      </c>
      <c r="BA36" s="5">
        <v>12087772654</v>
      </c>
      <c r="BC36" t="s">
        <v>2117</v>
      </c>
      <c r="BD36" t="s">
        <v>351</v>
      </c>
      <c r="BG36" t="s">
        <v>394</v>
      </c>
      <c r="BH36" s="1">
        <v>44894.791666666664</v>
      </c>
      <c r="BI36">
        <v>40</v>
      </c>
      <c r="BJ36">
        <v>0</v>
      </c>
      <c r="BK36">
        <v>8</v>
      </c>
      <c r="BL36">
        <v>8</v>
      </c>
      <c r="BM36">
        <v>8</v>
      </c>
      <c r="BN36">
        <v>8</v>
      </c>
      <c r="BO36">
        <v>8</v>
      </c>
      <c r="BP36">
        <v>0</v>
      </c>
      <c r="BQ36" t="str">
        <f>"7:00 AM"</f>
        <v>7:00 AM</v>
      </c>
      <c r="BR36" t="str">
        <f>"4:00 PM"</f>
        <v>4:00 PM</v>
      </c>
      <c r="BS36" t="s">
        <v>133</v>
      </c>
      <c r="BT36">
        <v>0</v>
      </c>
      <c r="BU36">
        <v>0</v>
      </c>
      <c r="BV36" t="s">
        <v>134</v>
      </c>
      <c r="BX36" s="2" t="s">
        <v>352</v>
      </c>
      <c r="BY36" t="s">
        <v>14914</v>
      </c>
      <c r="BZ36" t="s">
        <v>3035</v>
      </c>
      <c r="CA36" t="s">
        <v>1601</v>
      </c>
      <c r="CB36" t="s">
        <v>394</v>
      </c>
      <c r="CC36" s="4" t="str">
        <f>"29464"</f>
        <v>29464</v>
      </c>
      <c r="CD36" t="s">
        <v>1243</v>
      </c>
      <c r="CE36" t="s">
        <v>1244</v>
      </c>
      <c r="CF36" s="6">
        <v>16.09</v>
      </c>
      <c r="CG36" s="6">
        <v>20</v>
      </c>
      <c r="CH36" s="6">
        <v>24.14</v>
      </c>
      <c r="CI36" s="6">
        <v>30</v>
      </c>
      <c r="CJ36" t="s">
        <v>137</v>
      </c>
      <c r="CK36" t="s">
        <v>356</v>
      </c>
      <c r="CL36" t="s">
        <v>14915</v>
      </c>
      <c r="CO36" t="s">
        <v>138</v>
      </c>
      <c r="CP36" t="s">
        <v>114</v>
      </c>
      <c r="CQ36" t="s">
        <v>114</v>
      </c>
      <c r="CR36" t="s">
        <v>114</v>
      </c>
      <c r="CS36" t="s">
        <v>114</v>
      </c>
      <c r="CT36" t="s">
        <v>114</v>
      </c>
      <c r="CU36" t="s">
        <v>114</v>
      </c>
      <c r="CV36" t="s">
        <v>7926</v>
      </c>
      <c r="CW36" s="5" t="str">
        <f>"+18438140808"</f>
        <v>+18438140808</v>
      </c>
      <c r="CX36" t="s">
        <v>14913</v>
      </c>
      <c r="CY36" t="s">
        <v>138</v>
      </c>
      <c r="CZ36" t="s">
        <v>139</v>
      </c>
      <c r="DA36" t="s">
        <v>134</v>
      </c>
      <c r="DB36" t="s">
        <v>134</v>
      </c>
      <c r="DC36" t="s">
        <v>114</v>
      </c>
      <c r="DD36" t="s">
        <v>134</v>
      </c>
    </row>
    <row r="37" spans="1:108" ht="15" customHeight="1" x14ac:dyDescent="0.25">
      <c r="A37" t="s">
        <v>14021</v>
      </c>
      <c r="B37" t="s">
        <v>165</v>
      </c>
      <c r="C37" s="1">
        <v>44896.672764699077</v>
      </c>
      <c r="D37" s="1">
        <v>44924</v>
      </c>
      <c r="E37" t="s">
        <v>134</v>
      </c>
      <c r="F37" t="s">
        <v>14022</v>
      </c>
      <c r="G37" t="str">
        <f>"39-3091.00"</f>
        <v>39-3091.00</v>
      </c>
      <c r="H37" t="s">
        <v>362</v>
      </c>
      <c r="I37">
        <v>5</v>
      </c>
      <c r="J37">
        <v>5</v>
      </c>
      <c r="K37" s="1">
        <v>44986</v>
      </c>
      <c r="L37" s="1">
        <v>45263</v>
      </c>
      <c r="M37" s="1">
        <v>44986</v>
      </c>
      <c r="N37" s="1">
        <v>45263</v>
      </c>
      <c r="O37" t="s">
        <v>117</v>
      </c>
      <c r="P37" t="s">
        <v>4382</v>
      </c>
      <c r="Q37" t="s">
        <v>4833</v>
      </c>
      <c r="R37" t="s">
        <v>4383</v>
      </c>
      <c r="T37" t="s">
        <v>1339</v>
      </c>
      <c r="U37" t="s">
        <v>154</v>
      </c>
      <c r="V37" s="4" t="str">
        <f>"32839"</f>
        <v>32839</v>
      </c>
      <c r="W37" t="s">
        <v>120</v>
      </c>
      <c r="Y37" s="5">
        <v>14079539626</v>
      </c>
      <c r="AA37">
        <v>72111</v>
      </c>
      <c r="AB37" t="s">
        <v>4384</v>
      </c>
      <c r="AC37" t="s">
        <v>2449</v>
      </c>
      <c r="AE37" t="s">
        <v>903</v>
      </c>
      <c r="AF37" t="s">
        <v>4383</v>
      </c>
      <c r="AH37" t="s">
        <v>1339</v>
      </c>
      <c r="AI37" t="s">
        <v>154</v>
      </c>
      <c r="AJ37" s="4" t="str">
        <f>"32839"</f>
        <v>32839</v>
      </c>
      <c r="AK37" t="s">
        <v>120</v>
      </c>
      <c r="AM37" s="5">
        <v>14079539626</v>
      </c>
      <c r="AO37" t="s">
        <v>4386</v>
      </c>
      <c r="AP37" t="s">
        <v>256</v>
      </c>
      <c r="AQ37" t="s">
        <v>400</v>
      </c>
      <c r="AR37" t="s">
        <v>401</v>
      </c>
      <c r="AS37" t="s">
        <v>397</v>
      </c>
      <c r="AT37" t="s">
        <v>402</v>
      </c>
      <c r="AU37" t="s">
        <v>152</v>
      </c>
      <c r="AV37" t="s">
        <v>403</v>
      </c>
      <c r="AW37" t="s">
        <v>232</v>
      </c>
      <c r="AX37" s="4" t="str">
        <f>"75033"</f>
        <v>75033</v>
      </c>
      <c r="AY37" t="s">
        <v>120</v>
      </c>
      <c r="BA37" s="5">
        <v>19727789690</v>
      </c>
      <c r="BC37" t="s">
        <v>905</v>
      </c>
      <c r="BD37" t="s">
        <v>405</v>
      </c>
      <c r="BG37" t="s">
        <v>394</v>
      </c>
      <c r="BH37" s="1">
        <v>44895.791666666664</v>
      </c>
      <c r="BI37">
        <v>40</v>
      </c>
      <c r="BJ37">
        <v>8</v>
      </c>
      <c r="BK37">
        <v>0</v>
      </c>
      <c r="BL37">
        <v>0</v>
      </c>
      <c r="BM37">
        <v>8</v>
      </c>
      <c r="BN37">
        <v>8</v>
      </c>
      <c r="BO37">
        <v>8</v>
      </c>
      <c r="BP37">
        <v>8</v>
      </c>
      <c r="BQ37" t="str">
        <f>"11:00 AM"</f>
        <v>11:00 AM</v>
      </c>
      <c r="BR37" t="str">
        <f>"7:00 PM"</f>
        <v>7:00 PM</v>
      </c>
      <c r="BS37" t="s">
        <v>133</v>
      </c>
      <c r="BT37">
        <v>0</v>
      </c>
      <c r="BU37">
        <v>0</v>
      </c>
      <c r="BV37" t="s">
        <v>134</v>
      </c>
      <c r="BX37" s="2" t="s">
        <v>14023</v>
      </c>
      <c r="BY37" t="s">
        <v>4835</v>
      </c>
      <c r="CA37" t="s">
        <v>2577</v>
      </c>
      <c r="CB37" t="s">
        <v>394</v>
      </c>
      <c r="CC37" s="4" t="str">
        <f>"29577"</f>
        <v>29577</v>
      </c>
      <c r="CD37" t="s">
        <v>2580</v>
      </c>
      <c r="CE37" t="s">
        <v>2141</v>
      </c>
      <c r="CF37" s="6">
        <v>12</v>
      </c>
      <c r="CH37" s="6">
        <v>18</v>
      </c>
      <c r="CJ37" t="s">
        <v>137</v>
      </c>
      <c r="CK37" t="s">
        <v>2095</v>
      </c>
      <c r="CL37" t="s">
        <v>14024</v>
      </c>
      <c r="CO37" t="s">
        <v>138</v>
      </c>
      <c r="CP37" t="s">
        <v>114</v>
      </c>
      <c r="CQ37" t="s">
        <v>114</v>
      </c>
      <c r="CR37" t="s">
        <v>114</v>
      </c>
      <c r="CS37" t="s">
        <v>114</v>
      </c>
      <c r="CT37" t="s">
        <v>114</v>
      </c>
      <c r="CU37" t="s">
        <v>114</v>
      </c>
      <c r="CV37" t="s">
        <v>14025</v>
      </c>
      <c r="CW37" s="5" t="str">
        <f>"+14076138454"</f>
        <v>+14076138454</v>
      </c>
      <c r="CX37" t="s">
        <v>138</v>
      </c>
      <c r="CY37" t="s">
        <v>4836</v>
      </c>
      <c r="CZ37" t="s">
        <v>139</v>
      </c>
      <c r="DA37" t="s">
        <v>134</v>
      </c>
      <c r="DB37" t="s">
        <v>114</v>
      </c>
      <c r="DC37" t="s">
        <v>114</v>
      </c>
      <c r="DD37" t="s">
        <v>134</v>
      </c>
    </row>
    <row r="38" spans="1:108" ht="15" customHeight="1" x14ac:dyDescent="0.25">
      <c r="A38" t="s">
        <v>12512</v>
      </c>
      <c r="B38" t="s">
        <v>165</v>
      </c>
      <c r="C38" s="1">
        <v>44896.666058333336</v>
      </c>
      <c r="D38" s="1">
        <v>44924</v>
      </c>
      <c r="E38" t="s">
        <v>134</v>
      </c>
      <c r="F38" t="s">
        <v>1357</v>
      </c>
      <c r="G38" t="str">
        <f>"39-3091.00"</f>
        <v>39-3091.00</v>
      </c>
      <c r="H38" t="s">
        <v>362</v>
      </c>
      <c r="I38">
        <v>24</v>
      </c>
      <c r="J38">
        <v>24</v>
      </c>
      <c r="K38" s="1">
        <v>44983</v>
      </c>
      <c r="L38" s="1">
        <v>45242</v>
      </c>
      <c r="M38" s="1">
        <v>44983</v>
      </c>
      <c r="N38" s="1">
        <v>45242</v>
      </c>
      <c r="O38" t="s">
        <v>199</v>
      </c>
      <c r="P38" t="s">
        <v>12513</v>
      </c>
      <c r="R38" t="s">
        <v>12514</v>
      </c>
      <c r="T38" t="s">
        <v>1642</v>
      </c>
      <c r="U38" t="s">
        <v>1349</v>
      </c>
      <c r="V38" s="4" t="str">
        <f>"71730"</f>
        <v>71730</v>
      </c>
      <c r="W38" t="s">
        <v>120</v>
      </c>
      <c r="Y38" s="5">
        <v>18703105884</v>
      </c>
      <c r="AA38">
        <v>71119</v>
      </c>
      <c r="AB38" t="s">
        <v>942</v>
      </c>
      <c r="AC38" t="s">
        <v>1796</v>
      </c>
      <c r="AE38" t="s">
        <v>424</v>
      </c>
      <c r="AF38" t="s">
        <v>12514</v>
      </c>
      <c r="AH38" t="s">
        <v>1642</v>
      </c>
      <c r="AI38" t="s">
        <v>1349</v>
      </c>
      <c r="AJ38" s="4" t="str">
        <f>"71730"</f>
        <v>71730</v>
      </c>
      <c r="AK38" t="s">
        <v>120</v>
      </c>
      <c r="AM38" s="5">
        <v>18703105884</v>
      </c>
      <c r="AO38" t="s">
        <v>12515</v>
      </c>
      <c r="AP38" t="s">
        <v>256</v>
      </c>
      <c r="AQ38" t="s">
        <v>535</v>
      </c>
      <c r="AR38" t="s">
        <v>536</v>
      </c>
      <c r="AS38" t="s">
        <v>537</v>
      </c>
      <c r="AT38" t="s">
        <v>538</v>
      </c>
      <c r="AU38" t="s">
        <v>539</v>
      </c>
      <c r="AV38" t="s">
        <v>540</v>
      </c>
      <c r="AW38" t="s">
        <v>232</v>
      </c>
      <c r="AX38" s="4" t="str">
        <f>"78550"</f>
        <v>78550</v>
      </c>
      <c r="AY38" t="s">
        <v>120</v>
      </c>
      <c r="BA38" s="5">
        <v>19564408720</v>
      </c>
      <c r="BB38">
        <v>0</v>
      </c>
      <c r="BC38" t="s">
        <v>563</v>
      </c>
      <c r="BD38" t="s">
        <v>543</v>
      </c>
      <c r="BG38" t="s">
        <v>1349</v>
      </c>
      <c r="BH38" s="1">
        <v>44895.791666666664</v>
      </c>
      <c r="BI38">
        <v>40</v>
      </c>
      <c r="BJ38">
        <v>8</v>
      </c>
      <c r="BK38">
        <v>0</v>
      </c>
      <c r="BL38">
        <v>0</v>
      </c>
      <c r="BM38">
        <v>8</v>
      </c>
      <c r="BN38">
        <v>8</v>
      </c>
      <c r="BO38">
        <v>8</v>
      </c>
      <c r="BP38">
        <v>8</v>
      </c>
      <c r="BQ38" t="str">
        <f>"1:00 PM"</f>
        <v>1:00 PM</v>
      </c>
      <c r="BR38" t="str">
        <f>"10:00 PM"</f>
        <v>10:00 PM</v>
      </c>
      <c r="BS38" t="s">
        <v>133</v>
      </c>
      <c r="BT38">
        <v>0</v>
      </c>
      <c r="BU38">
        <v>0</v>
      </c>
      <c r="BV38" t="s">
        <v>134</v>
      </c>
      <c r="BX38" s="2" t="s">
        <v>579</v>
      </c>
      <c r="BY38" t="s">
        <v>12514</v>
      </c>
      <c r="CA38" t="s">
        <v>1642</v>
      </c>
      <c r="CB38" t="s">
        <v>1349</v>
      </c>
      <c r="CC38" s="4" t="str">
        <f>"71730"</f>
        <v>71730</v>
      </c>
      <c r="CD38" t="s">
        <v>1643</v>
      </c>
      <c r="CE38" t="s">
        <v>1644</v>
      </c>
      <c r="CF38" s="6">
        <v>10.07</v>
      </c>
      <c r="CG38" s="6">
        <v>12.28</v>
      </c>
      <c r="CJ38" t="s">
        <v>137</v>
      </c>
      <c r="CK38" t="s">
        <v>549</v>
      </c>
      <c r="CL38" t="s">
        <v>12516</v>
      </c>
      <c r="CO38" t="s">
        <v>138</v>
      </c>
      <c r="CP38" t="s">
        <v>114</v>
      </c>
      <c r="CQ38" t="s">
        <v>114</v>
      </c>
      <c r="CR38" t="s">
        <v>134</v>
      </c>
      <c r="CS38" t="s">
        <v>114</v>
      </c>
      <c r="CT38" t="s">
        <v>114</v>
      </c>
      <c r="CU38" t="s">
        <v>114</v>
      </c>
      <c r="CV38" t="s">
        <v>1360</v>
      </c>
      <c r="CW38" s="5" t="str">
        <f>"+18703105884"</f>
        <v>+18703105884</v>
      </c>
      <c r="CX38" t="s">
        <v>12515</v>
      </c>
      <c r="CY38" t="s">
        <v>138</v>
      </c>
      <c r="CZ38" t="s">
        <v>139</v>
      </c>
      <c r="DA38" t="s">
        <v>134</v>
      </c>
      <c r="DB38" t="s">
        <v>114</v>
      </c>
      <c r="DC38" t="s">
        <v>114</v>
      </c>
      <c r="DD38" t="s">
        <v>134</v>
      </c>
    </row>
    <row r="39" spans="1:108" ht="15" customHeight="1" x14ac:dyDescent="0.25">
      <c r="A39" t="s">
        <v>16726</v>
      </c>
      <c r="B39" t="s">
        <v>165</v>
      </c>
      <c r="C39" s="1">
        <v>44896.664768634262</v>
      </c>
      <c r="D39" s="1">
        <v>44924</v>
      </c>
      <c r="E39" t="s">
        <v>134</v>
      </c>
      <c r="F39" t="s">
        <v>334</v>
      </c>
      <c r="G39" t="str">
        <f>"37-3011.00"</f>
        <v>37-3011.00</v>
      </c>
      <c r="H39" t="s">
        <v>335</v>
      </c>
      <c r="I39">
        <v>12</v>
      </c>
      <c r="J39">
        <v>12</v>
      </c>
      <c r="K39" s="1">
        <v>44986</v>
      </c>
      <c r="L39" s="1">
        <v>45275</v>
      </c>
      <c r="M39" s="1">
        <v>44986</v>
      </c>
      <c r="N39" s="1">
        <v>45275</v>
      </c>
      <c r="O39" t="s">
        <v>117</v>
      </c>
      <c r="P39" t="s">
        <v>11736</v>
      </c>
      <c r="Q39" t="s">
        <v>11737</v>
      </c>
      <c r="R39" t="s">
        <v>11738</v>
      </c>
      <c r="S39" t="s">
        <v>11739</v>
      </c>
      <c r="T39" t="s">
        <v>1665</v>
      </c>
      <c r="U39" t="s">
        <v>657</v>
      </c>
      <c r="V39" s="4" t="str">
        <f>"37211"</f>
        <v>37211</v>
      </c>
      <c r="W39" t="s">
        <v>120</v>
      </c>
      <c r="Y39" s="5">
        <v>16154984070</v>
      </c>
      <c r="AA39">
        <v>56173</v>
      </c>
      <c r="AB39" t="s">
        <v>4463</v>
      </c>
      <c r="AC39" t="s">
        <v>5969</v>
      </c>
      <c r="AE39" t="s">
        <v>424</v>
      </c>
      <c r="AF39" t="s">
        <v>11738</v>
      </c>
      <c r="AG39" t="s">
        <v>11739</v>
      </c>
      <c r="AH39" t="s">
        <v>1665</v>
      </c>
      <c r="AI39" t="s">
        <v>657</v>
      </c>
      <c r="AJ39" s="4" t="str">
        <f>"37211"</f>
        <v>37211</v>
      </c>
      <c r="AK39" t="s">
        <v>120</v>
      </c>
      <c r="AM39" s="5">
        <v>16154984070</v>
      </c>
      <c r="AO39" t="s">
        <v>1574</v>
      </c>
      <c r="AP39" t="s">
        <v>256</v>
      </c>
      <c r="AQ39" t="s">
        <v>1941</v>
      </c>
      <c r="AR39" t="s">
        <v>1942</v>
      </c>
      <c r="AT39" t="s">
        <v>1943</v>
      </c>
      <c r="AU39" t="s">
        <v>1944</v>
      </c>
      <c r="AV39" t="s">
        <v>1945</v>
      </c>
      <c r="AW39" t="s">
        <v>631</v>
      </c>
      <c r="AX39" s="4" t="str">
        <f>"74136"</f>
        <v>74136</v>
      </c>
      <c r="AY39" t="s">
        <v>120</v>
      </c>
      <c r="BA39" s="5">
        <v>19189065212</v>
      </c>
      <c r="BC39" t="s">
        <v>1946</v>
      </c>
      <c r="BD39" t="s">
        <v>1947</v>
      </c>
      <c r="BG39" t="s">
        <v>657</v>
      </c>
      <c r="BH39" s="1">
        <v>44830.833333333336</v>
      </c>
      <c r="BI39">
        <v>40</v>
      </c>
      <c r="BJ39">
        <v>3.5</v>
      </c>
      <c r="BK39">
        <v>6.5</v>
      </c>
      <c r="BL39">
        <v>6.5</v>
      </c>
      <c r="BM39">
        <v>6.5</v>
      </c>
      <c r="BN39">
        <v>6.5</v>
      </c>
      <c r="BO39">
        <v>6.5</v>
      </c>
      <c r="BP39">
        <v>4</v>
      </c>
      <c r="BQ39" t="str">
        <f>"6:30 AM"</f>
        <v>6:30 AM</v>
      </c>
      <c r="BR39" t="str">
        <f>"3:30 PM"</f>
        <v>3:30 PM</v>
      </c>
      <c r="BS39" t="s">
        <v>133</v>
      </c>
      <c r="BT39">
        <v>0</v>
      </c>
      <c r="BU39">
        <v>0</v>
      </c>
      <c r="BV39" t="s">
        <v>134</v>
      </c>
      <c r="BX39" s="2" t="s">
        <v>16727</v>
      </c>
      <c r="BY39" t="s">
        <v>11738</v>
      </c>
      <c r="CA39" t="s">
        <v>1665</v>
      </c>
      <c r="CB39" t="s">
        <v>657</v>
      </c>
      <c r="CC39" s="4" t="str">
        <f>"37211"</f>
        <v>37211</v>
      </c>
      <c r="CD39" t="s">
        <v>1666</v>
      </c>
      <c r="CE39" t="s">
        <v>1667</v>
      </c>
      <c r="CF39" s="6">
        <v>16.04</v>
      </c>
      <c r="CG39" s="6">
        <v>16.04</v>
      </c>
      <c r="CH39" s="6">
        <v>24.06</v>
      </c>
      <c r="CI39" s="6">
        <v>24.06</v>
      </c>
      <c r="CJ39" t="s">
        <v>137</v>
      </c>
      <c r="CK39" t="s">
        <v>1948</v>
      </c>
      <c r="CL39" t="s">
        <v>11740</v>
      </c>
      <c r="CO39" t="s">
        <v>138</v>
      </c>
      <c r="CP39" t="s">
        <v>114</v>
      </c>
      <c r="CQ39" t="s">
        <v>114</v>
      </c>
      <c r="CR39" t="s">
        <v>114</v>
      </c>
      <c r="CS39" t="s">
        <v>114</v>
      </c>
      <c r="CT39" t="s">
        <v>114</v>
      </c>
      <c r="CU39" t="s">
        <v>114</v>
      </c>
      <c r="CV39" s="2" t="s">
        <v>16728</v>
      </c>
      <c r="CW39" s="5" t="str">
        <f>"+16154984070"</f>
        <v>+16154984070</v>
      </c>
      <c r="CX39" t="s">
        <v>138</v>
      </c>
      <c r="CY39" t="s">
        <v>4200</v>
      </c>
      <c r="CZ39" t="s">
        <v>139</v>
      </c>
      <c r="DA39" t="s">
        <v>134</v>
      </c>
      <c r="DB39" t="s">
        <v>114</v>
      </c>
      <c r="DC39" t="s">
        <v>114</v>
      </c>
      <c r="DD39" t="s">
        <v>134</v>
      </c>
    </row>
    <row r="40" spans="1:108" ht="15" customHeight="1" x14ac:dyDescent="0.25">
      <c r="A40" t="s">
        <v>5947</v>
      </c>
      <c r="B40" t="s">
        <v>165</v>
      </c>
      <c r="C40" s="1">
        <v>44896.645963657407</v>
      </c>
      <c r="D40" s="1">
        <v>44924</v>
      </c>
      <c r="E40" t="s">
        <v>134</v>
      </c>
      <c r="F40" t="s">
        <v>1106</v>
      </c>
      <c r="G40" t="str">
        <f>"45-4011.00"</f>
        <v>45-4011.00</v>
      </c>
      <c r="H40" t="s">
        <v>1107</v>
      </c>
      <c r="I40">
        <v>75</v>
      </c>
      <c r="J40">
        <v>75</v>
      </c>
      <c r="K40" s="1">
        <v>44986</v>
      </c>
      <c r="L40" s="1">
        <v>45260</v>
      </c>
      <c r="M40" s="1">
        <v>44986</v>
      </c>
      <c r="N40" s="1">
        <v>45260</v>
      </c>
      <c r="O40" t="s">
        <v>117</v>
      </c>
      <c r="P40" t="s">
        <v>5948</v>
      </c>
      <c r="R40" t="s">
        <v>5949</v>
      </c>
      <c r="T40" t="s">
        <v>1110</v>
      </c>
      <c r="U40" t="s">
        <v>511</v>
      </c>
      <c r="V40" s="4" t="str">
        <f>"97501"</f>
        <v>97501</v>
      </c>
      <c r="W40" t="s">
        <v>120</v>
      </c>
      <c r="Y40" s="5">
        <v>15415358920</v>
      </c>
      <c r="AA40">
        <v>11531</v>
      </c>
      <c r="AB40" t="s">
        <v>5489</v>
      </c>
      <c r="AC40" t="s">
        <v>1854</v>
      </c>
      <c r="AE40" t="s">
        <v>5950</v>
      </c>
      <c r="AF40" t="s">
        <v>5949</v>
      </c>
      <c r="AH40" t="s">
        <v>1110</v>
      </c>
      <c r="AI40" t="s">
        <v>511</v>
      </c>
      <c r="AJ40" s="4" t="str">
        <f>"97501"</f>
        <v>97501</v>
      </c>
      <c r="AK40" t="s">
        <v>120</v>
      </c>
      <c r="AM40" s="5">
        <v>15415358920</v>
      </c>
      <c r="AO40" t="s">
        <v>5951</v>
      </c>
      <c r="AP40" t="s">
        <v>256</v>
      </c>
      <c r="AQ40" t="s">
        <v>1928</v>
      </c>
      <c r="AR40" t="s">
        <v>1929</v>
      </c>
      <c r="AS40" t="s">
        <v>1685</v>
      </c>
      <c r="AT40" t="s">
        <v>1930</v>
      </c>
      <c r="AU40" t="s">
        <v>1931</v>
      </c>
      <c r="AV40" t="s">
        <v>1932</v>
      </c>
      <c r="AW40" t="s">
        <v>349</v>
      </c>
      <c r="AX40" s="4" t="str">
        <f>"83814"</f>
        <v>83814</v>
      </c>
      <c r="AY40" t="s">
        <v>120</v>
      </c>
      <c r="BA40" s="5">
        <v>12087772654</v>
      </c>
      <c r="BC40" t="s">
        <v>1933</v>
      </c>
      <c r="BD40" t="s">
        <v>351</v>
      </c>
      <c r="BG40" t="s">
        <v>511</v>
      </c>
      <c r="BH40" s="1">
        <v>44895.791666666664</v>
      </c>
      <c r="BI40">
        <v>40</v>
      </c>
      <c r="BJ40">
        <v>0</v>
      </c>
      <c r="BK40">
        <v>8</v>
      </c>
      <c r="BL40">
        <v>8</v>
      </c>
      <c r="BM40">
        <v>8</v>
      </c>
      <c r="BN40">
        <v>8</v>
      </c>
      <c r="BO40">
        <v>8</v>
      </c>
      <c r="BP40">
        <v>0</v>
      </c>
      <c r="BQ40" t="str">
        <f>"6:00 AM"</f>
        <v>6:00 AM</v>
      </c>
      <c r="BR40" t="str">
        <f>"2:30 PM"</f>
        <v>2:30 PM</v>
      </c>
      <c r="BS40" t="s">
        <v>133</v>
      </c>
      <c r="BT40">
        <v>0</v>
      </c>
      <c r="BU40">
        <v>3</v>
      </c>
      <c r="BV40" t="s">
        <v>134</v>
      </c>
      <c r="BX40" s="2" t="s">
        <v>5952</v>
      </c>
      <c r="BY40" t="s">
        <v>5953</v>
      </c>
      <c r="CA40" t="s">
        <v>587</v>
      </c>
      <c r="CB40" t="s">
        <v>511</v>
      </c>
      <c r="CC40" s="4" t="str">
        <f>"97535"</f>
        <v>97535</v>
      </c>
      <c r="CD40" t="s">
        <v>1116</v>
      </c>
      <c r="CE40" t="s">
        <v>1117</v>
      </c>
      <c r="CF40" s="6">
        <v>11.15</v>
      </c>
      <c r="CG40" s="6">
        <v>40</v>
      </c>
      <c r="CH40" s="6">
        <v>16.73</v>
      </c>
      <c r="CI40" s="6">
        <v>60</v>
      </c>
      <c r="CJ40" t="s">
        <v>137</v>
      </c>
      <c r="CK40" t="s">
        <v>2125</v>
      </c>
      <c r="CL40" t="s">
        <v>5954</v>
      </c>
      <c r="CO40" t="s">
        <v>138</v>
      </c>
      <c r="CP40" t="s">
        <v>114</v>
      </c>
      <c r="CQ40" t="s">
        <v>114</v>
      </c>
      <c r="CR40" t="s">
        <v>114</v>
      </c>
      <c r="CS40" t="s">
        <v>134</v>
      </c>
      <c r="CT40" t="s">
        <v>114</v>
      </c>
      <c r="CU40" t="s">
        <v>114</v>
      </c>
      <c r="CV40" t="s">
        <v>358</v>
      </c>
      <c r="CW40" s="5" t="str">
        <f>"+15415358920"</f>
        <v>+15415358920</v>
      </c>
      <c r="CX40" t="s">
        <v>5955</v>
      </c>
      <c r="CY40" t="s">
        <v>138</v>
      </c>
      <c r="CZ40" t="s">
        <v>139</v>
      </c>
      <c r="DA40" t="s">
        <v>134</v>
      </c>
      <c r="DB40" t="s">
        <v>114</v>
      </c>
      <c r="DC40" t="s">
        <v>114</v>
      </c>
      <c r="DD40" t="s">
        <v>134</v>
      </c>
    </row>
    <row r="41" spans="1:108" ht="15" customHeight="1" x14ac:dyDescent="0.25">
      <c r="A41" t="s">
        <v>8108</v>
      </c>
      <c r="B41" t="s">
        <v>165</v>
      </c>
      <c r="C41" s="1">
        <v>44896.645661458337</v>
      </c>
      <c r="D41" s="1">
        <v>44924</v>
      </c>
      <c r="E41" t="s">
        <v>134</v>
      </c>
      <c r="F41" t="s">
        <v>1106</v>
      </c>
      <c r="G41" t="str">
        <f>"45-4011.00"</f>
        <v>45-4011.00</v>
      </c>
      <c r="H41" t="s">
        <v>1107</v>
      </c>
      <c r="I41">
        <v>75</v>
      </c>
      <c r="J41">
        <v>75</v>
      </c>
      <c r="K41" s="1">
        <v>44986</v>
      </c>
      <c r="L41" s="1">
        <v>45252</v>
      </c>
      <c r="M41" s="1">
        <v>44986</v>
      </c>
      <c r="N41" s="1">
        <v>45252</v>
      </c>
      <c r="O41" t="s">
        <v>199</v>
      </c>
      <c r="P41" t="s">
        <v>8109</v>
      </c>
      <c r="R41" t="s">
        <v>8110</v>
      </c>
      <c r="T41" t="s">
        <v>1110</v>
      </c>
      <c r="U41" t="s">
        <v>511</v>
      </c>
      <c r="V41" s="4" t="str">
        <f>"97501"</f>
        <v>97501</v>
      </c>
      <c r="W41" t="s">
        <v>120</v>
      </c>
      <c r="Y41" s="5">
        <v>15415352626</v>
      </c>
      <c r="AA41">
        <v>11531</v>
      </c>
      <c r="AB41" t="s">
        <v>6909</v>
      </c>
      <c r="AC41" t="s">
        <v>8111</v>
      </c>
      <c r="AD41" t="s">
        <v>138</v>
      </c>
      <c r="AE41" t="s">
        <v>4498</v>
      </c>
      <c r="AF41" t="s">
        <v>8110</v>
      </c>
      <c r="AH41" t="s">
        <v>1110</v>
      </c>
      <c r="AI41" t="s">
        <v>511</v>
      </c>
      <c r="AJ41" s="4" t="str">
        <f>"97501"</f>
        <v>97501</v>
      </c>
      <c r="AK41" t="s">
        <v>120</v>
      </c>
      <c r="AM41" s="5">
        <v>15415352626</v>
      </c>
      <c r="AO41" t="s">
        <v>8112</v>
      </c>
      <c r="AP41" t="s">
        <v>256</v>
      </c>
      <c r="AQ41" t="s">
        <v>1928</v>
      </c>
      <c r="AR41" t="s">
        <v>1929</v>
      </c>
      <c r="AS41" t="s">
        <v>1685</v>
      </c>
      <c r="AT41" t="s">
        <v>1930</v>
      </c>
      <c r="AU41" t="s">
        <v>1931</v>
      </c>
      <c r="AV41" t="s">
        <v>1932</v>
      </c>
      <c r="AW41" t="s">
        <v>349</v>
      </c>
      <c r="AX41" s="4" t="str">
        <f>"83814"</f>
        <v>83814</v>
      </c>
      <c r="AY41" t="s">
        <v>120</v>
      </c>
      <c r="BA41" s="5">
        <v>12087772654</v>
      </c>
      <c r="BC41" t="s">
        <v>1933</v>
      </c>
      <c r="BD41" t="s">
        <v>351</v>
      </c>
      <c r="BG41" t="s">
        <v>511</v>
      </c>
      <c r="BH41" s="1">
        <v>44895.791666666664</v>
      </c>
      <c r="BI41">
        <v>40</v>
      </c>
      <c r="BJ41">
        <v>0</v>
      </c>
      <c r="BK41">
        <v>8</v>
      </c>
      <c r="BL41">
        <v>8</v>
      </c>
      <c r="BM41">
        <v>8</v>
      </c>
      <c r="BN41">
        <v>8</v>
      </c>
      <c r="BO41">
        <v>8</v>
      </c>
      <c r="BP41">
        <v>0</v>
      </c>
      <c r="BQ41" t="str">
        <f>"6:30 AM"</f>
        <v>6:30 AM</v>
      </c>
      <c r="BR41" t="str">
        <f>"3:00 PM"</f>
        <v>3:00 PM</v>
      </c>
      <c r="BS41" t="s">
        <v>133</v>
      </c>
      <c r="BT41">
        <v>0</v>
      </c>
      <c r="BU41">
        <v>3</v>
      </c>
      <c r="BV41" t="s">
        <v>134</v>
      </c>
      <c r="BX41" s="2" t="s">
        <v>6179</v>
      </c>
      <c r="BY41" t="s">
        <v>8113</v>
      </c>
      <c r="CA41" t="s">
        <v>1110</v>
      </c>
      <c r="CB41" t="s">
        <v>511</v>
      </c>
      <c r="CC41" s="4" t="str">
        <f>"97501"</f>
        <v>97501</v>
      </c>
      <c r="CD41" t="s">
        <v>1116</v>
      </c>
      <c r="CE41" t="s">
        <v>1117</v>
      </c>
      <c r="CF41" s="6">
        <v>11.15</v>
      </c>
      <c r="CG41" s="6">
        <v>40</v>
      </c>
      <c r="CH41" s="6">
        <v>16.73</v>
      </c>
      <c r="CI41" s="6">
        <v>60</v>
      </c>
      <c r="CJ41" t="s">
        <v>137</v>
      </c>
      <c r="CK41" t="s">
        <v>2125</v>
      </c>
      <c r="CL41" t="s">
        <v>8114</v>
      </c>
      <c r="CM41" t="s">
        <v>8115</v>
      </c>
      <c r="CO41" t="s">
        <v>138</v>
      </c>
      <c r="CP41" t="s">
        <v>114</v>
      </c>
      <c r="CQ41" t="s">
        <v>114</v>
      </c>
      <c r="CR41" t="s">
        <v>114</v>
      </c>
      <c r="CS41" t="s">
        <v>134</v>
      </c>
      <c r="CT41" t="s">
        <v>114</v>
      </c>
      <c r="CU41" t="s">
        <v>114</v>
      </c>
      <c r="CV41" t="s">
        <v>358</v>
      </c>
      <c r="CW41" s="5" t="str">
        <f>"+15415352626"</f>
        <v>+15415352626</v>
      </c>
      <c r="CX41" t="s">
        <v>8112</v>
      </c>
      <c r="CY41" t="s">
        <v>138</v>
      </c>
      <c r="CZ41" t="s">
        <v>139</v>
      </c>
      <c r="DA41" t="s">
        <v>134</v>
      </c>
      <c r="DB41" t="s">
        <v>114</v>
      </c>
      <c r="DC41" t="s">
        <v>114</v>
      </c>
      <c r="DD41" t="s">
        <v>134</v>
      </c>
    </row>
    <row r="42" spans="1:108" ht="15" customHeight="1" x14ac:dyDescent="0.25">
      <c r="A42" t="s">
        <v>4257</v>
      </c>
      <c r="B42" t="s">
        <v>165</v>
      </c>
      <c r="C42" s="1">
        <v>44896.539263194441</v>
      </c>
      <c r="D42" s="1">
        <v>44924</v>
      </c>
      <c r="E42" t="s">
        <v>134</v>
      </c>
      <c r="F42" t="s">
        <v>4258</v>
      </c>
      <c r="G42" t="str">
        <f>"53-3033.00"</f>
        <v>53-3033.00</v>
      </c>
      <c r="H42" t="s">
        <v>4259</v>
      </c>
      <c r="I42">
        <v>25</v>
      </c>
      <c r="J42">
        <v>25</v>
      </c>
      <c r="K42" s="1">
        <v>44986</v>
      </c>
      <c r="L42" s="1">
        <v>45260</v>
      </c>
      <c r="M42" s="1">
        <v>44986</v>
      </c>
      <c r="N42" s="1">
        <v>45260</v>
      </c>
      <c r="O42" t="s">
        <v>117</v>
      </c>
      <c r="P42" t="s">
        <v>4260</v>
      </c>
      <c r="Q42" t="s">
        <v>4261</v>
      </c>
      <c r="R42" t="s">
        <v>4262</v>
      </c>
      <c r="S42" t="s">
        <v>138</v>
      </c>
      <c r="T42" t="s">
        <v>2767</v>
      </c>
      <c r="U42" t="s">
        <v>281</v>
      </c>
      <c r="V42" s="4" t="str">
        <f>"02472"</f>
        <v>02472</v>
      </c>
      <c r="W42" t="s">
        <v>120</v>
      </c>
      <c r="X42" t="s">
        <v>138</v>
      </c>
      <c r="Y42" s="5">
        <v>16172311248</v>
      </c>
      <c r="AA42">
        <v>484210</v>
      </c>
      <c r="AB42" t="s">
        <v>4263</v>
      </c>
      <c r="AC42" t="s">
        <v>1149</v>
      </c>
      <c r="AD42" t="s">
        <v>138</v>
      </c>
      <c r="AE42" t="s">
        <v>4264</v>
      </c>
      <c r="AF42" t="s">
        <v>4262</v>
      </c>
      <c r="AG42" t="s">
        <v>138</v>
      </c>
      <c r="AH42" t="s">
        <v>2767</v>
      </c>
      <c r="AI42" t="s">
        <v>281</v>
      </c>
      <c r="AJ42" s="4" t="str">
        <f>"02472"</f>
        <v>02472</v>
      </c>
      <c r="AK42" t="s">
        <v>120</v>
      </c>
      <c r="AM42" s="5">
        <v>16172311248</v>
      </c>
      <c r="AO42" t="s">
        <v>4265</v>
      </c>
      <c r="AP42" t="s">
        <v>256</v>
      </c>
      <c r="AQ42" t="s">
        <v>2351</v>
      </c>
      <c r="AR42" t="s">
        <v>1353</v>
      </c>
      <c r="AS42" t="s">
        <v>259</v>
      </c>
      <c r="AT42" t="s">
        <v>2352</v>
      </c>
      <c r="AU42" t="s">
        <v>138</v>
      </c>
      <c r="AV42" t="s">
        <v>1285</v>
      </c>
      <c r="AW42" t="s">
        <v>232</v>
      </c>
      <c r="AX42" s="4" t="str">
        <f>"77414"</f>
        <v>77414</v>
      </c>
      <c r="AY42" t="s">
        <v>120</v>
      </c>
      <c r="BA42" s="5">
        <v>19793187283</v>
      </c>
      <c r="BC42" t="s">
        <v>2353</v>
      </c>
      <c r="BD42" t="s">
        <v>1287</v>
      </c>
      <c r="BG42" t="s">
        <v>281</v>
      </c>
      <c r="BH42" s="1">
        <v>44895.791666666664</v>
      </c>
      <c r="BI42">
        <v>56</v>
      </c>
      <c r="BJ42">
        <v>8</v>
      </c>
      <c r="BK42">
        <v>8</v>
      </c>
      <c r="BL42">
        <v>8</v>
      </c>
      <c r="BM42">
        <v>8</v>
      </c>
      <c r="BN42">
        <v>8</v>
      </c>
      <c r="BO42">
        <v>8</v>
      </c>
      <c r="BP42">
        <v>8</v>
      </c>
      <c r="BQ42" t="str">
        <f>"7:00 AM"</f>
        <v>7:00 AM</v>
      </c>
      <c r="BR42" t="str">
        <f>"3:00 PM"</f>
        <v>3:00 PM</v>
      </c>
      <c r="BS42" t="s">
        <v>133</v>
      </c>
      <c r="BT42">
        <v>0</v>
      </c>
      <c r="BU42">
        <v>0</v>
      </c>
      <c r="BV42" t="s">
        <v>134</v>
      </c>
      <c r="BX42" s="2" t="s">
        <v>4266</v>
      </c>
      <c r="BY42" t="s">
        <v>4262</v>
      </c>
      <c r="BZ42" t="s">
        <v>138</v>
      </c>
      <c r="CA42" t="s">
        <v>2767</v>
      </c>
      <c r="CB42" t="s">
        <v>281</v>
      </c>
      <c r="CC42" s="4" t="str">
        <f>"02472"</f>
        <v>02472</v>
      </c>
      <c r="CD42" t="s">
        <v>2768</v>
      </c>
      <c r="CE42" t="s">
        <v>2630</v>
      </c>
      <c r="CF42" s="6">
        <v>22.68</v>
      </c>
      <c r="CG42" s="6">
        <v>28</v>
      </c>
      <c r="CH42" s="6">
        <v>34.020000000000003</v>
      </c>
      <c r="CI42" s="6">
        <v>42</v>
      </c>
      <c r="CJ42" t="s">
        <v>137</v>
      </c>
      <c r="CK42" t="s">
        <v>4267</v>
      </c>
      <c r="CL42" t="s">
        <v>4268</v>
      </c>
      <c r="CO42" t="s">
        <v>138</v>
      </c>
      <c r="CP42" t="s">
        <v>114</v>
      </c>
      <c r="CQ42" t="s">
        <v>114</v>
      </c>
      <c r="CR42" t="s">
        <v>114</v>
      </c>
      <c r="CS42" t="s">
        <v>114</v>
      </c>
      <c r="CT42" t="s">
        <v>114</v>
      </c>
      <c r="CU42" t="s">
        <v>134</v>
      </c>
      <c r="CV42" t="s">
        <v>2360</v>
      </c>
      <c r="CW42" s="5" t="str">
        <f>"+16172311248"</f>
        <v>+16172311248</v>
      </c>
      <c r="CX42" t="s">
        <v>4265</v>
      </c>
      <c r="CY42" t="s">
        <v>138</v>
      </c>
      <c r="CZ42" t="s">
        <v>139</v>
      </c>
      <c r="DA42" t="s">
        <v>134</v>
      </c>
      <c r="DB42" t="s">
        <v>114</v>
      </c>
      <c r="DC42" t="s">
        <v>114</v>
      </c>
      <c r="DD42" t="s">
        <v>134</v>
      </c>
    </row>
    <row r="43" spans="1:108" ht="15" customHeight="1" x14ac:dyDescent="0.25">
      <c r="A43" t="s">
        <v>7042</v>
      </c>
      <c r="B43" t="s">
        <v>165</v>
      </c>
      <c r="C43" s="1">
        <v>44896.529644560185</v>
      </c>
      <c r="D43" s="1">
        <v>44924</v>
      </c>
      <c r="E43" t="s">
        <v>134</v>
      </c>
      <c r="F43" t="s">
        <v>5920</v>
      </c>
      <c r="G43" t="str">
        <f>"53-7062.00"</f>
        <v>53-7062.00</v>
      </c>
      <c r="H43" t="s">
        <v>245</v>
      </c>
      <c r="I43">
        <v>65</v>
      </c>
      <c r="J43">
        <v>65</v>
      </c>
      <c r="K43" s="1">
        <v>44986</v>
      </c>
      <c r="L43" s="1">
        <v>45260</v>
      </c>
      <c r="M43" s="1">
        <v>44986</v>
      </c>
      <c r="N43" s="1">
        <v>45260</v>
      </c>
      <c r="O43" t="s">
        <v>117</v>
      </c>
      <c r="P43" t="s">
        <v>4260</v>
      </c>
      <c r="Q43" t="s">
        <v>4261</v>
      </c>
      <c r="R43" t="s">
        <v>4262</v>
      </c>
      <c r="S43" t="s">
        <v>138</v>
      </c>
      <c r="T43" t="s">
        <v>2767</v>
      </c>
      <c r="U43" t="s">
        <v>281</v>
      </c>
      <c r="V43" s="4" t="str">
        <f>"02472"</f>
        <v>02472</v>
      </c>
      <c r="W43" t="s">
        <v>120</v>
      </c>
      <c r="X43" t="s">
        <v>138</v>
      </c>
      <c r="Y43" s="5">
        <v>16172311248</v>
      </c>
      <c r="AA43">
        <v>484210</v>
      </c>
      <c r="AB43" t="s">
        <v>4263</v>
      </c>
      <c r="AC43" t="s">
        <v>1149</v>
      </c>
      <c r="AD43" t="s">
        <v>138</v>
      </c>
      <c r="AE43" t="s">
        <v>4264</v>
      </c>
      <c r="AF43" t="s">
        <v>4262</v>
      </c>
      <c r="AG43" t="s">
        <v>138</v>
      </c>
      <c r="AH43" t="s">
        <v>2767</v>
      </c>
      <c r="AI43" t="s">
        <v>281</v>
      </c>
      <c r="AJ43" s="4" t="str">
        <f>"02472"</f>
        <v>02472</v>
      </c>
      <c r="AK43" t="s">
        <v>120</v>
      </c>
      <c r="AM43" s="5">
        <v>16172311248</v>
      </c>
      <c r="AO43" t="s">
        <v>4265</v>
      </c>
      <c r="AP43" t="s">
        <v>256</v>
      </c>
      <c r="AQ43" t="s">
        <v>2351</v>
      </c>
      <c r="AR43" t="s">
        <v>1353</v>
      </c>
      <c r="AS43" t="s">
        <v>259</v>
      </c>
      <c r="AT43" t="s">
        <v>2352</v>
      </c>
      <c r="AU43" t="s">
        <v>138</v>
      </c>
      <c r="AV43" t="s">
        <v>1285</v>
      </c>
      <c r="AW43" t="s">
        <v>232</v>
      </c>
      <c r="AX43" s="4" t="str">
        <f>"77414"</f>
        <v>77414</v>
      </c>
      <c r="AY43" t="s">
        <v>120</v>
      </c>
      <c r="BA43" s="5">
        <v>19793187283</v>
      </c>
      <c r="BC43" t="s">
        <v>2353</v>
      </c>
      <c r="BD43" t="s">
        <v>1287</v>
      </c>
      <c r="BG43" t="s">
        <v>281</v>
      </c>
      <c r="BH43" s="1">
        <v>44895.791666666664</v>
      </c>
      <c r="BI43">
        <v>56</v>
      </c>
      <c r="BJ43">
        <v>8</v>
      </c>
      <c r="BK43">
        <v>8</v>
      </c>
      <c r="BL43">
        <v>8</v>
      </c>
      <c r="BM43">
        <v>8</v>
      </c>
      <c r="BN43">
        <v>8</v>
      </c>
      <c r="BO43">
        <v>8</v>
      </c>
      <c r="BP43">
        <v>8</v>
      </c>
      <c r="BQ43" t="str">
        <f>"7:00 AM"</f>
        <v>7:00 AM</v>
      </c>
      <c r="BR43" t="str">
        <f>"3:00 PM"</f>
        <v>3:00 PM</v>
      </c>
      <c r="BS43" t="s">
        <v>133</v>
      </c>
      <c r="BT43">
        <v>0</v>
      </c>
      <c r="BU43">
        <v>0</v>
      </c>
      <c r="BV43" t="s">
        <v>134</v>
      </c>
      <c r="BX43" s="2" t="s">
        <v>4266</v>
      </c>
      <c r="BY43" t="s">
        <v>4262</v>
      </c>
      <c r="BZ43" t="s">
        <v>138</v>
      </c>
      <c r="CA43" t="s">
        <v>2767</v>
      </c>
      <c r="CB43" t="s">
        <v>281</v>
      </c>
      <c r="CC43" s="4" t="str">
        <f>"02472"</f>
        <v>02472</v>
      </c>
      <c r="CD43" t="s">
        <v>2768</v>
      </c>
      <c r="CE43" t="s">
        <v>2630</v>
      </c>
      <c r="CF43" s="6">
        <v>19.7</v>
      </c>
      <c r="CG43" s="6">
        <v>28</v>
      </c>
      <c r="CH43" s="6">
        <v>29.55</v>
      </c>
      <c r="CI43" s="6">
        <v>42</v>
      </c>
      <c r="CJ43" t="s">
        <v>137</v>
      </c>
      <c r="CK43" t="s">
        <v>4267</v>
      </c>
      <c r="CL43" t="s">
        <v>7043</v>
      </c>
      <c r="CO43" t="s">
        <v>138</v>
      </c>
      <c r="CP43" t="s">
        <v>114</v>
      </c>
      <c r="CQ43" t="s">
        <v>114</v>
      </c>
      <c r="CR43" t="s">
        <v>114</v>
      </c>
      <c r="CS43" t="s">
        <v>114</v>
      </c>
      <c r="CT43" t="s">
        <v>114</v>
      </c>
      <c r="CU43" t="s">
        <v>134</v>
      </c>
      <c r="CV43" t="s">
        <v>2360</v>
      </c>
      <c r="CW43" s="5" t="str">
        <f>"+16172311248"</f>
        <v>+16172311248</v>
      </c>
      <c r="CX43" t="s">
        <v>4265</v>
      </c>
      <c r="CY43" t="s">
        <v>138</v>
      </c>
      <c r="CZ43" t="s">
        <v>139</v>
      </c>
      <c r="DA43" t="s">
        <v>134</v>
      </c>
      <c r="DB43" t="s">
        <v>114</v>
      </c>
      <c r="DC43" t="s">
        <v>114</v>
      </c>
      <c r="DD43" t="s">
        <v>134</v>
      </c>
    </row>
    <row r="44" spans="1:108" ht="15" customHeight="1" x14ac:dyDescent="0.25">
      <c r="A44" t="s">
        <v>16698</v>
      </c>
      <c r="B44" t="s">
        <v>165</v>
      </c>
      <c r="C44" s="1">
        <v>44896.52354548611</v>
      </c>
      <c r="D44" s="1">
        <v>44924</v>
      </c>
      <c r="E44" t="s">
        <v>134</v>
      </c>
      <c r="F44" t="s">
        <v>5920</v>
      </c>
      <c r="G44" t="str">
        <f>"53-7062.00"</f>
        <v>53-7062.00</v>
      </c>
      <c r="H44" t="s">
        <v>245</v>
      </c>
      <c r="I44">
        <v>25</v>
      </c>
      <c r="J44">
        <v>25</v>
      </c>
      <c r="K44" s="1">
        <v>44986</v>
      </c>
      <c r="L44" s="1">
        <v>45260</v>
      </c>
      <c r="M44" s="1">
        <v>44986</v>
      </c>
      <c r="N44" s="1">
        <v>45260</v>
      </c>
      <c r="O44" t="s">
        <v>117</v>
      </c>
      <c r="P44" t="s">
        <v>4260</v>
      </c>
      <c r="Q44" t="s">
        <v>4261</v>
      </c>
      <c r="R44" t="s">
        <v>4262</v>
      </c>
      <c r="S44" t="s">
        <v>138</v>
      </c>
      <c r="T44" t="s">
        <v>2767</v>
      </c>
      <c r="U44" t="s">
        <v>281</v>
      </c>
      <c r="V44" s="4" t="str">
        <f>"02472"</f>
        <v>02472</v>
      </c>
      <c r="W44" t="s">
        <v>120</v>
      </c>
      <c r="X44" t="s">
        <v>138</v>
      </c>
      <c r="Y44" s="5">
        <v>16172311248</v>
      </c>
      <c r="AA44">
        <v>484210</v>
      </c>
      <c r="AB44" t="s">
        <v>4263</v>
      </c>
      <c r="AC44" t="s">
        <v>1149</v>
      </c>
      <c r="AD44" t="s">
        <v>138</v>
      </c>
      <c r="AE44" t="s">
        <v>4264</v>
      </c>
      <c r="AF44" t="s">
        <v>4262</v>
      </c>
      <c r="AG44" t="s">
        <v>138</v>
      </c>
      <c r="AH44" t="s">
        <v>2767</v>
      </c>
      <c r="AI44" t="s">
        <v>281</v>
      </c>
      <c r="AJ44" s="4" t="str">
        <f>"02472"</f>
        <v>02472</v>
      </c>
      <c r="AK44" t="s">
        <v>120</v>
      </c>
      <c r="AM44" s="5">
        <v>16172311248</v>
      </c>
      <c r="AO44" t="s">
        <v>4265</v>
      </c>
      <c r="AP44" t="s">
        <v>256</v>
      </c>
      <c r="AQ44" t="s">
        <v>2351</v>
      </c>
      <c r="AR44" t="s">
        <v>1353</v>
      </c>
      <c r="AS44" t="s">
        <v>259</v>
      </c>
      <c r="AT44" t="s">
        <v>2352</v>
      </c>
      <c r="AU44" t="s">
        <v>138</v>
      </c>
      <c r="AV44" t="s">
        <v>1285</v>
      </c>
      <c r="AW44" t="s">
        <v>232</v>
      </c>
      <c r="AX44" s="4" t="str">
        <f>"77414"</f>
        <v>77414</v>
      </c>
      <c r="AY44" t="s">
        <v>120</v>
      </c>
      <c r="BA44" s="5">
        <v>19793187283</v>
      </c>
      <c r="BC44" t="s">
        <v>2353</v>
      </c>
      <c r="BD44" t="s">
        <v>1287</v>
      </c>
      <c r="BG44" t="s">
        <v>1003</v>
      </c>
      <c r="BH44" s="1">
        <v>44895.791666666664</v>
      </c>
      <c r="BI44">
        <v>56</v>
      </c>
      <c r="BJ44">
        <v>8</v>
      </c>
      <c r="BK44">
        <v>8</v>
      </c>
      <c r="BL44">
        <v>8</v>
      </c>
      <c r="BM44">
        <v>8</v>
      </c>
      <c r="BN44">
        <v>8</v>
      </c>
      <c r="BO44">
        <v>8</v>
      </c>
      <c r="BP44">
        <v>8</v>
      </c>
      <c r="BQ44" t="str">
        <f>"7:00 AM"</f>
        <v>7:00 AM</v>
      </c>
      <c r="BR44" t="str">
        <f>"3:00 PM"</f>
        <v>3:00 PM</v>
      </c>
      <c r="BS44" t="s">
        <v>133</v>
      </c>
      <c r="BT44">
        <v>0</v>
      </c>
      <c r="BU44">
        <v>0</v>
      </c>
      <c r="BV44" t="s">
        <v>134</v>
      </c>
      <c r="BX44" s="2" t="s">
        <v>4266</v>
      </c>
      <c r="BY44" t="s">
        <v>16699</v>
      </c>
      <c r="BZ44" t="s">
        <v>138</v>
      </c>
      <c r="CA44" t="s">
        <v>16700</v>
      </c>
      <c r="CB44" t="s">
        <v>1003</v>
      </c>
      <c r="CC44" s="4" t="str">
        <f>"08086"</f>
        <v>08086</v>
      </c>
      <c r="CD44" t="s">
        <v>10914</v>
      </c>
      <c r="CE44" t="s">
        <v>1266</v>
      </c>
      <c r="CF44" s="6">
        <v>17.739999999999998</v>
      </c>
      <c r="CG44" s="6">
        <v>28</v>
      </c>
      <c r="CH44" s="6">
        <v>26.61</v>
      </c>
      <c r="CI44" s="6">
        <v>42</v>
      </c>
      <c r="CJ44" t="s">
        <v>137</v>
      </c>
      <c r="CK44" t="s">
        <v>4379</v>
      </c>
      <c r="CL44" t="s">
        <v>16701</v>
      </c>
      <c r="CO44" t="s">
        <v>138</v>
      </c>
      <c r="CP44" t="s">
        <v>114</v>
      </c>
      <c r="CQ44" t="s">
        <v>114</v>
      </c>
      <c r="CR44" t="s">
        <v>114</v>
      </c>
      <c r="CS44" t="s">
        <v>114</v>
      </c>
      <c r="CT44" t="s">
        <v>114</v>
      </c>
      <c r="CU44" t="s">
        <v>134</v>
      </c>
      <c r="CV44" t="s">
        <v>2360</v>
      </c>
      <c r="CW44" s="5" t="str">
        <f>"+16172311248"</f>
        <v>+16172311248</v>
      </c>
      <c r="CX44" t="s">
        <v>4265</v>
      </c>
      <c r="CY44" t="s">
        <v>138</v>
      </c>
      <c r="CZ44" t="s">
        <v>139</v>
      </c>
      <c r="DA44" t="s">
        <v>134</v>
      </c>
      <c r="DB44" t="s">
        <v>114</v>
      </c>
      <c r="DC44" t="s">
        <v>114</v>
      </c>
      <c r="DD44" t="s">
        <v>134</v>
      </c>
    </row>
    <row r="45" spans="1:108" ht="15" customHeight="1" x14ac:dyDescent="0.25">
      <c r="A45" t="s">
        <v>16682</v>
      </c>
      <c r="B45" t="s">
        <v>165</v>
      </c>
      <c r="C45" s="1">
        <v>44896.513542592591</v>
      </c>
      <c r="D45" s="1">
        <v>44924</v>
      </c>
      <c r="E45" t="s">
        <v>134</v>
      </c>
      <c r="F45" t="s">
        <v>5920</v>
      </c>
      <c r="G45" t="str">
        <f>"53-7062.00"</f>
        <v>53-7062.00</v>
      </c>
      <c r="H45" t="s">
        <v>245</v>
      </c>
      <c r="I45">
        <v>25</v>
      </c>
      <c r="J45">
        <v>25</v>
      </c>
      <c r="K45" s="1">
        <v>44986</v>
      </c>
      <c r="L45" s="1">
        <v>45260</v>
      </c>
      <c r="M45" s="1">
        <v>44986</v>
      </c>
      <c r="N45" s="1">
        <v>45260</v>
      </c>
      <c r="O45" t="s">
        <v>117</v>
      </c>
      <c r="P45" t="s">
        <v>4260</v>
      </c>
      <c r="Q45" t="s">
        <v>4261</v>
      </c>
      <c r="R45" t="s">
        <v>4262</v>
      </c>
      <c r="S45" t="s">
        <v>138</v>
      </c>
      <c r="T45" t="s">
        <v>2767</v>
      </c>
      <c r="U45" t="s">
        <v>281</v>
      </c>
      <c r="V45" s="4" t="str">
        <f>"02472"</f>
        <v>02472</v>
      </c>
      <c r="W45" t="s">
        <v>120</v>
      </c>
      <c r="X45" t="s">
        <v>138</v>
      </c>
      <c r="Y45" s="5">
        <v>16172311248</v>
      </c>
      <c r="AA45">
        <v>484210</v>
      </c>
      <c r="AB45" t="s">
        <v>4263</v>
      </c>
      <c r="AC45" t="s">
        <v>1149</v>
      </c>
      <c r="AD45" t="s">
        <v>138</v>
      </c>
      <c r="AE45" t="s">
        <v>4264</v>
      </c>
      <c r="AF45" t="s">
        <v>4262</v>
      </c>
      <c r="AG45" t="s">
        <v>138</v>
      </c>
      <c r="AH45" t="s">
        <v>2767</v>
      </c>
      <c r="AI45" t="s">
        <v>281</v>
      </c>
      <c r="AJ45" s="4" t="str">
        <f>"02472"</f>
        <v>02472</v>
      </c>
      <c r="AK45" t="s">
        <v>120</v>
      </c>
      <c r="AM45" s="5">
        <v>16172311248</v>
      </c>
      <c r="AO45" t="s">
        <v>4265</v>
      </c>
      <c r="AP45" t="s">
        <v>256</v>
      </c>
      <c r="AQ45" t="s">
        <v>2351</v>
      </c>
      <c r="AR45" t="s">
        <v>1353</v>
      </c>
      <c r="AS45" t="s">
        <v>259</v>
      </c>
      <c r="AT45" t="s">
        <v>2352</v>
      </c>
      <c r="AU45" t="s">
        <v>138</v>
      </c>
      <c r="AV45" t="s">
        <v>1285</v>
      </c>
      <c r="AW45" t="s">
        <v>232</v>
      </c>
      <c r="AX45" s="4" t="str">
        <f>"77414"</f>
        <v>77414</v>
      </c>
      <c r="AY45" t="s">
        <v>120</v>
      </c>
      <c r="BA45" s="5">
        <v>19793187283</v>
      </c>
      <c r="BC45" t="s">
        <v>2353</v>
      </c>
      <c r="BD45" t="s">
        <v>1287</v>
      </c>
      <c r="BG45" t="s">
        <v>339</v>
      </c>
      <c r="BH45" s="1">
        <v>44895.791666666664</v>
      </c>
      <c r="BI45">
        <v>56</v>
      </c>
      <c r="BJ45">
        <v>8</v>
      </c>
      <c r="BK45">
        <v>8</v>
      </c>
      <c r="BL45">
        <v>8</v>
      </c>
      <c r="BM45">
        <v>8</v>
      </c>
      <c r="BN45">
        <v>8</v>
      </c>
      <c r="BO45">
        <v>8</v>
      </c>
      <c r="BP45">
        <v>8</v>
      </c>
      <c r="BQ45" t="str">
        <f>"7:00 AM"</f>
        <v>7:00 AM</v>
      </c>
      <c r="BR45" t="str">
        <f>"3:00 PM"</f>
        <v>3:00 PM</v>
      </c>
      <c r="BS45" t="s">
        <v>133</v>
      </c>
      <c r="BT45">
        <v>0</v>
      </c>
      <c r="BU45">
        <v>0</v>
      </c>
      <c r="BV45" t="s">
        <v>134</v>
      </c>
      <c r="BX45" s="2" t="s">
        <v>4266</v>
      </c>
      <c r="BY45" t="s">
        <v>15572</v>
      </c>
      <c r="BZ45" t="s">
        <v>138</v>
      </c>
      <c r="CA45" t="s">
        <v>4791</v>
      </c>
      <c r="CB45" t="s">
        <v>339</v>
      </c>
      <c r="CC45" s="4" t="str">
        <f>"20781"</f>
        <v>20781</v>
      </c>
      <c r="CD45" t="s">
        <v>1102</v>
      </c>
      <c r="CE45" t="s">
        <v>355</v>
      </c>
      <c r="CF45" s="6">
        <v>18.010000000000002</v>
      </c>
      <c r="CG45" s="6">
        <v>28</v>
      </c>
      <c r="CH45" s="6">
        <v>27.02</v>
      </c>
      <c r="CI45" s="6">
        <v>42</v>
      </c>
      <c r="CJ45" t="s">
        <v>137</v>
      </c>
      <c r="CK45" t="s">
        <v>4267</v>
      </c>
      <c r="CL45" t="s">
        <v>15573</v>
      </c>
      <c r="CO45" t="s">
        <v>138</v>
      </c>
      <c r="CP45" t="s">
        <v>114</v>
      </c>
      <c r="CQ45" t="s">
        <v>114</v>
      </c>
      <c r="CR45" t="s">
        <v>114</v>
      </c>
      <c r="CS45" t="s">
        <v>114</v>
      </c>
      <c r="CT45" t="s">
        <v>114</v>
      </c>
      <c r="CU45" t="s">
        <v>134</v>
      </c>
      <c r="CV45" t="s">
        <v>2360</v>
      </c>
      <c r="CW45" s="5" t="str">
        <f>"+16172311248"</f>
        <v>+16172311248</v>
      </c>
      <c r="CX45" t="s">
        <v>4265</v>
      </c>
      <c r="CY45" t="s">
        <v>138</v>
      </c>
      <c r="CZ45" t="s">
        <v>139</v>
      </c>
      <c r="DA45" t="s">
        <v>134</v>
      </c>
      <c r="DB45" t="s">
        <v>114</v>
      </c>
      <c r="DC45" t="s">
        <v>114</v>
      </c>
      <c r="DD45" t="s">
        <v>134</v>
      </c>
    </row>
    <row r="46" spans="1:108" ht="15" customHeight="1" x14ac:dyDescent="0.25">
      <c r="A46" t="s">
        <v>9943</v>
      </c>
      <c r="B46" t="s">
        <v>165</v>
      </c>
      <c r="C46" s="1">
        <v>44896.489287615739</v>
      </c>
      <c r="D46" s="1">
        <v>44924</v>
      </c>
      <c r="E46" t="s">
        <v>134</v>
      </c>
      <c r="F46" t="s">
        <v>334</v>
      </c>
      <c r="G46" t="str">
        <f>"37-3011.00"</f>
        <v>37-3011.00</v>
      </c>
      <c r="H46" t="s">
        <v>335</v>
      </c>
      <c r="I46">
        <v>40</v>
      </c>
      <c r="J46">
        <v>40</v>
      </c>
      <c r="K46" s="1">
        <v>44986</v>
      </c>
      <c r="L46" s="1">
        <v>45230</v>
      </c>
      <c r="M46" s="1">
        <v>44986</v>
      </c>
      <c r="N46" s="1">
        <v>45230</v>
      </c>
      <c r="O46" t="s">
        <v>117</v>
      </c>
      <c r="P46" t="s">
        <v>9944</v>
      </c>
      <c r="R46" t="s">
        <v>9945</v>
      </c>
      <c r="T46" t="s">
        <v>1525</v>
      </c>
      <c r="U46" t="s">
        <v>232</v>
      </c>
      <c r="V46" s="4" t="str">
        <f>"75229"</f>
        <v>75229</v>
      </c>
      <c r="W46" t="s">
        <v>120</v>
      </c>
      <c r="Y46" s="5">
        <v>19725675651</v>
      </c>
      <c r="AA46">
        <v>56173</v>
      </c>
      <c r="AB46" t="s">
        <v>9946</v>
      </c>
      <c r="AC46" t="s">
        <v>1149</v>
      </c>
      <c r="AE46" t="s">
        <v>1831</v>
      </c>
      <c r="AF46" t="s">
        <v>9945</v>
      </c>
      <c r="AH46" t="s">
        <v>1525</v>
      </c>
      <c r="AI46" t="s">
        <v>232</v>
      </c>
      <c r="AJ46" s="4" t="str">
        <f>"75229"</f>
        <v>75229</v>
      </c>
      <c r="AK46" t="s">
        <v>120</v>
      </c>
      <c r="AM46" s="5">
        <v>19725675651</v>
      </c>
      <c r="AO46" t="s">
        <v>9947</v>
      </c>
      <c r="AP46" t="s">
        <v>256</v>
      </c>
      <c r="AQ46" t="s">
        <v>885</v>
      </c>
      <c r="AR46" t="s">
        <v>886</v>
      </c>
      <c r="AT46" t="s">
        <v>887</v>
      </c>
      <c r="AV46" t="s">
        <v>888</v>
      </c>
      <c r="AW46" t="s">
        <v>232</v>
      </c>
      <c r="AX46" s="4" t="str">
        <f>"75098"</f>
        <v>75098</v>
      </c>
      <c r="AY46" t="s">
        <v>120</v>
      </c>
      <c r="BA46" s="5">
        <v>19724424244</v>
      </c>
      <c r="BC46" t="s">
        <v>889</v>
      </c>
      <c r="BD46" t="s">
        <v>1264</v>
      </c>
      <c r="BG46" t="s">
        <v>232</v>
      </c>
      <c r="BH46" s="1">
        <v>44895.791666666664</v>
      </c>
      <c r="BI46">
        <v>40</v>
      </c>
      <c r="BJ46">
        <v>0</v>
      </c>
      <c r="BK46">
        <v>8</v>
      </c>
      <c r="BL46">
        <v>8</v>
      </c>
      <c r="BM46">
        <v>8</v>
      </c>
      <c r="BN46">
        <v>8</v>
      </c>
      <c r="BO46">
        <v>8</v>
      </c>
      <c r="BP46">
        <v>0</v>
      </c>
      <c r="BQ46" t="str">
        <f>"7:00 AM"</f>
        <v>7:00 AM</v>
      </c>
      <c r="BR46" t="str">
        <f>"4:00 PM"</f>
        <v>4:00 PM</v>
      </c>
      <c r="BS46" t="s">
        <v>133</v>
      </c>
      <c r="BT46">
        <v>0</v>
      </c>
      <c r="BU46">
        <v>0</v>
      </c>
      <c r="BV46" t="s">
        <v>134</v>
      </c>
      <c r="BX46" s="2" t="s">
        <v>4623</v>
      </c>
      <c r="BY46" t="s">
        <v>9945</v>
      </c>
      <c r="CA46" t="s">
        <v>1525</v>
      </c>
      <c r="CB46" t="s">
        <v>232</v>
      </c>
      <c r="CC46" s="4" t="str">
        <f>"75229"</f>
        <v>75229</v>
      </c>
      <c r="CD46" t="s">
        <v>1482</v>
      </c>
      <c r="CE46" t="s">
        <v>1528</v>
      </c>
      <c r="CF46" s="6">
        <v>16.3</v>
      </c>
      <c r="CG46" s="6">
        <v>18.489999999999998</v>
      </c>
      <c r="CH46" s="6">
        <v>24.45</v>
      </c>
      <c r="CI46" s="6">
        <v>27.74</v>
      </c>
      <c r="CJ46" t="s">
        <v>137</v>
      </c>
      <c r="CK46" t="s">
        <v>2086</v>
      </c>
      <c r="CL46" t="s">
        <v>9948</v>
      </c>
      <c r="CO46" t="s">
        <v>138</v>
      </c>
      <c r="CP46" t="s">
        <v>114</v>
      </c>
      <c r="CQ46" t="s">
        <v>114</v>
      </c>
      <c r="CR46" t="s">
        <v>114</v>
      </c>
      <c r="CS46" t="s">
        <v>114</v>
      </c>
      <c r="CT46" t="s">
        <v>114</v>
      </c>
      <c r="CU46" t="s">
        <v>114</v>
      </c>
      <c r="CV46" t="s">
        <v>7992</v>
      </c>
      <c r="CW46" s="5" t="str">
        <f>"+19725675651"</f>
        <v>+19725675651</v>
      </c>
      <c r="CX46" t="s">
        <v>138</v>
      </c>
      <c r="CY46" t="s">
        <v>2072</v>
      </c>
      <c r="CZ46" t="s">
        <v>139</v>
      </c>
      <c r="DA46" t="s">
        <v>134</v>
      </c>
      <c r="DB46" t="s">
        <v>134</v>
      </c>
      <c r="DC46" t="s">
        <v>114</v>
      </c>
      <c r="DD46" t="s">
        <v>134</v>
      </c>
    </row>
    <row r="47" spans="1:108" ht="15" customHeight="1" x14ac:dyDescent="0.25">
      <c r="A47" t="s">
        <v>12550</v>
      </c>
      <c r="B47" t="s">
        <v>165</v>
      </c>
      <c r="C47" s="1">
        <v>44896.486375810186</v>
      </c>
      <c r="D47" s="1">
        <v>44924</v>
      </c>
      <c r="E47" t="s">
        <v>134</v>
      </c>
      <c r="F47" t="s">
        <v>1296</v>
      </c>
      <c r="G47" t="str">
        <f>"37-3011.00"</f>
        <v>37-3011.00</v>
      </c>
      <c r="H47" t="s">
        <v>335</v>
      </c>
      <c r="I47">
        <v>10</v>
      </c>
      <c r="J47">
        <v>10</v>
      </c>
      <c r="K47" s="1">
        <v>44986</v>
      </c>
      <c r="L47" s="1">
        <v>45261</v>
      </c>
      <c r="M47" s="1">
        <v>44986</v>
      </c>
      <c r="N47" s="1">
        <v>45261</v>
      </c>
      <c r="O47" t="s">
        <v>117</v>
      </c>
      <c r="P47" t="s">
        <v>12551</v>
      </c>
      <c r="R47" t="s">
        <v>12552</v>
      </c>
      <c r="T47" t="s">
        <v>12553</v>
      </c>
      <c r="U47" t="s">
        <v>214</v>
      </c>
      <c r="V47" s="4" t="str">
        <f>"71227"</f>
        <v>71227</v>
      </c>
      <c r="W47" t="s">
        <v>120</v>
      </c>
      <c r="Y47" s="5">
        <v>13187687000</v>
      </c>
      <c r="AA47">
        <v>71391</v>
      </c>
      <c r="AB47" t="s">
        <v>12554</v>
      </c>
      <c r="AC47" t="s">
        <v>5784</v>
      </c>
      <c r="AE47" t="s">
        <v>1567</v>
      </c>
      <c r="AF47" t="s">
        <v>12552</v>
      </c>
      <c r="AH47" t="s">
        <v>12553</v>
      </c>
      <c r="AI47" t="s">
        <v>214</v>
      </c>
      <c r="AJ47" s="4" t="str">
        <f>"71227"</f>
        <v>71227</v>
      </c>
      <c r="AK47" t="s">
        <v>120</v>
      </c>
      <c r="AM47" s="5">
        <v>13187687000</v>
      </c>
      <c r="AO47" t="s">
        <v>12555</v>
      </c>
      <c r="AP47" t="s">
        <v>256</v>
      </c>
      <c r="AQ47" t="s">
        <v>885</v>
      </c>
      <c r="AR47" t="s">
        <v>886</v>
      </c>
      <c r="AT47" t="s">
        <v>887</v>
      </c>
      <c r="AV47" t="s">
        <v>888</v>
      </c>
      <c r="AW47" t="s">
        <v>232</v>
      </c>
      <c r="AX47" s="4" t="str">
        <f>"75098"</f>
        <v>75098</v>
      </c>
      <c r="AY47" t="s">
        <v>120</v>
      </c>
      <c r="BA47" s="5">
        <v>19724424244</v>
      </c>
      <c r="BC47" t="s">
        <v>889</v>
      </c>
      <c r="BD47" t="s">
        <v>1264</v>
      </c>
      <c r="BG47" t="s">
        <v>214</v>
      </c>
      <c r="BH47" s="1">
        <v>44895.791666666664</v>
      </c>
      <c r="BI47">
        <v>40</v>
      </c>
      <c r="BJ47">
        <v>0</v>
      </c>
      <c r="BK47">
        <v>8</v>
      </c>
      <c r="BL47">
        <v>8</v>
      </c>
      <c r="BM47">
        <v>8</v>
      </c>
      <c r="BN47">
        <v>8</v>
      </c>
      <c r="BO47">
        <v>8</v>
      </c>
      <c r="BP47">
        <v>0</v>
      </c>
      <c r="BQ47" t="str">
        <f>"6:00 AM"</f>
        <v>6:00 AM</v>
      </c>
      <c r="BR47" t="str">
        <f>"3:00 PM"</f>
        <v>3:00 PM</v>
      </c>
      <c r="BS47" t="s">
        <v>133</v>
      </c>
      <c r="BT47">
        <v>0</v>
      </c>
      <c r="BU47">
        <v>0</v>
      </c>
      <c r="BV47" t="s">
        <v>134</v>
      </c>
      <c r="BX47" s="2" t="s">
        <v>5776</v>
      </c>
      <c r="BY47" t="s">
        <v>12552</v>
      </c>
      <c r="CA47" t="s">
        <v>12553</v>
      </c>
      <c r="CB47" t="s">
        <v>214</v>
      </c>
      <c r="CC47" s="4" t="str">
        <f>"71227"</f>
        <v>71227</v>
      </c>
      <c r="CD47" t="s">
        <v>1197</v>
      </c>
      <c r="CE47" t="s">
        <v>270</v>
      </c>
      <c r="CF47" s="6">
        <v>13.11</v>
      </c>
      <c r="CG47" s="6">
        <v>14.5</v>
      </c>
      <c r="CH47" s="6">
        <v>19.670000000000002</v>
      </c>
      <c r="CI47" s="6">
        <v>21.75</v>
      </c>
      <c r="CJ47" t="s">
        <v>137</v>
      </c>
      <c r="CK47" t="s">
        <v>2086</v>
      </c>
      <c r="CL47" t="s">
        <v>12556</v>
      </c>
      <c r="CO47" t="s">
        <v>138</v>
      </c>
      <c r="CP47" t="s">
        <v>134</v>
      </c>
      <c r="CQ47" t="s">
        <v>134</v>
      </c>
      <c r="CR47" t="s">
        <v>114</v>
      </c>
      <c r="CS47" t="s">
        <v>114</v>
      </c>
      <c r="CT47" t="s">
        <v>114</v>
      </c>
      <c r="CU47" t="s">
        <v>114</v>
      </c>
      <c r="CV47" t="s">
        <v>12557</v>
      </c>
      <c r="CW47" s="5" t="str">
        <f>"+13187687000"</f>
        <v>+13187687000</v>
      </c>
      <c r="CX47" t="s">
        <v>138</v>
      </c>
      <c r="CY47" t="s">
        <v>2996</v>
      </c>
      <c r="CZ47" t="s">
        <v>139</v>
      </c>
      <c r="DA47" t="s">
        <v>134</v>
      </c>
      <c r="DB47" t="s">
        <v>134</v>
      </c>
      <c r="DC47" t="s">
        <v>114</v>
      </c>
      <c r="DD47" t="s">
        <v>134</v>
      </c>
    </row>
    <row r="48" spans="1:108" ht="15" customHeight="1" x14ac:dyDescent="0.25">
      <c r="A48" t="s">
        <v>6054</v>
      </c>
      <c r="B48" t="s">
        <v>165</v>
      </c>
      <c r="C48" s="1">
        <v>44896.475854629629</v>
      </c>
      <c r="D48" s="1">
        <v>44924</v>
      </c>
      <c r="E48" t="s">
        <v>134</v>
      </c>
      <c r="F48" t="s">
        <v>4358</v>
      </c>
      <c r="G48" t="str">
        <f>"37-3011.00"</f>
        <v>37-3011.00</v>
      </c>
      <c r="H48" t="s">
        <v>335</v>
      </c>
      <c r="I48">
        <v>40</v>
      </c>
      <c r="J48">
        <v>40</v>
      </c>
      <c r="K48" s="1">
        <v>44986</v>
      </c>
      <c r="L48" s="1">
        <v>45291</v>
      </c>
      <c r="M48" s="1">
        <v>44986</v>
      </c>
      <c r="N48" s="1">
        <v>45291</v>
      </c>
      <c r="O48" t="s">
        <v>117</v>
      </c>
      <c r="P48" t="s">
        <v>4452</v>
      </c>
      <c r="R48" t="s">
        <v>4453</v>
      </c>
      <c r="S48" t="s">
        <v>4454</v>
      </c>
      <c r="T48" t="s">
        <v>1712</v>
      </c>
      <c r="U48" t="s">
        <v>154</v>
      </c>
      <c r="V48" s="4" t="str">
        <f>"33559"</f>
        <v>33559</v>
      </c>
      <c r="W48" t="s">
        <v>120</v>
      </c>
      <c r="X48" t="s">
        <v>138</v>
      </c>
      <c r="Y48" s="5">
        <v>18139091861</v>
      </c>
      <c r="AA48">
        <v>561730</v>
      </c>
      <c r="AB48" t="s">
        <v>4455</v>
      </c>
      <c r="AC48" t="s">
        <v>4456</v>
      </c>
      <c r="AD48" t="s">
        <v>2540</v>
      </c>
      <c r="AE48" t="s">
        <v>342</v>
      </c>
      <c r="AF48" t="s">
        <v>4457</v>
      </c>
      <c r="AG48" t="s">
        <v>4454</v>
      </c>
      <c r="AH48" t="s">
        <v>1712</v>
      </c>
      <c r="AI48" t="s">
        <v>154</v>
      </c>
      <c r="AJ48" s="4" t="str">
        <f>"33559"</f>
        <v>33559</v>
      </c>
      <c r="AK48" t="s">
        <v>120</v>
      </c>
      <c r="AM48" s="5">
        <v>18139091861</v>
      </c>
      <c r="AO48" t="s">
        <v>4458</v>
      </c>
      <c r="AP48" t="s">
        <v>256</v>
      </c>
      <c r="AQ48" t="s">
        <v>2362</v>
      </c>
      <c r="AR48" t="s">
        <v>1907</v>
      </c>
      <c r="AS48" t="s">
        <v>1857</v>
      </c>
      <c r="AT48" t="s">
        <v>1284</v>
      </c>
      <c r="AU48" t="s">
        <v>138</v>
      </c>
      <c r="AV48" t="s">
        <v>1285</v>
      </c>
      <c r="AW48" t="s">
        <v>232</v>
      </c>
      <c r="AX48" s="4" t="str">
        <f>"77414"</f>
        <v>77414</v>
      </c>
      <c r="AY48" t="s">
        <v>120</v>
      </c>
      <c r="BA48" s="5">
        <v>19793187282</v>
      </c>
      <c r="BC48" t="s">
        <v>2363</v>
      </c>
      <c r="BD48" t="s">
        <v>1287</v>
      </c>
      <c r="BG48" t="s">
        <v>154</v>
      </c>
      <c r="BH48" s="1">
        <v>44895.791666666664</v>
      </c>
      <c r="BI48">
        <v>40</v>
      </c>
      <c r="BJ48">
        <v>0</v>
      </c>
      <c r="BK48">
        <v>8</v>
      </c>
      <c r="BL48">
        <v>8</v>
      </c>
      <c r="BM48">
        <v>8</v>
      </c>
      <c r="BN48">
        <v>8</v>
      </c>
      <c r="BO48">
        <v>8</v>
      </c>
      <c r="BP48">
        <v>0</v>
      </c>
      <c r="BQ48" t="str">
        <f>"7:30 AM"</f>
        <v>7:30 AM</v>
      </c>
      <c r="BR48" t="str">
        <f>"4:00 PM"</f>
        <v>4:00 PM</v>
      </c>
      <c r="BS48" t="s">
        <v>133</v>
      </c>
      <c r="BT48">
        <v>0</v>
      </c>
      <c r="BU48">
        <v>0</v>
      </c>
      <c r="BV48" t="s">
        <v>134</v>
      </c>
      <c r="BX48" s="2" t="s">
        <v>6055</v>
      </c>
      <c r="BY48" t="s">
        <v>4459</v>
      </c>
      <c r="BZ48" t="s">
        <v>138</v>
      </c>
      <c r="CA48" t="s">
        <v>1712</v>
      </c>
      <c r="CB48" t="s">
        <v>154</v>
      </c>
      <c r="CC48" s="4" t="str">
        <f>"33559"</f>
        <v>33559</v>
      </c>
      <c r="CD48" t="s">
        <v>566</v>
      </c>
      <c r="CE48" t="s">
        <v>567</v>
      </c>
      <c r="CF48" s="6">
        <v>14.84</v>
      </c>
      <c r="CH48" s="6">
        <v>22.26</v>
      </c>
      <c r="CJ48" t="s">
        <v>137</v>
      </c>
      <c r="CK48" t="s">
        <v>4460</v>
      </c>
      <c r="CL48" t="s">
        <v>4461</v>
      </c>
      <c r="CO48" t="s">
        <v>138</v>
      </c>
      <c r="CP48" t="s">
        <v>114</v>
      </c>
      <c r="CQ48" t="s">
        <v>114</v>
      </c>
      <c r="CR48" t="s">
        <v>114</v>
      </c>
      <c r="CS48" t="s">
        <v>114</v>
      </c>
      <c r="CT48" t="s">
        <v>114</v>
      </c>
      <c r="CU48" t="s">
        <v>114</v>
      </c>
      <c r="CV48" t="s">
        <v>4462</v>
      </c>
      <c r="CW48" s="5" t="str">
        <f>"+18139091861"</f>
        <v>+18139091861</v>
      </c>
      <c r="CX48" t="s">
        <v>4458</v>
      </c>
      <c r="CY48" t="s">
        <v>138</v>
      </c>
      <c r="CZ48" t="s">
        <v>139</v>
      </c>
      <c r="DA48" t="s">
        <v>134</v>
      </c>
      <c r="DB48" t="s">
        <v>134</v>
      </c>
      <c r="DC48" t="s">
        <v>114</v>
      </c>
      <c r="DD48" t="s">
        <v>134</v>
      </c>
    </row>
    <row r="49" spans="1:108" ht="15" customHeight="1" x14ac:dyDescent="0.25">
      <c r="A49" t="s">
        <v>5497</v>
      </c>
      <c r="B49" t="s">
        <v>165</v>
      </c>
      <c r="C49" s="1">
        <v>44896.472106944442</v>
      </c>
      <c r="D49" s="1">
        <v>44924</v>
      </c>
      <c r="E49" t="s">
        <v>134</v>
      </c>
      <c r="F49" t="s">
        <v>334</v>
      </c>
      <c r="G49" t="str">
        <f>"37-3011.00"</f>
        <v>37-3011.00</v>
      </c>
      <c r="H49" t="s">
        <v>335</v>
      </c>
      <c r="I49">
        <v>9</v>
      </c>
      <c r="J49">
        <v>9</v>
      </c>
      <c r="K49" s="1">
        <v>44986</v>
      </c>
      <c r="L49" s="1">
        <v>45230</v>
      </c>
      <c r="M49" s="1">
        <v>44986</v>
      </c>
      <c r="N49" s="1">
        <v>45230</v>
      </c>
      <c r="O49" t="s">
        <v>117</v>
      </c>
      <c r="P49" t="s">
        <v>4416</v>
      </c>
      <c r="Q49" t="s">
        <v>4417</v>
      </c>
      <c r="R49" t="s">
        <v>4418</v>
      </c>
      <c r="S49" t="s">
        <v>4419</v>
      </c>
      <c r="T49" t="s">
        <v>2206</v>
      </c>
      <c r="U49" t="s">
        <v>232</v>
      </c>
      <c r="V49" s="4" t="str">
        <f>"76119"</f>
        <v>76119</v>
      </c>
      <c r="W49" t="s">
        <v>120</v>
      </c>
      <c r="X49" t="s">
        <v>138</v>
      </c>
      <c r="Y49" s="5">
        <v>18174519675</v>
      </c>
      <c r="AA49">
        <v>561730</v>
      </c>
      <c r="AB49" t="s">
        <v>4420</v>
      </c>
      <c r="AC49" t="s">
        <v>370</v>
      </c>
      <c r="AE49" t="s">
        <v>2384</v>
      </c>
      <c r="AF49" t="s">
        <v>4418</v>
      </c>
      <c r="AG49" t="s">
        <v>4419</v>
      </c>
      <c r="AH49" t="s">
        <v>2206</v>
      </c>
      <c r="AI49" t="s">
        <v>232</v>
      </c>
      <c r="AJ49" s="4" t="str">
        <f>"76119"</f>
        <v>76119</v>
      </c>
      <c r="AK49" t="s">
        <v>120</v>
      </c>
      <c r="AM49" s="5">
        <v>18174519675</v>
      </c>
      <c r="AO49" t="s">
        <v>4421</v>
      </c>
      <c r="AP49" t="s">
        <v>256</v>
      </c>
      <c r="AQ49" t="s">
        <v>2327</v>
      </c>
      <c r="AR49" t="s">
        <v>1063</v>
      </c>
      <c r="AS49" t="s">
        <v>1857</v>
      </c>
      <c r="AT49" t="s">
        <v>1284</v>
      </c>
      <c r="AU49" t="s">
        <v>138</v>
      </c>
      <c r="AV49" t="s">
        <v>1285</v>
      </c>
      <c r="AW49" t="s">
        <v>232</v>
      </c>
      <c r="AX49" s="4" t="str">
        <f>"77414"</f>
        <v>77414</v>
      </c>
      <c r="AY49" t="s">
        <v>120</v>
      </c>
      <c r="BA49" s="5">
        <v>19793187280</v>
      </c>
      <c r="BC49" t="s">
        <v>2328</v>
      </c>
      <c r="BD49" t="s">
        <v>1287</v>
      </c>
      <c r="BG49" t="s">
        <v>232</v>
      </c>
      <c r="BH49" s="1">
        <v>44895.791666666664</v>
      </c>
      <c r="BI49">
        <v>40</v>
      </c>
      <c r="BJ49">
        <v>0</v>
      </c>
      <c r="BK49">
        <v>8</v>
      </c>
      <c r="BL49">
        <v>8</v>
      </c>
      <c r="BM49">
        <v>8</v>
      </c>
      <c r="BN49">
        <v>8</v>
      </c>
      <c r="BO49">
        <v>8</v>
      </c>
      <c r="BP49">
        <v>0</v>
      </c>
      <c r="BQ49" t="str">
        <f>"7:00 AM"</f>
        <v>7:00 AM</v>
      </c>
      <c r="BR49" t="str">
        <f>"4:00 PM"</f>
        <v>4:00 PM</v>
      </c>
      <c r="BS49" t="s">
        <v>133</v>
      </c>
      <c r="BT49">
        <v>0</v>
      </c>
      <c r="BU49">
        <v>0</v>
      </c>
      <c r="BV49" t="s">
        <v>134</v>
      </c>
      <c r="BX49" s="2" t="s">
        <v>4422</v>
      </c>
      <c r="BY49" t="s">
        <v>4418</v>
      </c>
      <c r="BZ49" t="s">
        <v>138</v>
      </c>
      <c r="CA49" t="s">
        <v>2206</v>
      </c>
      <c r="CB49" t="s">
        <v>232</v>
      </c>
      <c r="CC49" s="4" t="str">
        <f>"76119"</f>
        <v>76119</v>
      </c>
      <c r="CD49" t="s">
        <v>2054</v>
      </c>
      <c r="CE49" t="s">
        <v>1528</v>
      </c>
      <c r="CF49" s="6">
        <v>16.3</v>
      </c>
      <c r="CH49" s="6">
        <v>24.45</v>
      </c>
      <c r="CJ49" t="s">
        <v>137</v>
      </c>
      <c r="CK49" t="s">
        <v>2332</v>
      </c>
      <c r="CL49" t="s">
        <v>4423</v>
      </c>
      <c r="CO49" t="s">
        <v>138</v>
      </c>
      <c r="CP49" t="s">
        <v>114</v>
      </c>
      <c r="CQ49" t="s">
        <v>114</v>
      </c>
      <c r="CR49" t="s">
        <v>114</v>
      </c>
      <c r="CS49" t="s">
        <v>114</v>
      </c>
      <c r="CT49" t="s">
        <v>114</v>
      </c>
      <c r="CU49" t="s">
        <v>134</v>
      </c>
      <c r="CV49" t="s">
        <v>5498</v>
      </c>
      <c r="CW49" s="5" t="str">
        <f>"+18174519675"</f>
        <v>+18174519675</v>
      </c>
      <c r="CX49" t="s">
        <v>4421</v>
      </c>
      <c r="CY49" t="s">
        <v>138</v>
      </c>
      <c r="CZ49" t="s">
        <v>139</v>
      </c>
      <c r="DA49" t="s">
        <v>134</v>
      </c>
      <c r="DB49" t="s">
        <v>134</v>
      </c>
      <c r="DC49" t="s">
        <v>114</v>
      </c>
      <c r="DD49" t="s">
        <v>134</v>
      </c>
    </row>
    <row r="50" spans="1:108" ht="15" customHeight="1" x14ac:dyDescent="0.25">
      <c r="A50" t="s">
        <v>16681</v>
      </c>
      <c r="B50" t="s">
        <v>165</v>
      </c>
      <c r="C50" s="1">
        <v>44896.472097569444</v>
      </c>
      <c r="D50" s="1">
        <v>44924</v>
      </c>
      <c r="E50" t="s">
        <v>134</v>
      </c>
      <c r="F50" t="s">
        <v>16111</v>
      </c>
      <c r="G50" t="str">
        <f>"47-2051.00"</f>
        <v>47-2051.00</v>
      </c>
      <c r="H50" t="s">
        <v>1508</v>
      </c>
      <c r="I50">
        <v>20</v>
      </c>
      <c r="J50">
        <v>20</v>
      </c>
      <c r="K50" s="1">
        <v>44986</v>
      </c>
      <c r="L50" s="1">
        <v>45273</v>
      </c>
      <c r="M50" s="1">
        <v>44986</v>
      </c>
      <c r="N50" s="1">
        <v>45273</v>
      </c>
      <c r="O50" t="s">
        <v>117</v>
      </c>
      <c r="P50" t="s">
        <v>16140</v>
      </c>
      <c r="Q50" t="s">
        <v>16141</v>
      </c>
      <c r="R50" t="s">
        <v>16142</v>
      </c>
      <c r="S50" t="s">
        <v>138</v>
      </c>
      <c r="T50" t="s">
        <v>6294</v>
      </c>
      <c r="U50" t="s">
        <v>232</v>
      </c>
      <c r="V50" s="4" t="str">
        <f>"78666"</f>
        <v>78666</v>
      </c>
      <c r="W50" t="s">
        <v>120</v>
      </c>
      <c r="X50" t="s">
        <v>138</v>
      </c>
      <c r="Y50" s="5">
        <v>15128059110</v>
      </c>
      <c r="AA50">
        <v>238110</v>
      </c>
      <c r="AB50" t="s">
        <v>16143</v>
      </c>
      <c r="AC50" t="s">
        <v>2514</v>
      </c>
      <c r="AD50" t="s">
        <v>138</v>
      </c>
      <c r="AE50" t="s">
        <v>9969</v>
      </c>
      <c r="AF50" t="s">
        <v>16142</v>
      </c>
      <c r="AG50" t="s">
        <v>138</v>
      </c>
      <c r="AH50" t="s">
        <v>6294</v>
      </c>
      <c r="AI50" t="s">
        <v>232</v>
      </c>
      <c r="AJ50" s="4" t="str">
        <f>"78666"</f>
        <v>78666</v>
      </c>
      <c r="AK50" t="s">
        <v>120</v>
      </c>
      <c r="AM50" s="5">
        <v>15128059110</v>
      </c>
      <c r="AO50" t="s">
        <v>16144</v>
      </c>
      <c r="AP50" t="s">
        <v>256</v>
      </c>
      <c r="AQ50" t="s">
        <v>1352</v>
      </c>
      <c r="AR50" t="s">
        <v>1353</v>
      </c>
      <c r="AS50" t="s">
        <v>138</v>
      </c>
      <c r="AT50" t="s">
        <v>2763</v>
      </c>
      <c r="AU50" t="s">
        <v>138</v>
      </c>
      <c r="AV50" t="s">
        <v>1285</v>
      </c>
      <c r="AW50" t="s">
        <v>232</v>
      </c>
      <c r="AX50" s="4" t="str">
        <f>"77414"</f>
        <v>77414</v>
      </c>
      <c r="AY50" t="s">
        <v>120</v>
      </c>
      <c r="BA50" s="5">
        <v>19793187285</v>
      </c>
      <c r="BC50" t="s">
        <v>1354</v>
      </c>
      <c r="BD50" t="s">
        <v>1287</v>
      </c>
      <c r="BG50" t="s">
        <v>232</v>
      </c>
      <c r="BH50" s="1">
        <v>44895.791666666664</v>
      </c>
      <c r="BI50">
        <v>45</v>
      </c>
      <c r="BJ50">
        <v>0</v>
      </c>
      <c r="BK50">
        <v>9</v>
      </c>
      <c r="BL50">
        <v>9</v>
      </c>
      <c r="BM50">
        <v>9</v>
      </c>
      <c r="BN50">
        <v>9</v>
      </c>
      <c r="BO50">
        <v>9</v>
      </c>
      <c r="BP50">
        <v>0</v>
      </c>
      <c r="BQ50" t="str">
        <f>"7:00 AM"</f>
        <v>7:00 AM</v>
      </c>
      <c r="BR50" t="str">
        <f>"5:00 PM"</f>
        <v>5:00 PM</v>
      </c>
      <c r="BS50" t="s">
        <v>133</v>
      </c>
      <c r="BT50">
        <v>0</v>
      </c>
      <c r="BU50">
        <v>0</v>
      </c>
      <c r="BV50" t="s">
        <v>134</v>
      </c>
      <c r="BX50" s="2" t="s">
        <v>16145</v>
      </c>
      <c r="BY50" t="s">
        <v>16142</v>
      </c>
      <c r="BZ50" t="s">
        <v>138</v>
      </c>
      <c r="CA50" t="s">
        <v>6294</v>
      </c>
      <c r="CB50" t="s">
        <v>232</v>
      </c>
      <c r="CC50" s="4" t="str">
        <f>"78666"</f>
        <v>78666</v>
      </c>
      <c r="CD50" t="s">
        <v>8179</v>
      </c>
      <c r="CE50" t="s">
        <v>949</v>
      </c>
      <c r="CF50" s="6">
        <v>21.24</v>
      </c>
      <c r="CH50" s="6">
        <v>31.86</v>
      </c>
      <c r="CJ50" t="s">
        <v>137</v>
      </c>
      <c r="CK50" t="s">
        <v>16146</v>
      </c>
      <c r="CL50" t="s">
        <v>16147</v>
      </c>
      <c r="CO50" t="s">
        <v>138</v>
      </c>
      <c r="CP50" t="s">
        <v>114</v>
      </c>
      <c r="CQ50" t="s">
        <v>114</v>
      </c>
      <c r="CR50" t="s">
        <v>114</v>
      </c>
      <c r="CS50" t="s">
        <v>114</v>
      </c>
      <c r="CT50" t="s">
        <v>114</v>
      </c>
      <c r="CU50" t="s">
        <v>134</v>
      </c>
      <c r="CV50" t="s">
        <v>1356</v>
      </c>
      <c r="CW50" s="5" t="str">
        <f>"+15128059110"</f>
        <v>+15128059110</v>
      </c>
      <c r="CX50" t="s">
        <v>16144</v>
      </c>
      <c r="CY50" t="s">
        <v>138</v>
      </c>
      <c r="CZ50" t="s">
        <v>139</v>
      </c>
      <c r="DA50" t="s">
        <v>134</v>
      </c>
      <c r="DB50" t="s">
        <v>134</v>
      </c>
      <c r="DC50" t="s">
        <v>114</v>
      </c>
      <c r="DD50" t="s">
        <v>134</v>
      </c>
    </row>
    <row r="51" spans="1:108" ht="15" customHeight="1" x14ac:dyDescent="0.25">
      <c r="A51" t="s">
        <v>16070</v>
      </c>
      <c r="B51" t="s">
        <v>165</v>
      </c>
      <c r="C51" s="1">
        <v>44896.463833333335</v>
      </c>
      <c r="D51" s="1">
        <v>44924</v>
      </c>
      <c r="E51" t="s">
        <v>134</v>
      </c>
      <c r="F51" t="s">
        <v>7069</v>
      </c>
      <c r="G51" t="str">
        <f>"37-3011.00"</f>
        <v>37-3011.00</v>
      </c>
      <c r="H51" t="s">
        <v>335</v>
      </c>
      <c r="I51">
        <v>5</v>
      </c>
      <c r="J51">
        <v>5</v>
      </c>
      <c r="K51" s="1">
        <v>44986</v>
      </c>
      <c r="L51" s="1">
        <v>45245</v>
      </c>
      <c r="M51" s="1">
        <v>44986</v>
      </c>
      <c r="N51" s="1">
        <v>45245</v>
      </c>
      <c r="O51" t="s">
        <v>199</v>
      </c>
      <c r="P51" t="s">
        <v>7070</v>
      </c>
      <c r="R51" t="s">
        <v>7071</v>
      </c>
      <c r="S51" t="s">
        <v>7072</v>
      </c>
      <c r="T51" t="s">
        <v>6155</v>
      </c>
      <c r="U51" t="s">
        <v>479</v>
      </c>
      <c r="V51" s="4" t="str">
        <f>"20186"</f>
        <v>20186</v>
      </c>
      <c r="W51" t="s">
        <v>120</v>
      </c>
      <c r="X51" t="s">
        <v>138</v>
      </c>
      <c r="Y51" s="5">
        <v>15403473159</v>
      </c>
      <c r="AA51">
        <v>561730</v>
      </c>
      <c r="AB51" t="s">
        <v>7073</v>
      </c>
      <c r="AC51" t="s">
        <v>1362</v>
      </c>
      <c r="AD51" t="s">
        <v>138</v>
      </c>
      <c r="AE51" t="s">
        <v>342</v>
      </c>
      <c r="AF51" t="s">
        <v>7071</v>
      </c>
      <c r="AG51" t="s">
        <v>7072</v>
      </c>
      <c r="AH51" t="s">
        <v>6155</v>
      </c>
      <c r="AI51" t="s">
        <v>479</v>
      </c>
      <c r="AJ51" s="4" t="str">
        <f>"20186"</f>
        <v>20186</v>
      </c>
      <c r="AK51" t="s">
        <v>120</v>
      </c>
      <c r="AM51" s="5">
        <v>15403473159</v>
      </c>
      <c r="AO51" t="s">
        <v>7074</v>
      </c>
      <c r="AP51" t="s">
        <v>256</v>
      </c>
      <c r="AQ51" t="s">
        <v>2351</v>
      </c>
      <c r="AR51" t="s">
        <v>1353</v>
      </c>
      <c r="AS51" t="s">
        <v>259</v>
      </c>
      <c r="AT51" t="s">
        <v>2352</v>
      </c>
      <c r="AU51" t="s">
        <v>138</v>
      </c>
      <c r="AV51" t="s">
        <v>1285</v>
      </c>
      <c r="AW51" t="s">
        <v>232</v>
      </c>
      <c r="AX51" s="4" t="str">
        <f>"77414"</f>
        <v>77414</v>
      </c>
      <c r="AY51" t="s">
        <v>120</v>
      </c>
      <c r="BA51" s="5">
        <v>19793187283</v>
      </c>
      <c r="BC51" t="s">
        <v>2353</v>
      </c>
      <c r="BD51" t="s">
        <v>1287</v>
      </c>
      <c r="BG51" t="s">
        <v>479</v>
      </c>
      <c r="BH51" s="1">
        <v>44895.791666666664</v>
      </c>
      <c r="BI51">
        <v>40</v>
      </c>
      <c r="BJ51">
        <v>0</v>
      </c>
      <c r="BK51">
        <v>8</v>
      </c>
      <c r="BL51">
        <v>8</v>
      </c>
      <c r="BM51">
        <v>8</v>
      </c>
      <c r="BN51">
        <v>8</v>
      </c>
      <c r="BO51">
        <v>8</v>
      </c>
      <c r="BP51">
        <v>0</v>
      </c>
      <c r="BQ51" t="str">
        <f>"7:00 AM"</f>
        <v>7:00 AM</v>
      </c>
      <c r="BR51" t="str">
        <f>"4:00 PM"</f>
        <v>4:00 PM</v>
      </c>
      <c r="BS51" t="s">
        <v>133</v>
      </c>
      <c r="BT51">
        <v>0</v>
      </c>
      <c r="BU51">
        <v>0</v>
      </c>
      <c r="BV51" t="s">
        <v>134</v>
      </c>
      <c r="BX51" s="2" t="s">
        <v>16071</v>
      </c>
      <c r="BY51" t="s">
        <v>7071</v>
      </c>
      <c r="BZ51" t="s">
        <v>138</v>
      </c>
      <c r="CA51" t="s">
        <v>6155</v>
      </c>
      <c r="CB51" t="s">
        <v>479</v>
      </c>
      <c r="CC51" s="4" t="str">
        <f>"20186"</f>
        <v>20186</v>
      </c>
      <c r="CD51" t="s">
        <v>6156</v>
      </c>
      <c r="CE51" t="s">
        <v>355</v>
      </c>
      <c r="CF51" s="6">
        <v>18.36</v>
      </c>
      <c r="CH51" s="6">
        <v>27.54</v>
      </c>
      <c r="CJ51" t="s">
        <v>137</v>
      </c>
      <c r="CK51" t="s">
        <v>2617</v>
      </c>
      <c r="CL51" t="s">
        <v>7075</v>
      </c>
      <c r="CO51" t="s">
        <v>138</v>
      </c>
      <c r="CP51" t="s">
        <v>114</v>
      </c>
      <c r="CQ51" t="s">
        <v>114</v>
      </c>
      <c r="CR51" t="s">
        <v>114</v>
      </c>
      <c r="CS51" t="s">
        <v>114</v>
      </c>
      <c r="CT51" t="s">
        <v>114</v>
      </c>
      <c r="CU51" t="s">
        <v>134</v>
      </c>
      <c r="CV51" t="s">
        <v>2056</v>
      </c>
      <c r="CW51" s="5" t="str">
        <f>"+15403473159"</f>
        <v>+15403473159</v>
      </c>
      <c r="CX51" t="s">
        <v>7076</v>
      </c>
      <c r="CY51" t="s">
        <v>138</v>
      </c>
      <c r="CZ51" t="s">
        <v>139</v>
      </c>
      <c r="DA51" t="s">
        <v>134</v>
      </c>
      <c r="DB51" t="s">
        <v>134</v>
      </c>
      <c r="DC51" t="s">
        <v>114</v>
      </c>
      <c r="DD51" t="s">
        <v>134</v>
      </c>
    </row>
    <row r="52" spans="1:108" ht="15" customHeight="1" x14ac:dyDescent="0.25">
      <c r="A52" t="s">
        <v>15535</v>
      </c>
      <c r="B52" t="s">
        <v>165</v>
      </c>
      <c r="C52" s="1">
        <v>44896.45411770833</v>
      </c>
      <c r="D52" s="1">
        <v>44924</v>
      </c>
      <c r="E52" t="s">
        <v>134</v>
      </c>
      <c r="F52" t="s">
        <v>8129</v>
      </c>
      <c r="G52" t="str">
        <f>"35-3031.00"</f>
        <v>35-3031.00</v>
      </c>
      <c r="H52" t="s">
        <v>389</v>
      </c>
      <c r="I52">
        <v>8</v>
      </c>
      <c r="J52">
        <v>8</v>
      </c>
      <c r="K52" s="1">
        <v>44986</v>
      </c>
      <c r="L52" s="1">
        <v>45291</v>
      </c>
      <c r="M52" s="1">
        <v>44986</v>
      </c>
      <c r="N52" s="1">
        <v>45291</v>
      </c>
      <c r="O52" t="s">
        <v>117</v>
      </c>
      <c r="P52" t="s">
        <v>7291</v>
      </c>
      <c r="R52" t="s">
        <v>7292</v>
      </c>
      <c r="S52" t="s">
        <v>138</v>
      </c>
      <c r="T52" t="s">
        <v>4410</v>
      </c>
      <c r="U52" t="s">
        <v>1349</v>
      </c>
      <c r="V52" s="4" t="str">
        <f>"72212"</f>
        <v>72212</v>
      </c>
      <c r="W52" t="s">
        <v>120</v>
      </c>
      <c r="X52" t="s">
        <v>138</v>
      </c>
      <c r="Y52" s="5">
        <v>15019753223</v>
      </c>
      <c r="AA52">
        <v>713910</v>
      </c>
      <c r="AB52" t="s">
        <v>7293</v>
      </c>
      <c r="AC52" t="s">
        <v>1149</v>
      </c>
      <c r="AD52" t="s">
        <v>138</v>
      </c>
      <c r="AE52" t="s">
        <v>1567</v>
      </c>
      <c r="AF52" t="s">
        <v>7292</v>
      </c>
      <c r="AG52" t="s">
        <v>138</v>
      </c>
      <c r="AH52" t="s">
        <v>4410</v>
      </c>
      <c r="AI52" t="s">
        <v>1349</v>
      </c>
      <c r="AJ52" s="4" t="str">
        <f>"72212"</f>
        <v>72212</v>
      </c>
      <c r="AK52" t="s">
        <v>120</v>
      </c>
      <c r="AM52" s="5">
        <v>15019753223</v>
      </c>
      <c r="AO52" t="s">
        <v>7294</v>
      </c>
      <c r="AP52" t="s">
        <v>256</v>
      </c>
      <c r="AQ52" t="s">
        <v>2351</v>
      </c>
      <c r="AR52" t="s">
        <v>1353</v>
      </c>
      <c r="AS52" t="s">
        <v>259</v>
      </c>
      <c r="AT52" t="s">
        <v>2352</v>
      </c>
      <c r="AU52" t="s">
        <v>138</v>
      </c>
      <c r="AV52" t="s">
        <v>1285</v>
      </c>
      <c r="AW52" t="s">
        <v>232</v>
      </c>
      <c r="AX52" s="4" t="str">
        <f>"77414"</f>
        <v>77414</v>
      </c>
      <c r="AY52" t="s">
        <v>120</v>
      </c>
      <c r="BA52" s="5">
        <v>19793187283</v>
      </c>
      <c r="BC52" t="s">
        <v>2353</v>
      </c>
      <c r="BD52" t="s">
        <v>1287</v>
      </c>
      <c r="BG52" t="s">
        <v>1349</v>
      </c>
      <c r="BH52" s="1">
        <v>44895.791666666664</v>
      </c>
      <c r="BI52">
        <v>42</v>
      </c>
      <c r="BJ52">
        <v>7</v>
      </c>
      <c r="BK52">
        <v>0</v>
      </c>
      <c r="BL52">
        <v>7</v>
      </c>
      <c r="BM52">
        <v>7</v>
      </c>
      <c r="BN52">
        <v>7</v>
      </c>
      <c r="BO52">
        <v>7</v>
      </c>
      <c r="BP52">
        <v>7</v>
      </c>
      <c r="BQ52" t="str">
        <f>"9:00 AM"</f>
        <v>9:00 AM</v>
      </c>
      <c r="BR52" t="str">
        <f>"4:00 PM"</f>
        <v>4:00 PM</v>
      </c>
      <c r="BS52" t="s">
        <v>133</v>
      </c>
      <c r="BT52">
        <v>0</v>
      </c>
      <c r="BU52">
        <v>0</v>
      </c>
      <c r="BV52" t="s">
        <v>134</v>
      </c>
      <c r="BX52" s="2" t="s">
        <v>15536</v>
      </c>
      <c r="BY52" t="s">
        <v>7292</v>
      </c>
      <c r="BZ52" t="s">
        <v>138</v>
      </c>
      <c r="CA52" t="s">
        <v>4410</v>
      </c>
      <c r="CB52" t="s">
        <v>1349</v>
      </c>
      <c r="CC52" s="4" t="str">
        <f>"72212"</f>
        <v>72212</v>
      </c>
      <c r="CD52" t="s">
        <v>4412</v>
      </c>
      <c r="CE52" t="s">
        <v>4413</v>
      </c>
      <c r="CF52" s="6">
        <v>11.61</v>
      </c>
      <c r="CG52" s="6">
        <v>14</v>
      </c>
      <c r="CH52" s="6">
        <v>17.420000000000002</v>
      </c>
      <c r="CI52" s="6">
        <v>21</v>
      </c>
      <c r="CJ52" t="s">
        <v>137</v>
      </c>
      <c r="CK52" t="s">
        <v>2386</v>
      </c>
      <c r="CL52" t="s">
        <v>15537</v>
      </c>
      <c r="CO52" t="s">
        <v>138</v>
      </c>
      <c r="CP52" t="s">
        <v>134</v>
      </c>
      <c r="CQ52" t="s">
        <v>134</v>
      </c>
      <c r="CR52" t="s">
        <v>114</v>
      </c>
      <c r="CS52" t="s">
        <v>114</v>
      </c>
      <c r="CT52" t="s">
        <v>114</v>
      </c>
      <c r="CU52" t="s">
        <v>114</v>
      </c>
      <c r="CV52" t="s">
        <v>15538</v>
      </c>
      <c r="CW52" s="5" t="str">
        <f>"+15019753224"</f>
        <v>+15019753224</v>
      </c>
      <c r="CX52" t="s">
        <v>7294</v>
      </c>
      <c r="CY52" t="s">
        <v>138</v>
      </c>
      <c r="CZ52" t="s">
        <v>139</v>
      </c>
      <c r="DA52" t="s">
        <v>134</v>
      </c>
      <c r="DB52" t="s">
        <v>114</v>
      </c>
      <c r="DC52" t="s">
        <v>114</v>
      </c>
      <c r="DD52" t="s">
        <v>134</v>
      </c>
    </row>
    <row r="53" spans="1:108" ht="15" customHeight="1" x14ac:dyDescent="0.25">
      <c r="A53" t="s">
        <v>15597</v>
      </c>
      <c r="B53" t="s">
        <v>165</v>
      </c>
      <c r="C53" s="1">
        <v>44896.453974652781</v>
      </c>
      <c r="D53" s="1">
        <v>44924</v>
      </c>
      <c r="E53" t="s">
        <v>134</v>
      </c>
      <c r="F53" t="s">
        <v>1445</v>
      </c>
      <c r="G53" t="str">
        <f>"37-3011.00"</f>
        <v>37-3011.00</v>
      </c>
      <c r="H53" t="s">
        <v>335</v>
      </c>
      <c r="I53">
        <v>18</v>
      </c>
      <c r="J53">
        <v>18</v>
      </c>
      <c r="K53" s="1">
        <v>44986</v>
      </c>
      <c r="L53" s="1">
        <v>45260</v>
      </c>
      <c r="M53" s="1">
        <v>44986</v>
      </c>
      <c r="N53" s="1">
        <v>45260</v>
      </c>
      <c r="O53" t="s">
        <v>199</v>
      </c>
      <c r="P53" t="s">
        <v>15598</v>
      </c>
      <c r="R53" t="s">
        <v>15599</v>
      </c>
      <c r="T53" t="s">
        <v>4544</v>
      </c>
      <c r="U53" t="s">
        <v>232</v>
      </c>
      <c r="V53" s="4" t="str">
        <f>"76011"</f>
        <v>76011</v>
      </c>
      <c r="W53" t="s">
        <v>120</v>
      </c>
      <c r="Y53" s="5">
        <v>18176400122</v>
      </c>
      <c r="AA53">
        <v>5617</v>
      </c>
      <c r="AB53" t="s">
        <v>15600</v>
      </c>
      <c r="AC53" t="s">
        <v>15601</v>
      </c>
      <c r="AD53" t="s">
        <v>138</v>
      </c>
      <c r="AE53" t="s">
        <v>3935</v>
      </c>
      <c r="AF53" t="s">
        <v>15599</v>
      </c>
      <c r="AH53" t="s">
        <v>4544</v>
      </c>
      <c r="AI53" t="s">
        <v>232</v>
      </c>
      <c r="AJ53" s="4" t="str">
        <f>"76011"</f>
        <v>76011</v>
      </c>
      <c r="AK53" t="s">
        <v>120</v>
      </c>
      <c r="AM53" s="5">
        <v>18176400122</v>
      </c>
      <c r="AO53" t="s">
        <v>15602</v>
      </c>
      <c r="AP53" t="s">
        <v>256</v>
      </c>
      <c r="AQ53" t="s">
        <v>1447</v>
      </c>
      <c r="AR53" t="s">
        <v>1448</v>
      </c>
      <c r="AS53" t="s">
        <v>1449</v>
      </c>
      <c r="AT53" t="s">
        <v>1450</v>
      </c>
      <c r="AV53" t="s">
        <v>1451</v>
      </c>
      <c r="AW53" t="s">
        <v>232</v>
      </c>
      <c r="AX53" s="4" t="str">
        <f>"78640"</f>
        <v>78640</v>
      </c>
      <c r="AY53" t="s">
        <v>120</v>
      </c>
      <c r="BA53" s="5">
        <v>15127405256</v>
      </c>
      <c r="BC53" t="s">
        <v>1452</v>
      </c>
      <c r="BD53" t="s">
        <v>1453</v>
      </c>
      <c r="BG53" t="s">
        <v>232</v>
      </c>
      <c r="BH53" s="1">
        <v>44894.791666666664</v>
      </c>
      <c r="BI53">
        <v>40</v>
      </c>
      <c r="BJ53">
        <v>0</v>
      </c>
      <c r="BK53">
        <v>8</v>
      </c>
      <c r="BL53">
        <v>8</v>
      </c>
      <c r="BM53">
        <v>8</v>
      </c>
      <c r="BN53">
        <v>8</v>
      </c>
      <c r="BO53">
        <v>8</v>
      </c>
      <c r="BP53">
        <v>0</v>
      </c>
      <c r="BQ53" t="str">
        <f>"8:00 AM"</f>
        <v>8:00 AM</v>
      </c>
      <c r="BR53" t="str">
        <f>"4:00 PM"</f>
        <v>4:00 PM</v>
      </c>
      <c r="BS53" t="s">
        <v>133</v>
      </c>
      <c r="BT53">
        <v>0</v>
      </c>
      <c r="BU53">
        <v>0</v>
      </c>
      <c r="BV53" t="s">
        <v>134</v>
      </c>
      <c r="BX53" t="s">
        <v>138</v>
      </c>
      <c r="BY53" t="s">
        <v>15599</v>
      </c>
      <c r="CA53" t="s">
        <v>4544</v>
      </c>
      <c r="CB53" t="s">
        <v>232</v>
      </c>
      <c r="CC53" s="4" t="str">
        <f>"76011"</f>
        <v>76011</v>
      </c>
      <c r="CD53" t="s">
        <v>2054</v>
      </c>
      <c r="CE53" t="s">
        <v>1528</v>
      </c>
      <c r="CF53" s="6">
        <v>16.3</v>
      </c>
      <c r="CG53" s="6">
        <v>16.489999999999998</v>
      </c>
      <c r="CH53" s="6">
        <v>24.45</v>
      </c>
      <c r="CI53" s="6">
        <v>24.73</v>
      </c>
      <c r="CJ53" t="s">
        <v>137</v>
      </c>
      <c r="CK53" t="s">
        <v>138</v>
      </c>
      <c r="CL53" t="s">
        <v>15603</v>
      </c>
      <c r="CO53" t="s">
        <v>138</v>
      </c>
      <c r="CP53" t="s">
        <v>114</v>
      </c>
      <c r="CQ53" t="s">
        <v>114</v>
      </c>
      <c r="CR53" t="s">
        <v>114</v>
      </c>
      <c r="CS53" t="s">
        <v>134</v>
      </c>
      <c r="CT53" t="s">
        <v>114</v>
      </c>
      <c r="CU53" t="s">
        <v>134</v>
      </c>
      <c r="CV53" t="s">
        <v>1456</v>
      </c>
      <c r="CW53" s="5" t="str">
        <f>"+18178044200"</f>
        <v>+18178044200</v>
      </c>
      <c r="CX53" t="s">
        <v>138</v>
      </c>
      <c r="CY53" t="s">
        <v>2727</v>
      </c>
      <c r="CZ53" t="s">
        <v>139</v>
      </c>
      <c r="DA53" t="s">
        <v>134</v>
      </c>
      <c r="DB53" t="s">
        <v>134</v>
      </c>
      <c r="DC53" t="s">
        <v>114</v>
      </c>
      <c r="DD53" t="s">
        <v>134</v>
      </c>
    </row>
    <row r="54" spans="1:108" ht="15" customHeight="1" x14ac:dyDescent="0.25">
      <c r="A54" t="s">
        <v>3913</v>
      </c>
      <c r="B54" t="s">
        <v>165</v>
      </c>
      <c r="C54" s="1">
        <v>44896.451786111109</v>
      </c>
      <c r="D54" s="1">
        <v>44924</v>
      </c>
      <c r="E54" t="s">
        <v>134</v>
      </c>
      <c r="F54" t="s">
        <v>1445</v>
      </c>
      <c r="G54" t="str">
        <f>"37-3011.00"</f>
        <v>37-3011.00</v>
      </c>
      <c r="H54" t="s">
        <v>335</v>
      </c>
      <c r="I54">
        <v>15</v>
      </c>
      <c r="J54">
        <v>15</v>
      </c>
      <c r="K54" s="1">
        <v>44986</v>
      </c>
      <c r="L54" s="1">
        <v>45260</v>
      </c>
      <c r="M54" s="1">
        <v>44986</v>
      </c>
      <c r="N54" s="1">
        <v>45260</v>
      </c>
      <c r="O54" t="s">
        <v>199</v>
      </c>
      <c r="P54" t="s">
        <v>3914</v>
      </c>
      <c r="R54" t="s">
        <v>3915</v>
      </c>
      <c r="T54" t="s">
        <v>1838</v>
      </c>
      <c r="U54" t="s">
        <v>1411</v>
      </c>
      <c r="V54" s="4" t="str">
        <f>"45226"</f>
        <v>45226</v>
      </c>
      <c r="W54" t="s">
        <v>120</v>
      </c>
      <c r="Y54" s="5">
        <v>15137311334</v>
      </c>
      <c r="AA54">
        <v>5617</v>
      </c>
      <c r="AB54" t="s">
        <v>3916</v>
      </c>
      <c r="AC54" t="s">
        <v>3917</v>
      </c>
      <c r="AD54" t="s">
        <v>138</v>
      </c>
      <c r="AE54" t="s">
        <v>1961</v>
      </c>
      <c r="AF54" t="s">
        <v>3915</v>
      </c>
      <c r="AH54" t="s">
        <v>1838</v>
      </c>
      <c r="AI54" t="s">
        <v>1411</v>
      </c>
      <c r="AJ54" s="4" t="str">
        <f>"45226"</f>
        <v>45226</v>
      </c>
      <c r="AK54" t="s">
        <v>120</v>
      </c>
      <c r="AM54" s="5">
        <v>15137311334</v>
      </c>
      <c r="AO54" t="s">
        <v>3918</v>
      </c>
      <c r="AP54" t="s">
        <v>256</v>
      </c>
      <c r="AQ54" t="s">
        <v>1447</v>
      </c>
      <c r="AR54" t="s">
        <v>1448</v>
      </c>
      <c r="AS54" t="s">
        <v>1449</v>
      </c>
      <c r="AT54" t="s">
        <v>1450</v>
      </c>
      <c r="AV54" t="s">
        <v>1451</v>
      </c>
      <c r="AW54" t="s">
        <v>232</v>
      </c>
      <c r="AX54" s="4" t="str">
        <f>"78640"</f>
        <v>78640</v>
      </c>
      <c r="AY54" t="s">
        <v>120</v>
      </c>
      <c r="BA54" s="5">
        <v>15127405256</v>
      </c>
      <c r="BC54" t="s">
        <v>1452</v>
      </c>
      <c r="BD54" t="s">
        <v>1453</v>
      </c>
      <c r="BG54" t="s">
        <v>1411</v>
      </c>
      <c r="BH54" s="1">
        <v>44894.791666666664</v>
      </c>
      <c r="BI54">
        <v>40</v>
      </c>
      <c r="BJ54">
        <v>0</v>
      </c>
      <c r="BK54">
        <v>8</v>
      </c>
      <c r="BL54">
        <v>8</v>
      </c>
      <c r="BM54">
        <v>8</v>
      </c>
      <c r="BN54">
        <v>8</v>
      </c>
      <c r="BO54">
        <v>8</v>
      </c>
      <c r="BP54">
        <v>0</v>
      </c>
      <c r="BQ54" t="str">
        <f>"8:00 AM"</f>
        <v>8:00 AM</v>
      </c>
      <c r="BR54" t="str">
        <f>"4:00 PM"</f>
        <v>4:00 PM</v>
      </c>
      <c r="BS54" t="s">
        <v>133</v>
      </c>
      <c r="BT54">
        <v>0</v>
      </c>
      <c r="BU54">
        <v>0</v>
      </c>
      <c r="BV54" t="s">
        <v>134</v>
      </c>
      <c r="BX54" t="s">
        <v>138</v>
      </c>
      <c r="BY54" t="s">
        <v>3915</v>
      </c>
      <c r="CA54" t="s">
        <v>1838</v>
      </c>
      <c r="CB54" t="s">
        <v>1411</v>
      </c>
      <c r="CC54" s="4" t="str">
        <f>"45226"</f>
        <v>45226</v>
      </c>
      <c r="CD54" t="s">
        <v>1839</v>
      </c>
      <c r="CE54" t="s">
        <v>1417</v>
      </c>
      <c r="CF54" s="6">
        <v>16.04</v>
      </c>
      <c r="CG54" s="6">
        <v>16.04</v>
      </c>
      <c r="CH54" s="6">
        <v>24.06</v>
      </c>
      <c r="CI54" s="6">
        <v>24.06</v>
      </c>
      <c r="CJ54" t="s">
        <v>137</v>
      </c>
      <c r="CK54" t="s">
        <v>138</v>
      </c>
      <c r="CL54" t="s">
        <v>3919</v>
      </c>
      <c r="CO54" t="s">
        <v>138</v>
      </c>
      <c r="CP54" t="s">
        <v>114</v>
      </c>
      <c r="CQ54" t="s">
        <v>114</v>
      </c>
      <c r="CR54" t="s">
        <v>114</v>
      </c>
      <c r="CS54" t="s">
        <v>134</v>
      </c>
      <c r="CT54" t="s">
        <v>114</v>
      </c>
      <c r="CU54" t="s">
        <v>134</v>
      </c>
      <c r="CV54" t="s">
        <v>1456</v>
      </c>
      <c r="CW54" s="5" t="str">
        <f>"+15139467200"</f>
        <v>+15139467200</v>
      </c>
      <c r="CX54" t="s">
        <v>138</v>
      </c>
      <c r="CY54" t="s">
        <v>1840</v>
      </c>
      <c r="CZ54" t="s">
        <v>139</v>
      </c>
      <c r="DA54" t="s">
        <v>134</v>
      </c>
      <c r="DB54" t="s">
        <v>134</v>
      </c>
      <c r="DC54" t="s">
        <v>114</v>
      </c>
      <c r="DD54" t="s">
        <v>134</v>
      </c>
    </row>
    <row r="55" spans="1:108" ht="15" customHeight="1" x14ac:dyDescent="0.25">
      <c r="A55" t="s">
        <v>10075</v>
      </c>
      <c r="B55" t="s">
        <v>165</v>
      </c>
      <c r="C55" s="1">
        <v>44896.447925115739</v>
      </c>
      <c r="D55" s="1">
        <v>44924</v>
      </c>
      <c r="E55" t="s">
        <v>134</v>
      </c>
      <c r="F55" t="s">
        <v>334</v>
      </c>
      <c r="G55" t="str">
        <f>"37-3011.00"</f>
        <v>37-3011.00</v>
      </c>
      <c r="H55" t="s">
        <v>335</v>
      </c>
      <c r="I55">
        <v>24</v>
      </c>
      <c r="J55">
        <v>24</v>
      </c>
      <c r="K55" s="1">
        <v>44986</v>
      </c>
      <c r="L55" s="1">
        <v>45260</v>
      </c>
      <c r="M55" s="1">
        <v>44986</v>
      </c>
      <c r="N55" s="1">
        <v>45260</v>
      </c>
      <c r="O55" t="s">
        <v>117</v>
      </c>
      <c r="P55" t="s">
        <v>5910</v>
      </c>
      <c r="Q55" t="s">
        <v>5911</v>
      </c>
      <c r="R55" t="s">
        <v>5912</v>
      </c>
      <c r="S55" t="s">
        <v>5913</v>
      </c>
      <c r="T55" t="s">
        <v>3477</v>
      </c>
      <c r="U55" t="s">
        <v>181</v>
      </c>
      <c r="V55" s="4" t="str">
        <f>"81637"</f>
        <v>81637</v>
      </c>
      <c r="W55" t="s">
        <v>120</v>
      </c>
      <c r="X55" t="s">
        <v>138</v>
      </c>
      <c r="Y55" s="5">
        <v>19707488461</v>
      </c>
      <c r="AA55">
        <v>561730</v>
      </c>
      <c r="AB55" t="s">
        <v>5914</v>
      </c>
      <c r="AC55" t="s">
        <v>5915</v>
      </c>
      <c r="AD55" t="s">
        <v>138</v>
      </c>
      <c r="AE55" t="s">
        <v>342</v>
      </c>
      <c r="AF55" t="s">
        <v>5912</v>
      </c>
      <c r="AG55" t="s">
        <v>5913</v>
      </c>
      <c r="AH55" t="s">
        <v>3477</v>
      </c>
      <c r="AI55" t="s">
        <v>181</v>
      </c>
      <c r="AJ55" s="4" t="str">
        <f>"81637"</f>
        <v>81637</v>
      </c>
      <c r="AK55" t="s">
        <v>120</v>
      </c>
      <c r="AM55" s="5">
        <v>19707488461</v>
      </c>
      <c r="AO55" t="s">
        <v>5916</v>
      </c>
      <c r="AP55" t="s">
        <v>256</v>
      </c>
      <c r="AQ55" t="s">
        <v>2351</v>
      </c>
      <c r="AR55" t="s">
        <v>1353</v>
      </c>
      <c r="AS55" t="s">
        <v>259</v>
      </c>
      <c r="AT55" t="s">
        <v>2352</v>
      </c>
      <c r="AU55" t="s">
        <v>138</v>
      </c>
      <c r="AV55" t="s">
        <v>1285</v>
      </c>
      <c r="AW55" t="s">
        <v>232</v>
      </c>
      <c r="AX55" s="4" t="str">
        <f t="shared" ref="AX55:AX60" si="1">"77414"</f>
        <v>77414</v>
      </c>
      <c r="AY55" t="s">
        <v>120</v>
      </c>
      <c r="BA55" s="5">
        <v>19793187283</v>
      </c>
      <c r="BC55" t="s">
        <v>2353</v>
      </c>
      <c r="BD55" t="s">
        <v>1287</v>
      </c>
      <c r="BG55" t="s">
        <v>181</v>
      </c>
      <c r="BH55" s="1">
        <v>44895.791666666664</v>
      </c>
      <c r="BI55">
        <v>40</v>
      </c>
      <c r="BJ55">
        <v>0</v>
      </c>
      <c r="BK55">
        <v>10</v>
      </c>
      <c r="BL55">
        <v>10</v>
      </c>
      <c r="BM55">
        <v>10</v>
      </c>
      <c r="BN55">
        <v>10</v>
      </c>
      <c r="BO55">
        <v>0</v>
      </c>
      <c r="BP55">
        <v>0</v>
      </c>
      <c r="BQ55" t="str">
        <f>"7:30 AM"</f>
        <v>7:30 AM</v>
      </c>
      <c r="BR55" t="str">
        <f>"6:00 PM"</f>
        <v>6:00 PM</v>
      </c>
      <c r="BS55" t="s">
        <v>133</v>
      </c>
      <c r="BT55">
        <v>0</v>
      </c>
      <c r="BU55">
        <v>0</v>
      </c>
      <c r="BV55" t="s">
        <v>134</v>
      </c>
      <c r="BX55" s="2" t="s">
        <v>5917</v>
      </c>
      <c r="BY55" t="s">
        <v>10076</v>
      </c>
      <c r="BZ55" t="s">
        <v>138</v>
      </c>
      <c r="CA55" t="s">
        <v>2442</v>
      </c>
      <c r="CB55" t="s">
        <v>181</v>
      </c>
      <c r="CC55" s="4" t="str">
        <f>"80111"</f>
        <v>80111</v>
      </c>
      <c r="CD55" t="s">
        <v>2443</v>
      </c>
      <c r="CE55" t="s">
        <v>1610</v>
      </c>
      <c r="CF55" s="6">
        <v>20.13</v>
      </c>
      <c r="CG55" s="6">
        <v>24</v>
      </c>
      <c r="CH55" s="6">
        <v>30.2</v>
      </c>
      <c r="CI55" s="6">
        <v>36</v>
      </c>
      <c r="CJ55" t="s">
        <v>137</v>
      </c>
      <c r="CK55" t="s">
        <v>5918</v>
      </c>
      <c r="CL55" t="s">
        <v>10077</v>
      </c>
      <c r="CO55" t="s">
        <v>138</v>
      </c>
      <c r="CP55" t="s">
        <v>114</v>
      </c>
      <c r="CQ55" t="s">
        <v>114</v>
      </c>
      <c r="CR55" t="s">
        <v>114</v>
      </c>
      <c r="CS55" t="s">
        <v>114</v>
      </c>
      <c r="CT55" t="s">
        <v>114</v>
      </c>
      <c r="CU55" t="s">
        <v>134</v>
      </c>
      <c r="CV55" t="s">
        <v>2056</v>
      </c>
      <c r="CW55" s="5" t="str">
        <f>"+19707488461"</f>
        <v>+19707488461</v>
      </c>
      <c r="CX55" t="s">
        <v>5916</v>
      </c>
      <c r="CY55" t="s">
        <v>138</v>
      </c>
      <c r="CZ55" t="s">
        <v>139</v>
      </c>
      <c r="DA55" t="s">
        <v>134</v>
      </c>
      <c r="DB55" t="s">
        <v>134</v>
      </c>
      <c r="DC55" t="s">
        <v>114</v>
      </c>
      <c r="DD55" t="s">
        <v>134</v>
      </c>
    </row>
    <row r="56" spans="1:108" ht="15" customHeight="1" x14ac:dyDescent="0.25">
      <c r="A56" t="s">
        <v>14046</v>
      </c>
      <c r="B56" t="s">
        <v>165</v>
      </c>
      <c r="C56" s="1">
        <v>44896.446600810188</v>
      </c>
      <c r="D56" s="1">
        <v>44924</v>
      </c>
      <c r="E56" t="s">
        <v>134</v>
      </c>
      <c r="F56" t="s">
        <v>334</v>
      </c>
      <c r="G56" t="str">
        <f>"37-3011.00"</f>
        <v>37-3011.00</v>
      </c>
      <c r="H56" t="s">
        <v>335</v>
      </c>
      <c r="I56">
        <v>6</v>
      </c>
      <c r="J56">
        <v>6</v>
      </c>
      <c r="K56" s="1">
        <v>44986</v>
      </c>
      <c r="L56" s="1">
        <v>45260</v>
      </c>
      <c r="M56" s="1">
        <v>44986</v>
      </c>
      <c r="N56" s="1">
        <v>45260</v>
      </c>
      <c r="O56" t="s">
        <v>199</v>
      </c>
      <c r="P56" t="s">
        <v>14047</v>
      </c>
      <c r="Q56" t="s">
        <v>14048</v>
      </c>
      <c r="R56" t="s">
        <v>14049</v>
      </c>
      <c r="S56" t="s">
        <v>138</v>
      </c>
      <c r="T56" t="s">
        <v>7353</v>
      </c>
      <c r="U56" t="s">
        <v>184</v>
      </c>
      <c r="V56" s="4" t="str">
        <f>"61615"</f>
        <v>61615</v>
      </c>
      <c r="W56" t="s">
        <v>120</v>
      </c>
      <c r="Y56" s="5">
        <v>13096914561</v>
      </c>
      <c r="AA56">
        <v>424930</v>
      </c>
      <c r="AB56" t="s">
        <v>14050</v>
      </c>
      <c r="AC56" t="s">
        <v>4015</v>
      </c>
      <c r="AE56" t="s">
        <v>6012</v>
      </c>
      <c r="AF56" t="s">
        <v>14049</v>
      </c>
      <c r="AH56" t="s">
        <v>7353</v>
      </c>
      <c r="AI56" t="s">
        <v>184</v>
      </c>
      <c r="AJ56" s="4" t="str">
        <f>"61615"</f>
        <v>61615</v>
      </c>
      <c r="AK56" t="s">
        <v>120</v>
      </c>
      <c r="AM56" s="5">
        <v>13096914561</v>
      </c>
      <c r="AO56" t="s">
        <v>14051</v>
      </c>
      <c r="AP56" t="s">
        <v>256</v>
      </c>
      <c r="AQ56" t="s">
        <v>2362</v>
      </c>
      <c r="AR56" t="s">
        <v>1907</v>
      </c>
      <c r="AS56" t="s">
        <v>1857</v>
      </c>
      <c r="AT56" t="s">
        <v>1284</v>
      </c>
      <c r="AV56" t="s">
        <v>1285</v>
      </c>
      <c r="AW56" t="s">
        <v>232</v>
      </c>
      <c r="AX56" s="4" t="str">
        <f t="shared" si="1"/>
        <v>77414</v>
      </c>
      <c r="AY56" t="s">
        <v>120</v>
      </c>
      <c r="BA56" s="5">
        <v>19793187282</v>
      </c>
      <c r="BC56" t="s">
        <v>2363</v>
      </c>
      <c r="BD56" t="s">
        <v>1287</v>
      </c>
      <c r="BG56" t="s">
        <v>184</v>
      </c>
      <c r="BH56" s="1">
        <v>44895.791666666664</v>
      </c>
      <c r="BI56">
        <v>40</v>
      </c>
      <c r="BJ56">
        <v>0</v>
      </c>
      <c r="BK56">
        <v>8</v>
      </c>
      <c r="BL56">
        <v>8</v>
      </c>
      <c r="BM56">
        <v>8</v>
      </c>
      <c r="BN56">
        <v>8</v>
      </c>
      <c r="BO56">
        <v>8</v>
      </c>
      <c r="BP56">
        <v>0</v>
      </c>
      <c r="BQ56" t="str">
        <f>"7:00 AM"</f>
        <v>7:00 AM</v>
      </c>
      <c r="BR56" t="str">
        <f>"4:00 PM"</f>
        <v>4:00 PM</v>
      </c>
      <c r="BS56" t="s">
        <v>133</v>
      </c>
      <c r="BT56">
        <v>0</v>
      </c>
      <c r="BU56">
        <v>0</v>
      </c>
      <c r="BV56" t="s">
        <v>134</v>
      </c>
      <c r="BX56" s="2" t="s">
        <v>14052</v>
      </c>
      <c r="BY56" t="s">
        <v>14049</v>
      </c>
      <c r="BZ56" t="s">
        <v>138</v>
      </c>
      <c r="CA56" t="s">
        <v>7353</v>
      </c>
      <c r="CB56" t="s">
        <v>184</v>
      </c>
      <c r="CC56" s="4" t="str">
        <f>"61615"</f>
        <v>61615</v>
      </c>
      <c r="CD56" t="s">
        <v>10104</v>
      </c>
      <c r="CE56" t="s">
        <v>10105</v>
      </c>
      <c r="CF56" s="6">
        <v>15.82</v>
      </c>
      <c r="CH56" s="6">
        <v>23.73</v>
      </c>
      <c r="CJ56" t="s">
        <v>137</v>
      </c>
      <c r="CK56" t="s">
        <v>2617</v>
      </c>
      <c r="CL56" t="s">
        <v>14053</v>
      </c>
      <c r="CO56" t="s">
        <v>138</v>
      </c>
      <c r="CP56" t="s">
        <v>114</v>
      </c>
      <c r="CQ56" t="s">
        <v>114</v>
      </c>
      <c r="CR56" t="s">
        <v>114</v>
      </c>
      <c r="CS56" t="s">
        <v>114</v>
      </c>
      <c r="CT56" t="s">
        <v>114</v>
      </c>
      <c r="CU56" t="s">
        <v>114</v>
      </c>
      <c r="CV56" t="s">
        <v>4408</v>
      </c>
      <c r="CW56" s="5" t="str">
        <f>"+13096892547"</f>
        <v>+13096892547</v>
      </c>
      <c r="CX56" t="s">
        <v>14051</v>
      </c>
      <c r="CY56" t="s">
        <v>138</v>
      </c>
      <c r="CZ56" t="s">
        <v>139</v>
      </c>
      <c r="DA56" t="s">
        <v>134</v>
      </c>
      <c r="DB56" t="s">
        <v>134</v>
      </c>
      <c r="DC56" t="s">
        <v>114</v>
      </c>
      <c r="DD56" t="s">
        <v>134</v>
      </c>
    </row>
    <row r="57" spans="1:108" ht="15" customHeight="1" x14ac:dyDescent="0.25">
      <c r="A57" t="s">
        <v>13366</v>
      </c>
      <c r="B57" t="s">
        <v>165</v>
      </c>
      <c r="C57" s="1">
        <v>44896.442970833334</v>
      </c>
      <c r="D57" s="1">
        <v>44924</v>
      </c>
      <c r="E57" t="s">
        <v>134</v>
      </c>
      <c r="F57" t="s">
        <v>334</v>
      </c>
      <c r="G57" t="str">
        <f>"37-3011.00"</f>
        <v>37-3011.00</v>
      </c>
      <c r="H57" t="s">
        <v>335</v>
      </c>
      <c r="I57">
        <v>110</v>
      </c>
      <c r="J57">
        <v>110</v>
      </c>
      <c r="K57" s="1">
        <v>44986</v>
      </c>
      <c r="L57" s="1">
        <v>45230</v>
      </c>
      <c r="M57" s="1">
        <v>44986</v>
      </c>
      <c r="N57" s="1">
        <v>45230</v>
      </c>
      <c r="O57" t="s">
        <v>117</v>
      </c>
      <c r="P57" t="s">
        <v>8094</v>
      </c>
      <c r="R57" t="s">
        <v>8095</v>
      </c>
      <c r="S57" t="s">
        <v>8096</v>
      </c>
      <c r="T57" t="s">
        <v>8097</v>
      </c>
      <c r="U57" t="s">
        <v>154</v>
      </c>
      <c r="V57" s="4" t="str">
        <f>"33781"</f>
        <v>33781</v>
      </c>
      <c r="W57" t="s">
        <v>120</v>
      </c>
      <c r="Y57" s="5">
        <v>17275850697</v>
      </c>
      <c r="AA57">
        <v>561730</v>
      </c>
      <c r="AB57" t="s">
        <v>1809</v>
      </c>
      <c r="AC57" t="s">
        <v>2170</v>
      </c>
      <c r="AE57" t="s">
        <v>1065</v>
      </c>
      <c r="AF57" t="s">
        <v>8095</v>
      </c>
      <c r="AG57" t="s">
        <v>8096</v>
      </c>
      <c r="AH57" t="s">
        <v>8097</v>
      </c>
      <c r="AI57" t="s">
        <v>154</v>
      </c>
      <c r="AJ57" s="4" t="str">
        <f>"33781"</f>
        <v>33781</v>
      </c>
      <c r="AK57" t="s">
        <v>120</v>
      </c>
      <c r="AM57" s="5">
        <v>17275850697</v>
      </c>
      <c r="AO57" t="s">
        <v>8098</v>
      </c>
      <c r="AP57" t="s">
        <v>256</v>
      </c>
      <c r="AQ57" t="s">
        <v>2327</v>
      </c>
      <c r="AR57" t="s">
        <v>1063</v>
      </c>
      <c r="AS57" t="s">
        <v>1857</v>
      </c>
      <c r="AT57" t="s">
        <v>1284</v>
      </c>
      <c r="AU57" t="s">
        <v>138</v>
      </c>
      <c r="AV57" t="s">
        <v>1285</v>
      </c>
      <c r="AW57" t="s">
        <v>232</v>
      </c>
      <c r="AX57" s="4" t="str">
        <f t="shared" si="1"/>
        <v>77414</v>
      </c>
      <c r="AY57" t="s">
        <v>120</v>
      </c>
      <c r="BA57" s="5">
        <v>19793187280</v>
      </c>
      <c r="BC57" t="s">
        <v>2328</v>
      </c>
      <c r="BD57" t="s">
        <v>1287</v>
      </c>
      <c r="BG57" t="s">
        <v>154</v>
      </c>
      <c r="BH57" s="1">
        <v>44895.791666666664</v>
      </c>
      <c r="BI57">
        <v>40</v>
      </c>
      <c r="BJ57">
        <v>0</v>
      </c>
      <c r="BK57">
        <v>8</v>
      </c>
      <c r="BL57">
        <v>8</v>
      </c>
      <c r="BM57">
        <v>8</v>
      </c>
      <c r="BN57">
        <v>8</v>
      </c>
      <c r="BO57">
        <v>8</v>
      </c>
      <c r="BP57">
        <v>0</v>
      </c>
      <c r="BQ57" t="str">
        <f>"7:00 AM"</f>
        <v>7:00 AM</v>
      </c>
      <c r="BR57" t="str">
        <f>"4:00 PM"</f>
        <v>4:00 PM</v>
      </c>
      <c r="BS57" t="s">
        <v>133</v>
      </c>
      <c r="BT57">
        <v>0</v>
      </c>
      <c r="BU57">
        <v>0</v>
      </c>
      <c r="BV57" t="s">
        <v>134</v>
      </c>
      <c r="BX57" s="2" t="s">
        <v>8099</v>
      </c>
      <c r="BY57" t="s">
        <v>8095</v>
      </c>
      <c r="BZ57" t="s">
        <v>138</v>
      </c>
      <c r="CA57" t="s">
        <v>8097</v>
      </c>
      <c r="CB57" t="s">
        <v>154</v>
      </c>
      <c r="CC57" s="4" t="str">
        <f>"33781"</f>
        <v>33781</v>
      </c>
      <c r="CD57" t="s">
        <v>2806</v>
      </c>
      <c r="CE57" t="s">
        <v>567</v>
      </c>
      <c r="CF57" s="6">
        <v>14.84</v>
      </c>
      <c r="CG57" s="6">
        <v>16.25</v>
      </c>
      <c r="CH57" s="6">
        <v>22.26</v>
      </c>
      <c r="CI57" s="6">
        <v>24.38</v>
      </c>
      <c r="CJ57" t="s">
        <v>137</v>
      </c>
      <c r="CK57" t="s">
        <v>2332</v>
      </c>
      <c r="CL57" t="s">
        <v>8100</v>
      </c>
      <c r="CO57" t="s">
        <v>138</v>
      </c>
      <c r="CP57" t="s">
        <v>114</v>
      </c>
      <c r="CQ57" t="s">
        <v>114</v>
      </c>
      <c r="CR57" t="s">
        <v>114</v>
      </c>
      <c r="CS57" t="s">
        <v>114</v>
      </c>
      <c r="CT57" t="s">
        <v>114</v>
      </c>
      <c r="CU57" t="s">
        <v>134</v>
      </c>
      <c r="CV57" t="s">
        <v>8101</v>
      </c>
      <c r="CW57" s="5" t="str">
        <f>"+17275850697"</f>
        <v>+17275850697</v>
      </c>
      <c r="CX57" t="s">
        <v>8098</v>
      </c>
      <c r="CY57" t="s">
        <v>138</v>
      </c>
      <c r="CZ57" t="s">
        <v>139</v>
      </c>
      <c r="DA57" t="s">
        <v>134</v>
      </c>
      <c r="DB57" t="s">
        <v>134</v>
      </c>
      <c r="DC57" t="s">
        <v>114</v>
      </c>
      <c r="DD57" t="s">
        <v>134</v>
      </c>
    </row>
    <row r="58" spans="1:108" ht="15" customHeight="1" x14ac:dyDescent="0.25">
      <c r="A58" t="s">
        <v>16718</v>
      </c>
      <c r="B58" t="s">
        <v>165</v>
      </c>
      <c r="C58" s="1">
        <v>44896.428539351851</v>
      </c>
      <c r="D58" s="1">
        <v>44924</v>
      </c>
      <c r="E58" t="s">
        <v>134</v>
      </c>
      <c r="F58" t="s">
        <v>12643</v>
      </c>
      <c r="G58" t="str">
        <f>"53-3033.00"</f>
        <v>53-3033.00</v>
      </c>
      <c r="H58" t="s">
        <v>4259</v>
      </c>
      <c r="I58">
        <v>8</v>
      </c>
      <c r="J58">
        <v>8</v>
      </c>
      <c r="K58" s="1">
        <v>44986</v>
      </c>
      <c r="L58" s="1">
        <v>45260</v>
      </c>
      <c r="M58" s="1">
        <v>44986</v>
      </c>
      <c r="N58" s="1">
        <v>45260</v>
      </c>
      <c r="O58" t="s">
        <v>117</v>
      </c>
      <c r="P58" t="s">
        <v>5565</v>
      </c>
      <c r="R58" t="s">
        <v>5566</v>
      </c>
      <c r="S58" t="s">
        <v>138</v>
      </c>
      <c r="T58" t="s">
        <v>5567</v>
      </c>
      <c r="U58" t="s">
        <v>281</v>
      </c>
      <c r="V58" s="4" t="str">
        <f>"02149"</f>
        <v>02149</v>
      </c>
      <c r="W58" t="s">
        <v>120</v>
      </c>
      <c r="Y58" s="5">
        <v>18579280876</v>
      </c>
      <c r="AA58">
        <v>484210</v>
      </c>
      <c r="AB58" t="s">
        <v>5568</v>
      </c>
      <c r="AC58" t="s">
        <v>5569</v>
      </c>
      <c r="AD58" t="s">
        <v>1857</v>
      </c>
      <c r="AE58" t="s">
        <v>1654</v>
      </c>
      <c r="AF58" t="s">
        <v>5566</v>
      </c>
      <c r="AG58" t="s">
        <v>138</v>
      </c>
      <c r="AH58" t="s">
        <v>5567</v>
      </c>
      <c r="AI58" t="s">
        <v>281</v>
      </c>
      <c r="AJ58" s="4" t="str">
        <f>"02149"</f>
        <v>02149</v>
      </c>
      <c r="AK58" t="s">
        <v>120</v>
      </c>
      <c r="AM58" s="5">
        <v>18579280876</v>
      </c>
      <c r="AO58" t="s">
        <v>5570</v>
      </c>
      <c r="AP58" t="s">
        <v>256</v>
      </c>
      <c r="AQ58" t="s">
        <v>1282</v>
      </c>
      <c r="AR58" t="s">
        <v>1283</v>
      </c>
      <c r="AS58" t="s">
        <v>138</v>
      </c>
      <c r="AT58" t="s">
        <v>1284</v>
      </c>
      <c r="AU58" t="s">
        <v>138</v>
      </c>
      <c r="AV58" t="s">
        <v>1285</v>
      </c>
      <c r="AW58" t="s">
        <v>232</v>
      </c>
      <c r="AX58" s="4" t="str">
        <f t="shared" si="1"/>
        <v>77414</v>
      </c>
      <c r="AY58" t="s">
        <v>120</v>
      </c>
      <c r="BA58" s="5">
        <v>19793187279</v>
      </c>
      <c r="BC58" t="s">
        <v>1286</v>
      </c>
      <c r="BD58" t="s">
        <v>1287</v>
      </c>
      <c r="BG58" t="s">
        <v>281</v>
      </c>
      <c r="BH58" s="1">
        <v>44895.791666666664</v>
      </c>
      <c r="BI58">
        <v>56</v>
      </c>
      <c r="BJ58">
        <v>8</v>
      </c>
      <c r="BK58">
        <v>8</v>
      </c>
      <c r="BL58">
        <v>8</v>
      </c>
      <c r="BM58">
        <v>8</v>
      </c>
      <c r="BN58">
        <v>8</v>
      </c>
      <c r="BO58">
        <v>8</v>
      </c>
      <c r="BP58">
        <v>8</v>
      </c>
      <c r="BQ58" t="str">
        <f>"8:00 AM"</f>
        <v>8:00 AM</v>
      </c>
      <c r="BR58" t="str">
        <f>"4:00 PM"</f>
        <v>4:00 PM</v>
      </c>
      <c r="BS58" t="s">
        <v>133</v>
      </c>
      <c r="BT58">
        <v>0</v>
      </c>
      <c r="BU58">
        <v>0</v>
      </c>
      <c r="BV58" t="s">
        <v>134</v>
      </c>
      <c r="BX58" s="2" t="s">
        <v>12644</v>
      </c>
      <c r="BY58" t="s">
        <v>5566</v>
      </c>
      <c r="BZ58" t="s">
        <v>138</v>
      </c>
      <c r="CA58" t="s">
        <v>5567</v>
      </c>
      <c r="CB58" t="s">
        <v>281</v>
      </c>
      <c r="CC58" s="4" t="str">
        <f>"02149"</f>
        <v>02149</v>
      </c>
      <c r="CD58" t="s">
        <v>2629</v>
      </c>
      <c r="CE58" t="s">
        <v>2630</v>
      </c>
      <c r="CF58" s="6">
        <v>22.68</v>
      </c>
      <c r="CG58" s="6">
        <v>30</v>
      </c>
      <c r="CH58" s="6">
        <v>34.020000000000003</v>
      </c>
      <c r="CI58" s="6">
        <v>45</v>
      </c>
      <c r="CJ58" t="s">
        <v>137</v>
      </c>
      <c r="CK58" t="s">
        <v>5572</v>
      </c>
      <c r="CL58" t="s">
        <v>12645</v>
      </c>
      <c r="CO58" t="s">
        <v>138</v>
      </c>
      <c r="CP58" t="s">
        <v>114</v>
      </c>
      <c r="CQ58" t="s">
        <v>114</v>
      </c>
      <c r="CR58" t="s">
        <v>114</v>
      </c>
      <c r="CS58" t="s">
        <v>114</v>
      </c>
      <c r="CT58" t="s">
        <v>114</v>
      </c>
      <c r="CU58" t="s">
        <v>134</v>
      </c>
      <c r="CV58" t="s">
        <v>2056</v>
      </c>
      <c r="CW58" s="5" t="str">
        <f>"+18579280876"</f>
        <v>+18579280876</v>
      </c>
      <c r="CX58" t="s">
        <v>5574</v>
      </c>
      <c r="CY58" t="s">
        <v>138</v>
      </c>
      <c r="CZ58" t="s">
        <v>139</v>
      </c>
      <c r="DA58" t="s">
        <v>134</v>
      </c>
      <c r="DB58" t="s">
        <v>114</v>
      </c>
      <c r="DC58" t="s">
        <v>114</v>
      </c>
      <c r="DD58" t="s">
        <v>134</v>
      </c>
    </row>
    <row r="59" spans="1:108" ht="15" customHeight="1" x14ac:dyDescent="0.25">
      <c r="A59" t="s">
        <v>12646</v>
      </c>
      <c r="B59" t="s">
        <v>165</v>
      </c>
      <c r="C59" s="1">
        <v>44896.426749421298</v>
      </c>
      <c r="D59" s="1">
        <v>44924</v>
      </c>
      <c r="E59" t="s">
        <v>134</v>
      </c>
      <c r="F59" t="s">
        <v>11727</v>
      </c>
      <c r="G59" t="str">
        <f t="shared" ref="G59:G66" si="2">"37-3011.00"</f>
        <v>37-3011.00</v>
      </c>
      <c r="H59" t="s">
        <v>335</v>
      </c>
      <c r="I59">
        <v>20</v>
      </c>
      <c r="J59">
        <v>20</v>
      </c>
      <c r="K59" s="1">
        <v>44986</v>
      </c>
      <c r="L59" s="1">
        <v>45260</v>
      </c>
      <c r="M59" s="1">
        <v>44986</v>
      </c>
      <c r="N59" s="1">
        <v>45260</v>
      </c>
      <c r="O59" t="s">
        <v>199</v>
      </c>
      <c r="P59" t="s">
        <v>12647</v>
      </c>
      <c r="R59" t="s">
        <v>12648</v>
      </c>
      <c r="S59" t="s">
        <v>138</v>
      </c>
      <c r="T59" t="s">
        <v>1351</v>
      </c>
      <c r="U59" t="s">
        <v>1003</v>
      </c>
      <c r="V59" s="4" t="str">
        <f>"07719"</f>
        <v>07719</v>
      </c>
      <c r="W59" t="s">
        <v>120</v>
      </c>
      <c r="X59" t="s">
        <v>138</v>
      </c>
      <c r="Y59" s="5">
        <v>17329747215</v>
      </c>
      <c r="AA59">
        <v>561730</v>
      </c>
      <c r="AB59" t="s">
        <v>12649</v>
      </c>
      <c r="AC59" t="s">
        <v>532</v>
      </c>
      <c r="AD59" t="s">
        <v>2176</v>
      </c>
      <c r="AE59" t="s">
        <v>1835</v>
      </c>
      <c r="AF59" t="s">
        <v>12648</v>
      </c>
      <c r="AG59" t="s">
        <v>138</v>
      </c>
      <c r="AH59" t="s">
        <v>1351</v>
      </c>
      <c r="AI59" t="s">
        <v>1003</v>
      </c>
      <c r="AJ59" s="4" t="str">
        <f>"07719"</f>
        <v>07719</v>
      </c>
      <c r="AK59" t="s">
        <v>120</v>
      </c>
      <c r="AM59" s="5">
        <v>17329747215</v>
      </c>
      <c r="AO59" t="s">
        <v>12650</v>
      </c>
      <c r="AP59" t="s">
        <v>256</v>
      </c>
      <c r="AQ59" t="s">
        <v>1352</v>
      </c>
      <c r="AR59" t="s">
        <v>1353</v>
      </c>
      <c r="AS59" t="s">
        <v>138</v>
      </c>
      <c r="AT59" t="s">
        <v>1284</v>
      </c>
      <c r="AU59" t="s">
        <v>138</v>
      </c>
      <c r="AV59" t="s">
        <v>1285</v>
      </c>
      <c r="AW59" t="s">
        <v>232</v>
      </c>
      <c r="AX59" s="4" t="str">
        <f t="shared" si="1"/>
        <v>77414</v>
      </c>
      <c r="AY59" t="s">
        <v>120</v>
      </c>
      <c r="BA59" s="5">
        <v>19793187285</v>
      </c>
      <c r="BC59" t="s">
        <v>1354</v>
      </c>
      <c r="BD59" t="s">
        <v>1287</v>
      </c>
      <c r="BG59" t="s">
        <v>1003</v>
      </c>
      <c r="BH59" s="1">
        <v>44895.791666666664</v>
      </c>
      <c r="BI59">
        <v>35</v>
      </c>
      <c r="BJ59">
        <v>0</v>
      </c>
      <c r="BK59">
        <v>7</v>
      </c>
      <c r="BL59">
        <v>7</v>
      </c>
      <c r="BM59">
        <v>7</v>
      </c>
      <c r="BN59">
        <v>7</v>
      </c>
      <c r="BO59">
        <v>7</v>
      </c>
      <c r="BP59">
        <v>0</v>
      </c>
      <c r="BQ59" t="str">
        <f>"7:30 AM"</f>
        <v>7:30 AM</v>
      </c>
      <c r="BR59" t="str">
        <f>"5:00 PM"</f>
        <v>5:00 PM</v>
      </c>
      <c r="BS59" t="s">
        <v>133</v>
      </c>
      <c r="BT59">
        <v>0</v>
      </c>
      <c r="BU59">
        <v>0</v>
      </c>
      <c r="BV59" t="s">
        <v>134</v>
      </c>
      <c r="BX59" s="2" t="s">
        <v>12651</v>
      </c>
      <c r="BY59" t="s">
        <v>12648</v>
      </c>
      <c r="BZ59" t="s">
        <v>138</v>
      </c>
      <c r="CA59" t="s">
        <v>1351</v>
      </c>
      <c r="CB59" t="s">
        <v>1003</v>
      </c>
      <c r="CC59" s="4" t="str">
        <f>"07719"</f>
        <v>07719</v>
      </c>
      <c r="CD59" t="s">
        <v>1355</v>
      </c>
      <c r="CE59" t="s">
        <v>1009</v>
      </c>
      <c r="CF59" s="6">
        <v>19.940000000000001</v>
      </c>
      <c r="CG59" s="6">
        <v>20</v>
      </c>
      <c r="CH59" s="6">
        <v>29.91</v>
      </c>
      <c r="CI59" s="6">
        <v>30</v>
      </c>
      <c r="CJ59" t="s">
        <v>137</v>
      </c>
      <c r="CK59" t="s">
        <v>2357</v>
      </c>
      <c r="CL59" t="s">
        <v>12652</v>
      </c>
      <c r="CO59" t="s">
        <v>138</v>
      </c>
      <c r="CP59" t="s">
        <v>114</v>
      </c>
      <c r="CQ59" t="s">
        <v>114</v>
      </c>
      <c r="CR59" t="s">
        <v>114</v>
      </c>
      <c r="CS59" t="s">
        <v>114</v>
      </c>
      <c r="CT59" t="s">
        <v>114</v>
      </c>
      <c r="CU59" t="s">
        <v>134</v>
      </c>
      <c r="CV59" t="s">
        <v>1356</v>
      </c>
      <c r="CW59" s="5" t="str">
        <f>"+17329747215"</f>
        <v>+17329747215</v>
      </c>
      <c r="CX59" t="s">
        <v>12650</v>
      </c>
      <c r="CY59" t="s">
        <v>138</v>
      </c>
      <c r="CZ59" t="s">
        <v>139</v>
      </c>
      <c r="DA59" t="s">
        <v>134</v>
      </c>
      <c r="DB59" t="s">
        <v>134</v>
      </c>
      <c r="DC59" t="s">
        <v>114</v>
      </c>
      <c r="DD59" t="s">
        <v>134</v>
      </c>
    </row>
    <row r="60" spans="1:108" ht="15" customHeight="1" x14ac:dyDescent="0.25">
      <c r="A60" t="s">
        <v>12642</v>
      </c>
      <c r="B60" t="s">
        <v>165</v>
      </c>
      <c r="C60" s="1">
        <v>44896.408381365742</v>
      </c>
      <c r="D60" s="1">
        <v>44924</v>
      </c>
      <c r="E60" t="s">
        <v>134</v>
      </c>
      <c r="F60" t="s">
        <v>334</v>
      </c>
      <c r="G60" t="str">
        <f t="shared" si="2"/>
        <v>37-3011.00</v>
      </c>
      <c r="H60" t="s">
        <v>335</v>
      </c>
      <c r="I60">
        <v>20</v>
      </c>
      <c r="J60">
        <v>20</v>
      </c>
      <c r="K60" s="1">
        <v>44986</v>
      </c>
      <c r="L60" s="1">
        <v>45260</v>
      </c>
      <c r="M60" s="1">
        <v>44986</v>
      </c>
      <c r="N60" s="1">
        <v>45260</v>
      </c>
      <c r="O60" t="s">
        <v>117</v>
      </c>
      <c r="P60" t="s">
        <v>11772</v>
      </c>
      <c r="Q60" t="s">
        <v>11773</v>
      </c>
      <c r="R60" t="s">
        <v>11774</v>
      </c>
      <c r="S60" t="s">
        <v>11775</v>
      </c>
      <c r="T60" t="s">
        <v>4031</v>
      </c>
      <c r="U60" t="s">
        <v>232</v>
      </c>
      <c r="V60" s="4" t="str">
        <f>"75056"</f>
        <v>75056</v>
      </c>
      <c r="W60" t="s">
        <v>120</v>
      </c>
      <c r="X60" t="s">
        <v>138</v>
      </c>
      <c r="Y60" s="5">
        <v>19724106581</v>
      </c>
      <c r="AA60">
        <v>561730</v>
      </c>
      <c r="AB60" t="s">
        <v>5969</v>
      </c>
      <c r="AC60" t="s">
        <v>1830</v>
      </c>
      <c r="AD60" t="s">
        <v>138</v>
      </c>
      <c r="AE60" t="s">
        <v>8071</v>
      </c>
      <c r="AF60" t="s">
        <v>11774</v>
      </c>
      <c r="AG60" t="s">
        <v>11775</v>
      </c>
      <c r="AH60" t="s">
        <v>4031</v>
      </c>
      <c r="AI60" t="s">
        <v>232</v>
      </c>
      <c r="AJ60" s="4" t="str">
        <f>"75056"</f>
        <v>75056</v>
      </c>
      <c r="AK60" t="s">
        <v>120</v>
      </c>
      <c r="AM60" s="5">
        <v>19724106581</v>
      </c>
      <c r="AO60" t="s">
        <v>11776</v>
      </c>
      <c r="AP60" t="s">
        <v>256</v>
      </c>
      <c r="AQ60" t="s">
        <v>1282</v>
      </c>
      <c r="AR60" t="s">
        <v>1283</v>
      </c>
      <c r="AS60" t="s">
        <v>138</v>
      </c>
      <c r="AT60" t="s">
        <v>1284</v>
      </c>
      <c r="AU60" t="s">
        <v>138</v>
      </c>
      <c r="AV60" t="s">
        <v>1285</v>
      </c>
      <c r="AW60" t="s">
        <v>232</v>
      </c>
      <c r="AX60" s="4" t="str">
        <f t="shared" si="1"/>
        <v>77414</v>
      </c>
      <c r="AY60" t="s">
        <v>120</v>
      </c>
      <c r="BA60" s="5">
        <v>19793187279</v>
      </c>
      <c r="BC60" t="s">
        <v>1286</v>
      </c>
      <c r="BD60" t="s">
        <v>1287</v>
      </c>
      <c r="BG60" t="s">
        <v>232</v>
      </c>
      <c r="BH60" s="1">
        <v>44895.791666666664</v>
      </c>
      <c r="BI60">
        <v>40</v>
      </c>
      <c r="BJ60">
        <v>0</v>
      </c>
      <c r="BK60">
        <v>8</v>
      </c>
      <c r="BL60">
        <v>8</v>
      </c>
      <c r="BM60">
        <v>8</v>
      </c>
      <c r="BN60">
        <v>8</v>
      </c>
      <c r="BO60">
        <v>8</v>
      </c>
      <c r="BP60">
        <v>0</v>
      </c>
      <c r="BQ60" t="str">
        <f>"7:00 AM"</f>
        <v>7:00 AM</v>
      </c>
      <c r="BR60" t="str">
        <f>"3:30 PM"</f>
        <v>3:30 PM</v>
      </c>
      <c r="BS60" t="s">
        <v>133</v>
      </c>
      <c r="BT60">
        <v>0</v>
      </c>
      <c r="BU60">
        <v>0</v>
      </c>
      <c r="BV60" t="s">
        <v>134</v>
      </c>
      <c r="BX60" s="2" t="s">
        <v>11777</v>
      </c>
      <c r="BY60" t="s">
        <v>11778</v>
      </c>
      <c r="BZ60" t="s">
        <v>138</v>
      </c>
      <c r="CA60" t="s">
        <v>4031</v>
      </c>
      <c r="CB60" t="s">
        <v>232</v>
      </c>
      <c r="CC60" s="4" t="str">
        <f>"75056"</f>
        <v>75056</v>
      </c>
      <c r="CD60" t="s">
        <v>2071</v>
      </c>
      <c r="CE60" t="s">
        <v>1528</v>
      </c>
      <c r="CF60" s="6">
        <v>16.3</v>
      </c>
      <c r="CG60" s="6">
        <v>16.489999999999998</v>
      </c>
      <c r="CH60" s="6">
        <v>24.45</v>
      </c>
      <c r="CI60" s="6">
        <v>24.74</v>
      </c>
      <c r="CJ60" t="s">
        <v>137</v>
      </c>
      <c r="CK60" t="s">
        <v>11779</v>
      </c>
      <c r="CL60" t="s">
        <v>11780</v>
      </c>
      <c r="CO60" t="s">
        <v>138</v>
      </c>
      <c r="CP60" t="s">
        <v>114</v>
      </c>
      <c r="CQ60" t="s">
        <v>114</v>
      </c>
      <c r="CR60" t="s">
        <v>114</v>
      </c>
      <c r="CS60" t="s">
        <v>114</v>
      </c>
      <c r="CT60" t="s">
        <v>114</v>
      </c>
      <c r="CU60" t="s">
        <v>134</v>
      </c>
      <c r="CV60" t="s">
        <v>2056</v>
      </c>
      <c r="CW60" s="5" t="str">
        <f>"+19724106581"</f>
        <v>+19724106581</v>
      </c>
      <c r="CX60" t="s">
        <v>11781</v>
      </c>
      <c r="CY60" t="s">
        <v>138</v>
      </c>
      <c r="CZ60" t="s">
        <v>139</v>
      </c>
      <c r="DA60" t="s">
        <v>134</v>
      </c>
      <c r="DB60" t="s">
        <v>134</v>
      </c>
      <c r="DC60" t="s">
        <v>114</v>
      </c>
      <c r="DD60" t="s">
        <v>134</v>
      </c>
    </row>
    <row r="61" spans="1:108" ht="15" customHeight="1" x14ac:dyDescent="0.25">
      <c r="A61" t="s">
        <v>13330</v>
      </c>
      <c r="B61" t="s">
        <v>165</v>
      </c>
      <c r="C61" s="1">
        <v>44896.407602546293</v>
      </c>
      <c r="D61" s="1">
        <v>44924</v>
      </c>
      <c r="E61" t="s">
        <v>134</v>
      </c>
      <c r="F61" t="s">
        <v>1344</v>
      </c>
      <c r="G61" t="str">
        <f t="shared" si="2"/>
        <v>37-3011.00</v>
      </c>
      <c r="H61" t="s">
        <v>335</v>
      </c>
      <c r="I61">
        <v>6</v>
      </c>
      <c r="J61">
        <v>6</v>
      </c>
      <c r="K61" s="1">
        <v>44986</v>
      </c>
      <c r="L61" s="1">
        <v>45230</v>
      </c>
      <c r="M61" s="1">
        <v>44986</v>
      </c>
      <c r="N61" s="1">
        <v>45230</v>
      </c>
      <c r="O61" t="s">
        <v>199</v>
      </c>
      <c r="P61" t="s">
        <v>13331</v>
      </c>
      <c r="R61" t="s">
        <v>13332</v>
      </c>
      <c r="T61" t="s">
        <v>13333</v>
      </c>
      <c r="U61" t="s">
        <v>2929</v>
      </c>
      <c r="V61" s="4" t="str">
        <f>"26070"</f>
        <v>26070</v>
      </c>
      <c r="W61" t="s">
        <v>120</v>
      </c>
      <c r="X61" t="s">
        <v>13334</v>
      </c>
      <c r="Y61" s="5">
        <v>13043743513</v>
      </c>
      <c r="AA61">
        <v>56173</v>
      </c>
      <c r="AB61" t="s">
        <v>13335</v>
      </c>
      <c r="AC61" t="s">
        <v>1530</v>
      </c>
      <c r="AE61" t="s">
        <v>700</v>
      </c>
      <c r="AF61" t="s">
        <v>13332</v>
      </c>
      <c r="AH61" t="s">
        <v>13333</v>
      </c>
      <c r="AI61" t="s">
        <v>2929</v>
      </c>
      <c r="AJ61" s="4" t="str">
        <f>"26070"</f>
        <v>26070</v>
      </c>
      <c r="AK61" t="s">
        <v>120</v>
      </c>
      <c r="AM61" s="5">
        <v>13043743513</v>
      </c>
      <c r="AO61" t="s">
        <v>13336</v>
      </c>
      <c r="AP61" t="s">
        <v>122</v>
      </c>
      <c r="AQ61" t="s">
        <v>1250</v>
      </c>
      <c r="AR61" t="s">
        <v>1251</v>
      </c>
      <c r="AS61" t="s">
        <v>259</v>
      </c>
      <c r="AT61" t="s">
        <v>1252</v>
      </c>
      <c r="AV61" t="s">
        <v>1253</v>
      </c>
      <c r="AW61" t="s">
        <v>657</v>
      </c>
      <c r="AX61" s="4" t="str">
        <f>"37110"</f>
        <v>37110</v>
      </c>
      <c r="AY61" t="s">
        <v>120</v>
      </c>
      <c r="BA61" s="5">
        <v>19312747811</v>
      </c>
      <c r="BC61" t="s">
        <v>1254</v>
      </c>
      <c r="BD61" t="s">
        <v>1255</v>
      </c>
      <c r="BE61" t="s">
        <v>657</v>
      </c>
      <c r="BF61" t="s">
        <v>1256</v>
      </c>
      <c r="BG61" t="s">
        <v>2929</v>
      </c>
      <c r="BH61" s="1">
        <v>44895.791666666664</v>
      </c>
      <c r="BI61">
        <v>40</v>
      </c>
      <c r="BJ61">
        <v>0</v>
      </c>
      <c r="BK61">
        <v>8</v>
      </c>
      <c r="BL61">
        <v>8</v>
      </c>
      <c r="BM61">
        <v>8</v>
      </c>
      <c r="BN61">
        <v>8</v>
      </c>
      <c r="BO61">
        <v>8</v>
      </c>
      <c r="BP61">
        <v>0</v>
      </c>
      <c r="BQ61" t="str">
        <f>"7:00 AM"</f>
        <v>7:00 AM</v>
      </c>
      <c r="BR61" t="str">
        <f>"4:00 PM"</f>
        <v>4:00 PM</v>
      </c>
      <c r="BS61" t="s">
        <v>133</v>
      </c>
      <c r="BT61">
        <v>0</v>
      </c>
      <c r="BU61">
        <v>0</v>
      </c>
      <c r="BV61" t="s">
        <v>134</v>
      </c>
      <c r="BX61" t="s">
        <v>6127</v>
      </c>
      <c r="BY61" t="s">
        <v>13332</v>
      </c>
      <c r="CA61" t="s">
        <v>13333</v>
      </c>
      <c r="CB61" t="s">
        <v>2929</v>
      </c>
      <c r="CC61" s="4" t="str">
        <f>"26070"</f>
        <v>26070</v>
      </c>
      <c r="CD61" t="s">
        <v>13337</v>
      </c>
      <c r="CE61" t="s">
        <v>8379</v>
      </c>
      <c r="CF61" s="6">
        <v>13.95</v>
      </c>
      <c r="CH61" s="6">
        <v>20.93</v>
      </c>
      <c r="CJ61" t="s">
        <v>137</v>
      </c>
      <c r="CK61" t="s">
        <v>1347</v>
      </c>
      <c r="CL61" t="s">
        <v>13338</v>
      </c>
      <c r="CO61" t="s">
        <v>138</v>
      </c>
      <c r="CP61" t="s">
        <v>114</v>
      </c>
      <c r="CQ61" t="s">
        <v>114</v>
      </c>
      <c r="CR61" t="s">
        <v>114</v>
      </c>
      <c r="CS61" t="s">
        <v>134</v>
      </c>
      <c r="CT61" t="s">
        <v>114</v>
      </c>
      <c r="CU61" t="s">
        <v>134</v>
      </c>
      <c r="CV61" t="s">
        <v>138</v>
      </c>
      <c r="CW61" s="5" t="str">
        <f>"+13043743513"</f>
        <v>+13043743513</v>
      </c>
      <c r="CX61" t="s">
        <v>13339</v>
      </c>
      <c r="CY61" t="s">
        <v>138</v>
      </c>
      <c r="CZ61" t="s">
        <v>139</v>
      </c>
      <c r="DA61" t="s">
        <v>134</v>
      </c>
      <c r="DB61" t="s">
        <v>134</v>
      </c>
      <c r="DC61" t="s">
        <v>114</v>
      </c>
      <c r="DD61" t="s">
        <v>134</v>
      </c>
    </row>
    <row r="62" spans="1:108" ht="15" customHeight="1" x14ac:dyDescent="0.25">
      <c r="A62" t="s">
        <v>16124</v>
      </c>
      <c r="B62" t="s">
        <v>165</v>
      </c>
      <c r="C62" s="1">
        <v>44896.406586458332</v>
      </c>
      <c r="D62" s="1">
        <v>44924</v>
      </c>
      <c r="E62" t="s">
        <v>134</v>
      </c>
      <c r="F62" t="s">
        <v>1344</v>
      </c>
      <c r="G62" t="str">
        <f t="shared" si="2"/>
        <v>37-3011.00</v>
      </c>
      <c r="H62" t="s">
        <v>335</v>
      </c>
      <c r="I62">
        <v>3</v>
      </c>
      <c r="J62">
        <v>3</v>
      </c>
      <c r="K62" s="1">
        <v>44986</v>
      </c>
      <c r="L62" s="1">
        <v>45229</v>
      </c>
      <c r="M62" s="1">
        <v>44986</v>
      </c>
      <c r="N62" s="1">
        <v>45229</v>
      </c>
      <c r="O62" t="s">
        <v>199</v>
      </c>
      <c r="P62" t="s">
        <v>16125</v>
      </c>
      <c r="R62" t="s">
        <v>16126</v>
      </c>
      <c r="T62" t="s">
        <v>16127</v>
      </c>
      <c r="U62" t="s">
        <v>2371</v>
      </c>
      <c r="V62" s="4" t="str">
        <f>"46614"</f>
        <v>46614</v>
      </c>
      <c r="W62" t="s">
        <v>120</v>
      </c>
      <c r="Y62" s="5">
        <v>15745329943</v>
      </c>
      <c r="AA62">
        <v>56173</v>
      </c>
      <c r="AB62" t="s">
        <v>16128</v>
      </c>
      <c r="AC62" t="s">
        <v>396</v>
      </c>
      <c r="AE62" t="s">
        <v>700</v>
      </c>
      <c r="AF62" t="s">
        <v>16129</v>
      </c>
      <c r="AH62" t="s">
        <v>16127</v>
      </c>
      <c r="AI62" t="s">
        <v>2371</v>
      </c>
      <c r="AJ62" s="4" t="str">
        <f>"46614"</f>
        <v>46614</v>
      </c>
      <c r="AK62" t="s">
        <v>120</v>
      </c>
      <c r="AM62" s="5">
        <v>15745329943</v>
      </c>
      <c r="AO62" t="s">
        <v>16130</v>
      </c>
      <c r="AP62" t="s">
        <v>122</v>
      </c>
      <c r="AQ62" t="s">
        <v>1250</v>
      </c>
      <c r="AR62" t="s">
        <v>1251</v>
      </c>
      <c r="AS62" t="s">
        <v>259</v>
      </c>
      <c r="AT62" t="s">
        <v>1252</v>
      </c>
      <c r="AV62" t="s">
        <v>1253</v>
      </c>
      <c r="AW62" t="s">
        <v>657</v>
      </c>
      <c r="AX62" s="4" t="str">
        <f>"37110"</f>
        <v>37110</v>
      </c>
      <c r="AY62" t="s">
        <v>120</v>
      </c>
      <c r="BA62" s="5">
        <v>19312747811</v>
      </c>
      <c r="BC62" t="s">
        <v>1254</v>
      </c>
      <c r="BD62" t="s">
        <v>1255</v>
      </c>
      <c r="BE62" t="s">
        <v>657</v>
      </c>
      <c r="BF62" t="s">
        <v>1256</v>
      </c>
      <c r="BG62" t="s">
        <v>2371</v>
      </c>
      <c r="BH62" s="1">
        <v>45260.791666666664</v>
      </c>
      <c r="BI62">
        <v>40</v>
      </c>
      <c r="BJ62">
        <v>0</v>
      </c>
      <c r="BK62">
        <v>8</v>
      </c>
      <c r="BL62">
        <v>8</v>
      </c>
      <c r="BM62">
        <v>8</v>
      </c>
      <c r="BN62">
        <v>8</v>
      </c>
      <c r="BO62">
        <v>8</v>
      </c>
      <c r="BP62">
        <v>0</v>
      </c>
      <c r="BQ62" t="str">
        <f>"7:00 AM"</f>
        <v>7:00 AM</v>
      </c>
      <c r="BR62" t="str">
        <f>"4:00 PM"</f>
        <v>4:00 PM</v>
      </c>
      <c r="BS62" t="s">
        <v>133</v>
      </c>
      <c r="BT62">
        <v>0</v>
      </c>
      <c r="BU62">
        <v>3</v>
      </c>
      <c r="BV62" t="s">
        <v>134</v>
      </c>
      <c r="BX62" t="s">
        <v>6127</v>
      </c>
      <c r="BY62" t="s">
        <v>16129</v>
      </c>
      <c r="CA62" t="s">
        <v>16127</v>
      </c>
      <c r="CB62" t="s">
        <v>2371</v>
      </c>
      <c r="CC62" s="4" t="str">
        <f>"46614"</f>
        <v>46614</v>
      </c>
      <c r="CD62" t="s">
        <v>5941</v>
      </c>
      <c r="CE62" t="s">
        <v>5942</v>
      </c>
      <c r="CF62" s="6">
        <v>16.22</v>
      </c>
      <c r="CH62" s="6">
        <v>24.33</v>
      </c>
      <c r="CJ62" t="s">
        <v>137</v>
      </c>
      <c r="CL62" t="s">
        <v>16131</v>
      </c>
      <c r="CO62" t="s">
        <v>138</v>
      </c>
      <c r="CP62" t="s">
        <v>114</v>
      </c>
      <c r="CQ62" t="s">
        <v>114</v>
      </c>
      <c r="CR62" t="s">
        <v>114</v>
      </c>
      <c r="CS62" t="s">
        <v>134</v>
      </c>
      <c r="CT62" t="s">
        <v>114</v>
      </c>
      <c r="CU62" t="s">
        <v>134</v>
      </c>
      <c r="CV62" t="s">
        <v>138</v>
      </c>
      <c r="CW62" s="5" t="str">
        <f>"+15742311941"</f>
        <v>+15742311941</v>
      </c>
      <c r="CX62" t="s">
        <v>16132</v>
      </c>
      <c r="CY62" t="s">
        <v>138</v>
      </c>
      <c r="CZ62" t="s">
        <v>139</v>
      </c>
      <c r="DA62" t="s">
        <v>134</v>
      </c>
      <c r="DB62" t="s">
        <v>134</v>
      </c>
      <c r="DC62" t="s">
        <v>114</v>
      </c>
      <c r="DD62" t="s">
        <v>134</v>
      </c>
    </row>
    <row r="63" spans="1:108" ht="15" customHeight="1" x14ac:dyDescent="0.25">
      <c r="A63" t="s">
        <v>6900</v>
      </c>
      <c r="B63" t="s">
        <v>165</v>
      </c>
      <c r="C63" s="1">
        <v>44896.40577662037</v>
      </c>
      <c r="D63" s="1">
        <v>44924</v>
      </c>
      <c r="E63" t="s">
        <v>134</v>
      </c>
      <c r="F63" t="s">
        <v>334</v>
      </c>
      <c r="G63" t="str">
        <f t="shared" si="2"/>
        <v>37-3011.00</v>
      </c>
      <c r="H63" t="s">
        <v>335</v>
      </c>
      <c r="I63">
        <v>13</v>
      </c>
      <c r="J63">
        <v>13</v>
      </c>
      <c r="K63" s="1">
        <v>44986</v>
      </c>
      <c r="L63" s="1">
        <v>45240</v>
      </c>
      <c r="M63" s="1">
        <v>44986</v>
      </c>
      <c r="N63" s="1">
        <v>45240</v>
      </c>
      <c r="O63" t="s">
        <v>117</v>
      </c>
      <c r="P63" t="s">
        <v>6901</v>
      </c>
      <c r="Q63" t="s">
        <v>6902</v>
      </c>
      <c r="R63" t="s">
        <v>6903</v>
      </c>
      <c r="S63" t="s">
        <v>6904</v>
      </c>
      <c r="T63" t="s">
        <v>5553</v>
      </c>
      <c r="U63" t="s">
        <v>214</v>
      </c>
      <c r="V63" s="4" t="str">
        <f>"70706"</f>
        <v>70706</v>
      </c>
      <c r="W63" t="s">
        <v>120</v>
      </c>
      <c r="X63" t="s">
        <v>138</v>
      </c>
      <c r="Y63" s="5">
        <v>12253245952</v>
      </c>
      <c r="AA63">
        <v>561730</v>
      </c>
      <c r="AB63" t="s">
        <v>6905</v>
      </c>
      <c r="AC63" t="s">
        <v>2678</v>
      </c>
      <c r="AD63" t="s">
        <v>138</v>
      </c>
      <c r="AE63" t="s">
        <v>424</v>
      </c>
      <c r="AF63" t="s">
        <v>6903</v>
      </c>
      <c r="AG63" t="s">
        <v>6904</v>
      </c>
      <c r="AH63" t="s">
        <v>5553</v>
      </c>
      <c r="AI63" t="s">
        <v>214</v>
      </c>
      <c r="AJ63" s="4" t="str">
        <f>"70706"</f>
        <v>70706</v>
      </c>
      <c r="AK63" t="s">
        <v>120</v>
      </c>
      <c r="AM63" s="5">
        <v>12253245952</v>
      </c>
      <c r="AO63" t="s">
        <v>6906</v>
      </c>
      <c r="AP63" t="s">
        <v>256</v>
      </c>
      <c r="AQ63" t="s">
        <v>1352</v>
      </c>
      <c r="AR63" t="s">
        <v>1353</v>
      </c>
      <c r="AS63" t="s">
        <v>138</v>
      </c>
      <c r="AT63" t="s">
        <v>1284</v>
      </c>
      <c r="AU63" t="s">
        <v>138</v>
      </c>
      <c r="AV63" t="s">
        <v>1285</v>
      </c>
      <c r="AW63" t="s">
        <v>232</v>
      </c>
      <c r="AX63" s="4" t="str">
        <f>"77414"</f>
        <v>77414</v>
      </c>
      <c r="AY63" t="s">
        <v>120</v>
      </c>
      <c r="BA63" s="5">
        <v>19793187285</v>
      </c>
      <c r="BC63" t="s">
        <v>1354</v>
      </c>
      <c r="BD63" t="s">
        <v>1287</v>
      </c>
      <c r="BG63" t="s">
        <v>214</v>
      </c>
      <c r="BH63" s="1">
        <v>44895.791666666664</v>
      </c>
      <c r="BI63">
        <v>40</v>
      </c>
      <c r="BJ63">
        <v>0</v>
      </c>
      <c r="BK63">
        <v>10</v>
      </c>
      <c r="BL63">
        <v>10</v>
      </c>
      <c r="BM63">
        <v>10</v>
      </c>
      <c r="BN63">
        <v>10</v>
      </c>
      <c r="BO63">
        <v>0</v>
      </c>
      <c r="BP63">
        <v>0</v>
      </c>
      <c r="BQ63" t="str">
        <f>"6:30 AM"</f>
        <v>6:30 AM</v>
      </c>
      <c r="BR63" t="str">
        <f>"5:00 PM"</f>
        <v>5:00 PM</v>
      </c>
      <c r="BS63" t="s">
        <v>133</v>
      </c>
      <c r="BT63">
        <v>0</v>
      </c>
      <c r="BU63">
        <v>0</v>
      </c>
      <c r="BV63" t="s">
        <v>134</v>
      </c>
      <c r="BX63" s="2" t="s">
        <v>6907</v>
      </c>
      <c r="BY63" t="s">
        <v>6908</v>
      </c>
      <c r="BZ63" t="s">
        <v>138</v>
      </c>
      <c r="CA63" t="s">
        <v>6909</v>
      </c>
      <c r="CB63" t="s">
        <v>214</v>
      </c>
      <c r="CC63" s="4" t="str">
        <f>"70785"</f>
        <v>70785</v>
      </c>
      <c r="CD63" t="s">
        <v>1627</v>
      </c>
      <c r="CE63" t="s">
        <v>737</v>
      </c>
      <c r="CF63" s="6">
        <v>14.87</v>
      </c>
      <c r="CG63" s="6">
        <v>16.5</v>
      </c>
      <c r="CH63" s="6">
        <v>22.31</v>
      </c>
      <c r="CI63" s="6">
        <v>24.75</v>
      </c>
      <c r="CJ63" t="s">
        <v>137</v>
      </c>
      <c r="CK63" t="s">
        <v>6910</v>
      </c>
      <c r="CL63" t="s">
        <v>6911</v>
      </c>
      <c r="CO63" t="s">
        <v>138</v>
      </c>
      <c r="CP63" t="s">
        <v>114</v>
      </c>
      <c r="CQ63" t="s">
        <v>114</v>
      </c>
      <c r="CR63" t="s">
        <v>114</v>
      </c>
      <c r="CS63" t="s">
        <v>114</v>
      </c>
      <c r="CT63" t="s">
        <v>114</v>
      </c>
      <c r="CU63" t="s">
        <v>114</v>
      </c>
      <c r="CV63" t="s">
        <v>6912</v>
      </c>
      <c r="CW63" s="5" t="str">
        <f>"+12253245952"</f>
        <v>+12253245952</v>
      </c>
      <c r="CX63" t="s">
        <v>138</v>
      </c>
      <c r="CY63" t="s">
        <v>6913</v>
      </c>
      <c r="CZ63" t="s">
        <v>139</v>
      </c>
      <c r="DA63" t="s">
        <v>134</v>
      </c>
      <c r="DB63" t="s">
        <v>134</v>
      </c>
      <c r="DC63" t="s">
        <v>114</v>
      </c>
      <c r="DD63" t="s">
        <v>134</v>
      </c>
    </row>
    <row r="64" spans="1:108" ht="15" customHeight="1" x14ac:dyDescent="0.25">
      <c r="A64" t="s">
        <v>5732</v>
      </c>
      <c r="B64" t="s">
        <v>165</v>
      </c>
      <c r="C64" s="1">
        <v>44896.404126504633</v>
      </c>
      <c r="D64" s="1">
        <v>44924</v>
      </c>
      <c r="E64" t="s">
        <v>134</v>
      </c>
      <c r="F64" t="s">
        <v>1344</v>
      </c>
      <c r="G64" t="str">
        <f t="shared" si="2"/>
        <v>37-3011.00</v>
      </c>
      <c r="H64" t="s">
        <v>335</v>
      </c>
      <c r="I64">
        <v>18</v>
      </c>
      <c r="J64">
        <v>18</v>
      </c>
      <c r="K64" s="1">
        <v>44986</v>
      </c>
      <c r="L64" s="1">
        <v>45290</v>
      </c>
      <c r="M64" s="1">
        <v>44986</v>
      </c>
      <c r="N64" s="1">
        <v>45290</v>
      </c>
      <c r="O64" t="s">
        <v>199</v>
      </c>
      <c r="P64" t="s">
        <v>5733</v>
      </c>
      <c r="R64" t="s">
        <v>5734</v>
      </c>
      <c r="S64" t="s">
        <v>138</v>
      </c>
      <c r="T64" t="s">
        <v>5735</v>
      </c>
      <c r="U64" t="s">
        <v>657</v>
      </c>
      <c r="V64" s="4" t="str">
        <f>"37075"</f>
        <v>37075</v>
      </c>
      <c r="W64" t="s">
        <v>120</v>
      </c>
      <c r="X64" t="s">
        <v>138</v>
      </c>
      <c r="Y64" s="5">
        <v>16152640577</v>
      </c>
      <c r="Z64">
        <v>0</v>
      </c>
      <c r="AA64">
        <v>56173</v>
      </c>
      <c r="AB64" t="s">
        <v>5736</v>
      </c>
      <c r="AC64" t="s">
        <v>5737</v>
      </c>
      <c r="AD64" t="s">
        <v>138</v>
      </c>
      <c r="AE64" t="s">
        <v>5738</v>
      </c>
      <c r="AF64" t="s">
        <v>5734</v>
      </c>
      <c r="AG64" t="s">
        <v>138</v>
      </c>
      <c r="AH64" t="s">
        <v>5735</v>
      </c>
      <c r="AI64" t="s">
        <v>657</v>
      </c>
      <c r="AJ64" s="4" t="str">
        <f>"37077"</f>
        <v>37077</v>
      </c>
      <c r="AK64" t="s">
        <v>120</v>
      </c>
      <c r="AM64" s="5">
        <v>16152640577</v>
      </c>
      <c r="AN64">
        <v>0</v>
      </c>
      <c r="AO64" t="s">
        <v>5739</v>
      </c>
      <c r="AP64" t="s">
        <v>122</v>
      </c>
      <c r="AQ64" t="s">
        <v>1250</v>
      </c>
      <c r="AR64" t="s">
        <v>1251</v>
      </c>
      <c r="AS64" t="s">
        <v>259</v>
      </c>
      <c r="AT64" t="s">
        <v>1252</v>
      </c>
      <c r="AV64" t="s">
        <v>1253</v>
      </c>
      <c r="AW64" t="s">
        <v>657</v>
      </c>
      <c r="AX64" s="4" t="str">
        <f>"37110"</f>
        <v>37110</v>
      </c>
      <c r="AY64" t="s">
        <v>120</v>
      </c>
      <c r="BA64" s="5">
        <v>19312747811</v>
      </c>
      <c r="BC64" t="s">
        <v>1254</v>
      </c>
      <c r="BD64" t="s">
        <v>1255</v>
      </c>
      <c r="BE64" t="s">
        <v>657</v>
      </c>
      <c r="BF64" t="s">
        <v>1256</v>
      </c>
      <c r="BG64" t="s">
        <v>657</v>
      </c>
      <c r="BH64" s="1">
        <v>44895.791666666664</v>
      </c>
      <c r="BI64">
        <v>40</v>
      </c>
      <c r="BJ64">
        <v>0</v>
      </c>
      <c r="BK64">
        <v>8</v>
      </c>
      <c r="BL64">
        <v>8</v>
      </c>
      <c r="BM64">
        <v>8</v>
      </c>
      <c r="BN64">
        <v>8</v>
      </c>
      <c r="BO64">
        <v>8</v>
      </c>
      <c r="BP64">
        <v>0</v>
      </c>
      <c r="BQ64" t="str">
        <f t="shared" ref="BQ64:BQ69" si="3">"7:00 AM"</f>
        <v>7:00 AM</v>
      </c>
      <c r="BR64" t="str">
        <f t="shared" ref="BR64:BR69" si="4">"4:00 PM"</f>
        <v>4:00 PM</v>
      </c>
      <c r="BS64" t="s">
        <v>133</v>
      </c>
      <c r="BT64">
        <v>0</v>
      </c>
      <c r="BU64">
        <v>3</v>
      </c>
      <c r="BV64" t="s">
        <v>134</v>
      </c>
      <c r="BX64" s="2" t="s">
        <v>5740</v>
      </c>
      <c r="BY64" t="s">
        <v>5734</v>
      </c>
      <c r="CA64" t="s">
        <v>2488</v>
      </c>
      <c r="CB64" t="s">
        <v>657</v>
      </c>
      <c r="CC64" s="4" t="str">
        <f>"37077"</f>
        <v>37077</v>
      </c>
      <c r="CD64" t="s">
        <v>2490</v>
      </c>
      <c r="CE64" t="s">
        <v>1667</v>
      </c>
      <c r="CF64" s="6">
        <v>16.04</v>
      </c>
      <c r="CH64" s="6">
        <v>24.06</v>
      </c>
      <c r="CJ64" t="s">
        <v>137</v>
      </c>
      <c r="CL64" t="s">
        <v>5741</v>
      </c>
      <c r="CO64" t="s">
        <v>138</v>
      </c>
      <c r="CP64" t="s">
        <v>114</v>
      </c>
      <c r="CQ64" t="s">
        <v>114</v>
      </c>
      <c r="CR64" t="s">
        <v>114</v>
      </c>
      <c r="CS64" t="s">
        <v>134</v>
      </c>
      <c r="CT64" t="s">
        <v>114</v>
      </c>
      <c r="CU64" t="s">
        <v>134</v>
      </c>
      <c r="CV64" t="s">
        <v>138</v>
      </c>
      <c r="CW64" s="5" t="str">
        <f>"+16155888887"</f>
        <v>+16155888887</v>
      </c>
      <c r="CX64" t="s">
        <v>5742</v>
      </c>
      <c r="CY64" t="s">
        <v>138</v>
      </c>
      <c r="CZ64" t="s">
        <v>139</v>
      </c>
      <c r="DA64" t="s">
        <v>134</v>
      </c>
      <c r="DB64" t="s">
        <v>134</v>
      </c>
      <c r="DC64" t="s">
        <v>114</v>
      </c>
      <c r="DD64" t="s">
        <v>134</v>
      </c>
    </row>
    <row r="65" spans="1:108" ht="15" customHeight="1" x14ac:dyDescent="0.25">
      <c r="A65" t="s">
        <v>12463</v>
      </c>
      <c r="B65" t="s">
        <v>165</v>
      </c>
      <c r="C65" s="1">
        <v>44896.40383703704</v>
      </c>
      <c r="D65" s="1">
        <v>44924</v>
      </c>
      <c r="E65" t="s">
        <v>134</v>
      </c>
      <c r="F65" t="s">
        <v>1344</v>
      </c>
      <c r="G65" t="str">
        <f t="shared" si="2"/>
        <v>37-3011.00</v>
      </c>
      <c r="H65" t="s">
        <v>335</v>
      </c>
      <c r="I65">
        <v>10</v>
      </c>
      <c r="J65">
        <v>10</v>
      </c>
      <c r="K65" s="1">
        <v>44986</v>
      </c>
      <c r="L65" s="1">
        <v>45229</v>
      </c>
      <c r="M65" s="1">
        <v>44986</v>
      </c>
      <c r="N65" s="1">
        <v>45229</v>
      </c>
      <c r="O65" t="s">
        <v>199</v>
      </c>
      <c r="P65" t="s">
        <v>12464</v>
      </c>
      <c r="Q65" t="s">
        <v>12465</v>
      </c>
      <c r="R65" t="s">
        <v>12466</v>
      </c>
      <c r="T65" t="s">
        <v>12467</v>
      </c>
      <c r="U65" t="s">
        <v>479</v>
      </c>
      <c r="V65" s="4" t="str">
        <f>"22911"</f>
        <v>22911</v>
      </c>
      <c r="W65" t="s">
        <v>120</v>
      </c>
      <c r="Y65" s="5">
        <v>14349731154</v>
      </c>
      <c r="AA65">
        <v>56173</v>
      </c>
      <c r="AB65" t="s">
        <v>12468</v>
      </c>
      <c r="AC65" t="s">
        <v>12469</v>
      </c>
      <c r="AE65" t="s">
        <v>700</v>
      </c>
      <c r="AF65" t="s">
        <v>12466</v>
      </c>
      <c r="AH65" t="s">
        <v>12467</v>
      </c>
      <c r="AI65" t="s">
        <v>479</v>
      </c>
      <c r="AJ65" s="4" t="str">
        <f>"22911"</f>
        <v>22911</v>
      </c>
      <c r="AK65" t="s">
        <v>120</v>
      </c>
      <c r="AM65" s="5">
        <v>14349731154</v>
      </c>
      <c r="AN65">
        <v>101</v>
      </c>
      <c r="AO65" t="s">
        <v>12470</v>
      </c>
      <c r="AP65" t="s">
        <v>122</v>
      </c>
      <c r="AQ65" t="s">
        <v>1250</v>
      </c>
      <c r="AR65" t="s">
        <v>1251</v>
      </c>
      <c r="AS65" t="s">
        <v>259</v>
      </c>
      <c r="AT65" t="s">
        <v>1252</v>
      </c>
      <c r="AV65" t="s">
        <v>1253</v>
      </c>
      <c r="AW65" t="s">
        <v>657</v>
      </c>
      <c r="AX65" s="4" t="str">
        <f>"37110"</f>
        <v>37110</v>
      </c>
      <c r="AY65" t="s">
        <v>120</v>
      </c>
      <c r="BA65" s="5">
        <v>19312747811</v>
      </c>
      <c r="BC65" t="s">
        <v>1254</v>
      </c>
      <c r="BD65" t="s">
        <v>1255</v>
      </c>
      <c r="BE65" t="s">
        <v>657</v>
      </c>
      <c r="BF65" t="s">
        <v>1256</v>
      </c>
      <c r="BG65" t="s">
        <v>479</v>
      </c>
      <c r="BH65" s="1">
        <v>44895.791666666664</v>
      </c>
      <c r="BI65">
        <v>40</v>
      </c>
      <c r="BJ65">
        <v>0</v>
      </c>
      <c r="BK65">
        <v>8</v>
      </c>
      <c r="BL65">
        <v>8</v>
      </c>
      <c r="BM65">
        <v>8</v>
      </c>
      <c r="BN65">
        <v>8</v>
      </c>
      <c r="BO65">
        <v>8</v>
      </c>
      <c r="BP65">
        <v>0</v>
      </c>
      <c r="BQ65" t="str">
        <f t="shared" si="3"/>
        <v>7:00 AM</v>
      </c>
      <c r="BR65" t="str">
        <f t="shared" si="4"/>
        <v>4:00 PM</v>
      </c>
      <c r="BS65" t="s">
        <v>133</v>
      </c>
      <c r="BT65">
        <v>0</v>
      </c>
      <c r="BU65">
        <v>0</v>
      </c>
      <c r="BV65" t="s">
        <v>134</v>
      </c>
      <c r="BX65" s="2" t="s">
        <v>12471</v>
      </c>
      <c r="BY65" t="s">
        <v>12466</v>
      </c>
      <c r="CA65" t="s">
        <v>12472</v>
      </c>
      <c r="CB65" t="s">
        <v>479</v>
      </c>
      <c r="CC65" s="4" t="str">
        <f>"22911"</f>
        <v>22911</v>
      </c>
      <c r="CD65" t="s">
        <v>9099</v>
      </c>
      <c r="CE65" t="s">
        <v>4516</v>
      </c>
      <c r="CF65" s="6">
        <v>15.51</v>
      </c>
      <c r="CH65" s="6">
        <v>23.27</v>
      </c>
      <c r="CJ65" t="s">
        <v>137</v>
      </c>
      <c r="CL65" t="s">
        <v>12473</v>
      </c>
      <c r="CO65" t="s">
        <v>138</v>
      </c>
      <c r="CP65" t="s">
        <v>114</v>
      </c>
      <c r="CQ65" t="s">
        <v>114</v>
      </c>
      <c r="CR65" t="s">
        <v>114</v>
      </c>
      <c r="CS65" t="s">
        <v>134</v>
      </c>
      <c r="CT65" t="s">
        <v>114</v>
      </c>
      <c r="CU65" t="s">
        <v>134</v>
      </c>
      <c r="CV65" t="s">
        <v>138</v>
      </c>
      <c r="CW65" s="5" t="str">
        <f>"+14349731154"</f>
        <v>+14349731154</v>
      </c>
      <c r="CX65" t="s">
        <v>12474</v>
      </c>
      <c r="CY65" t="s">
        <v>138</v>
      </c>
      <c r="CZ65" t="s">
        <v>139</v>
      </c>
      <c r="DA65" t="s">
        <v>134</v>
      </c>
      <c r="DB65" t="s">
        <v>134</v>
      </c>
      <c r="DC65" t="s">
        <v>114</v>
      </c>
      <c r="DD65" t="s">
        <v>134</v>
      </c>
    </row>
    <row r="66" spans="1:108" ht="15" customHeight="1" x14ac:dyDescent="0.25">
      <c r="A66" t="s">
        <v>16691</v>
      </c>
      <c r="B66" t="s">
        <v>165</v>
      </c>
      <c r="C66" s="1">
        <v>44896.403181481481</v>
      </c>
      <c r="D66" s="1">
        <v>44924</v>
      </c>
      <c r="E66" t="s">
        <v>134</v>
      </c>
      <c r="F66" t="s">
        <v>1344</v>
      </c>
      <c r="G66" t="str">
        <f t="shared" si="2"/>
        <v>37-3011.00</v>
      </c>
      <c r="H66" t="s">
        <v>335</v>
      </c>
      <c r="I66">
        <v>26</v>
      </c>
      <c r="J66">
        <v>26</v>
      </c>
      <c r="K66" s="1">
        <v>44986</v>
      </c>
      <c r="L66" s="1">
        <v>45291</v>
      </c>
      <c r="M66" s="1">
        <v>44986</v>
      </c>
      <c r="N66" s="1">
        <v>45291</v>
      </c>
      <c r="O66" t="s">
        <v>199</v>
      </c>
      <c r="P66" t="s">
        <v>16692</v>
      </c>
      <c r="R66" t="s">
        <v>16693</v>
      </c>
      <c r="T66" t="s">
        <v>9904</v>
      </c>
      <c r="U66" t="s">
        <v>119</v>
      </c>
      <c r="V66" s="4" t="str">
        <f>"28208"</f>
        <v>28208</v>
      </c>
      <c r="W66" t="s">
        <v>120</v>
      </c>
      <c r="Y66" s="5">
        <v>17044948877</v>
      </c>
      <c r="AA66">
        <v>5617</v>
      </c>
      <c r="AB66" t="s">
        <v>16694</v>
      </c>
      <c r="AC66" t="s">
        <v>4518</v>
      </c>
      <c r="AE66" t="s">
        <v>1212</v>
      </c>
      <c r="AF66" t="s">
        <v>16693</v>
      </c>
      <c r="AH66" t="s">
        <v>9904</v>
      </c>
      <c r="AI66" t="s">
        <v>119</v>
      </c>
      <c r="AJ66" s="4" t="str">
        <f>"28208"</f>
        <v>28208</v>
      </c>
      <c r="AK66" t="s">
        <v>120</v>
      </c>
      <c r="AM66" s="5">
        <v>17044948877</v>
      </c>
      <c r="AO66" t="s">
        <v>16695</v>
      </c>
      <c r="AP66" t="s">
        <v>122</v>
      </c>
      <c r="AQ66" t="s">
        <v>1250</v>
      </c>
      <c r="AR66" t="s">
        <v>1251</v>
      </c>
      <c r="AS66" t="s">
        <v>259</v>
      </c>
      <c r="AT66" t="s">
        <v>1252</v>
      </c>
      <c r="AV66" t="s">
        <v>1253</v>
      </c>
      <c r="AW66" t="s">
        <v>657</v>
      </c>
      <c r="AX66" s="4" t="str">
        <f>"37110"</f>
        <v>37110</v>
      </c>
      <c r="AY66" t="s">
        <v>120</v>
      </c>
      <c r="BA66" s="5">
        <v>19312747811</v>
      </c>
      <c r="BC66" t="s">
        <v>1254</v>
      </c>
      <c r="BD66" t="s">
        <v>1255</v>
      </c>
      <c r="BE66" t="s">
        <v>657</v>
      </c>
      <c r="BF66" t="s">
        <v>1256</v>
      </c>
      <c r="BG66" t="s">
        <v>119</v>
      </c>
      <c r="BH66" s="1">
        <v>44895.791666666664</v>
      </c>
      <c r="BI66">
        <v>40</v>
      </c>
      <c r="BJ66">
        <v>0</v>
      </c>
      <c r="BK66">
        <v>8</v>
      </c>
      <c r="BL66">
        <v>8</v>
      </c>
      <c r="BM66">
        <v>8</v>
      </c>
      <c r="BN66">
        <v>8</v>
      </c>
      <c r="BO66">
        <v>8</v>
      </c>
      <c r="BP66">
        <v>0</v>
      </c>
      <c r="BQ66" t="str">
        <f t="shared" si="3"/>
        <v>7:00 AM</v>
      </c>
      <c r="BR66" t="str">
        <f t="shared" si="4"/>
        <v>4:00 PM</v>
      </c>
      <c r="BS66" t="s">
        <v>133</v>
      </c>
      <c r="BT66">
        <v>0</v>
      </c>
      <c r="BU66">
        <v>0</v>
      </c>
      <c r="BV66" t="s">
        <v>134</v>
      </c>
      <c r="BX66" t="s">
        <v>6127</v>
      </c>
      <c r="BY66" t="s">
        <v>16693</v>
      </c>
      <c r="CA66" t="s">
        <v>9904</v>
      </c>
      <c r="CB66" t="s">
        <v>119</v>
      </c>
      <c r="CC66" s="4" t="str">
        <f>"28208"</f>
        <v>28208</v>
      </c>
      <c r="CD66" t="s">
        <v>1403</v>
      </c>
      <c r="CE66" t="s">
        <v>1404</v>
      </c>
      <c r="CF66" s="6">
        <v>16.5</v>
      </c>
      <c r="CH66" s="6">
        <v>24.75</v>
      </c>
      <c r="CJ66" t="s">
        <v>137</v>
      </c>
      <c r="CL66" t="s">
        <v>16696</v>
      </c>
      <c r="CO66" t="s">
        <v>138</v>
      </c>
      <c r="CP66" t="s">
        <v>114</v>
      </c>
      <c r="CQ66" t="s">
        <v>114</v>
      </c>
      <c r="CR66" t="s">
        <v>114</v>
      </c>
      <c r="CS66" t="s">
        <v>134</v>
      </c>
      <c r="CT66" t="s">
        <v>114</v>
      </c>
      <c r="CU66" t="s">
        <v>134</v>
      </c>
      <c r="CV66" t="s">
        <v>138</v>
      </c>
      <c r="CW66" s="5" t="str">
        <f>"+17044948877"</f>
        <v>+17044948877</v>
      </c>
      <c r="CX66" t="s">
        <v>16697</v>
      </c>
      <c r="CY66" t="s">
        <v>138</v>
      </c>
      <c r="CZ66" t="s">
        <v>139</v>
      </c>
      <c r="DA66" t="s">
        <v>134</v>
      </c>
      <c r="DB66" t="s">
        <v>134</v>
      </c>
      <c r="DC66" t="s">
        <v>114</v>
      </c>
      <c r="DD66" t="s">
        <v>134</v>
      </c>
    </row>
    <row r="67" spans="1:108" ht="15" customHeight="1" x14ac:dyDescent="0.25">
      <c r="A67" t="s">
        <v>6116</v>
      </c>
      <c r="B67" t="s">
        <v>165</v>
      </c>
      <c r="C67" s="1">
        <v>44896.401903124999</v>
      </c>
      <c r="D67" s="1">
        <v>44924</v>
      </c>
      <c r="E67" t="s">
        <v>134</v>
      </c>
      <c r="F67" t="s">
        <v>4749</v>
      </c>
      <c r="G67" t="str">
        <f>"53-7064.00"</f>
        <v>53-7064.00</v>
      </c>
      <c r="H67" t="s">
        <v>4749</v>
      </c>
      <c r="I67">
        <v>20</v>
      </c>
      <c r="J67">
        <v>20</v>
      </c>
      <c r="K67" s="1">
        <v>44986</v>
      </c>
      <c r="L67" s="1">
        <v>45291</v>
      </c>
      <c r="M67" s="1">
        <v>44986</v>
      </c>
      <c r="N67" s="1">
        <v>45291</v>
      </c>
      <c r="O67" t="s">
        <v>117</v>
      </c>
      <c r="P67" t="s">
        <v>6117</v>
      </c>
      <c r="Q67" t="s">
        <v>6118</v>
      </c>
      <c r="R67" t="s">
        <v>6119</v>
      </c>
      <c r="T67" t="s">
        <v>6120</v>
      </c>
      <c r="U67" t="s">
        <v>1846</v>
      </c>
      <c r="V67" s="4" t="str">
        <f>"05647"</f>
        <v>05647</v>
      </c>
      <c r="W67" t="s">
        <v>120</v>
      </c>
      <c r="Y67" s="5">
        <v>19785525510</v>
      </c>
      <c r="AA67">
        <v>311513</v>
      </c>
      <c r="AB67" t="s">
        <v>6121</v>
      </c>
      <c r="AC67" t="s">
        <v>1438</v>
      </c>
      <c r="AE67" t="s">
        <v>6122</v>
      </c>
      <c r="AF67" t="s">
        <v>6123</v>
      </c>
      <c r="AG67" t="s">
        <v>6124</v>
      </c>
      <c r="AH67" t="s">
        <v>6125</v>
      </c>
      <c r="AI67" t="s">
        <v>281</v>
      </c>
      <c r="AJ67" s="4" t="str">
        <f>"01810"</f>
        <v>01810</v>
      </c>
      <c r="AK67" t="s">
        <v>120</v>
      </c>
      <c r="AM67" s="5">
        <v>19785525513</v>
      </c>
      <c r="AO67" t="s">
        <v>6126</v>
      </c>
      <c r="AP67" t="s">
        <v>122</v>
      </c>
      <c r="AQ67" t="s">
        <v>1250</v>
      </c>
      <c r="AR67" t="s">
        <v>1251</v>
      </c>
      <c r="AS67" t="s">
        <v>259</v>
      </c>
      <c r="AT67" t="s">
        <v>1252</v>
      </c>
      <c r="AV67" t="s">
        <v>1253</v>
      </c>
      <c r="AW67" t="s">
        <v>657</v>
      </c>
      <c r="AX67" s="4" t="str">
        <f>"37110"</f>
        <v>37110</v>
      </c>
      <c r="AY67" t="s">
        <v>120</v>
      </c>
      <c r="BA67" s="5">
        <v>19312747811</v>
      </c>
      <c r="BC67" t="s">
        <v>1254</v>
      </c>
      <c r="BD67" t="s">
        <v>1255</v>
      </c>
      <c r="BE67" t="s">
        <v>657</v>
      </c>
      <c r="BF67" t="s">
        <v>1256</v>
      </c>
      <c r="BG67" t="s">
        <v>1846</v>
      </c>
      <c r="BH67" s="1">
        <v>44895.791666666664</v>
      </c>
      <c r="BI67">
        <v>40</v>
      </c>
      <c r="BJ67">
        <v>0</v>
      </c>
      <c r="BK67">
        <v>8</v>
      </c>
      <c r="BL67">
        <v>8</v>
      </c>
      <c r="BM67">
        <v>8</v>
      </c>
      <c r="BN67">
        <v>8</v>
      </c>
      <c r="BO67">
        <v>8</v>
      </c>
      <c r="BP67">
        <v>0</v>
      </c>
      <c r="BQ67" t="str">
        <f t="shared" si="3"/>
        <v>7:00 AM</v>
      </c>
      <c r="BR67" t="str">
        <f t="shared" si="4"/>
        <v>4:00 PM</v>
      </c>
      <c r="BS67" t="s">
        <v>133</v>
      </c>
      <c r="BT67">
        <v>0</v>
      </c>
      <c r="BU67">
        <v>0</v>
      </c>
      <c r="BV67" t="s">
        <v>134</v>
      </c>
      <c r="BX67" t="s">
        <v>6127</v>
      </c>
      <c r="BY67" t="s">
        <v>6119</v>
      </c>
      <c r="CA67" t="s">
        <v>6120</v>
      </c>
      <c r="CB67" t="s">
        <v>1846</v>
      </c>
      <c r="CC67" s="4" t="str">
        <f>"05647"</f>
        <v>05647</v>
      </c>
      <c r="CD67" t="s">
        <v>1345</v>
      </c>
      <c r="CE67" t="s">
        <v>3569</v>
      </c>
      <c r="CF67" s="6">
        <v>18</v>
      </c>
      <c r="CH67" s="6">
        <v>27</v>
      </c>
      <c r="CJ67" t="s">
        <v>137</v>
      </c>
      <c r="CL67" t="s">
        <v>6128</v>
      </c>
      <c r="CO67" t="s">
        <v>138</v>
      </c>
      <c r="CP67" t="s">
        <v>134</v>
      </c>
      <c r="CQ67" t="s">
        <v>114</v>
      </c>
      <c r="CR67" t="s">
        <v>114</v>
      </c>
      <c r="CS67" t="s">
        <v>134</v>
      </c>
      <c r="CT67" t="s">
        <v>114</v>
      </c>
      <c r="CU67" t="s">
        <v>134</v>
      </c>
      <c r="CV67" t="s">
        <v>138</v>
      </c>
      <c r="CW67" s="5" t="str">
        <f>"+19785525513"</f>
        <v>+19785525513</v>
      </c>
      <c r="CX67" t="s">
        <v>6129</v>
      </c>
      <c r="CY67" t="s">
        <v>138</v>
      </c>
      <c r="CZ67" t="s">
        <v>139</v>
      </c>
      <c r="DA67" t="s">
        <v>134</v>
      </c>
      <c r="DB67" t="s">
        <v>134</v>
      </c>
      <c r="DC67" t="s">
        <v>114</v>
      </c>
      <c r="DD67" t="s">
        <v>134</v>
      </c>
    </row>
    <row r="68" spans="1:108" ht="15" customHeight="1" x14ac:dyDescent="0.25">
      <c r="A68" t="s">
        <v>14803</v>
      </c>
      <c r="B68" t="s">
        <v>165</v>
      </c>
      <c r="C68" s="1">
        <v>44896.401844791668</v>
      </c>
      <c r="D68" s="1">
        <v>44924</v>
      </c>
      <c r="E68" t="s">
        <v>134</v>
      </c>
      <c r="F68" t="s">
        <v>14804</v>
      </c>
      <c r="G68" t="str">
        <f>"35-3023.00"</f>
        <v>35-3023.00</v>
      </c>
      <c r="H68" t="s">
        <v>555</v>
      </c>
      <c r="I68">
        <v>4</v>
      </c>
      <c r="J68">
        <v>4</v>
      </c>
      <c r="K68" s="1">
        <v>44986</v>
      </c>
      <c r="L68" s="1">
        <v>45291</v>
      </c>
      <c r="M68" s="1">
        <v>44986</v>
      </c>
      <c r="N68" s="1">
        <v>45291</v>
      </c>
      <c r="O68" t="s">
        <v>117</v>
      </c>
      <c r="P68" t="s">
        <v>14805</v>
      </c>
      <c r="Q68" t="s">
        <v>14806</v>
      </c>
      <c r="R68" t="s">
        <v>14807</v>
      </c>
      <c r="T68" t="s">
        <v>14808</v>
      </c>
      <c r="U68" t="s">
        <v>657</v>
      </c>
      <c r="V68" s="4" t="str">
        <f>"38583"</f>
        <v>38583</v>
      </c>
      <c r="W68" t="s">
        <v>120</v>
      </c>
      <c r="Y68" s="5">
        <v>19315106832</v>
      </c>
      <c r="AA68">
        <v>561320</v>
      </c>
      <c r="AB68" t="s">
        <v>14809</v>
      </c>
      <c r="AC68" t="s">
        <v>4055</v>
      </c>
      <c r="AE68" t="s">
        <v>9986</v>
      </c>
      <c r="AF68" t="s">
        <v>14807</v>
      </c>
      <c r="AH68" t="s">
        <v>14808</v>
      </c>
      <c r="AI68" t="s">
        <v>657</v>
      </c>
      <c r="AJ68" s="4" t="str">
        <f>"38583"</f>
        <v>38583</v>
      </c>
      <c r="AK68" t="s">
        <v>120</v>
      </c>
      <c r="AM68" s="5">
        <v>19315106832</v>
      </c>
      <c r="AO68" t="s">
        <v>14810</v>
      </c>
      <c r="AP68" t="s">
        <v>122</v>
      </c>
      <c r="AQ68" t="s">
        <v>1250</v>
      </c>
      <c r="AR68" t="s">
        <v>1251</v>
      </c>
      <c r="AS68" t="s">
        <v>259</v>
      </c>
      <c r="AT68" t="s">
        <v>1252</v>
      </c>
      <c r="AV68" t="s">
        <v>1253</v>
      </c>
      <c r="AW68" t="s">
        <v>657</v>
      </c>
      <c r="AX68" s="4" t="str">
        <f>"37110"</f>
        <v>37110</v>
      </c>
      <c r="AY68" t="s">
        <v>120</v>
      </c>
      <c r="BA68" s="5">
        <v>19312747811</v>
      </c>
      <c r="BC68" t="s">
        <v>1254</v>
      </c>
      <c r="BD68" t="s">
        <v>1255</v>
      </c>
      <c r="BE68" t="s">
        <v>657</v>
      </c>
      <c r="BF68" t="s">
        <v>1256</v>
      </c>
      <c r="BG68" t="s">
        <v>657</v>
      </c>
      <c r="BH68" s="1">
        <v>44895.791666666664</v>
      </c>
      <c r="BI68">
        <v>40</v>
      </c>
      <c r="BJ68">
        <v>0</v>
      </c>
      <c r="BK68">
        <v>8</v>
      </c>
      <c r="BL68">
        <v>8</v>
      </c>
      <c r="BM68">
        <v>8</v>
      </c>
      <c r="BN68">
        <v>8</v>
      </c>
      <c r="BO68">
        <v>8</v>
      </c>
      <c r="BP68">
        <v>0</v>
      </c>
      <c r="BQ68" t="str">
        <f t="shared" si="3"/>
        <v>7:00 AM</v>
      </c>
      <c r="BR68" t="str">
        <f t="shared" si="4"/>
        <v>4:00 PM</v>
      </c>
      <c r="BS68" t="s">
        <v>133</v>
      </c>
      <c r="BT68">
        <v>0</v>
      </c>
      <c r="BU68">
        <v>0</v>
      </c>
      <c r="BV68" t="s">
        <v>134</v>
      </c>
      <c r="BX68" s="2" t="s">
        <v>14811</v>
      </c>
      <c r="BY68" t="s">
        <v>14812</v>
      </c>
      <c r="CA68" t="s">
        <v>14813</v>
      </c>
      <c r="CB68" t="s">
        <v>657</v>
      </c>
      <c r="CC68" s="4" t="str">
        <f>"38583"</f>
        <v>38583</v>
      </c>
      <c r="CD68" t="s">
        <v>3524</v>
      </c>
      <c r="CE68" t="s">
        <v>4212</v>
      </c>
      <c r="CF68" s="6">
        <v>9.58</v>
      </c>
      <c r="CH68" s="6">
        <v>14.37</v>
      </c>
      <c r="CJ68" t="s">
        <v>137</v>
      </c>
      <c r="CK68" t="s">
        <v>1347</v>
      </c>
      <c r="CL68" t="s">
        <v>14814</v>
      </c>
      <c r="CO68" t="s">
        <v>138</v>
      </c>
      <c r="CP68" t="s">
        <v>114</v>
      </c>
      <c r="CQ68" t="s">
        <v>114</v>
      </c>
      <c r="CR68" t="s">
        <v>114</v>
      </c>
      <c r="CS68" t="s">
        <v>134</v>
      </c>
      <c r="CT68" t="s">
        <v>114</v>
      </c>
      <c r="CU68" t="s">
        <v>134</v>
      </c>
      <c r="CV68" t="s">
        <v>138</v>
      </c>
      <c r="CW68" s="5" t="str">
        <f>"+19315106832"</f>
        <v>+19315106832</v>
      </c>
      <c r="CX68" t="s">
        <v>14810</v>
      </c>
      <c r="CY68" t="s">
        <v>138</v>
      </c>
      <c r="CZ68" t="s">
        <v>139</v>
      </c>
      <c r="DA68" t="s">
        <v>134</v>
      </c>
      <c r="DB68" t="s">
        <v>134</v>
      </c>
      <c r="DC68" t="s">
        <v>114</v>
      </c>
      <c r="DD68" t="s">
        <v>134</v>
      </c>
    </row>
    <row r="69" spans="1:108" ht="15" customHeight="1" x14ac:dyDescent="0.25">
      <c r="A69" t="s">
        <v>8995</v>
      </c>
      <c r="B69" t="s">
        <v>165</v>
      </c>
      <c r="C69" s="1">
        <v>44896.393687731485</v>
      </c>
      <c r="D69" s="1">
        <v>44924</v>
      </c>
      <c r="E69" t="s">
        <v>134</v>
      </c>
      <c r="F69" t="s">
        <v>334</v>
      </c>
      <c r="G69" t="str">
        <f>"37-3013.00"</f>
        <v>37-3013.00</v>
      </c>
      <c r="H69" t="s">
        <v>468</v>
      </c>
      <c r="I69">
        <v>12</v>
      </c>
      <c r="J69">
        <v>12</v>
      </c>
      <c r="K69" s="1">
        <v>44986</v>
      </c>
      <c r="L69" s="1">
        <v>45291</v>
      </c>
      <c r="M69" s="1">
        <v>44986</v>
      </c>
      <c r="N69" s="1">
        <v>45291</v>
      </c>
      <c r="O69" t="s">
        <v>117</v>
      </c>
      <c r="P69" t="s">
        <v>8996</v>
      </c>
      <c r="R69" t="s">
        <v>8997</v>
      </c>
      <c r="S69" t="s">
        <v>138</v>
      </c>
      <c r="T69" t="s">
        <v>2108</v>
      </c>
      <c r="U69" t="s">
        <v>232</v>
      </c>
      <c r="V69" s="4" t="str">
        <f>"78266-2685"</f>
        <v>78266-2685</v>
      </c>
      <c r="W69" t="s">
        <v>120</v>
      </c>
      <c r="X69" t="s">
        <v>138</v>
      </c>
      <c r="Y69" s="5">
        <v>12108251699</v>
      </c>
      <c r="AA69">
        <v>561730</v>
      </c>
      <c r="AB69" t="s">
        <v>8998</v>
      </c>
      <c r="AC69" t="s">
        <v>501</v>
      </c>
      <c r="AE69" t="s">
        <v>424</v>
      </c>
      <c r="AF69" t="s">
        <v>8997</v>
      </c>
      <c r="AG69" t="s">
        <v>138</v>
      </c>
      <c r="AH69" t="s">
        <v>2108</v>
      </c>
      <c r="AI69" t="s">
        <v>232</v>
      </c>
      <c r="AJ69" s="4" t="str">
        <f>"78266-2685"</f>
        <v>78266-2685</v>
      </c>
      <c r="AK69" t="s">
        <v>120</v>
      </c>
      <c r="AM69" s="5">
        <v>12108251699</v>
      </c>
      <c r="AO69" t="s">
        <v>8999</v>
      </c>
      <c r="AP69" t="s">
        <v>256</v>
      </c>
      <c r="AQ69" t="s">
        <v>2362</v>
      </c>
      <c r="AR69" t="s">
        <v>1907</v>
      </c>
      <c r="AS69" t="s">
        <v>1857</v>
      </c>
      <c r="AT69" t="s">
        <v>1284</v>
      </c>
      <c r="AU69" t="s">
        <v>138</v>
      </c>
      <c r="AV69" t="s">
        <v>1285</v>
      </c>
      <c r="AW69" t="s">
        <v>232</v>
      </c>
      <c r="AX69" s="4" t="str">
        <f>"77414"</f>
        <v>77414</v>
      </c>
      <c r="AY69" t="s">
        <v>120</v>
      </c>
      <c r="BA69" s="5">
        <v>19793187282</v>
      </c>
      <c r="BC69" t="s">
        <v>2363</v>
      </c>
      <c r="BD69" t="s">
        <v>1287</v>
      </c>
      <c r="BG69" t="s">
        <v>232</v>
      </c>
      <c r="BH69" s="1">
        <v>44895.791666666664</v>
      </c>
      <c r="BI69">
        <v>40</v>
      </c>
      <c r="BJ69">
        <v>0</v>
      </c>
      <c r="BK69">
        <v>8</v>
      </c>
      <c r="BL69">
        <v>8</v>
      </c>
      <c r="BM69">
        <v>8</v>
      </c>
      <c r="BN69">
        <v>8</v>
      </c>
      <c r="BO69">
        <v>8</v>
      </c>
      <c r="BP69">
        <v>0</v>
      </c>
      <c r="BQ69" t="str">
        <f t="shared" si="3"/>
        <v>7:00 AM</v>
      </c>
      <c r="BR69" t="str">
        <f t="shared" si="4"/>
        <v>4:00 PM</v>
      </c>
      <c r="BS69" t="s">
        <v>133</v>
      </c>
      <c r="BT69">
        <v>0</v>
      </c>
      <c r="BU69">
        <v>0</v>
      </c>
      <c r="BV69" t="s">
        <v>134</v>
      </c>
      <c r="BX69" s="2" t="s">
        <v>9000</v>
      </c>
      <c r="BY69" t="s">
        <v>8997</v>
      </c>
      <c r="BZ69" t="s">
        <v>138</v>
      </c>
      <c r="CA69" t="s">
        <v>2108</v>
      </c>
      <c r="CB69" t="s">
        <v>232</v>
      </c>
      <c r="CC69" s="4" t="str">
        <f>"78266"</f>
        <v>78266</v>
      </c>
      <c r="CD69" t="s">
        <v>1341</v>
      </c>
      <c r="CE69" t="s">
        <v>1342</v>
      </c>
      <c r="CF69" s="6">
        <v>15.52</v>
      </c>
      <c r="CH69" s="6">
        <v>23.28</v>
      </c>
      <c r="CJ69" t="s">
        <v>137</v>
      </c>
      <c r="CK69" t="s">
        <v>6318</v>
      </c>
      <c r="CL69" t="s">
        <v>9001</v>
      </c>
      <c r="CO69" t="s">
        <v>138</v>
      </c>
      <c r="CP69" t="s">
        <v>114</v>
      </c>
      <c r="CQ69" t="s">
        <v>114</v>
      </c>
      <c r="CR69" t="s">
        <v>114</v>
      </c>
      <c r="CS69" t="s">
        <v>114</v>
      </c>
      <c r="CT69" t="s">
        <v>114</v>
      </c>
      <c r="CU69" t="s">
        <v>114</v>
      </c>
      <c r="CV69" t="s">
        <v>2381</v>
      </c>
      <c r="CW69" s="5" t="str">
        <f>"+12108251699"</f>
        <v>+12108251699</v>
      </c>
      <c r="CX69" t="s">
        <v>9002</v>
      </c>
      <c r="CY69" t="s">
        <v>138</v>
      </c>
      <c r="CZ69" t="s">
        <v>139</v>
      </c>
      <c r="DA69" t="s">
        <v>134</v>
      </c>
      <c r="DB69" t="s">
        <v>134</v>
      </c>
      <c r="DC69" t="s">
        <v>114</v>
      </c>
      <c r="DD69" t="s">
        <v>134</v>
      </c>
    </row>
    <row r="70" spans="1:108" ht="15" customHeight="1" x14ac:dyDescent="0.25">
      <c r="A70" t="s">
        <v>5684</v>
      </c>
      <c r="B70" t="s">
        <v>165</v>
      </c>
      <c r="C70" s="1">
        <v>44896.38733020833</v>
      </c>
      <c r="D70" s="1">
        <v>44924</v>
      </c>
      <c r="E70" t="s">
        <v>134</v>
      </c>
      <c r="F70" t="s">
        <v>334</v>
      </c>
      <c r="G70" t="str">
        <f>"37-3011.00"</f>
        <v>37-3011.00</v>
      </c>
      <c r="H70" t="s">
        <v>335</v>
      </c>
      <c r="I70">
        <v>7</v>
      </c>
      <c r="J70">
        <v>7</v>
      </c>
      <c r="K70" s="1">
        <v>44986</v>
      </c>
      <c r="L70" s="1">
        <v>45275</v>
      </c>
      <c r="M70" s="1">
        <v>44986</v>
      </c>
      <c r="N70" s="1">
        <v>45275</v>
      </c>
      <c r="O70" t="s">
        <v>199</v>
      </c>
      <c r="P70" t="s">
        <v>5685</v>
      </c>
      <c r="R70" t="s">
        <v>5686</v>
      </c>
      <c r="S70" t="s">
        <v>138</v>
      </c>
      <c r="T70" t="s">
        <v>4371</v>
      </c>
      <c r="U70" t="s">
        <v>1003</v>
      </c>
      <c r="V70" s="4" t="str">
        <f>"07624"</f>
        <v>07624</v>
      </c>
      <c r="W70" t="s">
        <v>120</v>
      </c>
      <c r="X70" t="s">
        <v>138</v>
      </c>
      <c r="Y70" s="5">
        <v>12017689284</v>
      </c>
      <c r="AA70">
        <v>561730</v>
      </c>
      <c r="AB70" t="s">
        <v>5687</v>
      </c>
      <c r="AC70" t="s">
        <v>5688</v>
      </c>
      <c r="AE70" t="s">
        <v>2138</v>
      </c>
      <c r="AF70" t="s">
        <v>5686</v>
      </c>
      <c r="AG70" t="s">
        <v>138</v>
      </c>
      <c r="AH70" t="s">
        <v>4371</v>
      </c>
      <c r="AI70" t="s">
        <v>1003</v>
      </c>
      <c r="AJ70" s="4" t="str">
        <f>"07624"</f>
        <v>07624</v>
      </c>
      <c r="AK70" t="s">
        <v>120</v>
      </c>
      <c r="AM70" s="5">
        <v>12017689284</v>
      </c>
      <c r="AO70" t="s">
        <v>5689</v>
      </c>
      <c r="AP70" t="s">
        <v>256</v>
      </c>
      <c r="AQ70" t="s">
        <v>2362</v>
      </c>
      <c r="AR70" t="s">
        <v>1907</v>
      </c>
      <c r="AS70" t="s">
        <v>1857</v>
      </c>
      <c r="AT70" t="s">
        <v>1284</v>
      </c>
      <c r="AU70" t="s">
        <v>138</v>
      </c>
      <c r="AV70" t="s">
        <v>1285</v>
      </c>
      <c r="AW70" t="s">
        <v>232</v>
      </c>
      <c r="AX70" s="4" t="str">
        <f>"77414"</f>
        <v>77414</v>
      </c>
      <c r="AY70" t="s">
        <v>120</v>
      </c>
      <c r="BA70" s="5">
        <v>19793187282</v>
      </c>
      <c r="BC70" t="s">
        <v>2363</v>
      </c>
      <c r="BD70" t="s">
        <v>1287</v>
      </c>
      <c r="BG70" t="s">
        <v>1003</v>
      </c>
      <c r="BH70" s="1">
        <v>44895.791666666664</v>
      </c>
      <c r="BI70">
        <v>40</v>
      </c>
      <c r="BJ70">
        <v>0</v>
      </c>
      <c r="BK70">
        <v>8</v>
      </c>
      <c r="BL70">
        <v>8</v>
      </c>
      <c r="BM70">
        <v>8</v>
      </c>
      <c r="BN70">
        <v>8</v>
      </c>
      <c r="BO70">
        <v>8</v>
      </c>
      <c r="BP70">
        <v>0</v>
      </c>
      <c r="BQ70" t="str">
        <f>"8:00 AM"</f>
        <v>8:00 AM</v>
      </c>
      <c r="BR70" t="str">
        <f>"5:00 PM"</f>
        <v>5:00 PM</v>
      </c>
      <c r="BS70" t="s">
        <v>133</v>
      </c>
      <c r="BT70">
        <v>0</v>
      </c>
      <c r="BU70">
        <v>0</v>
      </c>
      <c r="BV70" t="s">
        <v>134</v>
      </c>
      <c r="BX70" s="2" t="s">
        <v>5690</v>
      </c>
      <c r="BY70" t="s">
        <v>5691</v>
      </c>
      <c r="BZ70" t="s">
        <v>138</v>
      </c>
      <c r="CA70" t="s">
        <v>4371</v>
      </c>
      <c r="CB70" t="s">
        <v>1003</v>
      </c>
      <c r="CC70" s="4" t="str">
        <f>"07624"</f>
        <v>07624</v>
      </c>
      <c r="CD70" t="s">
        <v>2415</v>
      </c>
      <c r="CE70" t="s">
        <v>1009</v>
      </c>
      <c r="CF70" s="6">
        <v>19.940000000000001</v>
      </c>
      <c r="CH70" s="6">
        <v>29.91</v>
      </c>
      <c r="CJ70" t="s">
        <v>137</v>
      </c>
      <c r="CK70" t="s">
        <v>5692</v>
      </c>
      <c r="CL70" t="s">
        <v>5693</v>
      </c>
      <c r="CO70" t="s">
        <v>138</v>
      </c>
      <c r="CP70" t="s">
        <v>114</v>
      </c>
      <c r="CQ70" t="s">
        <v>114</v>
      </c>
      <c r="CR70" t="s">
        <v>114</v>
      </c>
      <c r="CS70" t="s">
        <v>114</v>
      </c>
      <c r="CT70" t="s">
        <v>114</v>
      </c>
      <c r="CU70" t="s">
        <v>134</v>
      </c>
      <c r="CV70" t="s">
        <v>1356</v>
      </c>
      <c r="CW70" s="5" t="str">
        <f>"+12017689284"</f>
        <v>+12017689284</v>
      </c>
      <c r="CX70" t="s">
        <v>5689</v>
      </c>
      <c r="CY70" t="s">
        <v>138</v>
      </c>
      <c r="CZ70" t="s">
        <v>139</v>
      </c>
      <c r="DA70" t="s">
        <v>134</v>
      </c>
      <c r="DB70" t="s">
        <v>134</v>
      </c>
      <c r="DC70" t="s">
        <v>114</v>
      </c>
      <c r="DD70" t="s">
        <v>134</v>
      </c>
    </row>
    <row r="71" spans="1:108" ht="15" customHeight="1" x14ac:dyDescent="0.25">
      <c r="A71" t="s">
        <v>14037</v>
      </c>
      <c r="B71" t="s">
        <v>165</v>
      </c>
      <c r="C71" s="1">
        <v>44896.106000925924</v>
      </c>
      <c r="D71" s="1">
        <v>44924</v>
      </c>
      <c r="E71" t="s">
        <v>134</v>
      </c>
      <c r="F71" t="s">
        <v>14038</v>
      </c>
      <c r="G71" t="str">
        <f>"47-3011.00"</f>
        <v>47-3011.00</v>
      </c>
      <c r="H71" t="s">
        <v>2166</v>
      </c>
      <c r="I71">
        <v>12</v>
      </c>
      <c r="J71">
        <v>12</v>
      </c>
      <c r="K71" s="1">
        <v>44986</v>
      </c>
      <c r="L71" s="1">
        <v>45260</v>
      </c>
      <c r="M71" s="1">
        <v>44986</v>
      </c>
      <c r="N71" s="1">
        <v>45260</v>
      </c>
      <c r="O71" t="s">
        <v>117</v>
      </c>
      <c r="P71" t="s">
        <v>14039</v>
      </c>
      <c r="R71" t="s">
        <v>14040</v>
      </c>
      <c r="T71" t="s">
        <v>14041</v>
      </c>
      <c r="U71" t="s">
        <v>619</v>
      </c>
      <c r="V71" s="4" t="str">
        <f>"40071"</f>
        <v>40071</v>
      </c>
      <c r="W71" t="s">
        <v>120</v>
      </c>
      <c r="Y71" s="5">
        <v>15029024129</v>
      </c>
      <c r="AA71">
        <v>23814</v>
      </c>
      <c r="AB71" t="s">
        <v>14042</v>
      </c>
      <c r="AC71" t="s">
        <v>1745</v>
      </c>
      <c r="AE71" t="s">
        <v>424</v>
      </c>
      <c r="AF71" t="s">
        <v>14040</v>
      </c>
      <c r="AH71" t="s">
        <v>14041</v>
      </c>
      <c r="AI71" t="s">
        <v>619</v>
      </c>
      <c r="AJ71" s="4" t="str">
        <f>"40071"</f>
        <v>40071</v>
      </c>
      <c r="AK71" t="s">
        <v>120</v>
      </c>
      <c r="AM71" s="5">
        <v>15029024129</v>
      </c>
      <c r="AO71" t="s">
        <v>14043</v>
      </c>
      <c r="AP71" t="s">
        <v>256</v>
      </c>
      <c r="AQ71" t="s">
        <v>885</v>
      </c>
      <c r="AR71" t="s">
        <v>886</v>
      </c>
      <c r="AT71" t="s">
        <v>887</v>
      </c>
      <c r="AV71" t="s">
        <v>888</v>
      </c>
      <c r="AW71" t="s">
        <v>232</v>
      </c>
      <c r="AX71" s="4" t="str">
        <f>"75098"</f>
        <v>75098</v>
      </c>
      <c r="AY71" t="s">
        <v>120</v>
      </c>
      <c r="BA71" s="5">
        <v>19724424244</v>
      </c>
      <c r="BC71" t="s">
        <v>889</v>
      </c>
      <c r="BD71" t="s">
        <v>1264</v>
      </c>
      <c r="BG71" t="s">
        <v>619</v>
      </c>
      <c r="BH71" s="1">
        <v>44895.791666666664</v>
      </c>
      <c r="BI71">
        <v>40</v>
      </c>
      <c r="BJ71">
        <v>0</v>
      </c>
      <c r="BK71">
        <v>8</v>
      </c>
      <c r="BL71">
        <v>8</v>
      </c>
      <c r="BM71">
        <v>8</v>
      </c>
      <c r="BN71">
        <v>8</v>
      </c>
      <c r="BO71">
        <v>8</v>
      </c>
      <c r="BP71">
        <v>0</v>
      </c>
      <c r="BQ71" t="str">
        <f>"8:00 AM"</f>
        <v>8:00 AM</v>
      </c>
      <c r="BR71" t="str">
        <f>"5:00 PM"</f>
        <v>5:00 PM</v>
      </c>
      <c r="BS71" t="s">
        <v>133</v>
      </c>
      <c r="BT71">
        <v>0</v>
      </c>
      <c r="BU71">
        <v>0</v>
      </c>
      <c r="BV71" t="s">
        <v>134</v>
      </c>
      <c r="BX71" s="2" t="s">
        <v>4623</v>
      </c>
      <c r="BY71" t="s">
        <v>14040</v>
      </c>
      <c r="CA71" t="s">
        <v>14041</v>
      </c>
      <c r="CB71" t="s">
        <v>619</v>
      </c>
      <c r="CC71" s="4" t="str">
        <f>"40071"</f>
        <v>40071</v>
      </c>
      <c r="CD71" t="s">
        <v>12591</v>
      </c>
      <c r="CE71" t="s">
        <v>1483</v>
      </c>
      <c r="CF71" s="6">
        <v>22.19</v>
      </c>
      <c r="CG71" s="6">
        <v>23.15</v>
      </c>
      <c r="CH71" s="6">
        <v>33.29</v>
      </c>
      <c r="CI71" s="6">
        <v>34.729999999999997</v>
      </c>
      <c r="CJ71" t="s">
        <v>137</v>
      </c>
      <c r="CK71" t="s">
        <v>2086</v>
      </c>
      <c r="CL71" t="s">
        <v>14044</v>
      </c>
      <c r="CO71" t="s">
        <v>138</v>
      </c>
      <c r="CP71" t="s">
        <v>114</v>
      </c>
      <c r="CQ71" t="s">
        <v>114</v>
      </c>
      <c r="CR71" t="s">
        <v>114</v>
      </c>
      <c r="CS71" t="s">
        <v>114</v>
      </c>
      <c r="CT71" t="s">
        <v>114</v>
      </c>
      <c r="CU71" t="s">
        <v>114</v>
      </c>
      <c r="CV71" t="s">
        <v>14045</v>
      </c>
      <c r="CW71" s="5" t="str">
        <f>"+15029024129"</f>
        <v>+15029024129</v>
      </c>
      <c r="CX71" t="s">
        <v>138</v>
      </c>
      <c r="CY71" t="s">
        <v>9025</v>
      </c>
      <c r="CZ71" t="s">
        <v>139</v>
      </c>
      <c r="DA71" t="s">
        <v>134</v>
      </c>
      <c r="DB71" t="s">
        <v>134</v>
      </c>
      <c r="DC71" t="s">
        <v>114</v>
      </c>
      <c r="DD71" t="s">
        <v>134</v>
      </c>
    </row>
    <row r="72" spans="1:108" ht="15" customHeight="1" x14ac:dyDescent="0.25">
      <c r="A72" t="s">
        <v>11796</v>
      </c>
      <c r="B72" t="s">
        <v>165</v>
      </c>
      <c r="C72" s="1">
        <v>44896.097923148147</v>
      </c>
      <c r="D72" s="1">
        <v>44924</v>
      </c>
      <c r="E72" t="s">
        <v>134</v>
      </c>
      <c r="F72" t="s">
        <v>1034</v>
      </c>
      <c r="G72" t="str">
        <f>"37-3011.00"</f>
        <v>37-3011.00</v>
      </c>
      <c r="H72" t="s">
        <v>335</v>
      </c>
      <c r="I72">
        <v>45</v>
      </c>
      <c r="J72">
        <v>45</v>
      </c>
      <c r="K72" s="1">
        <v>44986</v>
      </c>
      <c r="L72" s="1">
        <v>45245</v>
      </c>
      <c r="M72" s="1">
        <v>44986</v>
      </c>
      <c r="N72" s="1">
        <v>45245</v>
      </c>
      <c r="O72" t="s">
        <v>117</v>
      </c>
      <c r="P72" t="s">
        <v>11797</v>
      </c>
      <c r="R72" t="s">
        <v>11798</v>
      </c>
      <c r="T72" t="s">
        <v>4031</v>
      </c>
      <c r="U72" t="s">
        <v>232</v>
      </c>
      <c r="V72" s="4" t="str">
        <f>"75056"</f>
        <v>75056</v>
      </c>
      <c r="W72" t="s">
        <v>120</v>
      </c>
      <c r="Y72" s="5">
        <v>19722212205</v>
      </c>
      <c r="AA72">
        <v>56173</v>
      </c>
      <c r="AB72" t="s">
        <v>11799</v>
      </c>
      <c r="AC72" t="s">
        <v>501</v>
      </c>
      <c r="AE72" t="s">
        <v>3368</v>
      </c>
      <c r="AF72" t="s">
        <v>11798</v>
      </c>
      <c r="AH72" t="s">
        <v>4031</v>
      </c>
      <c r="AI72" t="s">
        <v>232</v>
      </c>
      <c r="AJ72" s="4" t="str">
        <f>"75056"</f>
        <v>75056</v>
      </c>
      <c r="AK72" t="s">
        <v>120</v>
      </c>
      <c r="AM72" s="5">
        <v>19722212205</v>
      </c>
      <c r="AO72" t="s">
        <v>11800</v>
      </c>
      <c r="AP72" t="s">
        <v>256</v>
      </c>
      <c r="AQ72" t="s">
        <v>885</v>
      </c>
      <c r="AR72" t="s">
        <v>886</v>
      </c>
      <c r="AT72" t="s">
        <v>887</v>
      </c>
      <c r="AV72" t="s">
        <v>888</v>
      </c>
      <c r="AW72" t="s">
        <v>232</v>
      </c>
      <c r="AX72" s="4" t="str">
        <f>"75098"</f>
        <v>75098</v>
      </c>
      <c r="AY72" t="s">
        <v>120</v>
      </c>
      <c r="BA72" s="5">
        <v>19724424244</v>
      </c>
      <c r="BC72" t="s">
        <v>889</v>
      </c>
      <c r="BD72" t="s">
        <v>1264</v>
      </c>
      <c r="BG72" t="s">
        <v>232</v>
      </c>
      <c r="BH72" s="1">
        <v>44895.791666666664</v>
      </c>
      <c r="BI72">
        <v>40</v>
      </c>
      <c r="BJ72">
        <v>0</v>
      </c>
      <c r="BK72">
        <v>8</v>
      </c>
      <c r="BL72">
        <v>8</v>
      </c>
      <c r="BM72">
        <v>8</v>
      </c>
      <c r="BN72">
        <v>8</v>
      </c>
      <c r="BO72">
        <v>8</v>
      </c>
      <c r="BP72">
        <v>0</v>
      </c>
      <c r="BQ72" t="str">
        <f>"7:00 AM"</f>
        <v>7:00 AM</v>
      </c>
      <c r="BR72" t="str">
        <f>"4:00 PM"</f>
        <v>4:00 PM</v>
      </c>
      <c r="BS72" t="s">
        <v>133</v>
      </c>
      <c r="BT72">
        <v>0</v>
      </c>
      <c r="BU72">
        <v>0</v>
      </c>
      <c r="BV72" t="s">
        <v>134</v>
      </c>
      <c r="BX72" s="2" t="s">
        <v>4623</v>
      </c>
      <c r="BY72" t="s">
        <v>11798</v>
      </c>
      <c r="CA72" t="s">
        <v>4031</v>
      </c>
      <c r="CB72" t="s">
        <v>232</v>
      </c>
      <c r="CC72" s="4" t="str">
        <f>"75056"</f>
        <v>75056</v>
      </c>
      <c r="CD72" t="s">
        <v>2071</v>
      </c>
      <c r="CE72" t="s">
        <v>1528</v>
      </c>
      <c r="CF72" s="6">
        <v>16.3</v>
      </c>
      <c r="CG72" s="6">
        <v>17</v>
      </c>
      <c r="CH72" s="6">
        <v>24.45</v>
      </c>
      <c r="CI72" s="6">
        <v>25.5</v>
      </c>
      <c r="CJ72" t="s">
        <v>137</v>
      </c>
      <c r="CK72" t="s">
        <v>2086</v>
      </c>
      <c r="CL72" t="s">
        <v>11801</v>
      </c>
      <c r="CO72" t="s">
        <v>138</v>
      </c>
      <c r="CP72" t="s">
        <v>114</v>
      </c>
      <c r="CQ72" t="s">
        <v>114</v>
      </c>
      <c r="CR72" t="s">
        <v>114</v>
      </c>
      <c r="CS72" t="s">
        <v>114</v>
      </c>
      <c r="CT72" t="s">
        <v>114</v>
      </c>
      <c r="CU72" t="s">
        <v>114</v>
      </c>
      <c r="CV72" t="s">
        <v>7992</v>
      </c>
      <c r="CW72" s="5" t="str">
        <f>"+19722212205"</f>
        <v>+19722212205</v>
      </c>
      <c r="CX72" t="s">
        <v>138</v>
      </c>
      <c r="CY72" t="s">
        <v>11802</v>
      </c>
      <c r="CZ72" t="s">
        <v>139</v>
      </c>
      <c r="DA72" t="s">
        <v>134</v>
      </c>
      <c r="DB72" t="s">
        <v>134</v>
      </c>
      <c r="DC72" t="s">
        <v>114</v>
      </c>
      <c r="DD72" t="s">
        <v>134</v>
      </c>
    </row>
    <row r="73" spans="1:108" ht="15" customHeight="1" x14ac:dyDescent="0.25">
      <c r="A73" t="s">
        <v>14825</v>
      </c>
      <c r="B73" t="s">
        <v>165</v>
      </c>
      <c r="C73" s="1">
        <v>44896.069241898149</v>
      </c>
      <c r="D73" s="1">
        <v>44924</v>
      </c>
      <c r="E73" t="s">
        <v>134</v>
      </c>
      <c r="F73" t="s">
        <v>5909</v>
      </c>
      <c r="G73" t="str">
        <f>"47-2061.00"</f>
        <v>47-2061.00</v>
      </c>
      <c r="H73" t="s">
        <v>1625</v>
      </c>
      <c r="I73">
        <v>18</v>
      </c>
      <c r="J73">
        <v>18</v>
      </c>
      <c r="K73" s="1">
        <v>44986</v>
      </c>
      <c r="L73" s="1">
        <v>45250</v>
      </c>
      <c r="M73" s="1">
        <v>44986</v>
      </c>
      <c r="N73" s="1">
        <v>45250</v>
      </c>
      <c r="O73" t="s">
        <v>117</v>
      </c>
      <c r="P73" t="s">
        <v>14826</v>
      </c>
      <c r="R73" t="s">
        <v>14827</v>
      </c>
      <c r="T73" t="s">
        <v>6937</v>
      </c>
      <c r="U73" t="s">
        <v>631</v>
      </c>
      <c r="V73" s="4" t="str">
        <f>"74727"</f>
        <v>74727</v>
      </c>
      <c r="W73" t="s">
        <v>120</v>
      </c>
      <c r="Y73" s="5">
        <v>15805662271</v>
      </c>
      <c r="AA73">
        <v>23731</v>
      </c>
      <c r="AB73" t="s">
        <v>12485</v>
      </c>
      <c r="AC73" t="s">
        <v>4614</v>
      </c>
      <c r="AE73" t="s">
        <v>342</v>
      </c>
      <c r="AF73" t="s">
        <v>14827</v>
      </c>
      <c r="AH73" t="s">
        <v>6937</v>
      </c>
      <c r="AI73" t="s">
        <v>631</v>
      </c>
      <c r="AJ73" s="4" t="str">
        <f>"74727"</f>
        <v>74727</v>
      </c>
      <c r="AK73" t="s">
        <v>120</v>
      </c>
      <c r="AM73" s="5">
        <v>15805662271</v>
      </c>
      <c r="AO73" t="s">
        <v>14828</v>
      </c>
      <c r="AP73" t="s">
        <v>256</v>
      </c>
      <c r="AQ73" t="s">
        <v>2083</v>
      </c>
      <c r="AR73" t="s">
        <v>886</v>
      </c>
      <c r="AT73" t="s">
        <v>887</v>
      </c>
      <c r="AV73" t="s">
        <v>888</v>
      </c>
      <c r="AW73" t="s">
        <v>232</v>
      </c>
      <c r="AX73" s="4" t="str">
        <f>"75098"</f>
        <v>75098</v>
      </c>
      <c r="AY73" t="s">
        <v>120</v>
      </c>
      <c r="BA73" s="5">
        <v>19724424244</v>
      </c>
      <c r="BC73" t="s">
        <v>889</v>
      </c>
      <c r="BD73" t="s">
        <v>1264</v>
      </c>
      <c r="BG73" t="s">
        <v>631</v>
      </c>
      <c r="BH73" s="1">
        <v>44895.791666666664</v>
      </c>
      <c r="BI73">
        <v>40</v>
      </c>
      <c r="BJ73">
        <v>0</v>
      </c>
      <c r="BK73">
        <v>8</v>
      </c>
      <c r="BL73">
        <v>8</v>
      </c>
      <c r="BM73">
        <v>8</v>
      </c>
      <c r="BN73">
        <v>8</v>
      </c>
      <c r="BO73">
        <v>8</v>
      </c>
      <c r="BP73">
        <v>0</v>
      </c>
      <c r="BQ73" t="str">
        <f>"7:00 AM"</f>
        <v>7:00 AM</v>
      </c>
      <c r="BR73" t="str">
        <f>"5:00 PM"</f>
        <v>5:00 PM</v>
      </c>
      <c r="BS73" t="s">
        <v>133</v>
      </c>
      <c r="BT73">
        <v>0</v>
      </c>
      <c r="BU73">
        <v>0</v>
      </c>
      <c r="BV73" t="s">
        <v>134</v>
      </c>
      <c r="BX73" s="2" t="s">
        <v>2039</v>
      </c>
      <c r="BY73" t="s">
        <v>14827</v>
      </c>
      <c r="CA73" t="s">
        <v>6937</v>
      </c>
      <c r="CB73" t="s">
        <v>631</v>
      </c>
      <c r="CC73" s="4" t="str">
        <f>"74727"</f>
        <v>74727</v>
      </c>
      <c r="CD73" t="s">
        <v>14829</v>
      </c>
      <c r="CE73" t="s">
        <v>892</v>
      </c>
      <c r="CF73" s="6">
        <v>16.5</v>
      </c>
      <c r="CG73" s="6">
        <v>17.760000000000002</v>
      </c>
      <c r="CH73" s="6">
        <v>24.75</v>
      </c>
      <c r="CI73" s="6">
        <v>26.64</v>
      </c>
      <c r="CJ73" t="s">
        <v>137</v>
      </c>
      <c r="CL73" t="s">
        <v>14830</v>
      </c>
      <c r="CO73" t="s">
        <v>138</v>
      </c>
      <c r="CP73" t="s">
        <v>114</v>
      </c>
      <c r="CQ73" t="s">
        <v>114</v>
      </c>
      <c r="CR73" t="s">
        <v>114</v>
      </c>
      <c r="CS73" t="s">
        <v>114</v>
      </c>
      <c r="CT73" t="s">
        <v>114</v>
      </c>
      <c r="CU73" t="s">
        <v>114</v>
      </c>
      <c r="CV73" t="s">
        <v>6053</v>
      </c>
      <c r="CW73" s="5" t="str">
        <f>"+15805662271"</f>
        <v>+15805662271</v>
      </c>
      <c r="CX73" t="s">
        <v>138</v>
      </c>
      <c r="CY73" t="s">
        <v>895</v>
      </c>
      <c r="CZ73" t="s">
        <v>139</v>
      </c>
      <c r="DA73" t="s">
        <v>134</v>
      </c>
      <c r="DB73" t="s">
        <v>134</v>
      </c>
      <c r="DC73" t="s">
        <v>114</v>
      </c>
      <c r="DD73" t="s">
        <v>134</v>
      </c>
    </row>
    <row r="74" spans="1:108" ht="15" customHeight="1" x14ac:dyDescent="0.25">
      <c r="A74" t="s">
        <v>6046</v>
      </c>
      <c r="B74" t="s">
        <v>165</v>
      </c>
      <c r="C74" s="1">
        <v>44896.050926967589</v>
      </c>
      <c r="D74" s="1">
        <v>44924</v>
      </c>
      <c r="E74" t="s">
        <v>134</v>
      </c>
      <c r="F74" t="s">
        <v>334</v>
      </c>
      <c r="G74" t="str">
        <f>"37-3011.00"</f>
        <v>37-3011.00</v>
      </c>
      <c r="H74" t="s">
        <v>335</v>
      </c>
      <c r="I74">
        <v>14</v>
      </c>
      <c r="J74">
        <v>14</v>
      </c>
      <c r="K74" s="1">
        <v>44986</v>
      </c>
      <c r="L74" s="1">
        <v>45260</v>
      </c>
      <c r="M74" s="1">
        <v>44986</v>
      </c>
      <c r="N74" s="1">
        <v>45260</v>
      </c>
      <c r="O74" t="s">
        <v>117</v>
      </c>
      <c r="P74" t="s">
        <v>6047</v>
      </c>
      <c r="R74" t="s">
        <v>6048</v>
      </c>
      <c r="T74" t="s">
        <v>1525</v>
      </c>
      <c r="U74" t="s">
        <v>232</v>
      </c>
      <c r="V74" s="4" t="str">
        <f>"75229"</f>
        <v>75229</v>
      </c>
      <c r="W74" t="s">
        <v>120</v>
      </c>
      <c r="Y74" s="5">
        <v>12144846275</v>
      </c>
      <c r="AA74">
        <v>56173</v>
      </c>
      <c r="AB74" t="s">
        <v>6049</v>
      </c>
      <c r="AC74" t="s">
        <v>6050</v>
      </c>
      <c r="AE74" t="s">
        <v>342</v>
      </c>
      <c r="AF74" t="s">
        <v>6048</v>
      </c>
      <c r="AH74" t="s">
        <v>1525</v>
      </c>
      <c r="AI74" t="s">
        <v>232</v>
      </c>
      <c r="AJ74" s="4" t="str">
        <f>"75229"</f>
        <v>75229</v>
      </c>
      <c r="AK74" t="s">
        <v>120</v>
      </c>
      <c r="AM74" s="5">
        <v>12144846275</v>
      </c>
      <c r="AO74" t="s">
        <v>6051</v>
      </c>
      <c r="AP74" t="s">
        <v>256</v>
      </c>
      <c r="AQ74" t="s">
        <v>885</v>
      </c>
      <c r="AR74" t="s">
        <v>886</v>
      </c>
      <c r="AT74" t="s">
        <v>887</v>
      </c>
      <c r="AV74" t="s">
        <v>888</v>
      </c>
      <c r="AW74" t="s">
        <v>232</v>
      </c>
      <c r="AX74" s="4" t="str">
        <f>"75098"</f>
        <v>75098</v>
      </c>
      <c r="AY74" t="s">
        <v>120</v>
      </c>
      <c r="BA74" s="5">
        <v>19724424244</v>
      </c>
      <c r="BC74" t="s">
        <v>889</v>
      </c>
      <c r="BD74" t="s">
        <v>1264</v>
      </c>
      <c r="BG74" t="s">
        <v>232</v>
      </c>
      <c r="BH74" s="1">
        <v>44895.791666666664</v>
      </c>
      <c r="BI74">
        <v>40</v>
      </c>
      <c r="BJ74">
        <v>0</v>
      </c>
      <c r="BK74">
        <v>8</v>
      </c>
      <c r="BL74">
        <v>8</v>
      </c>
      <c r="BM74">
        <v>8</v>
      </c>
      <c r="BN74">
        <v>8</v>
      </c>
      <c r="BO74">
        <v>8</v>
      </c>
      <c r="BP74">
        <v>0</v>
      </c>
      <c r="BQ74" t="str">
        <f>"6:30 AM"</f>
        <v>6:30 AM</v>
      </c>
      <c r="BR74" t="str">
        <f>"6:00 PM"</f>
        <v>6:00 PM</v>
      </c>
      <c r="BS74" t="s">
        <v>133</v>
      </c>
      <c r="BT74">
        <v>0</v>
      </c>
      <c r="BU74">
        <v>0</v>
      </c>
      <c r="BV74" t="s">
        <v>134</v>
      </c>
      <c r="BX74" s="2" t="s">
        <v>4623</v>
      </c>
      <c r="BY74" t="s">
        <v>6048</v>
      </c>
      <c r="CA74" t="s">
        <v>1525</v>
      </c>
      <c r="CB74" t="s">
        <v>232</v>
      </c>
      <c r="CC74" s="4" t="str">
        <f>"75229"</f>
        <v>75229</v>
      </c>
      <c r="CD74" t="s">
        <v>1482</v>
      </c>
      <c r="CE74" t="s">
        <v>1528</v>
      </c>
      <c r="CF74" s="6">
        <v>16.3</v>
      </c>
      <c r="CG74" s="6">
        <v>17</v>
      </c>
      <c r="CH74" s="6">
        <v>24.45</v>
      </c>
      <c r="CI74" s="6">
        <v>25.5</v>
      </c>
      <c r="CJ74" t="s">
        <v>137</v>
      </c>
      <c r="CL74" t="s">
        <v>6052</v>
      </c>
      <c r="CO74" t="s">
        <v>138</v>
      </c>
      <c r="CP74" t="s">
        <v>114</v>
      </c>
      <c r="CQ74" t="s">
        <v>114</v>
      </c>
      <c r="CR74" t="s">
        <v>114</v>
      </c>
      <c r="CS74" t="s">
        <v>114</v>
      </c>
      <c r="CT74" t="s">
        <v>114</v>
      </c>
      <c r="CU74" t="s">
        <v>114</v>
      </c>
      <c r="CV74" t="s">
        <v>6053</v>
      </c>
      <c r="CW74" s="5" t="str">
        <f>"+12144846275"</f>
        <v>+12144846275</v>
      </c>
      <c r="CX74" t="s">
        <v>138</v>
      </c>
      <c r="CY74" t="s">
        <v>2072</v>
      </c>
      <c r="CZ74" t="s">
        <v>139</v>
      </c>
      <c r="DA74" t="s">
        <v>134</v>
      </c>
      <c r="DB74" t="s">
        <v>134</v>
      </c>
      <c r="DC74" t="s">
        <v>114</v>
      </c>
      <c r="DD74" t="s">
        <v>134</v>
      </c>
    </row>
    <row r="75" spans="1:108" ht="15" customHeight="1" x14ac:dyDescent="0.25">
      <c r="A75" t="s">
        <v>16719</v>
      </c>
      <c r="B75" t="s">
        <v>165</v>
      </c>
      <c r="C75" s="1">
        <v>44896.048345370371</v>
      </c>
      <c r="D75" s="1">
        <v>44924</v>
      </c>
      <c r="E75" t="s">
        <v>134</v>
      </c>
      <c r="F75" t="s">
        <v>1296</v>
      </c>
      <c r="G75" t="str">
        <f>"37-3011.00"</f>
        <v>37-3011.00</v>
      </c>
      <c r="H75" t="s">
        <v>335</v>
      </c>
      <c r="I75">
        <v>2</v>
      </c>
      <c r="J75">
        <v>2</v>
      </c>
      <c r="K75" s="1">
        <v>44986</v>
      </c>
      <c r="L75" s="1">
        <v>45245</v>
      </c>
      <c r="M75" s="1">
        <v>44986</v>
      </c>
      <c r="N75" s="1">
        <v>45245</v>
      </c>
      <c r="O75" t="s">
        <v>117</v>
      </c>
      <c r="P75" t="s">
        <v>16720</v>
      </c>
      <c r="R75" t="s">
        <v>16721</v>
      </c>
      <c r="T75" t="s">
        <v>2252</v>
      </c>
      <c r="U75" t="s">
        <v>214</v>
      </c>
      <c r="V75" s="4" t="str">
        <f>"70817"</f>
        <v>70817</v>
      </c>
      <c r="W75" t="s">
        <v>120</v>
      </c>
      <c r="Y75" s="5">
        <v>12257539003</v>
      </c>
      <c r="AA75">
        <v>56173</v>
      </c>
      <c r="AB75" t="s">
        <v>4560</v>
      </c>
      <c r="AC75" t="s">
        <v>975</v>
      </c>
      <c r="AE75" t="s">
        <v>424</v>
      </c>
      <c r="AF75" t="s">
        <v>16722</v>
      </c>
      <c r="AH75" t="s">
        <v>2252</v>
      </c>
      <c r="AI75" t="s">
        <v>214</v>
      </c>
      <c r="AJ75" s="4" t="str">
        <f>"70817"</f>
        <v>70817</v>
      </c>
      <c r="AK75" t="s">
        <v>120</v>
      </c>
      <c r="AM75" s="5">
        <v>12257539003</v>
      </c>
      <c r="AO75" t="s">
        <v>16723</v>
      </c>
      <c r="AP75" t="s">
        <v>256</v>
      </c>
      <c r="AQ75" t="s">
        <v>885</v>
      </c>
      <c r="AR75" t="s">
        <v>886</v>
      </c>
      <c r="AT75" t="s">
        <v>887</v>
      </c>
      <c r="AV75" t="s">
        <v>888</v>
      </c>
      <c r="AW75" t="s">
        <v>232</v>
      </c>
      <c r="AX75" s="4" t="str">
        <f>"75098"</f>
        <v>75098</v>
      </c>
      <c r="AY75" t="s">
        <v>120</v>
      </c>
      <c r="BA75" s="5">
        <v>19724424244</v>
      </c>
      <c r="BC75" t="s">
        <v>889</v>
      </c>
      <c r="BD75" t="s">
        <v>1264</v>
      </c>
      <c r="BG75" t="s">
        <v>214</v>
      </c>
      <c r="BH75" s="1">
        <v>44895.791666666664</v>
      </c>
      <c r="BI75">
        <v>40</v>
      </c>
      <c r="BJ75">
        <v>0</v>
      </c>
      <c r="BK75">
        <v>8</v>
      </c>
      <c r="BL75">
        <v>8</v>
      </c>
      <c r="BM75">
        <v>8</v>
      </c>
      <c r="BN75">
        <v>8</v>
      </c>
      <c r="BO75">
        <v>8</v>
      </c>
      <c r="BP75">
        <v>0</v>
      </c>
      <c r="BQ75" t="str">
        <f>"6:30 AM"</f>
        <v>6:30 AM</v>
      </c>
      <c r="BR75" t="str">
        <f>"4:30 PM"</f>
        <v>4:30 PM</v>
      </c>
      <c r="BS75" t="s">
        <v>133</v>
      </c>
      <c r="BT75">
        <v>0</v>
      </c>
      <c r="BU75">
        <v>0</v>
      </c>
      <c r="BV75" t="s">
        <v>134</v>
      </c>
      <c r="BX75" t="s">
        <v>219</v>
      </c>
      <c r="BY75" t="s">
        <v>16721</v>
      </c>
      <c r="CA75" t="s">
        <v>2252</v>
      </c>
      <c r="CB75" t="s">
        <v>214</v>
      </c>
      <c r="CC75" s="4" t="str">
        <f>"70817"</f>
        <v>70817</v>
      </c>
      <c r="CD75" t="s">
        <v>2247</v>
      </c>
      <c r="CE75" t="s">
        <v>737</v>
      </c>
      <c r="CF75" s="6">
        <v>14.87</v>
      </c>
      <c r="CG75" s="6">
        <v>16</v>
      </c>
      <c r="CH75" s="6">
        <v>22.31</v>
      </c>
      <c r="CI75" s="6">
        <v>24</v>
      </c>
      <c r="CJ75" t="s">
        <v>137</v>
      </c>
      <c r="CK75" t="s">
        <v>2086</v>
      </c>
      <c r="CL75" t="s">
        <v>16724</v>
      </c>
      <c r="CO75" t="s">
        <v>138</v>
      </c>
      <c r="CP75" t="s">
        <v>114</v>
      </c>
      <c r="CQ75" t="s">
        <v>114</v>
      </c>
      <c r="CR75" t="s">
        <v>114</v>
      </c>
      <c r="CS75" t="s">
        <v>114</v>
      </c>
      <c r="CT75" t="s">
        <v>114</v>
      </c>
      <c r="CU75" t="s">
        <v>114</v>
      </c>
      <c r="CV75" t="s">
        <v>16725</v>
      </c>
      <c r="CW75" s="5" t="str">
        <f>"+12257539003"</f>
        <v>+12257539003</v>
      </c>
      <c r="CX75" t="s">
        <v>138</v>
      </c>
      <c r="CY75" t="s">
        <v>2996</v>
      </c>
      <c r="CZ75" t="s">
        <v>139</v>
      </c>
      <c r="DA75" t="s">
        <v>134</v>
      </c>
      <c r="DB75" t="s">
        <v>134</v>
      </c>
      <c r="DC75" t="s">
        <v>114</v>
      </c>
      <c r="DD75" t="s">
        <v>134</v>
      </c>
    </row>
    <row r="76" spans="1:108" ht="15" customHeight="1" x14ac:dyDescent="0.25">
      <c r="A76" t="s">
        <v>6034</v>
      </c>
      <c r="B76" t="s">
        <v>165</v>
      </c>
      <c r="C76" s="1">
        <v>44896.030212152778</v>
      </c>
      <c r="D76" s="1">
        <v>44924</v>
      </c>
      <c r="E76" t="s">
        <v>134</v>
      </c>
      <c r="F76" t="s">
        <v>1219</v>
      </c>
      <c r="G76" t="str">
        <f>"37-3011.00"</f>
        <v>37-3011.00</v>
      </c>
      <c r="H76" t="s">
        <v>335</v>
      </c>
      <c r="I76">
        <v>8</v>
      </c>
      <c r="J76">
        <v>8</v>
      </c>
      <c r="K76" s="1">
        <v>44986</v>
      </c>
      <c r="L76" s="1">
        <v>45231</v>
      </c>
      <c r="M76" s="1">
        <v>44986</v>
      </c>
      <c r="N76" s="1">
        <v>45231</v>
      </c>
      <c r="O76" t="s">
        <v>199</v>
      </c>
      <c r="P76" t="s">
        <v>6035</v>
      </c>
      <c r="R76" t="s">
        <v>6036</v>
      </c>
      <c r="S76" t="s">
        <v>6037</v>
      </c>
      <c r="T76" t="s">
        <v>2764</v>
      </c>
      <c r="U76" t="s">
        <v>1684</v>
      </c>
      <c r="V76" s="4" t="str">
        <f>"88355"</f>
        <v>88355</v>
      </c>
      <c r="W76" t="s">
        <v>120</v>
      </c>
      <c r="Y76" s="5">
        <v>15759378186</v>
      </c>
      <c r="AA76">
        <v>56173</v>
      </c>
      <c r="AB76" t="s">
        <v>6038</v>
      </c>
      <c r="AC76" t="s">
        <v>1451</v>
      </c>
      <c r="AE76" t="s">
        <v>700</v>
      </c>
      <c r="AF76" t="s">
        <v>6039</v>
      </c>
      <c r="AG76" t="s">
        <v>6037</v>
      </c>
      <c r="AH76" t="s">
        <v>2764</v>
      </c>
      <c r="AI76" t="s">
        <v>1684</v>
      </c>
      <c r="AJ76" s="4" t="str">
        <f>"88355"</f>
        <v>88355</v>
      </c>
      <c r="AK76" t="s">
        <v>120</v>
      </c>
      <c r="AM76" s="5">
        <v>15759378186</v>
      </c>
      <c r="AO76" t="s">
        <v>138</v>
      </c>
      <c r="AP76" t="s">
        <v>256</v>
      </c>
      <c r="AQ76" t="s">
        <v>1220</v>
      </c>
      <c r="AR76" t="s">
        <v>1221</v>
      </c>
      <c r="AT76" t="s">
        <v>1222</v>
      </c>
      <c r="AV76" t="s">
        <v>1223</v>
      </c>
      <c r="AW76" t="s">
        <v>848</v>
      </c>
      <c r="AX76" s="4" t="str">
        <f>"11590"</f>
        <v>11590</v>
      </c>
      <c r="AY76" t="s">
        <v>120</v>
      </c>
      <c r="BA76" s="5">
        <v>15163307168</v>
      </c>
      <c r="BC76" t="s">
        <v>1224</v>
      </c>
      <c r="BD76" t="s">
        <v>1225</v>
      </c>
      <c r="BG76" t="s">
        <v>1684</v>
      </c>
      <c r="BH76" s="1">
        <v>44879.791666666664</v>
      </c>
      <c r="BI76">
        <v>40</v>
      </c>
      <c r="BJ76">
        <v>0</v>
      </c>
      <c r="BK76">
        <v>8</v>
      </c>
      <c r="BL76">
        <v>8</v>
      </c>
      <c r="BM76">
        <v>8</v>
      </c>
      <c r="BN76">
        <v>8</v>
      </c>
      <c r="BO76">
        <v>8</v>
      </c>
      <c r="BP76">
        <v>0</v>
      </c>
      <c r="BQ76" t="str">
        <f>"8:00 AM"</f>
        <v>8:00 AM</v>
      </c>
      <c r="BR76" t="str">
        <f>"4:00 PM"</f>
        <v>4:00 PM</v>
      </c>
      <c r="BS76" t="s">
        <v>133</v>
      </c>
      <c r="BT76">
        <v>0</v>
      </c>
      <c r="BU76">
        <v>0</v>
      </c>
      <c r="BV76" t="s">
        <v>134</v>
      </c>
      <c r="BX76" t="s">
        <v>219</v>
      </c>
      <c r="BY76" t="s">
        <v>6040</v>
      </c>
      <c r="BZ76" t="s">
        <v>6041</v>
      </c>
      <c r="CA76" t="s">
        <v>6042</v>
      </c>
      <c r="CB76" t="s">
        <v>1684</v>
      </c>
      <c r="CC76" s="4" t="str">
        <f>"88346"</f>
        <v>88346</v>
      </c>
      <c r="CD76" t="s">
        <v>1197</v>
      </c>
      <c r="CE76" t="s">
        <v>2765</v>
      </c>
      <c r="CF76" s="6">
        <v>15.3</v>
      </c>
      <c r="CG76" s="6">
        <v>17</v>
      </c>
      <c r="CH76" s="6">
        <v>22.95</v>
      </c>
      <c r="CI76" s="6">
        <v>25.5</v>
      </c>
      <c r="CJ76" t="s">
        <v>137</v>
      </c>
      <c r="CL76" t="s">
        <v>6043</v>
      </c>
      <c r="CO76" t="s">
        <v>138</v>
      </c>
      <c r="CP76" t="s">
        <v>114</v>
      </c>
      <c r="CQ76" t="s">
        <v>114</v>
      </c>
      <c r="CR76" t="s">
        <v>114</v>
      </c>
      <c r="CS76" t="s">
        <v>134</v>
      </c>
      <c r="CT76" t="s">
        <v>114</v>
      </c>
      <c r="CU76" t="s">
        <v>114</v>
      </c>
      <c r="CV76" t="s">
        <v>6044</v>
      </c>
      <c r="CW76" s="5" t="str">
        <f>"+15759378186"</f>
        <v>+15759378186</v>
      </c>
      <c r="CX76" t="s">
        <v>6045</v>
      </c>
      <c r="CY76" t="s">
        <v>138</v>
      </c>
      <c r="CZ76" t="s">
        <v>139</v>
      </c>
      <c r="DA76" t="s">
        <v>134</v>
      </c>
      <c r="DB76" t="s">
        <v>134</v>
      </c>
      <c r="DC76" t="s">
        <v>114</v>
      </c>
      <c r="DD76" t="s">
        <v>134</v>
      </c>
    </row>
    <row r="77" spans="1:108" ht="15" customHeight="1" x14ac:dyDescent="0.25">
      <c r="A77" t="s">
        <v>9003</v>
      </c>
      <c r="B77" t="s">
        <v>165</v>
      </c>
      <c r="C77" s="1">
        <v>44896.02604780093</v>
      </c>
      <c r="D77" s="1">
        <v>44924</v>
      </c>
      <c r="E77" t="s">
        <v>134</v>
      </c>
      <c r="F77" t="s">
        <v>9004</v>
      </c>
      <c r="G77" t="str">
        <f>"37-3011.00"</f>
        <v>37-3011.00</v>
      </c>
      <c r="H77" t="s">
        <v>335</v>
      </c>
      <c r="I77">
        <v>40</v>
      </c>
      <c r="J77">
        <v>40</v>
      </c>
      <c r="K77" s="1">
        <v>44986</v>
      </c>
      <c r="L77" s="1">
        <v>45260</v>
      </c>
      <c r="M77" s="1">
        <v>44986</v>
      </c>
      <c r="N77" s="1">
        <v>45260</v>
      </c>
      <c r="O77" t="s">
        <v>199</v>
      </c>
      <c r="P77" t="s">
        <v>9005</v>
      </c>
      <c r="Q77" t="s">
        <v>9006</v>
      </c>
      <c r="R77" t="s">
        <v>9007</v>
      </c>
      <c r="S77" t="s">
        <v>9008</v>
      </c>
      <c r="T77" t="s">
        <v>1080</v>
      </c>
      <c r="U77" t="s">
        <v>232</v>
      </c>
      <c r="V77" s="4" t="str">
        <f>"75070"</f>
        <v>75070</v>
      </c>
      <c r="W77" t="s">
        <v>120</v>
      </c>
      <c r="Y77" s="5">
        <v>12142433586</v>
      </c>
      <c r="AA77">
        <v>5617</v>
      </c>
      <c r="AB77" t="s">
        <v>1639</v>
      </c>
      <c r="AC77" t="s">
        <v>1568</v>
      </c>
      <c r="AE77" t="s">
        <v>342</v>
      </c>
      <c r="AF77" t="s">
        <v>9007</v>
      </c>
      <c r="AG77" t="s">
        <v>9008</v>
      </c>
      <c r="AH77" t="s">
        <v>1080</v>
      </c>
      <c r="AI77" t="s">
        <v>232</v>
      </c>
      <c r="AJ77" s="4" t="str">
        <f>"75070"</f>
        <v>75070</v>
      </c>
      <c r="AK77" t="s">
        <v>120</v>
      </c>
      <c r="AM77" s="5">
        <v>19729071111</v>
      </c>
      <c r="AO77" t="s">
        <v>9009</v>
      </c>
      <c r="AP77" t="s">
        <v>256</v>
      </c>
      <c r="AQ77" t="s">
        <v>400</v>
      </c>
      <c r="AR77" t="s">
        <v>401</v>
      </c>
      <c r="AS77" t="s">
        <v>397</v>
      </c>
      <c r="AT77" t="s">
        <v>402</v>
      </c>
      <c r="AU77" t="s">
        <v>152</v>
      </c>
      <c r="AV77" t="s">
        <v>403</v>
      </c>
      <c r="AW77" t="s">
        <v>232</v>
      </c>
      <c r="AX77" s="4" t="str">
        <f>"75033"</f>
        <v>75033</v>
      </c>
      <c r="AY77" t="s">
        <v>120</v>
      </c>
      <c r="BA77" s="5">
        <v>19727789690</v>
      </c>
      <c r="BC77" t="s">
        <v>1534</v>
      </c>
      <c r="BD77" t="s">
        <v>405</v>
      </c>
      <c r="BG77" t="s">
        <v>232</v>
      </c>
      <c r="BH77" s="1">
        <v>44895.791666666664</v>
      </c>
      <c r="BI77">
        <v>40</v>
      </c>
      <c r="BJ77">
        <v>0</v>
      </c>
      <c r="BK77">
        <v>8</v>
      </c>
      <c r="BL77">
        <v>8</v>
      </c>
      <c r="BM77">
        <v>8</v>
      </c>
      <c r="BN77">
        <v>8</v>
      </c>
      <c r="BO77">
        <v>8</v>
      </c>
      <c r="BP77">
        <v>0</v>
      </c>
      <c r="BQ77" t="str">
        <f>"8:00 AM"</f>
        <v>8:00 AM</v>
      </c>
      <c r="BR77" t="str">
        <f>"5:00 PM"</f>
        <v>5:00 PM</v>
      </c>
      <c r="BS77" t="s">
        <v>133</v>
      </c>
      <c r="BT77">
        <v>0</v>
      </c>
      <c r="BU77">
        <v>0</v>
      </c>
      <c r="BV77" t="s">
        <v>134</v>
      </c>
      <c r="BX77" s="2" t="s">
        <v>9010</v>
      </c>
      <c r="BY77" t="s">
        <v>9007</v>
      </c>
      <c r="BZ77" t="s">
        <v>9008</v>
      </c>
      <c r="CA77" t="s">
        <v>1080</v>
      </c>
      <c r="CB77" t="s">
        <v>232</v>
      </c>
      <c r="CC77" s="4" t="str">
        <f>"75070"</f>
        <v>75070</v>
      </c>
      <c r="CD77" t="s">
        <v>3860</v>
      </c>
      <c r="CE77" t="s">
        <v>1528</v>
      </c>
      <c r="CF77" s="6">
        <v>16.3</v>
      </c>
      <c r="CG77" s="6">
        <v>16.3</v>
      </c>
      <c r="CH77" s="6">
        <v>24.45</v>
      </c>
      <c r="CI77" s="6">
        <v>24.45</v>
      </c>
      <c r="CJ77" t="s">
        <v>137</v>
      </c>
      <c r="CK77" t="s">
        <v>950</v>
      </c>
      <c r="CL77" t="s">
        <v>9011</v>
      </c>
      <c r="CO77" t="s">
        <v>138</v>
      </c>
      <c r="CP77" t="s">
        <v>114</v>
      </c>
      <c r="CQ77" t="s">
        <v>114</v>
      </c>
      <c r="CR77" t="s">
        <v>114</v>
      </c>
      <c r="CS77" t="s">
        <v>114</v>
      </c>
      <c r="CT77" t="s">
        <v>114</v>
      </c>
      <c r="CU77" t="s">
        <v>114</v>
      </c>
      <c r="CV77" s="2" t="s">
        <v>9012</v>
      </c>
      <c r="CW77" s="5" t="str">
        <f>"+19729071111"</f>
        <v>+19729071111</v>
      </c>
      <c r="CX77" t="s">
        <v>138</v>
      </c>
      <c r="CY77" t="s">
        <v>953</v>
      </c>
      <c r="CZ77" t="s">
        <v>139</v>
      </c>
      <c r="DA77" t="s">
        <v>134</v>
      </c>
      <c r="DB77" t="s">
        <v>114</v>
      </c>
      <c r="DC77" t="s">
        <v>114</v>
      </c>
      <c r="DD77" t="s">
        <v>134</v>
      </c>
    </row>
    <row r="78" spans="1:108" ht="15" customHeight="1" x14ac:dyDescent="0.25">
      <c r="A78" t="s">
        <v>8052</v>
      </c>
      <c r="B78" t="s">
        <v>165</v>
      </c>
      <c r="C78" s="1">
        <v>44896.022855555559</v>
      </c>
      <c r="D78" s="1">
        <v>44924</v>
      </c>
      <c r="E78" t="s">
        <v>134</v>
      </c>
      <c r="F78" t="s">
        <v>1848</v>
      </c>
      <c r="G78" t="str">
        <f>"53-7062.00"</f>
        <v>53-7062.00</v>
      </c>
      <c r="H78" t="s">
        <v>245</v>
      </c>
      <c r="I78">
        <v>15</v>
      </c>
      <c r="J78">
        <v>15</v>
      </c>
      <c r="K78" s="1">
        <v>44986</v>
      </c>
      <c r="L78" s="1">
        <v>45270</v>
      </c>
      <c r="M78" s="1">
        <v>44986</v>
      </c>
      <c r="N78" s="1">
        <v>45270</v>
      </c>
      <c r="O78" t="s">
        <v>199</v>
      </c>
      <c r="P78" t="s">
        <v>8053</v>
      </c>
      <c r="R78" t="s">
        <v>8054</v>
      </c>
      <c r="S78" t="s">
        <v>8055</v>
      </c>
      <c r="T78" t="s">
        <v>8056</v>
      </c>
      <c r="U78" t="s">
        <v>1593</v>
      </c>
      <c r="V78" s="4" t="str">
        <f>"04856"</f>
        <v>04856</v>
      </c>
      <c r="W78" t="s">
        <v>120</v>
      </c>
      <c r="Y78" s="5">
        <v>12072307325</v>
      </c>
      <c r="AA78">
        <v>238140</v>
      </c>
      <c r="AB78" t="s">
        <v>8057</v>
      </c>
      <c r="AC78" t="s">
        <v>1884</v>
      </c>
      <c r="AE78" t="s">
        <v>700</v>
      </c>
      <c r="AF78" t="s">
        <v>8054</v>
      </c>
      <c r="AG78" t="s">
        <v>2769</v>
      </c>
      <c r="AH78" t="s">
        <v>8056</v>
      </c>
      <c r="AI78" t="s">
        <v>1593</v>
      </c>
      <c r="AJ78" s="4" t="str">
        <f>"04856"</f>
        <v>04856</v>
      </c>
      <c r="AK78" t="s">
        <v>120</v>
      </c>
      <c r="AM78" s="5">
        <v>12072307325</v>
      </c>
      <c r="AO78" t="s">
        <v>138</v>
      </c>
      <c r="AP78" t="s">
        <v>256</v>
      </c>
      <c r="AQ78" t="s">
        <v>1220</v>
      </c>
      <c r="AR78" t="s">
        <v>1221</v>
      </c>
      <c r="AT78" t="s">
        <v>1222</v>
      </c>
      <c r="AV78" t="s">
        <v>1223</v>
      </c>
      <c r="AW78" t="s">
        <v>848</v>
      </c>
      <c r="AX78" s="4" t="str">
        <f>"11590"</f>
        <v>11590</v>
      </c>
      <c r="AY78" t="s">
        <v>120</v>
      </c>
      <c r="BA78" s="5">
        <v>15163307168</v>
      </c>
      <c r="BC78" t="s">
        <v>1224</v>
      </c>
      <c r="BD78" t="s">
        <v>1225</v>
      </c>
      <c r="BG78" t="s">
        <v>1593</v>
      </c>
      <c r="BH78" s="1">
        <v>44891.791666666664</v>
      </c>
      <c r="BI78">
        <v>40</v>
      </c>
      <c r="BJ78">
        <v>0</v>
      </c>
      <c r="BK78">
        <v>8</v>
      </c>
      <c r="BL78">
        <v>8</v>
      </c>
      <c r="BM78">
        <v>8</v>
      </c>
      <c r="BN78">
        <v>8</v>
      </c>
      <c r="BO78">
        <v>8</v>
      </c>
      <c r="BP78">
        <v>0</v>
      </c>
      <c r="BQ78" t="str">
        <f>"8:00 AM"</f>
        <v>8:00 AM</v>
      </c>
      <c r="BR78" t="str">
        <f>"5:00 PM"</f>
        <v>5:00 PM</v>
      </c>
      <c r="BS78" t="s">
        <v>133</v>
      </c>
      <c r="BT78">
        <v>0</v>
      </c>
      <c r="BU78">
        <v>0</v>
      </c>
      <c r="BV78" t="s">
        <v>134</v>
      </c>
      <c r="BX78" t="s">
        <v>133</v>
      </c>
      <c r="BY78" t="s">
        <v>8054</v>
      </c>
      <c r="CA78" t="s">
        <v>8058</v>
      </c>
      <c r="CB78" t="s">
        <v>1593</v>
      </c>
      <c r="CC78" s="4" t="str">
        <f>"04856"</f>
        <v>04856</v>
      </c>
      <c r="CD78" t="s">
        <v>8059</v>
      </c>
      <c r="CE78" t="s">
        <v>1594</v>
      </c>
      <c r="CF78" s="6">
        <v>17.5</v>
      </c>
      <c r="CG78" s="6">
        <v>18.5</v>
      </c>
      <c r="CH78" s="6">
        <v>26.25</v>
      </c>
      <c r="CI78" s="6">
        <v>27.75</v>
      </c>
      <c r="CJ78" t="s">
        <v>137</v>
      </c>
      <c r="CL78" t="s">
        <v>8060</v>
      </c>
      <c r="CO78" t="s">
        <v>138</v>
      </c>
      <c r="CP78" t="s">
        <v>114</v>
      </c>
      <c r="CQ78" t="s">
        <v>114</v>
      </c>
      <c r="CR78" t="s">
        <v>114</v>
      </c>
      <c r="CS78" t="s">
        <v>134</v>
      </c>
      <c r="CT78" t="s">
        <v>114</v>
      </c>
      <c r="CU78" t="s">
        <v>134</v>
      </c>
      <c r="CV78" t="s">
        <v>133</v>
      </c>
      <c r="CW78" s="5" t="str">
        <f>"+12077066439"</f>
        <v>+12077066439</v>
      </c>
      <c r="CX78" t="s">
        <v>8061</v>
      </c>
      <c r="CY78" t="s">
        <v>138</v>
      </c>
      <c r="CZ78" t="s">
        <v>139</v>
      </c>
      <c r="DA78" t="s">
        <v>134</v>
      </c>
      <c r="DB78" t="s">
        <v>134</v>
      </c>
      <c r="DC78" t="s">
        <v>114</v>
      </c>
      <c r="DD78" t="s">
        <v>134</v>
      </c>
    </row>
    <row r="79" spans="1:108" ht="15" customHeight="1" x14ac:dyDescent="0.25">
      <c r="A79" t="s">
        <v>14176</v>
      </c>
      <c r="B79" t="s">
        <v>165</v>
      </c>
      <c r="C79" s="1">
        <v>44896.020332175925</v>
      </c>
      <c r="D79" s="1">
        <v>44924</v>
      </c>
      <c r="E79" t="s">
        <v>134</v>
      </c>
      <c r="F79" t="s">
        <v>1331</v>
      </c>
      <c r="G79" t="str">
        <f>"35-2014.00"</f>
        <v>35-2014.00</v>
      </c>
      <c r="H79" t="s">
        <v>915</v>
      </c>
      <c r="I79">
        <v>3</v>
      </c>
      <c r="J79">
        <v>3</v>
      </c>
      <c r="K79" s="1">
        <v>44986</v>
      </c>
      <c r="L79" s="1">
        <v>45263</v>
      </c>
      <c r="M79" s="1">
        <v>44986</v>
      </c>
      <c r="N79" s="1">
        <v>45263</v>
      </c>
      <c r="O79" t="s">
        <v>117</v>
      </c>
      <c r="P79" t="s">
        <v>4382</v>
      </c>
      <c r="Q79" t="s">
        <v>4833</v>
      </c>
      <c r="R79" t="s">
        <v>4383</v>
      </c>
      <c r="T79" t="s">
        <v>1339</v>
      </c>
      <c r="U79" t="s">
        <v>154</v>
      </c>
      <c r="V79" s="4" t="str">
        <f>"32839"</f>
        <v>32839</v>
      </c>
      <c r="W79" t="s">
        <v>120</v>
      </c>
      <c r="Y79" s="5">
        <v>14079539626</v>
      </c>
      <c r="AA79">
        <v>72111</v>
      </c>
      <c r="AB79" t="s">
        <v>4384</v>
      </c>
      <c r="AC79" t="s">
        <v>2449</v>
      </c>
      <c r="AE79" t="s">
        <v>4385</v>
      </c>
      <c r="AF79" t="s">
        <v>4383</v>
      </c>
      <c r="AH79" t="s">
        <v>1339</v>
      </c>
      <c r="AI79" t="s">
        <v>154</v>
      </c>
      <c r="AJ79" s="4" t="str">
        <f>"32839"</f>
        <v>32839</v>
      </c>
      <c r="AK79" t="s">
        <v>120</v>
      </c>
      <c r="AM79" s="5">
        <v>14079539626</v>
      </c>
      <c r="AO79" t="s">
        <v>4386</v>
      </c>
      <c r="AP79" t="s">
        <v>256</v>
      </c>
      <c r="AQ79" t="s">
        <v>400</v>
      </c>
      <c r="AR79" t="s">
        <v>401</v>
      </c>
      <c r="AS79" t="s">
        <v>397</v>
      </c>
      <c r="AT79" t="s">
        <v>402</v>
      </c>
      <c r="AU79" t="s">
        <v>152</v>
      </c>
      <c r="AV79" t="s">
        <v>403</v>
      </c>
      <c r="AW79" t="s">
        <v>232</v>
      </c>
      <c r="AX79" s="4" t="str">
        <f>"75033"</f>
        <v>75033</v>
      </c>
      <c r="AY79" t="s">
        <v>120</v>
      </c>
      <c r="BA79" s="5">
        <v>19727789690</v>
      </c>
      <c r="BC79" t="s">
        <v>905</v>
      </c>
      <c r="BD79" t="s">
        <v>405</v>
      </c>
      <c r="BG79" t="s">
        <v>394</v>
      </c>
      <c r="BH79" s="1">
        <v>44895.791666666664</v>
      </c>
      <c r="BI79">
        <v>40</v>
      </c>
      <c r="BJ79">
        <v>8</v>
      </c>
      <c r="BK79">
        <v>0</v>
      </c>
      <c r="BL79">
        <v>0</v>
      </c>
      <c r="BM79">
        <v>8</v>
      </c>
      <c r="BN79">
        <v>8</v>
      </c>
      <c r="BO79">
        <v>8</v>
      </c>
      <c r="BP79">
        <v>8</v>
      </c>
      <c r="BQ79" t="str">
        <f>"8:00 AM"</f>
        <v>8:00 AM</v>
      </c>
      <c r="BR79" t="str">
        <f>"5:00 PM"</f>
        <v>5:00 PM</v>
      </c>
      <c r="BS79" t="s">
        <v>133</v>
      </c>
      <c r="BT79">
        <v>0</v>
      </c>
      <c r="BU79">
        <v>0</v>
      </c>
      <c r="BV79" t="s">
        <v>134</v>
      </c>
      <c r="BX79" s="2" t="s">
        <v>4834</v>
      </c>
      <c r="BY79" t="s">
        <v>4835</v>
      </c>
      <c r="CA79" t="s">
        <v>2577</v>
      </c>
      <c r="CB79" t="s">
        <v>394</v>
      </c>
      <c r="CC79" s="4" t="str">
        <f>"29577"</f>
        <v>29577</v>
      </c>
      <c r="CD79" t="s">
        <v>2580</v>
      </c>
      <c r="CE79" t="s">
        <v>2141</v>
      </c>
      <c r="CF79" s="6">
        <v>14</v>
      </c>
      <c r="CH79" s="6">
        <v>21</v>
      </c>
      <c r="CJ79" t="s">
        <v>137</v>
      </c>
      <c r="CK79" t="s">
        <v>3989</v>
      </c>
      <c r="CL79" t="s">
        <v>14177</v>
      </c>
      <c r="CO79" t="s">
        <v>138</v>
      </c>
      <c r="CP79" t="s">
        <v>114</v>
      </c>
      <c r="CQ79" t="s">
        <v>134</v>
      </c>
      <c r="CR79" t="s">
        <v>114</v>
      </c>
      <c r="CS79" t="s">
        <v>114</v>
      </c>
      <c r="CT79" t="s">
        <v>114</v>
      </c>
      <c r="CU79" t="s">
        <v>114</v>
      </c>
      <c r="CV79" s="2" t="s">
        <v>14178</v>
      </c>
      <c r="CW79" s="5" t="str">
        <f>"+14076138454"</f>
        <v>+14076138454</v>
      </c>
      <c r="CX79" t="s">
        <v>138</v>
      </c>
      <c r="CY79" t="s">
        <v>4836</v>
      </c>
      <c r="CZ79" t="s">
        <v>139</v>
      </c>
      <c r="DA79" t="s">
        <v>134</v>
      </c>
      <c r="DB79" t="s">
        <v>114</v>
      </c>
      <c r="DC79" t="s">
        <v>114</v>
      </c>
      <c r="DD79" t="s">
        <v>134</v>
      </c>
    </row>
    <row r="80" spans="1:108" ht="15" customHeight="1" x14ac:dyDescent="0.25">
      <c r="A80" t="s">
        <v>10878</v>
      </c>
      <c r="B80" t="s">
        <v>165</v>
      </c>
      <c r="C80" s="1">
        <v>44896.018628124999</v>
      </c>
      <c r="D80" s="1">
        <v>44924</v>
      </c>
      <c r="E80" t="s">
        <v>134</v>
      </c>
      <c r="F80" t="s">
        <v>1205</v>
      </c>
      <c r="G80" t="str">
        <f>"47-2051.00"</f>
        <v>47-2051.00</v>
      </c>
      <c r="H80" t="s">
        <v>1508</v>
      </c>
      <c r="I80">
        <v>49</v>
      </c>
      <c r="J80">
        <v>49</v>
      </c>
      <c r="K80" s="1">
        <v>44986</v>
      </c>
      <c r="L80" s="1">
        <v>45260</v>
      </c>
      <c r="M80" s="1">
        <v>44986</v>
      </c>
      <c r="N80" s="1">
        <v>45260</v>
      </c>
      <c r="O80" t="s">
        <v>117</v>
      </c>
      <c r="P80" t="s">
        <v>10879</v>
      </c>
      <c r="R80" t="s">
        <v>5754</v>
      </c>
      <c r="T80" t="s">
        <v>1672</v>
      </c>
      <c r="U80" t="s">
        <v>339</v>
      </c>
      <c r="V80" s="4" t="str">
        <f>"21230"</f>
        <v>21230</v>
      </c>
      <c r="W80" t="s">
        <v>120</v>
      </c>
      <c r="Y80" s="5">
        <v>14102446773</v>
      </c>
      <c r="AA80">
        <v>23811</v>
      </c>
      <c r="AB80" t="s">
        <v>5755</v>
      </c>
      <c r="AC80" t="s">
        <v>4062</v>
      </c>
      <c r="AE80" t="s">
        <v>2256</v>
      </c>
      <c r="AF80" t="s">
        <v>5754</v>
      </c>
      <c r="AH80" t="s">
        <v>1672</v>
      </c>
      <c r="AI80" t="s">
        <v>339</v>
      </c>
      <c r="AJ80" s="4" t="str">
        <f>"21230"</f>
        <v>21230</v>
      </c>
      <c r="AK80" t="s">
        <v>120</v>
      </c>
      <c r="AM80" s="5">
        <v>14102446773</v>
      </c>
      <c r="AO80" t="s">
        <v>5756</v>
      </c>
      <c r="AP80" t="s">
        <v>256</v>
      </c>
      <c r="AQ80" t="s">
        <v>4465</v>
      </c>
      <c r="AR80" t="s">
        <v>1303</v>
      </c>
      <c r="AT80" t="s">
        <v>1617</v>
      </c>
      <c r="AV80" t="s">
        <v>1618</v>
      </c>
      <c r="AW80" t="s">
        <v>444</v>
      </c>
      <c r="AX80" s="4" t="str">
        <f>"93446"</f>
        <v>93446</v>
      </c>
      <c r="AY80" t="s">
        <v>120</v>
      </c>
      <c r="AZ80" t="s">
        <v>1619</v>
      </c>
      <c r="BA80" s="5">
        <v>13217042589</v>
      </c>
      <c r="BC80" t="s">
        <v>1620</v>
      </c>
      <c r="BD80" t="s">
        <v>1621</v>
      </c>
      <c r="BG80" t="s">
        <v>339</v>
      </c>
      <c r="BH80" s="1">
        <v>44895.791666666664</v>
      </c>
      <c r="BI80">
        <v>42</v>
      </c>
      <c r="BJ80">
        <v>0</v>
      </c>
      <c r="BK80">
        <v>7</v>
      </c>
      <c r="BL80">
        <v>7</v>
      </c>
      <c r="BM80">
        <v>7</v>
      </c>
      <c r="BN80">
        <v>7</v>
      </c>
      <c r="BO80">
        <v>7</v>
      </c>
      <c r="BP80">
        <v>7</v>
      </c>
      <c r="BQ80" t="str">
        <f>"7:00 AM"</f>
        <v>7:00 AM</v>
      </c>
      <c r="BR80" t="str">
        <f>"4:00 PM"</f>
        <v>4:00 PM</v>
      </c>
      <c r="BS80" t="s">
        <v>133</v>
      </c>
      <c r="BT80">
        <v>0</v>
      </c>
      <c r="BU80">
        <v>1</v>
      </c>
      <c r="BV80" t="s">
        <v>134</v>
      </c>
      <c r="BX80" s="2" t="s">
        <v>10880</v>
      </c>
      <c r="BY80" t="s">
        <v>5754</v>
      </c>
      <c r="CA80" t="s">
        <v>2690</v>
      </c>
      <c r="CB80" t="s">
        <v>339</v>
      </c>
      <c r="CC80" s="4" t="str">
        <f>"21230"</f>
        <v>21230</v>
      </c>
      <c r="CD80" t="s">
        <v>5757</v>
      </c>
      <c r="CE80" t="s">
        <v>1673</v>
      </c>
      <c r="CF80" s="6">
        <v>22.47</v>
      </c>
      <c r="CG80" s="6">
        <v>22.47</v>
      </c>
      <c r="CH80" s="6">
        <v>33.71</v>
      </c>
      <c r="CI80" s="6">
        <v>33.71</v>
      </c>
      <c r="CJ80" t="s">
        <v>137</v>
      </c>
      <c r="CK80" t="s">
        <v>1623</v>
      </c>
      <c r="CL80" t="s">
        <v>5758</v>
      </c>
      <c r="CO80" t="s">
        <v>138</v>
      </c>
      <c r="CP80" t="s">
        <v>114</v>
      </c>
      <c r="CQ80" t="s">
        <v>114</v>
      </c>
      <c r="CR80" t="s">
        <v>114</v>
      </c>
      <c r="CS80" t="s">
        <v>114</v>
      </c>
      <c r="CT80" t="s">
        <v>114</v>
      </c>
      <c r="CU80" t="s">
        <v>114</v>
      </c>
      <c r="CV80" t="s">
        <v>10881</v>
      </c>
      <c r="CW80" s="5" t="str">
        <f>"+14102446773"</f>
        <v>+14102446773</v>
      </c>
      <c r="CX80" t="s">
        <v>138</v>
      </c>
      <c r="CY80" t="s">
        <v>5759</v>
      </c>
      <c r="CZ80" t="s">
        <v>139</v>
      </c>
      <c r="DA80" t="s">
        <v>134</v>
      </c>
      <c r="DB80" t="s">
        <v>134</v>
      </c>
      <c r="DC80" t="s">
        <v>114</v>
      </c>
      <c r="DD80" t="s">
        <v>134</v>
      </c>
    </row>
    <row r="81" spans="1:108" ht="15" customHeight="1" x14ac:dyDescent="0.25">
      <c r="A81" t="s">
        <v>16149</v>
      </c>
      <c r="B81" t="s">
        <v>165</v>
      </c>
      <c r="C81" s="1">
        <v>44896.013801504632</v>
      </c>
      <c r="D81" s="1">
        <v>44924</v>
      </c>
      <c r="E81" t="s">
        <v>134</v>
      </c>
      <c r="F81" t="s">
        <v>1219</v>
      </c>
      <c r="G81" t="str">
        <f>"37-3011.00"</f>
        <v>37-3011.00</v>
      </c>
      <c r="H81" t="s">
        <v>335</v>
      </c>
      <c r="I81">
        <v>12</v>
      </c>
      <c r="J81">
        <v>12</v>
      </c>
      <c r="K81" s="1">
        <v>44986</v>
      </c>
      <c r="L81" s="1">
        <v>45275</v>
      </c>
      <c r="M81" s="1">
        <v>44986</v>
      </c>
      <c r="N81" s="1">
        <v>45275</v>
      </c>
      <c r="O81" t="s">
        <v>199</v>
      </c>
      <c r="P81" t="s">
        <v>15547</v>
      </c>
      <c r="R81" t="s">
        <v>15548</v>
      </c>
      <c r="T81" t="s">
        <v>1368</v>
      </c>
      <c r="U81" t="s">
        <v>848</v>
      </c>
      <c r="V81" s="4" t="str">
        <f>"11968"</f>
        <v>11968</v>
      </c>
      <c r="W81" t="s">
        <v>120</v>
      </c>
      <c r="Y81" s="5">
        <v>16317264498</v>
      </c>
      <c r="AA81">
        <v>56173</v>
      </c>
      <c r="AB81" t="s">
        <v>15549</v>
      </c>
      <c r="AC81" t="s">
        <v>2813</v>
      </c>
      <c r="AE81" t="s">
        <v>700</v>
      </c>
      <c r="AF81" t="s">
        <v>15548</v>
      </c>
      <c r="AH81" t="s">
        <v>1368</v>
      </c>
      <c r="AI81" t="s">
        <v>848</v>
      </c>
      <c r="AJ81" s="4" t="str">
        <f>"11968"</f>
        <v>11968</v>
      </c>
      <c r="AK81" t="s">
        <v>120</v>
      </c>
      <c r="AM81" s="5">
        <v>16317264498</v>
      </c>
      <c r="AO81" t="s">
        <v>138</v>
      </c>
      <c r="AP81" t="s">
        <v>256</v>
      </c>
      <c r="AQ81" t="s">
        <v>1220</v>
      </c>
      <c r="AR81" t="s">
        <v>1221</v>
      </c>
      <c r="AT81" t="s">
        <v>1222</v>
      </c>
      <c r="AV81" t="s">
        <v>1223</v>
      </c>
      <c r="AW81" t="s">
        <v>848</v>
      </c>
      <c r="AX81" s="4" t="str">
        <f>"11590"</f>
        <v>11590</v>
      </c>
      <c r="AY81" t="s">
        <v>120</v>
      </c>
      <c r="BA81" s="5">
        <v>15163307168</v>
      </c>
      <c r="BC81" t="s">
        <v>1224</v>
      </c>
      <c r="BD81" t="s">
        <v>1225</v>
      </c>
      <c r="BG81" t="s">
        <v>848</v>
      </c>
      <c r="BH81" s="1">
        <v>44893.791666666664</v>
      </c>
      <c r="BI81">
        <v>40</v>
      </c>
      <c r="BJ81">
        <v>0</v>
      </c>
      <c r="BK81">
        <v>8</v>
      </c>
      <c r="BL81">
        <v>8</v>
      </c>
      <c r="BM81">
        <v>8</v>
      </c>
      <c r="BN81">
        <v>8</v>
      </c>
      <c r="BO81">
        <v>8</v>
      </c>
      <c r="BP81">
        <v>0</v>
      </c>
      <c r="BQ81" t="str">
        <f>"8:00 AM"</f>
        <v>8:00 AM</v>
      </c>
      <c r="BR81" t="str">
        <f>"4:00 PM"</f>
        <v>4:00 PM</v>
      </c>
      <c r="BS81" t="s">
        <v>133</v>
      </c>
      <c r="BT81">
        <v>0</v>
      </c>
      <c r="BU81">
        <v>0</v>
      </c>
      <c r="BV81" t="s">
        <v>134</v>
      </c>
      <c r="BX81" t="s">
        <v>138</v>
      </c>
      <c r="BY81" t="s">
        <v>15548</v>
      </c>
      <c r="CA81" t="s">
        <v>1368</v>
      </c>
      <c r="CB81" t="s">
        <v>848</v>
      </c>
      <c r="CC81" s="4" t="str">
        <f>"11968"</f>
        <v>11968</v>
      </c>
      <c r="CD81" t="s">
        <v>1227</v>
      </c>
      <c r="CE81" t="s">
        <v>1009</v>
      </c>
      <c r="CF81" s="6">
        <v>19.940000000000001</v>
      </c>
      <c r="CG81" s="6">
        <v>22.75</v>
      </c>
      <c r="CH81" s="6">
        <v>29.91</v>
      </c>
      <c r="CI81" s="6">
        <v>34.130000000000003</v>
      </c>
      <c r="CJ81" t="s">
        <v>137</v>
      </c>
      <c r="CK81" t="s">
        <v>16150</v>
      </c>
      <c r="CL81" t="s">
        <v>15550</v>
      </c>
      <c r="CO81" t="s">
        <v>138</v>
      </c>
      <c r="CP81" t="s">
        <v>114</v>
      </c>
      <c r="CQ81" t="s">
        <v>114</v>
      </c>
      <c r="CR81" t="s">
        <v>114</v>
      </c>
      <c r="CS81" t="s">
        <v>134</v>
      </c>
      <c r="CT81" t="s">
        <v>114</v>
      </c>
      <c r="CU81" t="s">
        <v>134</v>
      </c>
      <c r="CV81" t="s">
        <v>219</v>
      </c>
      <c r="CW81" s="5" t="str">
        <f>"+16317264498"</f>
        <v>+16317264498</v>
      </c>
      <c r="CX81" t="s">
        <v>15551</v>
      </c>
      <c r="CY81" t="s">
        <v>138</v>
      </c>
      <c r="CZ81" t="s">
        <v>139</v>
      </c>
      <c r="DA81" t="s">
        <v>134</v>
      </c>
      <c r="DB81" t="s">
        <v>134</v>
      </c>
      <c r="DC81" t="s">
        <v>114</v>
      </c>
      <c r="DD81" t="s">
        <v>134</v>
      </c>
    </row>
    <row r="82" spans="1:108" ht="15" customHeight="1" x14ac:dyDescent="0.25">
      <c r="A82" t="s">
        <v>16077</v>
      </c>
      <c r="B82" t="s">
        <v>165</v>
      </c>
      <c r="C82" s="1">
        <v>44896.013498958331</v>
      </c>
      <c r="D82" s="1">
        <v>44924</v>
      </c>
      <c r="E82" t="s">
        <v>134</v>
      </c>
      <c r="F82" t="s">
        <v>1662</v>
      </c>
      <c r="G82" t="str">
        <f>"37-3011.00"</f>
        <v>37-3011.00</v>
      </c>
      <c r="H82" t="s">
        <v>335</v>
      </c>
      <c r="I82">
        <v>7</v>
      </c>
      <c r="J82">
        <v>7</v>
      </c>
      <c r="K82" s="1">
        <v>44986</v>
      </c>
      <c r="L82" s="1">
        <v>45245</v>
      </c>
      <c r="M82" s="1">
        <v>44986</v>
      </c>
      <c r="N82" s="1">
        <v>45245</v>
      </c>
      <c r="O82" t="s">
        <v>199</v>
      </c>
      <c r="P82" t="s">
        <v>16078</v>
      </c>
      <c r="R82" t="s">
        <v>16079</v>
      </c>
      <c r="T82" t="s">
        <v>11224</v>
      </c>
      <c r="U82" t="s">
        <v>339</v>
      </c>
      <c r="V82" s="4" t="str">
        <f>"21078"</f>
        <v>21078</v>
      </c>
      <c r="W82" t="s">
        <v>120</v>
      </c>
      <c r="Y82" s="5">
        <v>14106882527</v>
      </c>
      <c r="AA82">
        <v>5617</v>
      </c>
      <c r="AB82" t="s">
        <v>16080</v>
      </c>
      <c r="AC82" t="s">
        <v>726</v>
      </c>
      <c r="AE82" t="s">
        <v>5908</v>
      </c>
      <c r="AF82" t="s">
        <v>16079</v>
      </c>
      <c r="AH82" t="s">
        <v>16081</v>
      </c>
      <c r="AI82" t="s">
        <v>339</v>
      </c>
      <c r="AJ82" s="4" t="str">
        <f>"21078"</f>
        <v>21078</v>
      </c>
      <c r="AK82" t="s">
        <v>120</v>
      </c>
      <c r="AM82" s="5">
        <v>14107347299</v>
      </c>
      <c r="AO82" t="s">
        <v>16082</v>
      </c>
      <c r="AP82" t="s">
        <v>256</v>
      </c>
      <c r="AQ82" t="s">
        <v>400</v>
      </c>
      <c r="AR82" t="s">
        <v>401</v>
      </c>
      <c r="AS82" t="s">
        <v>397</v>
      </c>
      <c r="AT82" t="s">
        <v>402</v>
      </c>
      <c r="AU82" t="s">
        <v>152</v>
      </c>
      <c r="AV82" t="s">
        <v>403</v>
      </c>
      <c r="AW82" t="s">
        <v>232</v>
      </c>
      <c r="AX82" s="4" t="str">
        <f>"75033"</f>
        <v>75033</v>
      </c>
      <c r="AY82" t="s">
        <v>120</v>
      </c>
      <c r="BA82" s="5">
        <v>19727789690</v>
      </c>
      <c r="BC82" t="s">
        <v>5927</v>
      </c>
      <c r="BD82" t="s">
        <v>405</v>
      </c>
      <c r="BG82" t="s">
        <v>339</v>
      </c>
      <c r="BH82" s="1">
        <v>44895.791666666664</v>
      </c>
      <c r="BI82">
        <v>40</v>
      </c>
      <c r="BJ82">
        <v>0</v>
      </c>
      <c r="BK82">
        <v>8</v>
      </c>
      <c r="BL82">
        <v>8</v>
      </c>
      <c r="BM82">
        <v>8</v>
      </c>
      <c r="BN82">
        <v>8</v>
      </c>
      <c r="BO82">
        <v>8</v>
      </c>
      <c r="BP82">
        <v>0</v>
      </c>
      <c r="BQ82" t="str">
        <f>"7:00 AM"</f>
        <v>7:00 AM</v>
      </c>
      <c r="BR82" t="str">
        <f>"3:30 PM"</f>
        <v>3:30 PM</v>
      </c>
      <c r="BS82" t="s">
        <v>133</v>
      </c>
      <c r="BT82">
        <v>0</v>
      </c>
      <c r="BU82">
        <v>0</v>
      </c>
      <c r="BV82" t="s">
        <v>134</v>
      </c>
      <c r="BX82" t="s">
        <v>16083</v>
      </c>
      <c r="BY82" t="s">
        <v>16079</v>
      </c>
      <c r="CA82" t="s">
        <v>16081</v>
      </c>
      <c r="CB82" t="s">
        <v>339</v>
      </c>
      <c r="CC82" s="4" t="str">
        <f>"21078"</f>
        <v>21078</v>
      </c>
      <c r="CD82" t="s">
        <v>2811</v>
      </c>
      <c r="CE82" t="s">
        <v>1673</v>
      </c>
      <c r="CF82" s="6">
        <v>17.82</v>
      </c>
      <c r="CG82" s="6">
        <v>17.82</v>
      </c>
      <c r="CH82" s="6">
        <v>26.73</v>
      </c>
      <c r="CI82" s="6">
        <v>26.73</v>
      </c>
      <c r="CJ82" t="s">
        <v>137</v>
      </c>
      <c r="CK82" t="s">
        <v>950</v>
      </c>
      <c r="CL82" t="s">
        <v>16084</v>
      </c>
      <c r="CO82" t="s">
        <v>138</v>
      </c>
      <c r="CP82" t="s">
        <v>114</v>
      </c>
      <c r="CQ82" t="s">
        <v>114</v>
      </c>
      <c r="CR82" t="s">
        <v>114</v>
      </c>
      <c r="CS82" t="s">
        <v>114</v>
      </c>
      <c r="CT82" t="s">
        <v>114</v>
      </c>
      <c r="CU82" t="s">
        <v>114</v>
      </c>
      <c r="CV82" s="2" t="s">
        <v>16085</v>
      </c>
      <c r="CW82" s="5" t="str">
        <f>"+14106882527"</f>
        <v>+14106882527</v>
      </c>
      <c r="CX82" t="s">
        <v>138</v>
      </c>
      <c r="CY82" t="s">
        <v>16086</v>
      </c>
      <c r="CZ82" t="s">
        <v>139</v>
      </c>
      <c r="DA82" t="s">
        <v>134</v>
      </c>
      <c r="DB82" t="s">
        <v>114</v>
      </c>
      <c r="DC82" t="s">
        <v>114</v>
      </c>
      <c r="DD82" t="s">
        <v>134</v>
      </c>
    </row>
    <row r="83" spans="1:108" ht="15" customHeight="1" x14ac:dyDescent="0.25">
      <c r="A83" t="s">
        <v>5998</v>
      </c>
      <c r="B83" t="s">
        <v>165</v>
      </c>
      <c r="C83" s="1">
        <v>44896.012505092593</v>
      </c>
      <c r="D83" s="1">
        <v>44924</v>
      </c>
      <c r="E83" t="s">
        <v>134</v>
      </c>
      <c r="F83" t="s">
        <v>1848</v>
      </c>
      <c r="G83" t="str">
        <f>"53-7062.00"</f>
        <v>53-7062.00</v>
      </c>
      <c r="H83" t="s">
        <v>245</v>
      </c>
      <c r="I83">
        <v>20</v>
      </c>
      <c r="J83">
        <v>20</v>
      </c>
      <c r="K83" s="1">
        <v>44986</v>
      </c>
      <c r="L83" s="1">
        <v>45280</v>
      </c>
      <c r="M83" s="1">
        <v>44986</v>
      </c>
      <c r="N83" s="1">
        <v>45280</v>
      </c>
      <c r="O83" t="s">
        <v>199</v>
      </c>
      <c r="P83" t="s">
        <v>2554</v>
      </c>
      <c r="R83" t="s">
        <v>2555</v>
      </c>
      <c r="T83" t="s">
        <v>2556</v>
      </c>
      <c r="U83" t="s">
        <v>1003</v>
      </c>
      <c r="V83" s="4" t="str">
        <f>"08535"</f>
        <v>08535</v>
      </c>
      <c r="W83" t="s">
        <v>120</v>
      </c>
      <c r="Y83" s="5">
        <v>17324460017</v>
      </c>
      <c r="AA83">
        <v>56173</v>
      </c>
      <c r="AB83" t="s">
        <v>2557</v>
      </c>
      <c r="AC83" t="s">
        <v>1716</v>
      </c>
      <c r="AE83" t="s">
        <v>700</v>
      </c>
      <c r="AF83" t="s">
        <v>2555</v>
      </c>
      <c r="AH83" t="s">
        <v>2556</v>
      </c>
      <c r="AI83" t="s">
        <v>1003</v>
      </c>
      <c r="AJ83" s="4" t="str">
        <f>"08535"</f>
        <v>08535</v>
      </c>
      <c r="AK83" t="s">
        <v>120</v>
      </c>
      <c r="AM83" s="5">
        <v>17324460017</v>
      </c>
      <c r="AO83" t="s">
        <v>138</v>
      </c>
      <c r="AP83" t="s">
        <v>256</v>
      </c>
      <c r="AQ83" t="s">
        <v>1220</v>
      </c>
      <c r="AR83" t="s">
        <v>1221</v>
      </c>
      <c r="AT83" t="s">
        <v>1222</v>
      </c>
      <c r="AV83" t="s">
        <v>1223</v>
      </c>
      <c r="AW83" t="s">
        <v>848</v>
      </c>
      <c r="AX83" s="4" t="str">
        <f>"11590"</f>
        <v>11590</v>
      </c>
      <c r="AY83" t="s">
        <v>120</v>
      </c>
      <c r="BA83" s="5">
        <v>15163307168</v>
      </c>
      <c r="BC83" t="s">
        <v>1224</v>
      </c>
      <c r="BD83" t="s">
        <v>1225</v>
      </c>
      <c r="BG83" t="s">
        <v>1003</v>
      </c>
      <c r="BH83" s="1">
        <v>44869.833333333336</v>
      </c>
      <c r="BI83">
        <v>40</v>
      </c>
      <c r="BJ83">
        <v>0</v>
      </c>
      <c r="BK83">
        <v>8</v>
      </c>
      <c r="BL83">
        <v>8</v>
      </c>
      <c r="BM83">
        <v>8</v>
      </c>
      <c r="BN83">
        <v>8</v>
      </c>
      <c r="BO83">
        <v>8</v>
      </c>
      <c r="BP83">
        <v>0</v>
      </c>
      <c r="BQ83" t="str">
        <f>"8:00 AM"</f>
        <v>8:00 AM</v>
      </c>
      <c r="BR83" t="str">
        <f>"5:00 PM"</f>
        <v>5:00 PM</v>
      </c>
      <c r="BS83" t="s">
        <v>133</v>
      </c>
      <c r="BT83">
        <v>0</v>
      </c>
      <c r="BU83">
        <v>0</v>
      </c>
      <c r="BV83" t="s">
        <v>134</v>
      </c>
      <c r="BX83" t="s">
        <v>133</v>
      </c>
      <c r="BY83" t="s">
        <v>2555</v>
      </c>
      <c r="CA83" t="s">
        <v>2556</v>
      </c>
      <c r="CB83" t="s">
        <v>1003</v>
      </c>
      <c r="CC83" s="4" t="str">
        <f>"08535"</f>
        <v>08535</v>
      </c>
      <c r="CD83" t="s">
        <v>2558</v>
      </c>
      <c r="CE83" t="s">
        <v>1266</v>
      </c>
      <c r="CF83" s="6">
        <v>17.39</v>
      </c>
      <c r="CG83" s="6">
        <v>17.39</v>
      </c>
      <c r="CH83" s="6">
        <v>26.09</v>
      </c>
      <c r="CI83" s="6">
        <v>26.09</v>
      </c>
      <c r="CJ83" t="s">
        <v>137</v>
      </c>
      <c r="CL83" t="s">
        <v>5999</v>
      </c>
      <c r="CO83" t="s">
        <v>138</v>
      </c>
      <c r="CP83" t="s">
        <v>114</v>
      </c>
      <c r="CQ83" t="s">
        <v>114</v>
      </c>
      <c r="CR83" t="s">
        <v>114</v>
      </c>
      <c r="CS83" t="s">
        <v>134</v>
      </c>
      <c r="CT83" t="s">
        <v>114</v>
      </c>
      <c r="CU83" t="s">
        <v>134</v>
      </c>
      <c r="CV83" t="s">
        <v>219</v>
      </c>
      <c r="CW83" s="5" t="str">
        <f>"+17324460017"</f>
        <v>+17324460017</v>
      </c>
      <c r="CX83" t="s">
        <v>2559</v>
      </c>
      <c r="CY83" t="s">
        <v>138</v>
      </c>
      <c r="CZ83" t="s">
        <v>139</v>
      </c>
      <c r="DA83" t="s">
        <v>134</v>
      </c>
      <c r="DB83" t="s">
        <v>134</v>
      </c>
      <c r="DC83" t="s">
        <v>114</v>
      </c>
      <c r="DD83" t="s">
        <v>134</v>
      </c>
    </row>
    <row r="84" spans="1:108" ht="15" customHeight="1" x14ac:dyDescent="0.25">
      <c r="A84" t="s">
        <v>12517</v>
      </c>
      <c r="B84" t="s">
        <v>165</v>
      </c>
      <c r="C84" s="1">
        <v>44896.012428240741</v>
      </c>
      <c r="D84" s="1">
        <v>44924</v>
      </c>
      <c r="E84" t="s">
        <v>134</v>
      </c>
      <c r="F84" t="s">
        <v>12518</v>
      </c>
      <c r="G84" t="str">
        <f>"37-3011.00"</f>
        <v>37-3011.00</v>
      </c>
      <c r="H84" t="s">
        <v>335</v>
      </c>
      <c r="I84">
        <v>23</v>
      </c>
      <c r="J84">
        <v>23</v>
      </c>
      <c r="K84" s="1">
        <v>44986</v>
      </c>
      <c r="L84" s="1">
        <v>45275</v>
      </c>
      <c r="M84" s="1">
        <v>44986</v>
      </c>
      <c r="N84" s="1">
        <v>45275</v>
      </c>
      <c r="O84" t="s">
        <v>117</v>
      </c>
      <c r="P84" t="s">
        <v>12519</v>
      </c>
      <c r="R84" t="s">
        <v>12520</v>
      </c>
      <c r="T84" t="s">
        <v>6000</v>
      </c>
      <c r="U84" t="s">
        <v>214</v>
      </c>
      <c r="V84" s="4" t="str">
        <f>"70433"</f>
        <v>70433</v>
      </c>
      <c r="W84" t="s">
        <v>120</v>
      </c>
      <c r="Y84" s="5">
        <v>19857920678</v>
      </c>
      <c r="AA84">
        <v>56173</v>
      </c>
      <c r="AB84" t="s">
        <v>12521</v>
      </c>
      <c r="AC84" t="s">
        <v>1380</v>
      </c>
      <c r="AE84" t="s">
        <v>1494</v>
      </c>
      <c r="AF84" t="s">
        <v>12522</v>
      </c>
      <c r="AH84" t="s">
        <v>7475</v>
      </c>
      <c r="AI84" t="s">
        <v>214</v>
      </c>
      <c r="AJ84" s="4" t="str">
        <f>"70433"</f>
        <v>70433</v>
      </c>
      <c r="AK84" t="s">
        <v>120</v>
      </c>
      <c r="AM84" s="5">
        <v>19857920678</v>
      </c>
      <c r="AO84" t="s">
        <v>12523</v>
      </c>
      <c r="AP84" t="s">
        <v>256</v>
      </c>
      <c r="AQ84" t="s">
        <v>1615</v>
      </c>
      <c r="AR84" t="s">
        <v>1616</v>
      </c>
      <c r="AT84" t="s">
        <v>1617</v>
      </c>
      <c r="AV84" t="s">
        <v>1618</v>
      </c>
      <c r="AW84" t="s">
        <v>444</v>
      </c>
      <c r="AX84" s="4" t="str">
        <f>"93446"</f>
        <v>93446</v>
      </c>
      <c r="AY84" t="s">
        <v>120</v>
      </c>
      <c r="AZ84" t="s">
        <v>1619</v>
      </c>
      <c r="BA84" s="5">
        <v>13217042589</v>
      </c>
      <c r="BC84" t="s">
        <v>1620</v>
      </c>
      <c r="BD84" t="s">
        <v>1621</v>
      </c>
      <c r="BG84" t="s">
        <v>214</v>
      </c>
      <c r="BH84" s="1">
        <v>44895.791666666664</v>
      </c>
      <c r="BI84">
        <v>40</v>
      </c>
      <c r="BJ84">
        <v>0</v>
      </c>
      <c r="BK84">
        <v>8</v>
      </c>
      <c r="BL84">
        <v>8</v>
      </c>
      <c r="BM84">
        <v>8</v>
      </c>
      <c r="BN84">
        <v>8</v>
      </c>
      <c r="BO84">
        <v>8</v>
      </c>
      <c r="BP84">
        <v>0</v>
      </c>
      <c r="BQ84" t="str">
        <f>"6:45 AM"</f>
        <v>6:45 AM</v>
      </c>
      <c r="BR84" t="str">
        <f>"4:45 PM"</f>
        <v>4:45 PM</v>
      </c>
      <c r="BS84" t="s">
        <v>133</v>
      </c>
      <c r="BT84">
        <v>0</v>
      </c>
      <c r="BU84">
        <v>3</v>
      </c>
      <c r="BV84" t="s">
        <v>134</v>
      </c>
      <c r="BX84" s="2" t="s">
        <v>12524</v>
      </c>
      <c r="BY84" t="s">
        <v>12522</v>
      </c>
      <c r="CA84" t="s">
        <v>12525</v>
      </c>
      <c r="CB84" t="s">
        <v>214</v>
      </c>
      <c r="CC84" s="4" t="str">
        <f>"70433"</f>
        <v>70433</v>
      </c>
      <c r="CD84" t="s">
        <v>4589</v>
      </c>
      <c r="CE84" t="s">
        <v>2289</v>
      </c>
      <c r="CF84" s="6">
        <v>14.84</v>
      </c>
      <c r="CG84" s="6">
        <v>14.84</v>
      </c>
      <c r="CH84" s="6">
        <v>22.26</v>
      </c>
      <c r="CI84" s="6">
        <v>22.26</v>
      </c>
      <c r="CJ84" t="s">
        <v>137</v>
      </c>
      <c r="CK84" t="s">
        <v>1623</v>
      </c>
      <c r="CL84" t="s">
        <v>12526</v>
      </c>
      <c r="CO84" t="s">
        <v>138</v>
      </c>
      <c r="CP84" t="s">
        <v>114</v>
      </c>
      <c r="CQ84" t="s">
        <v>114</v>
      </c>
      <c r="CR84" t="s">
        <v>114</v>
      </c>
      <c r="CS84" t="s">
        <v>114</v>
      </c>
      <c r="CT84" t="s">
        <v>114</v>
      </c>
      <c r="CU84" t="s">
        <v>134</v>
      </c>
      <c r="CV84" t="s">
        <v>138</v>
      </c>
      <c r="CW84" s="5" t="str">
        <f>"N/A"</f>
        <v>N/A</v>
      </c>
      <c r="CX84" t="s">
        <v>12527</v>
      </c>
      <c r="CY84" t="s">
        <v>12528</v>
      </c>
      <c r="CZ84" t="s">
        <v>139</v>
      </c>
      <c r="DA84" t="s">
        <v>134</v>
      </c>
      <c r="DB84" t="s">
        <v>134</v>
      </c>
      <c r="DC84" t="s">
        <v>114</v>
      </c>
      <c r="DD84" t="s">
        <v>134</v>
      </c>
    </row>
    <row r="85" spans="1:108" ht="15" customHeight="1" x14ac:dyDescent="0.25">
      <c r="A85" t="s">
        <v>13419</v>
      </c>
      <c r="B85" t="s">
        <v>165</v>
      </c>
      <c r="C85" s="1">
        <v>44896.010503703706</v>
      </c>
      <c r="D85" s="1">
        <v>44924</v>
      </c>
      <c r="E85" t="s">
        <v>134</v>
      </c>
      <c r="F85" t="s">
        <v>1219</v>
      </c>
      <c r="G85" t="str">
        <f>"37-3011.00"</f>
        <v>37-3011.00</v>
      </c>
      <c r="H85" t="s">
        <v>335</v>
      </c>
      <c r="I85">
        <v>4</v>
      </c>
      <c r="J85">
        <v>4</v>
      </c>
      <c r="K85" s="1">
        <v>44986</v>
      </c>
      <c r="L85" s="1">
        <v>45245</v>
      </c>
      <c r="M85" s="1">
        <v>44986</v>
      </c>
      <c r="N85" s="1">
        <v>45245</v>
      </c>
      <c r="O85" t="s">
        <v>199</v>
      </c>
      <c r="P85" t="s">
        <v>13420</v>
      </c>
      <c r="R85" t="s">
        <v>13421</v>
      </c>
      <c r="S85" t="s">
        <v>13422</v>
      </c>
      <c r="T85" t="s">
        <v>2160</v>
      </c>
      <c r="U85" t="s">
        <v>848</v>
      </c>
      <c r="V85" s="4" t="str">
        <f>"11975"</f>
        <v>11975</v>
      </c>
      <c r="W85" t="s">
        <v>120</v>
      </c>
      <c r="Y85" s="5">
        <v>16315375017</v>
      </c>
      <c r="AA85">
        <v>56173</v>
      </c>
      <c r="AB85" t="s">
        <v>13423</v>
      </c>
      <c r="AC85" t="s">
        <v>9192</v>
      </c>
      <c r="AE85" t="s">
        <v>1849</v>
      </c>
      <c r="AF85" t="s">
        <v>13421</v>
      </c>
      <c r="AG85" t="s">
        <v>13424</v>
      </c>
      <c r="AH85" t="s">
        <v>2160</v>
      </c>
      <c r="AI85" t="s">
        <v>848</v>
      </c>
      <c r="AJ85" s="4" t="str">
        <f>"11975"</f>
        <v>11975</v>
      </c>
      <c r="AK85" t="s">
        <v>120</v>
      </c>
      <c r="AM85" s="5">
        <v>16315375017</v>
      </c>
      <c r="AO85" t="s">
        <v>138</v>
      </c>
      <c r="AP85" t="s">
        <v>256</v>
      </c>
      <c r="AQ85" t="s">
        <v>1220</v>
      </c>
      <c r="AR85" t="s">
        <v>1221</v>
      </c>
      <c r="AT85" t="s">
        <v>1222</v>
      </c>
      <c r="AV85" t="s">
        <v>1223</v>
      </c>
      <c r="AW85" t="s">
        <v>848</v>
      </c>
      <c r="AX85" s="4" t="str">
        <f>"11590"</f>
        <v>11590</v>
      </c>
      <c r="AY85" t="s">
        <v>120</v>
      </c>
      <c r="BA85" s="5">
        <v>15163307168</v>
      </c>
      <c r="BC85" t="s">
        <v>1224</v>
      </c>
      <c r="BD85" t="s">
        <v>13425</v>
      </c>
      <c r="BG85" t="s">
        <v>848</v>
      </c>
      <c r="BH85" s="1">
        <v>44893.791666666664</v>
      </c>
      <c r="BI85">
        <v>40</v>
      </c>
      <c r="BJ85">
        <v>0</v>
      </c>
      <c r="BK85">
        <v>8</v>
      </c>
      <c r="BL85">
        <v>8</v>
      </c>
      <c r="BM85">
        <v>8</v>
      </c>
      <c r="BN85">
        <v>8</v>
      </c>
      <c r="BO85">
        <v>8</v>
      </c>
      <c r="BP85">
        <v>0</v>
      </c>
      <c r="BQ85" t="str">
        <f>"8:00 AM"</f>
        <v>8:00 AM</v>
      </c>
      <c r="BR85" t="str">
        <f>"4:00 PM"</f>
        <v>4:00 PM</v>
      </c>
      <c r="BS85" t="s">
        <v>133</v>
      </c>
      <c r="BT85">
        <v>0</v>
      </c>
      <c r="BU85">
        <v>0</v>
      </c>
      <c r="BV85" t="s">
        <v>134</v>
      </c>
      <c r="BX85" t="s">
        <v>138</v>
      </c>
      <c r="BY85" t="s">
        <v>13421</v>
      </c>
      <c r="CA85" t="s">
        <v>2160</v>
      </c>
      <c r="CB85" t="s">
        <v>848</v>
      </c>
      <c r="CC85" s="4" t="str">
        <f>"11975"</f>
        <v>11975</v>
      </c>
      <c r="CD85" t="s">
        <v>1227</v>
      </c>
      <c r="CE85" t="s">
        <v>1009</v>
      </c>
      <c r="CF85" s="6">
        <v>19.940000000000001</v>
      </c>
      <c r="CG85" s="6">
        <v>19.940000000000001</v>
      </c>
      <c r="CH85" s="6">
        <v>29.91</v>
      </c>
      <c r="CI85" s="6">
        <v>29.91</v>
      </c>
      <c r="CJ85" t="s">
        <v>137</v>
      </c>
      <c r="CK85" t="s">
        <v>138</v>
      </c>
      <c r="CL85" t="s">
        <v>13426</v>
      </c>
      <c r="CO85" t="s">
        <v>138</v>
      </c>
      <c r="CP85" t="s">
        <v>114</v>
      </c>
      <c r="CQ85" t="s">
        <v>114</v>
      </c>
      <c r="CR85" t="s">
        <v>114</v>
      </c>
      <c r="CS85" t="s">
        <v>134</v>
      </c>
      <c r="CT85" t="s">
        <v>114</v>
      </c>
      <c r="CU85" t="s">
        <v>134</v>
      </c>
      <c r="CV85" t="s">
        <v>219</v>
      </c>
      <c r="CW85" s="5" t="str">
        <f>"+16315375017"</f>
        <v>+16315375017</v>
      </c>
      <c r="CX85" t="s">
        <v>13427</v>
      </c>
      <c r="CY85" t="s">
        <v>138</v>
      </c>
      <c r="CZ85" t="s">
        <v>139</v>
      </c>
      <c r="DA85" t="s">
        <v>134</v>
      </c>
      <c r="DB85" t="s">
        <v>134</v>
      </c>
      <c r="DC85" t="s">
        <v>114</v>
      </c>
      <c r="DD85" t="s">
        <v>134</v>
      </c>
    </row>
    <row r="86" spans="1:108" ht="15" customHeight="1" x14ac:dyDescent="0.25">
      <c r="A86" t="s">
        <v>7875</v>
      </c>
      <c r="B86" t="s">
        <v>165</v>
      </c>
      <c r="C86" s="1">
        <v>44896.008642824076</v>
      </c>
      <c r="D86" s="1">
        <v>44924</v>
      </c>
      <c r="E86" t="s">
        <v>134</v>
      </c>
      <c r="F86" t="s">
        <v>7876</v>
      </c>
      <c r="G86" t="str">
        <f>"37-3011.00"</f>
        <v>37-3011.00</v>
      </c>
      <c r="H86" t="s">
        <v>335</v>
      </c>
      <c r="I86">
        <v>7</v>
      </c>
      <c r="J86">
        <v>7</v>
      </c>
      <c r="K86" s="1">
        <v>44986</v>
      </c>
      <c r="L86" s="1">
        <v>45280</v>
      </c>
      <c r="M86" s="1">
        <v>44986</v>
      </c>
      <c r="N86" s="1">
        <v>45280</v>
      </c>
      <c r="O86" t="s">
        <v>199</v>
      </c>
      <c r="P86" t="s">
        <v>7877</v>
      </c>
      <c r="R86" t="s">
        <v>7878</v>
      </c>
      <c r="T86" t="s">
        <v>7879</v>
      </c>
      <c r="U86" t="s">
        <v>697</v>
      </c>
      <c r="V86" s="4" t="str">
        <f>"63385"</f>
        <v>63385</v>
      </c>
      <c r="W86" t="s">
        <v>120</v>
      </c>
      <c r="Y86" s="5">
        <v>16366392094</v>
      </c>
      <c r="AA86">
        <v>5617</v>
      </c>
      <c r="AB86" t="s">
        <v>7880</v>
      </c>
      <c r="AC86" t="s">
        <v>7881</v>
      </c>
      <c r="AE86" t="s">
        <v>1710</v>
      </c>
      <c r="AF86" t="s">
        <v>7878</v>
      </c>
      <c r="AH86" t="s">
        <v>7879</v>
      </c>
      <c r="AI86" t="s">
        <v>697</v>
      </c>
      <c r="AJ86" s="4" t="str">
        <f>"63385"</f>
        <v>63385</v>
      </c>
      <c r="AK86" t="s">
        <v>120</v>
      </c>
      <c r="AM86" s="5">
        <v>16366392094</v>
      </c>
      <c r="AO86" t="s">
        <v>7882</v>
      </c>
      <c r="AP86" t="s">
        <v>256</v>
      </c>
      <c r="AQ86" t="s">
        <v>400</v>
      </c>
      <c r="AR86" t="s">
        <v>401</v>
      </c>
      <c r="AS86" t="s">
        <v>397</v>
      </c>
      <c r="AT86" t="s">
        <v>402</v>
      </c>
      <c r="AU86" t="s">
        <v>152</v>
      </c>
      <c r="AV86" t="s">
        <v>403</v>
      </c>
      <c r="AW86" t="s">
        <v>232</v>
      </c>
      <c r="AX86" s="4" t="str">
        <f>"75033"</f>
        <v>75033</v>
      </c>
      <c r="AY86" t="s">
        <v>120</v>
      </c>
      <c r="BA86" s="5">
        <v>19727789690</v>
      </c>
      <c r="BC86" t="s">
        <v>1239</v>
      </c>
      <c r="BD86" t="s">
        <v>405</v>
      </c>
      <c r="BG86" t="s">
        <v>697</v>
      </c>
      <c r="BH86" s="1">
        <v>44895.791666666664</v>
      </c>
      <c r="BI86">
        <v>40</v>
      </c>
      <c r="BJ86">
        <v>0</v>
      </c>
      <c r="BK86">
        <v>8</v>
      </c>
      <c r="BL86">
        <v>8</v>
      </c>
      <c r="BM86">
        <v>8</v>
      </c>
      <c r="BN86">
        <v>8</v>
      </c>
      <c r="BO86">
        <v>8</v>
      </c>
      <c r="BP86">
        <v>0</v>
      </c>
      <c r="BQ86" t="str">
        <f>"7:30 AM"</f>
        <v>7:30 AM</v>
      </c>
      <c r="BR86" t="str">
        <f>"4:30 PM"</f>
        <v>4:30 PM</v>
      </c>
      <c r="BS86" t="s">
        <v>133</v>
      </c>
      <c r="BT86">
        <v>0</v>
      </c>
      <c r="BU86">
        <v>0</v>
      </c>
      <c r="BV86" t="s">
        <v>134</v>
      </c>
      <c r="BX86" t="s">
        <v>7883</v>
      </c>
      <c r="BY86" t="s">
        <v>7884</v>
      </c>
      <c r="CA86" t="s">
        <v>4928</v>
      </c>
      <c r="CB86" t="s">
        <v>697</v>
      </c>
      <c r="CC86" s="4" t="str">
        <f>"63385"</f>
        <v>63385</v>
      </c>
      <c r="CD86" t="s">
        <v>1962</v>
      </c>
      <c r="CE86" t="s">
        <v>713</v>
      </c>
      <c r="CF86" s="6">
        <v>16.96</v>
      </c>
      <c r="CG86" s="6">
        <v>16.96</v>
      </c>
      <c r="CH86" s="6">
        <v>25.44</v>
      </c>
      <c r="CI86" s="6">
        <v>25.44</v>
      </c>
      <c r="CJ86" t="s">
        <v>137</v>
      </c>
      <c r="CK86" t="s">
        <v>7343</v>
      </c>
      <c r="CL86" t="s">
        <v>7885</v>
      </c>
      <c r="CO86" t="s">
        <v>138</v>
      </c>
      <c r="CP86" t="s">
        <v>114</v>
      </c>
      <c r="CQ86" t="s">
        <v>114</v>
      </c>
      <c r="CR86" t="s">
        <v>114</v>
      </c>
      <c r="CS86" t="s">
        <v>114</v>
      </c>
      <c r="CT86" t="s">
        <v>114</v>
      </c>
      <c r="CU86" t="s">
        <v>114</v>
      </c>
      <c r="CV86" s="2" t="s">
        <v>7886</v>
      </c>
      <c r="CW86" s="5" t="str">
        <f>"+16366392094"</f>
        <v>+16366392094</v>
      </c>
      <c r="CX86" t="s">
        <v>138</v>
      </c>
      <c r="CY86" t="s">
        <v>7887</v>
      </c>
      <c r="CZ86" t="s">
        <v>139</v>
      </c>
      <c r="DA86" t="s">
        <v>134</v>
      </c>
      <c r="DB86" t="s">
        <v>114</v>
      </c>
      <c r="DC86" t="s">
        <v>114</v>
      </c>
      <c r="DD86" t="s">
        <v>134</v>
      </c>
    </row>
    <row r="87" spans="1:108" ht="15" customHeight="1" x14ac:dyDescent="0.25">
      <c r="A87" t="s">
        <v>10803</v>
      </c>
      <c r="B87" t="s">
        <v>165</v>
      </c>
      <c r="C87" s="1">
        <v>44896.007838425925</v>
      </c>
      <c r="D87" s="1">
        <v>44924</v>
      </c>
      <c r="E87" t="s">
        <v>134</v>
      </c>
      <c r="F87" t="s">
        <v>1248</v>
      </c>
      <c r="G87" t="str">
        <f>"37-3011.00"</f>
        <v>37-3011.00</v>
      </c>
      <c r="H87" t="s">
        <v>335</v>
      </c>
      <c r="I87">
        <v>20</v>
      </c>
      <c r="J87">
        <v>20</v>
      </c>
      <c r="K87" s="1">
        <v>44986</v>
      </c>
      <c r="L87" s="1">
        <v>45259</v>
      </c>
      <c r="M87" s="1">
        <v>44986</v>
      </c>
      <c r="N87" s="1">
        <v>45259</v>
      </c>
      <c r="O87" t="s">
        <v>117</v>
      </c>
      <c r="P87" t="s">
        <v>10804</v>
      </c>
      <c r="Q87" t="s">
        <v>10805</v>
      </c>
      <c r="R87" t="s">
        <v>10806</v>
      </c>
      <c r="T87" t="s">
        <v>10807</v>
      </c>
      <c r="U87" t="s">
        <v>619</v>
      </c>
      <c r="V87" s="4" t="str">
        <f>"40330"</f>
        <v>40330</v>
      </c>
      <c r="W87" t="s">
        <v>120</v>
      </c>
      <c r="Y87" s="5">
        <v>18597977292</v>
      </c>
      <c r="AA87">
        <v>5617</v>
      </c>
      <c r="AB87" t="s">
        <v>10808</v>
      </c>
      <c r="AC87" t="s">
        <v>4531</v>
      </c>
      <c r="AE87" t="s">
        <v>700</v>
      </c>
      <c r="AF87" t="s">
        <v>10806</v>
      </c>
      <c r="AH87" t="s">
        <v>10807</v>
      </c>
      <c r="AI87" t="s">
        <v>619</v>
      </c>
      <c r="AJ87" s="4" t="str">
        <f>"40330"</f>
        <v>40330</v>
      </c>
      <c r="AK87" t="s">
        <v>120</v>
      </c>
      <c r="AM87" s="5">
        <v>18597977292</v>
      </c>
      <c r="AO87" t="s">
        <v>10809</v>
      </c>
      <c r="AP87" t="s">
        <v>256</v>
      </c>
      <c r="AQ87" t="s">
        <v>1615</v>
      </c>
      <c r="AR87" t="s">
        <v>1616</v>
      </c>
      <c r="AT87" t="s">
        <v>1617</v>
      </c>
      <c r="AV87" t="s">
        <v>1618</v>
      </c>
      <c r="AW87" t="s">
        <v>444</v>
      </c>
      <c r="AX87" s="4" t="str">
        <f>"93446"</f>
        <v>93446</v>
      </c>
      <c r="AY87" t="s">
        <v>120</v>
      </c>
      <c r="AZ87" t="s">
        <v>1619</v>
      </c>
      <c r="BA87" s="5">
        <v>13217042589</v>
      </c>
      <c r="BC87" t="s">
        <v>1620</v>
      </c>
      <c r="BD87" t="s">
        <v>1621</v>
      </c>
      <c r="BG87" t="s">
        <v>619</v>
      </c>
      <c r="BH87" s="1">
        <v>44895.791666666664</v>
      </c>
      <c r="BI87">
        <v>35</v>
      </c>
      <c r="BJ87">
        <v>0</v>
      </c>
      <c r="BK87">
        <v>7</v>
      </c>
      <c r="BL87">
        <v>7</v>
      </c>
      <c r="BM87">
        <v>7</v>
      </c>
      <c r="BN87">
        <v>7</v>
      </c>
      <c r="BO87">
        <v>7</v>
      </c>
      <c r="BP87">
        <v>0</v>
      </c>
      <c r="BQ87" t="str">
        <f>"7:00 AM"</f>
        <v>7:00 AM</v>
      </c>
      <c r="BR87" t="str">
        <f>"2:00 PM"</f>
        <v>2:00 PM</v>
      </c>
      <c r="BS87" t="s">
        <v>133</v>
      </c>
      <c r="BT87">
        <v>0</v>
      </c>
      <c r="BU87">
        <v>0</v>
      </c>
      <c r="BV87" t="s">
        <v>134</v>
      </c>
      <c r="BX87" s="2" t="s">
        <v>10810</v>
      </c>
      <c r="BY87" t="s">
        <v>10811</v>
      </c>
      <c r="CA87" t="s">
        <v>10807</v>
      </c>
      <c r="CB87" t="s">
        <v>619</v>
      </c>
      <c r="CC87" s="4" t="str">
        <f>"40330"</f>
        <v>40330</v>
      </c>
      <c r="CD87" t="s">
        <v>4321</v>
      </c>
      <c r="CE87" t="s">
        <v>9166</v>
      </c>
      <c r="CF87" s="6">
        <v>13.43</v>
      </c>
      <c r="CG87" s="6">
        <v>13.43</v>
      </c>
      <c r="CH87" s="6">
        <v>20.149999999999999</v>
      </c>
      <c r="CI87" s="6">
        <v>20.149999999999999</v>
      </c>
      <c r="CJ87" t="s">
        <v>137</v>
      </c>
      <c r="CK87" t="s">
        <v>1623</v>
      </c>
      <c r="CL87" t="s">
        <v>10812</v>
      </c>
      <c r="CO87" t="s">
        <v>138</v>
      </c>
      <c r="CP87" t="s">
        <v>114</v>
      </c>
      <c r="CQ87" t="s">
        <v>114</v>
      </c>
      <c r="CR87" t="s">
        <v>114</v>
      </c>
      <c r="CS87" t="s">
        <v>114</v>
      </c>
      <c r="CT87" t="s">
        <v>114</v>
      </c>
      <c r="CU87" t="s">
        <v>114</v>
      </c>
      <c r="CV87" s="2" t="s">
        <v>10813</v>
      </c>
      <c r="CW87" s="5" t="str">
        <f>"+18594252185"</f>
        <v>+18594252185</v>
      </c>
      <c r="CX87" t="s">
        <v>10809</v>
      </c>
      <c r="CY87" t="s">
        <v>138</v>
      </c>
      <c r="CZ87" t="s">
        <v>139</v>
      </c>
      <c r="DA87" t="s">
        <v>134</v>
      </c>
      <c r="DB87" t="s">
        <v>134</v>
      </c>
      <c r="DC87" t="s">
        <v>114</v>
      </c>
      <c r="DD87" t="s">
        <v>134</v>
      </c>
    </row>
    <row r="88" spans="1:108" ht="15" customHeight="1" x14ac:dyDescent="0.25">
      <c r="A88" t="s">
        <v>10922</v>
      </c>
      <c r="B88" t="s">
        <v>165</v>
      </c>
      <c r="C88" s="1">
        <v>44896.007479629632</v>
      </c>
      <c r="D88" s="1">
        <v>44924</v>
      </c>
      <c r="E88" t="s">
        <v>134</v>
      </c>
      <c r="F88" t="s">
        <v>10923</v>
      </c>
      <c r="G88" t="str">
        <f>"37-3011.00"</f>
        <v>37-3011.00</v>
      </c>
      <c r="H88" t="s">
        <v>335</v>
      </c>
      <c r="I88">
        <v>20</v>
      </c>
      <c r="J88">
        <v>20</v>
      </c>
      <c r="K88" s="1">
        <v>44986</v>
      </c>
      <c r="L88" s="1">
        <v>45260</v>
      </c>
      <c r="M88" s="1">
        <v>44986</v>
      </c>
      <c r="N88" s="1">
        <v>45260</v>
      </c>
      <c r="O88" t="s">
        <v>117</v>
      </c>
      <c r="P88" t="s">
        <v>10924</v>
      </c>
      <c r="R88" t="s">
        <v>10925</v>
      </c>
      <c r="T88" t="s">
        <v>10926</v>
      </c>
      <c r="U88" t="s">
        <v>119</v>
      </c>
      <c r="V88" s="4" t="str">
        <f>"28751"</f>
        <v>28751</v>
      </c>
      <c r="W88" t="s">
        <v>120</v>
      </c>
      <c r="Y88" s="5">
        <v>18285500572</v>
      </c>
      <c r="AA88">
        <v>56173</v>
      </c>
      <c r="AB88" t="s">
        <v>10927</v>
      </c>
      <c r="AC88" t="s">
        <v>2174</v>
      </c>
      <c r="AE88" t="s">
        <v>424</v>
      </c>
      <c r="AF88" t="s">
        <v>10925</v>
      </c>
      <c r="AH88" t="s">
        <v>10926</v>
      </c>
      <c r="AI88" t="s">
        <v>119</v>
      </c>
      <c r="AJ88" s="4" t="str">
        <f>"28751"</f>
        <v>28751</v>
      </c>
      <c r="AK88" t="s">
        <v>120</v>
      </c>
      <c r="AM88" s="5">
        <v>18289440433</v>
      </c>
      <c r="AO88" t="s">
        <v>10928</v>
      </c>
      <c r="AP88" t="s">
        <v>256</v>
      </c>
      <c r="AQ88" t="s">
        <v>1615</v>
      </c>
      <c r="AR88" t="s">
        <v>1616</v>
      </c>
      <c r="AT88" t="s">
        <v>1617</v>
      </c>
      <c r="AV88" t="s">
        <v>1618</v>
      </c>
      <c r="AW88" t="s">
        <v>444</v>
      </c>
      <c r="AX88" s="4" t="str">
        <f>"93446"</f>
        <v>93446</v>
      </c>
      <c r="AY88" t="s">
        <v>120</v>
      </c>
      <c r="AZ88" t="s">
        <v>1619</v>
      </c>
      <c r="BA88" s="5">
        <v>13217042589</v>
      </c>
      <c r="BC88" t="s">
        <v>1620</v>
      </c>
      <c r="BD88" t="s">
        <v>1621</v>
      </c>
      <c r="BG88" t="s">
        <v>119</v>
      </c>
      <c r="BH88" s="1">
        <v>44895.791666666664</v>
      </c>
      <c r="BI88">
        <v>40</v>
      </c>
      <c r="BJ88">
        <v>0</v>
      </c>
      <c r="BK88">
        <v>8</v>
      </c>
      <c r="BL88">
        <v>8</v>
      </c>
      <c r="BM88">
        <v>8</v>
      </c>
      <c r="BN88">
        <v>8</v>
      </c>
      <c r="BO88">
        <v>8</v>
      </c>
      <c r="BP88">
        <v>0</v>
      </c>
      <c r="BQ88" t="str">
        <f>"8:00 AM"</f>
        <v>8:00 AM</v>
      </c>
      <c r="BR88" t="str">
        <f>"4:30 PM"</f>
        <v>4:30 PM</v>
      </c>
      <c r="BS88" t="s">
        <v>133</v>
      </c>
      <c r="BT88">
        <v>0</v>
      </c>
      <c r="BU88">
        <v>0</v>
      </c>
      <c r="BV88" t="s">
        <v>134</v>
      </c>
      <c r="BX88" s="2" t="s">
        <v>10929</v>
      </c>
      <c r="BY88" t="s">
        <v>10925</v>
      </c>
      <c r="CA88" t="s">
        <v>10926</v>
      </c>
      <c r="CB88" t="s">
        <v>119</v>
      </c>
      <c r="CC88" s="4" t="str">
        <f>"28751"</f>
        <v>28751</v>
      </c>
      <c r="CD88" t="s">
        <v>2473</v>
      </c>
      <c r="CE88" t="s">
        <v>136</v>
      </c>
      <c r="CF88" s="6">
        <v>15.93</v>
      </c>
      <c r="CG88" s="6">
        <v>15.93</v>
      </c>
      <c r="CH88" s="6">
        <v>23.9</v>
      </c>
      <c r="CI88" s="6">
        <v>23.9</v>
      </c>
      <c r="CJ88" t="s">
        <v>137</v>
      </c>
      <c r="CK88" t="s">
        <v>1623</v>
      </c>
      <c r="CL88" t="s">
        <v>10930</v>
      </c>
      <c r="CO88" t="s">
        <v>138</v>
      </c>
      <c r="CP88" t="s">
        <v>114</v>
      </c>
      <c r="CQ88" t="s">
        <v>114</v>
      </c>
      <c r="CR88" t="s">
        <v>114</v>
      </c>
      <c r="CS88" t="s">
        <v>114</v>
      </c>
      <c r="CT88" t="s">
        <v>114</v>
      </c>
      <c r="CU88" t="s">
        <v>114</v>
      </c>
      <c r="CV88" t="s">
        <v>10931</v>
      </c>
      <c r="CW88" s="5" t="str">
        <f>"+18289440433"</f>
        <v>+18289440433</v>
      </c>
      <c r="CX88" t="s">
        <v>10932</v>
      </c>
      <c r="CY88" t="s">
        <v>138</v>
      </c>
      <c r="CZ88" t="s">
        <v>139</v>
      </c>
      <c r="DA88" t="s">
        <v>134</v>
      </c>
      <c r="DB88" t="s">
        <v>134</v>
      </c>
      <c r="DC88" t="s">
        <v>114</v>
      </c>
      <c r="DD88" t="s">
        <v>134</v>
      </c>
    </row>
    <row r="89" spans="1:108" ht="15" customHeight="1" x14ac:dyDescent="0.25">
      <c r="A89" t="s">
        <v>14894</v>
      </c>
      <c r="B89" t="s">
        <v>165</v>
      </c>
      <c r="C89" s="1">
        <v>44896.004671064817</v>
      </c>
      <c r="D89" s="1">
        <v>44924</v>
      </c>
      <c r="E89" t="s">
        <v>134</v>
      </c>
      <c r="F89" t="s">
        <v>14895</v>
      </c>
      <c r="G89" t="str">
        <f>"43-4081.00"</f>
        <v>43-4081.00</v>
      </c>
      <c r="H89" t="s">
        <v>2463</v>
      </c>
      <c r="I89">
        <v>6</v>
      </c>
      <c r="J89">
        <v>6</v>
      </c>
      <c r="K89" s="1">
        <v>44986</v>
      </c>
      <c r="L89" s="1">
        <v>45260</v>
      </c>
      <c r="M89" s="1">
        <v>44986</v>
      </c>
      <c r="N89" s="1">
        <v>45260</v>
      </c>
      <c r="O89" t="s">
        <v>117</v>
      </c>
      <c r="P89" t="s">
        <v>14896</v>
      </c>
      <c r="Q89" t="s">
        <v>14897</v>
      </c>
      <c r="R89" t="s">
        <v>14898</v>
      </c>
      <c r="T89" t="s">
        <v>5888</v>
      </c>
      <c r="U89" t="s">
        <v>420</v>
      </c>
      <c r="V89" s="4" t="str">
        <f>"84775"</f>
        <v>84775</v>
      </c>
      <c r="W89" t="s">
        <v>120</v>
      </c>
      <c r="X89" t="s">
        <v>433</v>
      </c>
      <c r="Y89" s="5">
        <v>14354253111</v>
      </c>
      <c r="AA89">
        <v>56159</v>
      </c>
      <c r="AB89" t="s">
        <v>6831</v>
      </c>
      <c r="AC89" t="s">
        <v>14899</v>
      </c>
      <c r="AE89" t="s">
        <v>14895</v>
      </c>
      <c r="AF89" t="s">
        <v>14900</v>
      </c>
      <c r="AH89" t="s">
        <v>5888</v>
      </c>
      <c r="AI89" t="s">
        <v>420</v>
      </c>
      <c r="AJ89" s="4" t="str">
        <f>"84775"</f>
        <v>84775</v>
      </c>
      <c r="AK89" t="s">
        <v>120</v>
      </c>
      <c r="AM89" s="5">
        <v>14354253111</v>
      </c>
      <c r="AO89" t="s">
        <v>7124</v>
      </c>
      <c r="AP89" t="s">
        <v>256</v>
      </c>
      <c r="AQ89" t="s">
        <v>4465</v>
      </c>
      <c r="AR89" t="s">
        <v>1303</v>
      </c>
      <c r="AT89" t="s">
        <v>1617</v>
      </c>
      <c r="AV89" t="s">
        <v>1618</v>
      </c>
      <c r="AW89" t="s">
        <v>444</v>
      </c>
      <c r="AX89" s="4" t="str">
        <f>"93446"</f>
        <v>93446</v>
      </c>
      <c r="AY89" t="s">
        <v>120</v>
      </c>
      <c r="AZ89" t="s">
        <v>1619</v>
      </c>
      <c r="BA89" s="5">
        <v>13217042589</v>
      </c>
      <c r="BC89" t="s">
        <v>1620</v>
      </c>
      <c r="BD89" t="s">
        <v>1621</v>
      </c>
      <c r="BG89" t="s">
        <v>420</v>
      </c>
      <c r="BH89" s="1">
        <v>44895.791666666664</v>
      </c>
      <c r="BI89">
        <v>35</v>
      </c>
      <c r="BJ89">
        <v>5</v>
      </c>
      <c r="BK89">
        <v>5</v>
      </c>
      <c r="BL89">
        <v>5</v>
      </c>
      <c r="BM89">
        <v>5</v>
      </c>
      <c r="BN89">
        <v>5</v>
      </c>
      <c r="BO89">
        <v>5</v>
      </c>
      <c r="BP89">
        <v>5</v>
      </c>
      <c r="BQ89" t="str">
        <f>"6:00 AM"</f>
        <v>6:00 AM</v>
      </c>
      <c r="BR89" t="str">
        <f>"12:00 AM"</f>
        <v>12:00 AM</v>
      </c>
      <c r="BS89" t="s">
        <v>133</v>
      </c>
      <c r="BT89">
        <v>0</v>
      </c>
      <c r="BU89">
        <v>3</v>
      </c>
      <c r="BV89" t="s">
        <v>134</v>
      </c>
      <c r="BX89" s="2" t="s">
        <v>14901</v>
      </c>
      <c r="BY89" t="s">
        <v>14900</v>
      </c>
      <c r="CA89" t="s">
        <v>5888</v>
      </c>
      <c r="CB89" t="s">
        <v>420</v>
      </c>
      <c r="CC89" s="4" t="str">
        <f>"84775"</f>
        <v>84775</v>
      </c>
      <c r="CD89" t="s">
        <v>2201</v>
      </c>
      <c r="CE89" t="s">
        <v>4402</v>
      </c>
      <c r="CF89" s="6">
        <v>12.03</v>
      </c>
      <c r="CG89" s="6">
        <v>12.03</v>
      </c>
      <c r="CH89" s="6">
        <v>18.45</v>
      </c>
      <c r="CI89" s="6">
        <v>18.45</v>
      </c>
      <c r="CJ89" t="s">
        <v>137</v>
      </c>
      <c r="CK89" t="s">
        <v>1623</v>
      </c>
      <c r="CL89" t="s">
        <v>14902</v>
      </c>
      <c r="CO89" t="s">
        <v>138</v>
      </c>
      <c r="CP89" t="s">
        <v>134</v>
      </c>
      <c r="CQ89" t="s">
        <v>134</v>
      </c>
      <c r="CR89" t="s">
        <v>114</v>
      </c>
      <c r="CS89" t="s">
        <v>114</v>
      </c>
      <c r="CT89" t="s">
        <v>114</v>
      </c>
      <c r="CU89" t="s">
        <v>114</v>
      </c>
      <c r="CV89" t="s">
        <v>14903</v>
      </c>
      <c r="CW89" s="5" t="str">
        <f>"+18186184188"</f>
        <v>+18186184188</v>
      </c>
      <c r="CX89" t="s">
        <v>6833</v>
      </c>
      <c r="CY89" t="s">
        <v>138</v>
      </c>
      <c r="CZ89" t="s">
        <v>139</v>
      </c>
      <c r="DA89" t="s">
        <v>134</v>
      </c>
      <c r="DB89" t="s">
        <v>134</v>
      </c>
      <c r="DC89" t="s">
        <v>114</v>
      </c>
      <c r="DD89" t="s">
        <v>134</v>
      </c>
    </row>
    <row r="90" spans="1:108" ht="15" customHeight="1" x14ac:dyDescent="0.25">
      <c r="A90" t="s">
        <v>16133</v>
      </c>
      <c r="B90" t="s">
        <v>165</v>
      </c>
      <c r="C90" s="1">
        <v>44896.004642476852</v>
      </c>
      <c r="D90" s="1">
        <v>44924</v>
      </c>
      <c r="E90" t="s">
        <v>134</v>
      </c>
      <c r="F90" t="s">
        <v>14147</v>
      </c>
      <c r="G90" t="str">
        <f>"37-3011.00"</f>
        <v>37-3011.00</v>
      </c>
      <c r="H90" t="s">
        <v>335</v>
      </c>
      <c r="I90">
        <v>5</v>
      </c>
      <c r="J90">
        <v>5</v>
      </c>
      <c r="K90" s="1">
        <v>44986</v>
      </c>
      <c r="L90" s="1">
        <v>45275</v>
      </c>
      <c r="M90" s="1">
        <v>44986</v>
      </c>
      <c r="N90" s="1">
        <v>45275</v>
      </c>
      <c r="O90" t="s">
        <v>199</v>
      </c>
      <c r="P90" t="s">
        <v>16134</v>
      </c>
      <c r="R90" t="s">
        <v>16135</v>
      </c>
      <c r="T90" t="s">
        <v>2439</v>
      </c>
      <c r="U90" t="s">
        <v>748</v>
      </c>
      <c r="V90" s="4" t="str">
        <f>"15227"</f>
        <v>15227</v>
      </c>
      <c r="W90" t="s">
        <v>120</v>
      </c>
      <c r="Y90" s="5">
        <v>14127787468</v>
      </c>
      <c r="AA90">
        <v>56173</v>
      </c>
      <c r="AB90" t="s">
        <v>2571</v>
      </c>
      <c r="AC90" t="s">
        <v>1063</v>
      </c>
      <c r="AE90" t="s">
        <v>1065</v>
      </c>
      <c r="AF90" t="s">
        <v>16135</v>
      </c>
      <c r="AH90" t="s">
        <v>2439</v>
      </c>
      <c r="AI90" t="s">
        <v>748</v>
      </c>
      <c r="AJ90" s="4" t="str">
        <f>"15227"</f>
        <v>15227</v>
      </c>
      <c r="AK90" t="s">
        <v>120</v>
      </c>
      <c r="AM90" s="5">
        <v>14127787468</v>
      </c>
      <c r="AO90" t="s">
        <v>16136</v>
      </c>
      <c r="AP90" t="s">
        <v>256</v>
      </c>
      <c r="AQ90" t="s">
        <v>400</v>
      </c>
      <c r="AR90" t="s">
        <v>401</v>
      </c>
      <c r="AS90" t="s">
        <v>397</v>
      </c>
      <c r="AT90" t="s">
        <v>402</v>
      </c>
      <c r="AU90" t="s">
        <v>152</v>
      </c>
      <c r="AV90" t="s">
        <v>403</v>
      </c>
      <c r="AW90" t="s">
        <v>232</v>
      </c>
      <c r="AX90" s="4" t="str">
        <f>"75033"</f>
        <v>75033</v>
      </c>
      <c r="AY90" t="s">
        <v>120</v>
      </c>
      <c r="BA90" s="5">
        <v>19727789690</v>
      </c>
      <c r="BC90" t="s">
        <v>1908</v>
      </c>
      <c r="BD90" t="s">
        <v>405</v>
      </c>
      <c r="BG90" t="s">
        <v>748</v>
      </c>
      <c r="BH90" s="1">
        <v>44895.791666666664</v>
      </c>
      <c r="BI90">
        <v>50</v>
      </c>
      <c r="BJ90">
        <v>0</v>
      </c>
      <c r="BK90">
        <v>8.5</v>
      </c>
      <c r="BL90">
        <v>8.5</v>
      </c>
      <c r="BM90">
        <v>8.5</v>
      </c>
      <c r="BN90">
        <v>8.5</v>
      </c>
      <c r="BO90">
        <v>8.5</v>
      </c>
      <c r="BP90">
        <v>7.5</v>
      </c>
      <c r="BQ90" t="str">
        <f>"8:00 AM"</f>
        <v>8:00 AM</v>
      </c>
      <c r="BR90" t="str">
        <f>"5:00 PM"</f>
        <v>5:00 PM</v>
      </c>
      <c r="BS90" t="s">
        <v>133</v>
      </c>
      <c r="BT90">
        <v>0</v>
      </c>
      <c r="BU90">
        <v>0</v>
      </c>
      <c r="BV90" t="s">
        <v>134</v>
      </c>
      <c r="BX90" s="2" t="s">
        <v>16137</v>
      </c>
      <c r="BY90" t="s">
        <v>16135</v>
      </c>
      <c r="CA90" t="s">
        <v>2439</v>
      </c>
      <c r="CB90" t="s">
        <v>748</v>
      </c>
      <c r="CC90" s="4" t="str">
        <f>"15227"</f>
        <v>15227</v>
      </c>
      <c r="CD90" t="s">
        <v>1475</v>
      </c>
      <c r="CE90" t="s">
        <v>1346</v>
      </c>
      <c r="CF90" s="6">
        <v>15.95</v>
      </c>
      <c r="CG90" s="6">
        <v>15.95</v>
      </c>
      <c r="CH90" s="6">
        <v>23.93</v>
      </c>
      <c r="CI90" s="6">
        <v>23.93</v>
      </c>
      <c r="CJ90" t="s">
        <v>137</v>
      </c>
      <c r="CK90" t="s">
        <v>950</v>
      </c>
      <c r="CL90" t="s">
        <v>16138</v>
      </c>
      <c r="CO90" t="s">
        <v>138</v>
      </c>
      <c r="CP90" t="s">
        <v>114</v>
      </c>
      <c r="CQ90" t="s">
        <v>114</v>
      </c>
      <c r="CR90" t="s">
        <v>114</v>
      </c>
      <c r="CS90" t="s">
        <v>114</v>
      </c>
      <c r="CT90" t="s">
        <v>114</v>
      </c>
      <c r="CU90" t="s">
        <v>114</v>
      </c>
      <c r="CV90" s="2" t="s">
        <v>16139</v>
      </c>
      <c r="CW90" s="5" t="str">
        <f>"+14127787468"</f>
        <v>+14127787468</v>
      </c>
      <c r="CX90" t="s">
        <v>138</v>
      </c>
      <c r="CY90" t="s">
        <v>1476</v>
      </c>
      <c r="CZ90" t="s">
        <v>139</v>
      </c>
      <c r="DA90" t="s">
        <v>134</v>
      </c>
      <c r="DB90" t="s">
        <v>114</v>
      </c>
      <c r="DC90" t="s">
        <v>114</v>
      </c>
      <c r="DD90" t="s">
        <v>134</v>
      </c>
    </row>
    <row r="91" spans="1:108" ht="15" customHeight="1" x14ac:dyDescent="0.25">
      <c r="A91" t="s">
        <v>4045</v>
      </c>
      <c r="B91" t="s">
        <v>165</v>
      </c>
      <c r="C91" s="1">
        <v>44896.001377083332</v>
      </c>
      <c r="D91" s="1">
        <v>44924</v>
      </c>
      <c r="E91" t="s">
        <v>134</v>
      </c>
      <c r="F91" t="s">
        <v>1219</v>
      </c>
      <c r="G91" t="str">
        <f>"37-3011.00"</f>
        <v>37-3011.00</v>
      </c>
      <c r="H91" t="s">
        <v>335</v>
      </c>
      <c r="I91">
        <v>26</v>
      </c>
      <c r="J91">
        <v>26</v>
      </c>
      <c r="K91" s="1">
        <v>44986</v>
      </c>
      <c r="L91" s="1">
        <v>45261</v>
      </c>
      <c r="M91" s="1">
        <v>44986</v>
      </c>
      <c r="N91" s="1">
        <v>45261</v>
      </c>
      <c r="O91" t="s">
        <v>199</v>
      </c>
      <c r="P91" t="s">
        <v>4046</v>
      </c>
      <c r="R91" t="s">
        <v>4047</v>
      </c>
      <c r="T91" t="s">
        <v>4048</v>
      </c>
      <c r="U91" t="s">
        <v>697</v>
      </c>
      <c r="V91" s="4" t="str">
        <f>"65049"</f>
        <v>65049</v>
      </c>
      <c r="W91" t="s">
        <v>120</v>
      </c>
      <c r="Y91" s="5">
        <v>15733929993</v>
      </c>
      <c r="AA91">
        <v>56173</v>
      </c>
      <c r="AB91" t="s">
        <v>4049</v>
      </c>
      <c r="AC91" t="s">
        <v>396</v>
      </c>
      <c r="AE91" t="s">
        <v>700</v>
      </c>
      <c r="AF91" t="s">
        <v>4047</v>
      </c>
      <c r="AH91" t="s">
        <v>4048</v>
      </c>
      <c r="AI91" t="s">
        <v>697</v>
      </c>
      <c r="AJ91" s="4" t="str">
        <f>"65049"</f>
        <v>65049</v>
      </c>
      <c r="AK91" t="s">
        <v>120</v>
      </c>
      <c r="AM91" s="5">
        <v>15733929993</v>
      </c>
      <c r="AO91" t="s">
        <v>138</v>
      </c>
      <c r="AP91" t="s">
        <v>256</v>
      </c>
      <c r="AQ91" t="s">
        <v>1220</v>
      </c>
      <c r="AR91" t="s">
        <v>1221</v>
      </c>
      <c r="AT91" t="s">
        <v>1222</v>
      </c>
      <c r="AV91" t="s">
        <v>1223</v>
      </c>
      <c r="AW91" t="s">
        <v>848</v>
      </c>
      <c r="AX91" s="4" t="str">
        <f>"11590"</f>
        <v>11590</v>
      </c>
      <c r="AY91" t="s">
        <v>120</v>
      </c>
      <c r="BA91" s="5">
        <v>15163307168</v>
      </c>
      <c r="BC91" t="s">
        <v>1224</v>
      </c>
      <c r="BD91" t="s">
        <v>1225</v>
      </c>
      <c r="BG91" t="s">
        <v>697</v>
      </c>
      <c r="BH91" s="1">
        <v>44894.791666666664</v>
      </c>
      <c r="BI91">
        <v>40</v>
      </c>
      <c r="BJ91">
        <v>0</v>
      </c>
      <c r="BK91">
        <v>8</v>
      </c>
      <c r="BL91">
        <v>8</v>
      </c>
      <c r="BM91">
        <v>8</v>
      </c>
      <c r="BN91">
        <v>8</v>
      </c>
      <c r="BO91">
        <v>8</v>
      </c>
      <c r="BP91">
        <v>0</v>
      </c>
      <c r="BQ91" t="str">
        <f>"8:00 AM"</f>
        <v>8:00 AM</v>
      </c>
      <c r="BR91" t="str">
        <f>"5:00 PM"</f>
        <v>5:00 PM</v>
      </c>
      <c r="BS91" t="s">
        <v>133</v>
      </c>
      <c r="BT91">
        <v>0</v>
      </c>
      <c r="BU91">
        <v>0</v>
      </c>
      <c r="BV91" t="s">
        <v>134</v>
      </c>
      <c r="BX91" t="s">
        <v>133</v>
      </c>
      <c r="BY91" t="s">
        <v>4047</v>
      </c>
      <c r="CA91" t="s">
        <v>4048</v>
      </c>
      <c r="CB91" t="s">
        <v>697</v>
      </c>
      <c r="CC91" s="4" t="str">
        <f>"65049"</f>
        <v>65049</v>
      </c>
      <c r="CD91" t="s">
        <v>4050</v>
      </c>
      <c r="CE91" t="s">
        <v>4051</v>
      </c>
      <c r="CF91" s="6">
        <v>14.5</v>
      </c>
      <c r="CG91" s="6">
        <v>14.5</v>
      </c>
      <c r="CH91" s="6">
        <v>21.75</v>
      </c>
      <c r="CI91" s="6">
        <v>21.75</v>
      </c>
      <c r="CJ91" t="s">
        <v>137</v>
      </c>
      <c r="CL91" t="s">
        <v>4052</v>
      </c>
      <c r="CO91" t="s">
        <v>138</v>
      </c>
      <c r="CP91" t="s">
        <v>114</v>
      </c>
      <c r="CQ91" t="s">
        <v>114</v>
      </c>
      <c r="CR91" t="s">
        <v>114</v>
      </c>
      <c r="CS91" t="s">
        <v>134</v>
      </c>
      <c r="CT91" t="s">
        <v>114</v>
      </c>
      <c r="CU91" t="s">
        <v>134</v>
      </c>
      <c r="CV91" t="s">
        <v>133</v>
      </c>
      <c r="CW91" s="5" t="str">
        <f>"+15733929993"</f>
        <v>+15733929993</v>
      </c>
      <c r="CX91" t="s">
        <v>4053</v>
      </c>
      <c r="CY91" t="s">
        <v>138</v>
      </c>
      <c r="CZ91" t="s">
        <v>139</v>
      </c>
      <c r="DA91" t="s">
        <v>134</v>
      </c>
      <c r="DB91" t="s">
        <v>134</v>
      </c>
      <c r="DC91" t="s">
        <v>114</v>
      </c>
      <c r="DD91" t="s">
        <v>134</v>
      </c>
    </row>
    <row r="92" spans="1:108" ht="15" customHeight="1" x14ac:dyDescent="0.25">
      <c r="A92" t="s">
        <v>14783</v>
      </c>
      <c r="B92" t="s">
        <v>165</v>
      </c>
      <c r="C92" s="1">
        <v>44896.000611574076</v>
      </c>
      <c r="D92" s="1">
        <v>44924</v>
      </c>
      <c r="E92" t="s">
        <v>134</v>
      </c>
      <c r="F92" t="s">
        <v>334</v>
      </c>
      <c r="G92" t="str">
        <f>"37-3011.00"</f>
        <v>37-3011.00</v>
      </c>
      <c r="H92" t="s">
        <v>335</v>
      </c>
      <c r="I92">
        <v>20</v>
      </c>
      <c r="J92">
        <v>20</v>
      </c>
      <c r="K92" s="1">
        <v>44986</v>
      </c>
      <c r="L92" s="1">
        <v>45230</v>
      </c>
      <c r="M92" s="1">
        <v>44986</v>
      </c>
      <c r="N92" s="1">
        <v>45230</v>
      </c>
      <c r="O92" t="s">
        <v>117</v>
      </c>
      <c r="P92" t="s">
        <v>14784</v>
      </c>
      <c r="Q92" t="s">
        <v>14785</v>
      </c>
      <c r="R92" t="s">
        <v>14786</v>
      </c>
      <c r="T92" t="s">
        <v>13319</v>
      </c>
      <c r="U92" t="s">
        <v>1361</v>
      </c>
      <c r="V92" s="4" t="str">
        <f>"38652"</f>
        <v>38652</v>
      </c>
      <c r="W92" t="s">
        <v>120</v>
      </c>
      <c r="Y92" s="5">
        <v>16625347447</v>
      </c>
      <c r="AA92">
        <v>56173</v>
      </c>
      <c r="AB92" t="s">
        <v>14787</v>
      </c>
      <c r="AC92" t="s">
        <v>1980</v>
      </c>
      <c r="AE92" t="s">
        <v>342</v>
      </c>
      <c r="AF92" t="s">
        <v>14786</v>
      </c>
      <c r="AH92" t="s">
        <v>13319</v>
      </c>
      <c r="AI92" t="s">
        <v>1361</v>
      </c>
      <c r="AJ92" s="4" t="str">
        <f>"38652"</f>
        <v>38652</v>
      </c>
      <c r="AK92" t="s">
        <v>120</v>
      </c>
      <c r="AM92" s="5">
        <v>16625347447</v>
      </c>
      <c r="AO92" t="s">
        <v>14788</v>
      </c>
      <c r="AP92" t="s">
        <v>256</v>
      </c>
      <c r="AQ92" t="s">
        <v>400</v>
      </c>
      <c r="AR92" t="s">
        <v>401</v>
      </c>
      <c r="AS92" t="s">
        <v>397</v>
      </c>
      <c r="AT92" t="s">
        <v>402</v>
      </c>
      <c r="AU92" t="s">
        <v>152</v>
      </c>
      <c r="AV92" t="s">
        <v>403</v>
      </c>
      <c r="AW92" t="s">
        <v>232</v>
      </c>
      <c r="AX92" s="4" t="str">
        <f>"75033"</f>
        <v>75033</v>
      </c>
      <c r="AY92" t="s">
        <v>120</v>
      </c>
      <c r="BA92" s="5">
        <v>19727789690</v>
      </c>
      <c r="BC92" t="s">
        <v>404</v>
      </c>
      <c r="BD92" t="s">
        <v>405</v>
      </c>
      <c r="BG92" t="s">
        <v>1361</v>
      </c>
      <c r="BH92" s="1">
        <v>44895.791666666664</v>
      </c>
      <c r="BI92">
        <v>40</v>
      </c>
      <c r="BJ92">
        <v>0</v>
      </c>
      <c r="BK92">
        <v>10</v>
      </c>
      <c r="BL92">
        <v>10</v>
      </c>
      <c r="BM92">
        <v>10</v>
      </c>
      <c r="BN92">
        <v>10</v>
      </c>
      <c r="BO92">
        <v>0</v>
      </c>
      <c r="BP92">
        <v>0</v>
      </c>
      <c r="BQ92" t="str">
        <f>"7:00 AM"</f>
        <v>7:00 AM</v>
      </c>
      <c r="BR92" t="str">
        <f>"5:30 PM"</f>
        <v>5:30 PM</v>
      </c>
      <c r="BS92" t="s">
        <v>133</v>
      </c>
      <c r="BT92">
        <v>0</v>
      </c>
      <c r="BU92">
        <v>0</v>
      </c>
      <c r="BV92" t="s">
        <v>134</v>
      </c>
      <c r="BX92" s="2" t="s">
        <v>14789</v>
      </c>
      <c r="BY92" t="s">
        <v>14786</v>
      </c>
      <c r="CA92" t="s">
        <v>13319</v>
      </c>
      <c r="CB92" t="s">
        <v>1361</v>
      </c>
      <c r="CC92" s="4" t="str">
        <f>"38652"</f>
        <v>38652</v>
      </c>
      <c r="CD92" t="s">
        <v>1643</v>
      </c>
      <c r="CE92" t="s">
        <v>4477</v>
      </c>
      <c r="CF92" s="6">
        <v>13.79</v>
      </c>
      <c r="CG92" s="6">
        <v>13.79</v>
      </c>
      <c r="CH92" s="6">
        <v>20.69</v>
      </c>
      <c r="CI92" s="6">
        <v>20.69</v>
      </c>
      <c r="CJ92" t="s">
        <v>137</v>
      </c>
      <c r="CK92" t="s">
        <v>5789</v>
      </c>
      <c r="CL92" t="s">
        <v>14790</v>
      </c>
      <c r="CO92" t="s">
        <v>138</v>
      </c>
      <c r="CP92" t="s">
        <v>114</v>
      </c>
      <c r="CQ92" t="s">
        <v>114</v>
      </c>
      <c r="CR92" t="s">
        <v>114</v>
      </c>
      <c r="CS92" t="s">
        <v>114</v>
      </c>
      <c r="CT92" t="s">
        <v>114</v>
      </c>
      <c r="CU92" t="s">
        <v>114</v>
      </c>
      <c r="CV92" t="s">
        <v>14791</v>
      </c>
      <c r="CW92" s="5" t="str">
        <f>"+16625347447"</f>
        <v>+16625347447</v>
      </c>
      <c r="CX92" t="s">
        <v>138</v>
      </c>
      <c r="CY92" t="s">
        <v>9015</v>
      </c>
      <c r="CZ92" t="s">
        <v>139</v>
      </c>
      <c r="DA92" t="s">
        <v>134</v>
      </c>
      <c r="DB92" t="s">
        <v>134</v>
      </c>
      <c r="DC92" t="s">
        <v>114</v>
      </c>
      <c r="DD92" t="s">
        <v>134</v>
      </c>
    </row>
    <row r="93" spans="1:108" ht="15" customHeight="1" x14ac:dyDescent="0.25">
      <c r="A93" t="s">
        <v>14157</v>
      </c>
      <c r="B93" t="s">
        <v>165</v>
      </c>
      <c r="C93" s="1">
        <v>44894.623962152778</v>
      </c>
      <c r="D93" s="1">
        <v>44924</v>
      </c>
      <c r="E93" t="s">
        <v>134</v>
      </c>
      <c r="F93" t="s">
        <v>14158</v>
      </c>
      <c r="G93" t="str">
        <f>"45-4011.00"</f>
        <v>45-4011.00</v>
      </c>
      <c r="H93" t="s">
        <v>1107</v>
      </c>
      <c r="I93">
        <v>14</v>
      </c>
      <c r="J93">
        <v>14</v>
      </c>
      <c r="K93" s="1">
        <v>44983</v>
      </c>
      <c r="L93" s="1">
        <v>45026</v>
      </c>
      <c r="M93" s="1">
        <v>44983</v>
      </c>
      <c r="N93" s="1">
        <v>45026</v>
      </c>
      <c r="O93" t="s">
        <v>199</v>
      </c>
      <c r="P93" t="s">
        <v>13633</v>
      </c>
      <c r="Q93" t="s">
        <v>13634</v>
      </c>
      <c r="R93" t="s">
        <v>13635</v>
      </c>
      <c r="S93" t="s">
        <v>1897</v>
      </c>
      <c r="T93" t="s">
        <v>13636</v>
      </c>
      <c r="U93" t="s">
        <v>657</v>
      </c>
      <c r="V93" s="4" t="str">
        <f>"37343"</f>
        <v>37343</v>
      </c>
      <c r="W93" t="s">
        <v>120</v>
      </c>
      <c r="X93" t="s">
        <v>1897</v>
      </c>
      <c r="Y93" s="5">
        <v>14232403514</v>
      </c>
      <c r="Z93">
        <v>0</v>
      </c>
      <c r="AA93">
        <v>115310</v>
      </c>
      <c r="AB93" t="s">
        <v>13637</v>
      </c>
      <c r="AC93" t="s">
        <v>1677</v>
      </c>
      <c r="AD93" t="s">
        <v>1997</v>
      </c>
      <c r="AE93" t="s">
        <v>424</v>
      </c>
      <c r="AF93" t="s">
        <v>13635</v>
      </c>
      <c r="AG93" t="s">
        <v>1897</v>
      </c>
      <c r="AH93" t="s">
        <v>13636</v>
      </c>
      <c r="AI93" t="s">
        <v>657</v>
      </c>
      <c r="AJ93" s="4" t="str">
        <f>"37343"</f>
        <v>37343</v>
      </c>
      <c r="AK93" t="s">
        <v>120</v>
      </c>
      <c r="AM93" s="5">
        <v>14232403514</v>
      </c>
      <c r="AN93">
        <v>0</v>
      </c>
      <c r="AO93" t="s">
        <v>13639</v>
      </c>
      <c r="AX93" s="4" t="str">
        <f>""</f>
        <v/>
      </c>
      <c r="BG93" t="s">
        <v>203</v>
      </c>
      <c r="BH93" s="1">
        <v>44893.791666666664</v>
      </c>
      <c r="BI93">
        <v>40</v>
      </c>
      <c r="BJ93">
        <v>0</v>
      </c>
      <c r="BK93">
        <v>8</v>
      </c>
      <c r="BL93">
        <v>8</v>
      </c>
      <c r="BM93">
        <v>8</v>
      </c>
      <c r="BN93">
        <v>8</v>
      </c>
      <c r="BO93">
        <v>8</v>
      </c>
      <c r="BP93">
        <v>0</v>
      </c>
      <c r="BQ93" t="str">
        <f>"8:00 AM"</f>
        <v>8:00 AM</v>
      </c>
      <c r="BR93" t="str">
        <f>"4:00 PM"</f>
        <v>4:00 PM</v>
      </c>
      <c r="BS93" t="s">
        <v>133</v>
      </c>
      <c r="BT93">
        <v>0</v>
      </c>
      <c r="BU93">
        <v>1</v>
      </c>
      <c r="BV93" t="s">
        <v>134</v>
      </c>
      <c r="BX93" s="2" t="s">
        <v>14159</v>
      </c>
      <c r="BY93" t="s">
        <v>14160</v>
      </c>
      <c r="BZ93" t="s">
        <v>1897</v>
      </c>
      <c r="CA93" t="s">
        <v>5924</v>
      </c>
      <c r="CB93" t="s">
        <v>203</v>
      </c>
      <c r="CC93" s="4" t="str">
        <f>"36726"</f>
        <v>36726</v>
      </c>
      <c r="CD93" t="s">
        <v>14161</v>
      </c>
      <c r="CE93" t="s">
        <v>7359</v>
      </c>
      <c r="CF93" s="6">
        <v>16.2</v>
      </c>
      <c r="CG93" s="6">
        <v>16.2</v>
      </c>
      <c r="CH93" s="6">
        <v>24.3</v>
      </c>
      <c r="CI93" s="6">
        <v>24.3</v>
      </c>
      <c r="CJ93" t="s">
        <v>137</v>
      </c>
      <c r="CL93" t="s">
        <v>14162</v>
      </c>
      <c r="CO93" t="s">
        <v>138</v>
      </c>
      <c r="CP93" t="s">
        <v>134</v>
      </c>
      <c r="CQ93" t="s">
        <v>114</v>
      </c>
      <c r="CR93" t="s">
        <v>114</v>
      </c>
      <c r="CS93" t="s">
        <v>134</v>
      </c>
      <c r="CT93" t="s">
        <v>114</v>
      </c>
      <c r="CU93" t="s">
        <v>114</v>
      </c>
      <c r="CV93" t="s">
        <v>14163</v>
      </c>
      <c r="CW93" s="5" t="str">
        <f>"+14232403514"</f>
        <v>+14232403514</v>
      </c>
      <c r="CX93" t="s">
        <v>13639</v>
      </c>
      <c r="CY93" t="s">
        <v>138</v>
      </c>
      <c r="CZ93" t="s">
        <v>139</v>
      </c>
      <c r="DA93" t="s">
        <v>134</v>
      </c>
      <c r="DB93" t="s">
        <v>134</v>
      </c>
      <c r="DC93" t="s">
        <v>114</v>
      </c>
      <c r="DD93" t="s">
        <v>134</v>
      </c>
    </row>
    <row r="94" spans="1:108" ht="15" customHeight="1" x14ac:dyDescent="0.25">
      <c r="A94" t="s">
        <v>11696</v>
      </c>
      <c r="B94" t="s">
        <v>165</v>
      </c>
      <c r="C94" s="1">
        <v>44893.76604884259</v>
      </c>
      <c r="D94" s="1">
        <v>44924</v>
      </c>
      <c r="E94" t="s">
        <v>134</v>
      </c>
      <c r="F94" t="s">
        <v>334</v>
      </c>
      <c r="G94" t="str">
        <f>"37-3011.00"</f>
        <v>37-3011.00</v>
      </c>
      <c r="H94" t="s">
        <v>335</v>
      </c>
      <c r="I94">
        <v>3</v>
      </c>
      <c r="J94">
        <v>3</v>
      </c>
      <c r="K94" s="1">
        <v>44979</v>
      </c>
      <c r="L94" s="1">
        <v>45245</v>
      </c>
      <c r="M94" s="1">
        <v>44979</v>
      </c>
      <c r="N94" s="1">
        <v>45245</v>
      </c>
      <c r="O94" t="s">
        <v>199</v>
      </c>
      <c r="P94" t="s">
        <v>9949</v>
      </c>
      <c r="R94" t="s">
        <v>9950</v>
      </c>
      <c r="T94" t="s">
        <v>9951</v>
      </c>
      <c r="U94" t="s">
        <v>631</v>
      </c>
      <c r="V94" s="4" t="str">
        <f>"74074"</f>
        <v>74074</v>
      </c>
      <c r="W94" t="s">
        <v>120</v>
      </c>
      <c r="Y94" s="5">
        <v>14057070151</v>
      </c>
      <c r="AA94">
        <v>56173</v>
      </c>
      <c r="AB94" t="s">
        <v>1677</v>
      </c>
      <c r="AC94" t="s">
        <v>975</v>
      </c>
      <c r="AD94" t="s">
        <v>138</v>
      </c>
      <c r="AE94" t="s">
        <v>1855</v>
      </c>
      <c r="AF94" t="s">
        <v>9950</v>
      </c>
      <c r="AH94" t="s">
        <v>9951</v>
      </c>
      <c r="AI94" t="s">
        <v>631</v>
      </c>
      <c r="AJ94" s="4" t="str">
        <f>"74074"</f>
        <v>74074</v>
      </c>
      <c r="AK94" t="s">
        <v>120</v>
      </c>
      <c r="AM94" s="5">
        <v>14057070151</v>
      </c>
      <c r="AO94" t="s">
        <v>9952</v>
      </c>
      <c r="AP94" t="s">
        <v>256</v>
      </c>
      <c r="AQ94" t="s">
        <v>826</v>
      </c>
      <c r="AR94" t="s">
        <v>827</v>
      </c>
      <c r="AS94" t="s">
        <v>138</v>
      </c>
      <c r="AT94" t="s">
        <v>346</v>
      </c>
      <c r="AU94" t="s">
        <v>347</v>
      </c>
      <c r="AV94" t="s">
        <v>828</v>
      </c>
      <c r="AW94" t="s">
        <v>349</v>
      </c>
      <c r="AX94" s="4" t="str">
        <f>"83814"</f>
        <v>83814</v>
      </c>
      <c r="AY94" t="s">
        <v>120</v>
      </c>
      <c r="BA94" s="5">
        <v>12087772654</v>
      </c>
      <c r="BC94" t="s">
        <v>829</v>
      </c>
      <c r="BD94" t="s">
        <v>351</v>
      </c>
      <c r="BG94" t="s">
        <v>631</v>
      </c>
      <c r="BH94" s="1">
        <v>45253.791666666664</v>
      </c>
      <c r="BI94">
        <v>35</v>
      </c>
      <c r="BJ94">
        <v>0</v>
      </c>
      <c r="BK94">
        <v>7</v>
      </c>
      <c r="BL94">
        <v>7</v>
      </c>
      <c r="BM94">
        <v>7</v>
      </c>
      <c r="BN94">
        <v>7</v>
      </c>
      <c r="BO94">
        <v>7</v>
      </c>
      <c r="BP94">
        <v>0</v>
      </c>
      <c r="BQ94" t="str">
        <f>"7:00 AM"</f>
        <v>7:00 AM</v>
      </c>
      <c r="BR94" t="str">
        <f>"3:30 PM"</f>
        <v>3:30 PM</v>
      </c>
      <c r="BS94" t="s">
        <v>133</v>
      </c>
      <c r="BT94">
        <v>0</v>
      </c>
      <c r="BU94">
        <v>0</v>
      </c>
      <c r="BV94" t="s">
        <v>134</v>
      </c>
      <c r="BX94" s="2" t="s">
        <v>2605</v>
      </c>
      <c r="BY94" t="s">
        <v>9953</v>
      </c>
      <c r="CA94" t="s">
        <v>9951</v>
      </c>
      <c r="CB94" t="s">
        <v>631</v>
      </c>
      <c r="CC94" s="4" t="str">
        <f>"74074"</f>
        <v>74074</v>
      </c>
      <c r="CD94" t="s">
        <v>6993</v>
      </c>
      <c r="CE94" t="s">
        <v>2823</v>
      </c>
      <c r="CF94" s="6">
        <v>14.23</v>
      </c>
      <c r="CG94" s="6">
        <v>15</v>
      </c>
      <c r="CH94" s="6">
        <v>21.35</v>
      </c>
      <c r="CI94" s="6">
        <v>22.5</v>
      </c>
      <c r="CJ94" t="s">
        <v>137</v>
      </c>
      <c r="CK94" t="s">
        <v>138</v>
      </c>
      <c r="CL94" t="s">
        <v>9954</v>
      </c>
      <c r="CO94" t="s">
        <v>138</v>
      </c>
      <c r="CP94" t="s">
        <v>114</v>
      </c>
      <c r="CQ94" t="s">
        <v>114</v>
      </c>
      <c r="CR94" t="s">
        <v>114</v>
      </c>
      <c r="CS94" t="s">
        <v>114</v>
      </c>
      <c r="CT94" t="s">
        <v>114</v>
      </c>
      <c r="CU94" t="s">
        <v>114</v>
      </c>
      <c r="CV94" t="s">
        <v>11697</v>
      </c>
      <c r="CW94" s="5" t="str">
        <f>"+14057070151"</f>
        <v>+14057070151</v>
      </c>
      <c r="CX94" t="s">
        <v>9952</v>
      </c>
      <c r="CY94" t="s">
        <v>138</v>
      </c>
      <c r="CZ94" t="s">
        <v>139</v>
      </c>
      <c r="DA94" t="s">
        <v>134</v>
      </c>
      <c r="DB94" t="s">
        <v>134</v>
      </c>
      <c r="DC94" t="s">
        <v>114</v>
      </c>
      <c r="DD94" t="s">
        <v>134</v>
      </c>
    </row>
    <row r="95" spans="1:108" ht="15" customHeight="1" x14ac:dyDescent="0.25">
      <c r="A95" t="s">
        <v>13436</v>
      </c>
      <c r="B95" t="s">
        <v>165</v>
      </c>
      <c r="C95" s="1">
        <v>44893.399810300929</v>
      </c>
      <c r="D95" s="1">
        <v>44924</v>
      </c>
      <c r="E95" t="s">
        <v>134</v>
      </c>
      <c r="F95" t="s">
        <v>4506</v>
      </c>
      <c r="G95" t="str">
        <f>"37-3011.00"</f>
        <v>37-3011.00</v>
      </c>
      <c r="H95" t="s">
        <v>335</v>
      </c>
      <c r="I95">
        <v>10</v>
      </c>
      <c r="J95">
        <v>10</v>
      </c>
      <c r="K95" s="1">
        <v>44982</v>
      </c>
      <c r="L95" s="1">
        <v>45254</v>
      </c>
      <c r="M95" s="1">
        <v>44982</v>
      </c>
      <c r="N95" s="1">
        <v>45254</v>
      </c>
      <c r="O95" t="s">
        <v>199</v>
      </c>
      <c r="P95" t="s">
        <v>4507</v>
      </c>
      <c r="R95" t="s">
        <v>4508</v>
      </c>
      <c r="S95" t="s">
        <v>138</v>
      </c>
      <c r="T95" t="s">
        <v>1561</v>
      </c>
      <c r="U95" t="s">
        <v>748</v>
      </c>
      <c r="V95" s="4" t="str">
        <f>"19355"</f>
        <v>19355</v>
      </c>
      <c r="W95" t="s">
        <v>120</v>
      </c>
      <c r="Y95" s="5">
        <v>16106476001</v>
      </c>
      <c r="AA95">
        <v>561730</v>
      </c>
      <c r="AB95" t="s">
        <v>4509</v>
      </c>
      <c r="AC95" t="s">
        <v>754</v>
      </c>
      <c r="AD95" t="s">
        <v>138</v>
      </c>
      <c r="AE95" t="s">
        <v>424</v>
      </c>
      <c r="AF95" t="s">
        <v>4508</v>
      </c>
      <c r="AG95" t="s">
        <v>138</v>
      </c>
      <c r="AH95" t="s">
        <v>1561</v>
      </c>
      <c r="AI95" t="s">
        <v>748</v>
      </c>
      <c r="AJ95" s="4" t="str">
        <f>"19355"</f>
        <v>19355</v>
      </c>
      <c r="AK95" t="s">
        <v>120</v>
      </c>
      <c r="AM95" s="5">
        <v>16106476001</v>
      </c>
      <c r="AO95" t="s">
        <v>4510</v>
      </c>
      <c r="AP95" t="s">
        <v>256</v>
      </c>
      <c r="AQ95" t="s">
        <v>1282</v>
      </c>
      <c r="AR95" t="s">
        <v>1283</v>
      </c>
      <c r="AS95" t="s">
        <v>138</v>
      </c>
      <c r="AT95" t="s">
        <v>1284</v>
      </c>
      <c r="AU95" t="s">
        <v>138</v>
      </c>
      <c r="AV95" t="s">
        <v>1285</v>
      </c>
      <c r="AW95" t="s">
        <v>232</v>
      </c>
      <c r="AX95" s="4" t="str">
        <f>"77414"</f>
        <v>77414</v>
      </c>
      <c r="AY95" t="s">
        <v>120</v>
      </c>
      <c r="BA95" s="5">
        <v>19793187279</v>
      </c>
      <c r="BC95" t="s">
        <v>1286</v>
      </c>
      <c r="BD95" t="s">
        <v>1287</v>
      </c>
      <c r="BG95" t="s">
        <v>748</v>
      </c>
      <c r="BH95" s="1">
        <v>44892.791666666664</v>
      </c>
      <c r="BI95">
        <v>40</v>
      </c>
      <c r="BJ95">
        <v>0</v>
      </c>
      <c r="BK95">
        <v>8</v>
      </c>
      <c r="BL95">
        <v>8</v>
      </c>
      <c r="BM95">
        <v>8</v>
      </c>
      <c r="BN95">
        <v>8</v>
      </c>
      <c r="BO95">
        <v>8</v>
      </c>
      <c r="BP95">
        <v>0</v>
      </c>
      <c r="BQ95" t="str">
        <f>"7:00 AM"</f>
        <v>7:00 AM</v>
      </c>
      <c r="BR95" t="str">
        <f>"4:00 PM"</f>
        <v>4:00 PM</v>
      </c>
      <c r="BS95" t="s">
        <v>133</v>
      </c>
      <c r="BT95">
        <v>0</v>
      </c>
      <c r="BU95">
        <v>0</v>
      </c>
      <c r="BV95" t="s">
        <v>134</v>
      </c>
      <c r="BX95" s="2" t="s">
        <v>13437</v>
      </c>
      <c r="BY95" t="s">
        <v>4508</v>
      </c>
      <c r="BZ95" t="s">
        <v>138</v>
      </c>
      <c r="CA95" t="s">
        <v>1561</v>
      </c>
      <c r="CB95" t="s">
        <v>748</v>
      </c>
      <c r="CC95" s="4" t="str">
        <f>"19355"</f>
        <v>19355</v>
      </c>
      <c r="CD95" t="s">
        <v>1265</v>
      </c>
      <c r="CE95" t="s">
        <v>1266</v>
      </c>
      <c r="CF95" s="6">
        <v>17.82</v>
      </c>
      <c r="CG95" s="6">
        <v>23</v>
      </c>
      <c r="CH95" s="6">
        <v>26.73</v>
      </c>
      <c r="CI95" s="6">
        <v>34.5</v>
      </c>
      <c r="CJ95" t="s">
        <v>137</v>
      </c>
      <c r="CK95" t="s">
        <v>4511</v>
      </c>
      <c r="CL95" t="s">
        <v>4512</v>
      </c>
      <c r="CO95" t="s">
        <v>138</v>
      </c>
      <c r="CP95" t="s">
        <v>114</v>
      </c>
      <c r="CQ95" t="s">
        <v>114</v>
      </c>
      <c r="CR95" t="s">
        <v>114</v>
      </c>
      <c r="CS95" t="s">
        <v>114</v>
      </c>
      <c r="CT95" t="s">
        <v>114</v>
      </c>
      <c r="CU95" t="s">
        <v>114</v>
      </c>
      <c r="CV95" s="2" t="s">
        <v>4513</v>
      </c>
      <c r="CW95" s="5" t="str">
        <f>"+16106476001"</f>
        <v>+16106476001</v>
      </c>
      <c r="CX95" t="s">
        <v>4510</v>
      </c>
      <c r="CY95" t="s">
        <v>138</v>
      </c>
      <c r="CZ95" t="s">
        <v>139</v>
      </c>
      <c r="DA95" t="s">
        <v>134</v>
      </c>
      <c r="DB95" t="s">
        <v>134</v>
      </c>
      <c r="DC95" t="s">
        <v>114</v>
      </c>
      <c r="DD95" t="s">
        <v>134</v>
      </c>
    </row>
    <row r="96" spans="1:108" ht="15" customHeight="1" x14ac:dyDescent="0.25">
      <c r="A96" t="s">
        <v>10039</v>
      </c>
      <c r="B96" t="s">
        <v>165</v>
      </c>
      <c r="C96" s="1">
        <v>44887.419884722221</v>
      </c>
      <c r="D96" s="1">
        <v>44924</v>
      </c>
      <c r="E96" t="s">
        <v>134</v>
      </c>
      <c r="F96" t="s">
        <v>2393</v>
      </c>
      <c r="G96" t="str">
        <f>"35-2021.00"</f>
        <v>35-2021.00</v>
      </c>
      <c r="H96" t="s">
        <v>718</v>
      </c>
      <c r="I96">
        <v>2</v>
      </c>
      <c r="J96">
        <v>2</v>
      </c>
      <c r="K96" s="1">
        <v>44972</v>
      </c>
      <c r="L96" s="1">
        <v>45275</v>
      </c>
      <c r="M96" s="1">
        <v>44972</v>
      </c>
      <c r="N96" s="1">
        <v>45275</v>
      </c>
      <c r="O96" t="s">
        <v>117</v>
      </c>
      <c r="P96" t="s">
        <v>10040</v>
      </c>
      <c r="Q96" t="s">
        <v>10041</v>
      </c>
      <c r="R96" t="s">
        <v>10042</v>
      </c>
      <c r="S96" t="s">
        <v>10043</v>
      </c>
      <c r="T96" t="s">
        <v>10044</v>
      </c>
      <c r="U96" t="s">
        <v>479</v>
      </c>
      <c r="V96" s="4" t="str">
        <f>"23169"</f>
        <v>23169</v>
      </c>
      <c r="W96" t="s">
        <v>120</v>
      </c>
      <c r="Y96" s="5">
        <v>18047582871</v>
      </c>
      <c r="AA96">
        <v>72251</v>
      </c>
      <c r="AB96" t="s">
        <v>10045</v>
      </c>
      <c r="AC96" t="s">
        <v>4201</v>
      </c>
      <c r="AE96" t="s">
        <v>424</v>
      </c>
      <c r="AF96" t="s">
        <v>10046</v>
      </c>
      <c r="AH96" t="s">
        <v>10044</v>
      </c>
      <c r="AI96" t="s">
        <v>479</v>
      </c>
      <c r="AJ96" s="4" t="str">
        <f>"23169"</f>
        <v>23169</v>
      </c>
      <c r="AK96" t="s">
        <v>120</v>
      </c>
      <c r="AM96" s="5">
        <v>18047582871</v>
      </c>
      <c r="AO96" t="s">
        <v>10047</v>
      </c>
      <c r="AP96" t="s">
        <v>256</v>
      </c>
      <c r="AQ96" t="s">
        <v>1731</v>
      </c>
      <c r="AR96" t="s">
        <v>1732</v>
      </c>
      <c r="AS96" t="s">
        <v>1733</v>
      </c>
      <c r="AT96" t="s">
        <v>1734</v>
      </c>
      <c r="AU96" t="s">
        <v>1735</v>
      </c>
      <c r="AV96" t="s">
        <v>1736</v>
      </c>
      <c r="AW96" t="s">
        <v>479</v>
      </c>
      <c r="AX96" s="4" t="str">
        <f>"24521"</f>
        <v>24521</v>
      </c>
      <c r="AY96" t="s">
        <v>120</v>
      </c>
      <c r="BA96" s="5">
        <v>14349460035</v>
      </c>
      <c r="BB96">
        <v>11</v>
      </c>
      <c r="BC96" t="s">
        <v>1737</v>
      </c>
      <c r="BD96" t="s">
        <v>1738</v>
      </c>
      <c r="BG96" t="s">
        <v>479</v>
      </c>
      <c r="BH96" s="1">
        <v>44886.791666666664</v>
      </c>
      <c r="BI96">
        <v>40</v>
      </c>
      <c r="BJ96">
        <v>8</v>
      </c>
      <c r="BK96">
        <v>0</v>
      </c>
      <c r="BL96">
        <v>0</v>
      </c>
      <c r="BM96">
        <v>8</v>
      </c>
      <c r="BN96">
        <v>8</v>
      </c>
      <c r="BO96">
        <v>8</v>
      </c>
      <c r="BP96">
        <v>8</v>
      </c>
      <c r="BQ96" t="str">
        <f>"12:00 PM"</f>
        <v>12:00 PM</v>
      </c>
      <c r="BR96" t="str">
        <f>"8:00 PM"</f>
        <v>8:00 PM</v>
      </c>
      <c r="BS96" t="s">
        <v>133</v>
      </c>
      <c r="BT96">
        <v>0</v>
      </c>
      <c r="BU96">
        <v>0</v>
      </c>
      <c r="BV96" t="s">
        <v>134</v>
      </c>
      <c r="BX96" s="2" t="s">
        <v>10048</v>
      </c>
      <c r="BY96" t="s">
        <v>10042</v>
      </c>
      <c r="CA96" t="s">
        <v>10044</v>
      </c>
      <c r="CB96" t="s">
        <v>479</v>
      </c>
      <c r="CC96" s="4" t="str">
        <f>"23169"</f>
        <v>23169</v>
      </c>
      <c r="CD96" t="s">
        <v>4357</v>
      </c>
      <c r="CE96" t="s">
        <v>5862</v>
      </c>
      <c r="CF96" s="6">
        <v>11.16</v>
      </c>
      <c r="CG96" s="6">
        <v>11.16</v>
      </c>
      <c r="CH96" s="6">
        <v>16.739999999999998</v>
      </c>
      <c r="CI96" s="6">
        <v>16.739999999999998</v>
      </c>
      <c r="CJ96" t="s">
        <v>137</v>
      </c>
      <c r="CK96" t="s">
        <v>2162</v>
      </c>
      <c r="CL96" t="s">
        <v>10049</v>
      </c>
      <c r="CO96" t="s">
        <v>138</v>
      </c>
      <c r="CP96" t="s">
        <v>134</v>
      </c>
      <c r="CQ96" t="s">
        <v>134</v>
      </c>
      <c r="CR96" t="s">
        <v>114</v>
      </c>
      <c r="CS96" t="s">
        <v>114</v>
      </c>
      <c r="CT96" t="s">
        <v>114</v>
      </c>
      <c r="CU96" t="s">
        <v>114</v>
      </c>
      <c r="CV96" s="2" t="s">
        <v>10050</v>
      </c>
      <c r="CW96" s="5" t="str">
        <f>"+18049862854"</f>
        <v>+18049862854</v>
      </c>
      <c r="CX96" t="s">
        <v>10051</v>
      </c>
      <c r="CY96" t="s">
        <v>138</v>
      </c>
      <c r="CZ96" t="s">
        <v>139</v>
      </c>
      <c r="DA96" t="s">
        <v>134</v>
      </c>
      <c r="DB96" t="s">
        <v>114</v>
      </c>
      <c r="DC96" t="s">
        <v>114</v>
      </c>
      <c r="DD96" t="s">
        <v>134</v>
      </c>
    </row>
    <row r="97" spans="1:108" ht="15" customHeight="1" x14ac:dyDescent="0.25">
      <c r="A97" t="s">
        <v>15594</v>
      </c>
      <c r="B97" t="s">
        <v>165</v>
      </c>
      <c r="C97" s="1">
        <v>44883.858307986113</v>
      </c>
      <c r="D97" s="1">
        <v>44924</v>
      </c>
      <c r="E97" t="s">
        <v>134</v>
      </c>
      <c r="F97" t="s">
        <v>334</v>
      </c>
      <c r="G97" t="str">
        <f>"37-3011.00"</f>
        <v>37-3011.00</v>
      </c>
      <c r="H97" t="s">
        <v>335</v>
      </c>
      <c r="I97">
        <v>6</v>
      </c>
      <c r="J97">
        <v>6</v>
      </c>
      <c r="K97" s="1">
        <v>44972</v>
      </c>
      <c r="L97" s="1">
        <v>45260</v>
      </c>
      <c r="M97" s="1">
        <v>44972</v>
      </c>
      <c r="N97" s="1">
        <v>45260</v>
      </c>
      <c r="O97" t="s">
        <v>117</v>
      </c>
      <c r="P97" t="s">
        <v>4584</v>
      </c>
      <c r="R97" t="s">
        <v>3354</v>
      </c>
      <c r="S97" t="s">
        <v>3355</v>
      </c>
      <c r="T97" t="s">
        <v>2285</v>
      </c>
      <c r="U97" t="s">
        <v>1411</v>
      </c>
      <c r="V97" s="4" t="str">
        <f>"44139"</f>
        <v>44139</v>
      </c>
      <c r="W97" t="s">
        <v>120</v>
      </c>
      <c r="Y97" s="5">
        <v>12168316522</v>
      </c>
      <c r="AA97">
        <v>5617</v>
      </c>
      <c r="AB97" t="s">
        <v>3356</v>
      </c>
      <c r="AC97" t="s">
        <v>3357</v>
      </c>
      <c r="AD97" t="s">
        <v>1685</v>
      </c>
      <c r="AE97" t="s">
        <v>342</v>
      </c>
      <c r="AF97" t="s">
        <v>3358</v>
      </c>
      <c r="AG97" t="s">
        <v>3355</v>
      </c>
      <c r="AH97" t="s">
        <v>2285</v>
      </c>
      <c r="AI97" t="s">
        <v>1411</v>
      </c>
      <c r="AJ97" s="4" t="str">
        <f>"44139"</f>
        <v>44139</v>
      </c>
      <c r="AK97" t="s">
        <v>120</v>
      </c>
      <c r="AM97" s="5">
        <v>12168316522</v>
      </c>
      <c r="AO97" t="s">
        <v>3359</v>
      </c>
      <c r="AP97" t="s">
        <v>256</v>
      </c>
      <c r="AQ97" t="s">
        <v>1731</v>
      </c>
      <c r="AR97" t="s">
        <v>1732</v>
      </c>
      <c r="AS97" t="s">
        <v>1733</v>
      </c>
      <c r="AT97" t="s">
        <v>1734</v>
      </c>
      <c r="AU97" t="s">
        <v>1735</v>
      </c>
      <c r="AV97" t="s">
        <v>1736</v>
      </c>
      <c r="AW97" t="s">
        <v>479</v>
      </c>
      <c r="AX97" s="4" t="str">
        <f>"24521"</f>
        <v>24521</v>
      </c>
      <c r="AY97" t="s">
        <v>120</v>
      </c>
      <c r="BA97" s="5">
        <v>14349460035</v>
      </c>
      <c r="BB97">
        <v>11</v>
      </c>
      <c r="BC97" t="s">
        <v>1737</v>
      </c>
      <c r="BD97" t="s">
        <v>1738</v>
      </c>
      <c r="BG97" t="s">
        <v>1411</v>
      </c>
      <c r="BH97" s="1">
        <v>44882.791666666664</v>
      </c>
      <c r="BI97">
        <v>40</v>
      </c>
      <c r="BJ97">
        <v>0</v>
      </c>
      <c r="BK97">
        <v>8</v>
      </c>
      <c r="BL97">
        <v>8</v>
      </c>
      <c r="BM97">
        <v>8</v>
      </c>
      <c r="BN97">
        <v>8</v>
      </c>
      <c r="BO97">
        <v>8</v>
      </c>
      <c r="BP97">
        <v>0</v>
      </c>
      <c r="BQ97" t="str">
        <f>"8:00 AM"</f>
        <v>8:00 AM</v>
      </c>
      <c r="BR97" t="str">
        <f>"4:30 PM"</f>
        <v>4:30 PM</v>
      </c>
      <c r="BS97" t="s">
        <v>133</v>
      </c>
      <c r="BT97">
        <v>0</v>
      </c>
      <c r="BU97">
        <v>0</v>
      </c>
      <c r="BV97" t="s">
        <v>134</v>
      </c>
      <c r="BX97" s="2" t="s">
        <v>15595</v>
      </c>
      <c r="BY97" t="s">
        <v>3354</v>
      </c>
      <c r="CA97" t="s">
        <v>2285</v>
      </c>
      <c r="CB97" t="s">
        <v>1411</v>
      </c>
      <c r="CC97" s="4" t="str">
        <f>"44139"</f>
        <v>44139</v>
      </c>
      <c r="CD97" t="s">
        <v>1590</v>
      </c>
      <c r="CE97" t="s">
        <v>1464</v>
      </c>
      <c r="CF97" s="6">
        <v>17.100000000000001</v>
      </c>
      <c r="CG97" s="6">
        <v>17.100000000000001</v>
      </c>
      <c r="CH97" s="6">
        <v>25.65</v>
      </c>
      <c r="CI97" s="6">
        <v>25.65</v>
      </c>
      <c r="CJ97" t="s">
        <v>137</v>
      </c>
      <c r="CK97" t="s">
        <v>15596</v>
      </c>
      <c r="CL97" t="s">
        <v>3361</v>
      </c>
      <c r="CO97" t="s">
        <v>138</v>
      </c>
      <c r="CP97" t="s">
        <v>114</v>
      </c>
      <c r="CQ97" t="s">
        <v>114</v>
      </c>
      <c r="CR97" t="s">
        <v>114</v>
      </c>
      <c r="CS97" t="s">
        <v>114</v>
      </c>
      <c r="CT97" t="s">
        <v>114</v>
      </c>
      <c r="CU97" t="s">
        <v>114</v>
      </c>
      <c r="CV97" s="2" t="s">
        <v>3362</v>
      </c>
      <c r="CW97" s="5" t="str">
        <f>"+12168316522"</f>
        <v>+12168316522</v>
      </c>
      <c r="CX97" t="s">
        <v>3359</v>
      </c>
      <c r="CY97" t="s">
        <v>138</v>
      </c>
      <c r="CZ97" t="s">
        <v>139</v>
      </c>
      <c r="DA97" t="s">
        <v>134</v>
      </c>
      <c r="DB97" t="s">
        <v>114</v>
      </c>
      <c r="DC97" t="s">
        <v>114</v>
      </c>
      <c r="DD97" t="s">
        <v>134</v>
      </c>
    </row>
    <row r="98" spans="1:108" ht="15" customHeight="1" x14ac:dyDescent="0.25">
      <c r="A98" t="s">
        <v>9129</v>
      </c>
      <c r="B98" t="s">
        <v>165</v>
      </c>
      <c r="C98" s="1">
        <v>44883.49146863426</v>
      </c>
      <c r="D98" s="1">
        <v>44924</v>
      </c>
      <c r="E98" t="s">
        <v>134</v>
      </c>
      <c r="F98" t="s">
        <v>979</v>
      </c>
      <c r="G98" t="str">
        <f>"37-1011.00"</f>
        <v>37-1011.00</v>
      </c>
      <c r="H98" t="s">
        <v>980</v>
      </c>
      <c r="I98">
        <v>1</v>
      </c>
      <c r="J98">
        <v>1</v>
      </c>
      <c r="K98" s="1">
        <v>44958</v>
      </c>
      <c r="L98" s="1">
        <v>45149</v>
      </c>
      <c r="M98" s="1">
        <v>44958</v>
      </c>
      <c r="N98" s="1">
        <v>45149</v>
      </c>
      <c r="O98" t="s">
        <v>199</v>
      </c>
      <c r="P98" t="s">
        <v>981</v>
      </c>
      <c r="Q98" t="s">
        <v>981</v>
      </c>
      <c r="R98" t="s">
        <v>982</v>
      </c>
      <c r="S98" t="s">
        <v>3777</v>
      </c>
      <c r="T98" t="s">
        <v>984</v>
      </c>
      <c r="U98" t="s">
        <v>154</v>
      </c>
      <c r="V98" s="4" t="str">
        <f>"32408"</f>
        <v>32408</v>
      </c>
      <c r="W98" t="s">
        <v>120</v>
      </c>
      <c r="Y98" s="5">
        <v>17863285408</v>
      </c>
      <c r="AA98">
        <v>561720</v>
      </c>
      <c r="AB98" t="s">
        <v>985</v>
      </c>
      <c r="AC98" t="s">
        <v>986</v>
      </c>
      <c r="AE98" t="s">
        <v>342</v>
      </c>
      <c r="AF98" t="s">
        <v>982</v>
      </c>
      <c r="AH98" t="s">
        <v>984</v>
      </c>
      <c r="AI98" t="s">
        <v>154</v>
      </c>
      <c r="AJ98" s="4" t="str">
        <f>"32408"</f>
        <v>32408</v>
      </c>
      <c r="AK98" t="s">
        <v>120</v>
      </c>
      <c r="AM98" s="5">
        <v>17863285408</v>
      </c>
      <c r="AO98" t="s">
        <v>987</v>
      </c>
      <c r="AX98" s="4" t="str">
        <f>""</f>
        <v/>
      </c>
      <c r="BG98" t="s">
        <v>1147</v>
      </c>
      <c r="BH98" s="1">
        <v>44882.791666666664</v>
      </c>
      <c r="BI98">
        <v>35</v>
      </c>
      <c r="BJ98">
        <v>5</v>
      </c>
      <c r="BK98">
        <v>5</v>
      </c>
      <c r="BL98">
        <v>5</v>
      </c>
      <c r="BM98">
        <v>5</v>
      </c>
      <c r="BN98">
        <v>5</v>
      </c>
      <c r="BO98">
        <v>5</v>
      </c>
      <c r="BP98">
        <v>5</v>
      </c>
      <c r="BQ98" t="str">
        <f>"8:00 AM"</f>
        <v>8:00 AM</v>
      </c>
      <c r="BR98" t="str">
        <f>"4:00 PM"</f>
        <v>4:00 PM</v>
      </c>
      <c r="BS98" t="s">
        <v>133</v>
      </c>
      <c r="BT98">
        <v>0</v>
      </c>
      <c r="BU98">
        <v>12</v>
      </c>
      <c r="BV98" t="s">
        <v>114</v>
      </c>
      <c r="BW98">
        <v>30</v>
      </c>
      <c r="BX98" s="2" t="s">
        <v>9130</v>
      </c>
      <c r="BY98" t="s">
        <v>9131</v>
      </c>
      <c r="CA98" t="s">
        <v>9132</v>
      </c>
      <c r="CB98" t="s">
        <v>1147</v>
      </c>
      <c r="CC98" s="4" t="str">
        <f>"53147"</f>
        <v>53147</v>
      </c>
      <c r="CD98" t="s">
        <v>9133</v>
      </c>
      <c r="CE98" t="s">
        <v>2906</v>
      </c>
      <c r="CF98" s="6">
        <v>19.88</v>
      </c>
      <c r="CG98" s="6">
        <v>19.899999999999999</v>
      </c>
      <c r="CH98" s="6">
        <v>29.82</v>
      </c>
      <c r="CI98" s="6">
        <v>29.85</v>
      </c>
      <c r="CJ98" t="s">
        <v>137</v>
      </c>
      <c r="CK98" t="s">
        <v>9134</v>
      </c>
      <c r="CL98" t="s">
        <v>9135</v>
      </c>
      <c r="CO98" t="s">
        <v>138</v>
      </c>
      <c r="CP98" t="s">
        <v>134</v>
      </c>
      <c r="CQ98" t="s">
        <v>134</v>
      </c>
      <c r="CR98" t="s">
        <v>114</v>
      </c>
      <c r="CS98" t="s">
        <v>134</v>
      </c>
      <c r="CT98" t="s">
        <v>114</v>
      </c>
      <c r="CU98" t="s">
        <v>114</v>
      </c>
      <c r="CV98" s="2" t="s">
        <v>9136</v>
      </c>
      <c r="CW98" s="5" t="str">
        <f>"+17864929774"</f>
        <v>+17864929774</v>
      </c>
      <c r="CX98" t="s">
        <v>9137</v>
      </c>
      <c r="CY98" t="s">
        <v>138</v>
      </c>
      <c r="CZ98" t="s">
        <v>139</v>
      </c>
      <c r="DA98" t="s">
        <v>134</v>
      </c>
      <c r="DB98" t="s">
        <v>134</v>
      </c>
      <c r="DC98" t="s">
        <v>114</v>
      </c>
      <c r="DD98" t="s">
        <v>134</v>
      </c>
    </row>
    <row r="99" spans="1:108" ht="15" customHeight="1" x14ac:dyDescent="0.25">
      <c r="A99" t="s">
        <v>1887</v>
      </c>
      <c r="B99" t="s">
        <v>165</v>
      </c>
      <c r="C99" s="1">
        <v>44897.829902546298</v>
      </c>
      <c r="D99" s="1">
        <v>44923</v>
      </c>
      <c r="E99" t="s">
        <v>134</v>
      </c>
      <c r="F99" t="s">
        <v>1791</v>
      </c>
      <c r="G99" t="str">
        <f>"45-3031.00"</f>
        <v>45-3031.00</v>
      </c>
      <c r="H99" t="s">
        <v>496</v>
      </c>
      <c r="I99">
        <v>5</v>
      </c>
      <c r="J99">
        <v>5</v>
      </c>
      <c r="K99" s="1">
        <v>44986</v>
      </c>
      <c r="L99" s="1">
        <v>45275</v>
      </c>
      <c r="M99" s="1">
        <v>44986</v>
      </c>
      <c r="N99" s="1">
        <v>45275</v>
      </c>
      <c r="O99" t="s">
        <v>117</v>
      </c>
      <c r="P99" t="s">
        <v>1888</v>
      </c>
      <c r="R99" t="s">
        <v>1889</v>
      </c>
      <c r="S99" t="s">
        <v>1890</v>
      </c>
      <c r="T99" t="s">
        <v>1795</v>
      </c>
      <c r="U99" t="s">
        <v>232</v>
      </c>
      <c r="V99" s="4" t="str">
        <f>"77465"</f>
        <v>77465</v>
      </c>
      <c r="W99" t="s">
        <v>120</v>
      </c>
      <c r="Y99" s="5">
        <v>19799433619</v>
      </c>
      <c r="AA99">
        <v>114112</v>
      </c>
      <c r="AB99" t="s">
        <v>1891</v>
      </c>
      <c r="AC99" t="s">
        <v>1892</v>
      </c>
      <c r="AE99" t="s">
        <v>252</v>
      </c>
      <c r="AF99" t="s">
        <v>1889</v>
      </c>
      <c r="AG99" t="s">
        <v>1890</v>
      </c>
      <c r="AH99" t="s">
        <v>1795</v>
      </c>
      <c r="AI99" t="s">
        <v>232</v>
      </c>
      <c r="AJ99" s="4" t="str">
        <f>"77465"</f>
        <v>77465</v>
      </c>
      <c r="AK99" t="s">
        <v>120</v>
      </c>
      <c r="AM99" s="5">
        <v>19799433619</v>
      </c>
      <c r="AO99" t="s">
        <v>1797</v>
      </c>
      <c r="AP99" t="s">
        <v>256</v>
      </c>
      <c r="AQ99" t="s">
        <v>826</v>
      </c>
      <c r="AR99" t="s">
        <v>827</v>
      </c>
      <c r="AS99" t="s">
        <v>138</v>
      </c>
      <c r="AT99" t="s">
        <v>346</v>
      </c>
      <c r="AU99" t="s">
        <v>347</v>
      </c>
      <c r="AV99" t="s">
        <v>828</v>
      </c>
      <c r="AW99" t="s">
        <v>349</v>
      </c>
      <c r="AX99" s="4" t="str">
        <f>"83814"</f>
        <v>83814</v>
      </c>
      <c r="AY99" t="s">
        <v>120</v>
      </c>
      <c r="BA99" s="5">
        <v>12087772654</v>
      </c>
      <c r="BC99" t="s">
        <v>829</v>
      </c>
      <c r="BD99" t="s">
        <v>351</v>
      </c>
      <c r="BG99" t="s">
        <v>232</v>
      </c>
      <c r="BH99" s="1">
        <v>44896.791666666664</v>
      </c>
      <c r="BI99">
        <v>40</v>
      </c>
      <c r="BJ99">
        <v>0</v>
      </c>
      <c r="BK99">
        <v>8</v>
      </c>
      <c r="BL99">
        <v>8</v>
      </c>
      <c r="BM99">
        <v>8</v>
      </c>
      <c r="BN99">
        <v>8</v>
      </c>
      <c r="BO99">
        <v>8</v>
      </c>
      <c r="BP99">
        <v>0</v>
      </c>
      <c r="BQ99" t="str">
        <f>"10:00 PM"</f>
        <v>10:00 PM</v>
      </c>
      <c r="BR99" t="str">
        <f>"6:00 AM"</f>
        <v>6:00 AM</v>
      </c>
      <c r="BS99" t="s">
        <v>133</v>
      </c>
      <c r="BT99">
        <v>0</v>
      </c>
      <c r="BU99">
        <v>0</v>
      </c>
      <c r="BV99" t="s">
        <v>134</v>
      </c>
      <c r="BX99" s="2" t="s">
        <v>1798</v>
      </c>
      <c r="BY99" t="s">
        <v>1893</v>
      </c>
      <c r="CA99" t="s">
        <v>1795</v>
      </c>
      <c r="CB99" t="s">
        <v>232</v>
      </c>
      <c r="CC99" s="4" t="str">
        <f>"77465"</f>
        <v>77465</v>
      </c>
      <c r="CD99" t="s">
        <v>1800</v>
      </c>
      <c r="CE99" t="s">
        <v>1801</v>
      </c>
      <c r="CF99" s="6">
        <v>14.46</v>
      </c>
      <c r="CH99" s="6">
        <v>21.69</v>
      </c>
      <c r="CJ99" t="s">
        <v>137</v>
      </c>
      <c r="CK99" t="s">
        <v>1894</v>
      </c>
      <c r="CL99" t="s">
        <v>1895</v>
      </c>
      <c r="CO99" t="s">
        <v>138</v>
      </c>
      <c r="CP99" t="s">
        <v>114</v>
      </c>
      <c r="CQ99" t="s">
        <v>114</v>
      </c>
      <c r="CR99" t="s">
        <v>114</v>
      </c>
      <c r="CS99" t="s">
        <v>114</v>
      </c>
      <c r="CT99" t="s">
        <v>114</v>
      </c>
      <c r="CU99" t="s">
        <v>114</v>
      </c>
      <c r="CV99" t="s">
        <v>358</v>
      </c>
      <c r="CW99" s="5" t="str">
        <f>"+19799433619"</f>
        <v>+19799433619</v>
      </c>
      <c r="CX99" t="s">
        <v>1797</v>
      </c>
      <c r="CY99" t="s">
        <v>138</v>
      </c>
      <c r="CZ99" t="s">
        <v>139</v>
      </c>
      <c r="DA99" t="s">
        <v>134</v>
      </c>
      <c r="DB99" t="s">
        <v>134</v>
      </c>
      <c r="DC99" t="s">
        <v>114</v>
      </c>
      <c r="DD99" t="s">
        <v>134</v>
      </c>
    </row>
    <row r="100" spans="1:108" ht="15" customHeight="1" x14ac:dyDescent="0.25">
      <c r="A100" t="s">
        <v>14886</v>
      </c>
      <c r="B100" t="s">
        <v>165</v>
      </c>
      <c r="C100" s="1">
        <v>44897.797859953702</v>
      </c>
      <c r="D100" s="1">
        <v>44923</v>
      </c>
      <c r="E100" t="s">
        <v>134</v>
      </c>
      <c r="F100" t="s">
        <v>1791</v>
      </c>
      <c r="G100" t="str">
        <f>"45-3031.00"</f>
        <v>45-3031.00</v>
      </c>
      <c r="H100" t="s">
        <v>496</v>
      </c>
      <c r="I100">
        <v>5</v>
      </c>
      <c r="J100">
        <v>5</v>
      </c>
      <c r="K100" s="1">
        <v>44986</v>
      </c>
      <c r="L100" s="1">
        <v>45275</v>
      </c>
      <c r="M100" s="1">
        <v>44986</v>
      </c>
      <c r="N100" s="1">
        <v>45275</v>
      </c>
      <c r="O100" t="s">
        <v>117</v>
      </c>
      <c r="P100" t="s">
        <v>14887</v>
      </c>
      <c r="Q100" t="s">
        <v>14888</v>
      </c>
      <c r="R100" t="s">
        <v>14889</v>
      </c>
      <c r="T100" t="s">
        <v>1795</v>
      </c>
      <c r="U100" t="s">
        <v>232</v>
      </c>
      <c r="V100" s="4" t="str">
        <f>"77465"</f>
        <v>77465</v>
      </c>
      <c r="W100" t="s">
        <v>120</v>
      </c>
      <c r="Y100" s="5">
        <v>19799433619</v>
      </c>
      <c r="AA100">
        <v>114112</v>
      </c>
      <c r="AB100" t="s">
        <v>14890</v>
      </c>
      <c r="AC100" t="s">
        <v>14891</v>
      </c>
      <c r="AE100" t="s">
        <v>252</v>
      </c>
      <c r="AF100" t="s">
        <v>14889</v>
      </c>
      <c r="AH100" t="s">
        <v>1795</v>
      </c>
      <c r="AI100" t="s">
        <v>232</v>
      </c>
      <c r="AJ100" s="4" t="str">
        <f>"77465"</f>
        <v>77465</v>
      </c>
      <c r="AK100" t="s">
        <v>120</v>
      </c>
      <c r="AM100" s="5">
        <v>19799433619</v>
      </c>
      <c r="AO100" t="s">
        <v>14892</v>
      </c>
      <c r="AP100" t="s">
        <v>256</v>
      </c>
      <c r="AQ100" t="s">
        <v>826</v>
      </c>
      <c r="AR100" t="s">
        <v>827</v>
      </c>
      <c r="AS100" t="s">
        <v>138</v>
      </c>
      <c r="AT100" t="s">
        <v>346</v>
      </c>
      <c r="AU100" t="s">
        <v>347</v>
      </c>
      <c r="AV100" t="s">
        <v>828</v>
      </c>
      <c r="AW100" t="s">
        <v>349</v>
      </c>
      <c r="AX100" s="4" t="str">
        <f>"83814"</f>
        <v>83814</v>
      </c>
      <c r="AY100" t="s">
        <v>120</v>
      </c>
      <c r="BA100" s="5">
        <v>12087772654</v>
      </c>
      <c r="BC100" t="s">
        <v>829</v>
      </c>
      <c r="BD100" t="s">
        <v>351</v>
      </c>
      <c r="BG100" t="s">
        <v>232</v>
      </c>
      <c r="BH100" s="1">
        <v>44894.791666666664</v>
      </c>
      <c r="BI100">
        <v>40</v>
      </c>
      <c r="BJ100">
        <v>0</v>
      </c>
      <c r="BK100">
        <v>8</v>
      </c>
      <c r="BL100">
        <v>8</v>
      </c>
      <c r="BM100">
        <v>8</v>
      </c>
      <c r="BN100">
        <v>8</v>
      </c>
      <c r="BO100">
        <v>8</v>
      </c>
      <c r="BP100">
        <v>0</v>
      </c>
      <c r="BQ100" t="str">
        <f>"10:00 PM"</f>
        <v>10:00 PM</v>
      </c>
      <c r="BR100" t="str">
        <f>"6:00 AM"</f>
        <v>6:00 AM</v>
      </c>
      <c r="BS100" t="s">
        <v>133</v>
      </c>
      <c r="BT100">
        <v>0</v>
      </c>
      <c r="BU100">
        <v>0</v>
      </c>
      <c r="BV100" t="s">
        <v>134</v>
      </c>
      <c r="BX100" s="2" t="s">
        <v>1798</v>
      </c>
      <c r="BY100" t="s">
        <v>1893</v>
      </c>
      <c r="CA100" t="s">
        <v>1795</v>
      </c>
      <c r="CB100" t="s">
        <v>232</v>
      </c>
      <c r="CC100" s="4" t="str">
        <f>"77465"</f>
        <v>77465</v>
      </c>
      <c r="CD100" t="s">
        <v>1800</v>
      </c>
      <c r="CE100" t="s">
        <v>1801</v>
      </c>
      <c r="CF100" s="6">
        <v>14.46</v>
      </c>
      <c r="CH100" s="6">
        <v>21.69</v>
      </c>
      <c r="CJ100" t="s">
        <v>137</v>
      </c>
      <c r="CK100" t="s">
        <v>1802</v>
      </c>
      <c r="CL100" t="s">
        <v>14893</v>
      </c>
      <c r="CO100" t="s">
        <v>138</v>
      </c>
      <c r="CP100" t="s">
        <v>114</v>
      </c>
      <c r="CQ100" t="s">
        <v>114</v>
      </c>
      <c r="CR100" t="s">
        <v>114</v>
      </c>
      <c r="CS100" t="s">
        <v>114</v>
      </c>
      <c r="CT100" t="s">
        <v>114</v>
      </c>
      <c r="CU100" t="s">
        <v>114</v>
      </c>
      <c r="CV100" t="s">
        <v>358</v>
      </c>
      <c r="CW100" s="5" t="str">
        <f>"+19799433619"</f>
        <v>+19799433619</v>
      </c>
      <c r="CX100" t="s">
        <v>14892</v>
      </c>
      <c r="CY100" t="s">
        <v>138</v>
      </c>
      <c r="CZ100" t="s">
        <v>139</v>
      </c>
      <c r="DA100" t="s">
        <v>134</v>
      </c>
      <c r="DB100" t="s">
        <v>134</v>
      </c>
      <c r="DC100" t="s">
        <v>114</v>
      </c>
      <c r="DD100" t="s">
        <v>134</v>
      </c>
    </row>
    <row r="101" spans="1:108" ht="15" customHeight="1" x14ac:dyDescent="0.25">
      <c r="A101" t="s">
        <v>1790</v>
      </c>
      <c r="B101" t="s">
        <v>165</v>
      </c>
      <c r="C101" s="1">
        <v>44897.788442592595</v>
      </c>
      <c r="D101" s="1">
        <v>44923</v>
      </c>
      <c r="E101" t="s">
        <v>134</v>
      </c>
      <c r="F101" t="s">
        <v>1791</v>
      </c>
      <c r="G101" t="str">
        <f>"45-3031.00"</f>
        <v>45-3031.00</v>
      </c>
      <c r="H101" t="s">
        <v>496</v>
      </c>
      <c r="I101">
        <v>5</v>
      </c>
      <c r="J101">
        <v>5</v>
      </c>
      <c r="K101" s="1">
        <v>44986</v>
      </c>
      <c r="L101" s="1">
        <v>45275</v>
      </c>
      <c r="M101" s="1">
        <v>44986</v>
      </c>
      <c r="N101" s="1">
        <v>45275</v>
      </c>
      <c r="O101" t="s">
        <v>199</v>
      </c>
      <c r="P101" t="s">
        <v>1792</v>
      </c>
      <c r="Q101" t="s">
        <v>1793</v>
      </c>
      <c r="R101" t="s">
        <v>1794</v>
      </c>
      <c r="T101" t="s">
        <v>1795</v>
      </c>
      <c r="U101" t="s">
        <v>232</v>
      </c>
      <c r="V101" s="4" t="str">
        <f>"77465"</f>
        <v>77465</v>
      </c>
      <c r="W101" t="s">
        <v>120</v>
      </c>
      <c r="Y101" s="5">
        <v>19799433619</v>
      </c>
      <c r="AA101">
        <v>114112</v>
      </c>
      <c r="AB101" t="s">
        <v>1352</v>
      </c>
      <c r="AC101" t="s">
        <v>1796</v>
      </c>
      <c r="AE101" t="s">
        <v>252</v>
      </c>
      <c r="AF101" t="s">
        <v>1794</v>
      </c>
      <c r="AH101" t="s">
        <v>1795</v>
      </c>
      <c r="AI101" t="s">
        <v>232</v>
      </c>
      <c r="AJ101" s="4" t="str">
        <f>"77465"</f>
        <v>77465</v>
      </c>
      <c r="AK101" t="s">
        <v>120</v>
      </c>
      <c r="AM101" s="5">
        <v>19799433619</v>
      </c>
      <c r="AO101" t="s">
        <v>1797</v>
      </c>
      <c r="AP101" t="s">
        <v>256</v>
      </c>
      <c r="AQ101" t="s">
        <v>826</v>
      </c>
      <c r="AR101" t="s">
        <v>827</v>
      </c>
      <c r="AS101" t="s">
        <v>138</v>
      </c>
      <c r="AT101" t="s">
        <v>346</v>
      </c>
      <c r="AU101" t="s">
        <v>347</v>
      </c>
      <c r="AV101" t="s">
        <v>828</v>
      </c>
      <c r="AW101" t="s">
        <v>349</v>
      </c>
      <c r="AX101" s="4" t="str">
        <f>"83814"</f>
        <v>83814</v>
      </c>
      <c r="AY101" t="s">
        <v>120</v>
      </c>
      <c r="BA101" s="5">
        <v>12087772654</v>
      </c>
      <c r="BC101" t="s">
        <v>829</v>
      </c>
      <c r="BD101" t="s">
        <v>351</v>
      </c>
      <c r="BG101" t="s">
        <v>232</v>
      </c>
      <c r="BH101" s="1">
        <v>44895.791666666664</v>
      </c>
      <c r="BI101">
        <v>40</v>
      </c>
      <c r="BJ101">
        <v>0</v>
      </c>
      <c r="BK101">
        <v>8</v>
      </c>
      <c r="BL101">
        <v>8</v>
      </c>
      <c r="BM101">
        <v>8</v>
      </c>
      <c r="BN101">
        <v>8</v>
      </c>
      <c r="BO101">
        <v>8</v>
      </c>
      <c r="BP101">
        <v>0</v>
      </c>
      <c r="BQ101" t="str">
        <f>"10:00 PM"</f>
        <v>10:00 PM</v>
      </c>
      <c r="BR101" t="str">
        <f>"6:00 AM"</f>
        <v>6:00 AM</v>
      </c>
      <c r="BS101" t="s">
        <v>133</v>
      </c>
      <c r="BT101">
        <v>0</v>
      </c>
      <c r="BU101">
        <v>0</v>
      </c>
      <c r="BV101" t="s">
        <v>134</v>
      </c>
      <c r="BX101" s="2" t="s">
        <v>1798</v>
      </c>
      <c r="BY101" t="s">
        <v>1799</v>
      </c>
      <c r="CA101" t="s">
        <v>1795</v>
      </c>
      <c r="CB101" t="s">
        <v>232</v>
      </c>
      <c r="CC101" s="4" t="str">
        <f>"77465"</f>
        <v>77465</v>
      </c>
      <c r="CD101" t="s">
        <v>1800</v>
      </c>
      <c r="CE101" t="s">
        <v>1801</v>
      </c>
      <c r="CF101" s="6">
        <v>14.46</v>
      </c>
      <c r="CH101" s="6">
        <v>21.69</v>
      </c>
      <c r="CJ101" t="s">
        <v>137</v>
      </c>
      <c r="CK101" t="s">
        <v>1802</v>
      </c>
      <c r="CL101" t="s">
        <v>1803</v>
      </c>
      <c r="CO101" t="s">
        <v>138</v>
      </c>
      <c r="CP101" t="s">
        <v>114</v>
      </c>
      <c r="CQ101" t="s">
        <v>114</v>
      </c>
      <c r="CR101" t="s">
        <v>114</v>
      </c>
      <c r="CS101" t="s">
        <v>114</v>
      </c>
      <c r="CT101" t="s">
        <v>114</v>
      </c>
      <c r="CU101" t="s">
        <v>114</v>
      </c>
      <c r="CV101" t="s">
        <v>358</v>
      </c>
      <c r="CW101" s="5" t="str">
        <f>"+19799433619"</f>
        <v>+19799433619</v>
      </c>
      <c r="CX101" t="s">
        <v>1797</v>
      </c>
      <c r="CY101" t="s">
        <v>138</v>
      </c>
      <c r="CZ101" t="s">
        <v>139</v>
      </c>
      <c r="DA101" t="s">
        <v>134</v>
      </c>
      <c r="DB101" t="s">
        <v>134</v>
      </c>
      <c r="DC101" t="s">
        <v>114</v>
      </c>
      <c r="DD101" t="s">
        <v>134</v>
      </c>
    </row>
    <row r="102" spans="1:108" ht="15" customHeight="1" x14ac:dyDescent="0.25">
      <c r="A102" t="s">
        <v>11678</v>
      </c>
      <c r="B102" t="s">
        <v>165</v>
      </c>
      <c r="C102" s="1">
        <v>44897.619672106484</v>
      </c>
      <c r="D102" s="1">
        <v>44923</v>
      </c>
      <c r="E102" t="s">
        <v>134</v>
      </c>
      <c r="F102" t="s">
        <v>334</v>
      </c>
      <c r="G102" t="str">
        <f>"37-3011.00"</f>
        <v>37-3011.00</v>
      </c>
      <c r="H102" t="s">
        <v>335</v>
      </c>
      <c r="I102">
        <v>40</v>
      </c>
      <c r="J102">
        <v>40</v>
      </c>
      <c r="K102" s="1">
        <v>44987</v>
      </c>
      <c r="L102" s="1">
        <v>45260</v>
      </c>
      <c r="M102" s="1">
        <v>44987</v>
      </c>
      <c r="N102" s="1">
        <v>45260</v>
      </c>
      <c r="O102" t="s">
        <v>199</v>
      </c>
      <c r="P102" t="s">
        <v>5662</v>
      </c>
      <c r="R102" t="s">
        <v>5663</v>
      </c>
      <c r="T102" t="s">
        <v>1856</v>
      </c>
      <c r="U102" t="s">
        <v>1003</v>
      </c>
      <c r="V102" s="4" t="str">
        <f>"08527"</f>
        <v>08527</v>
      </c>
      <c r="W102" t="s">
        <v>120</v>
      </c>
      <c r="Y102" s="5">
        <v>17328337702</v>
      </c>
      <c r="AA102">
        <v>56173</v>
      </c>
      <c r="AB102" t="s">
        <v>5664</v>
      </c>
      <c r="AC102" t="s">
        <v>2484</v>
      </c>
      <c r="AD102" t="s">
        <v>138</v>
      </c>
      <c r="AE102" t="s">
        <v>5665</v>
      </c>
      <c r="AF102" t="s">
        <v>5663</v>
      </c>
      <c r="AH102" t="s">
        <v>1856</v>
      </c>
      <c r="AI102" t="s">
        <v>1003</v>
      </c>
      <c r="AJ102" s="4" t="str">
        <f>"08527"</f>
        <v>08527</v>
      </c>
      <c r="AK102" t="s">
        <v>120</v>
      </c>
      <c r="AM102" s="5">
        <v>17328337702</v>
      </c>
      <c r="AO102" t="s">
        <v>5666</v>
      </c>
      <c r="AP102" t="s">
        <v>256</v>
      </c>
      <c r="AQ102" t="s">
        <v>1698</v>
      </c>
      <c r="AR102" t="s">
        <v>1699</v>
      </c>
      <c r="AS102" t="s">
        <v>138</v>
      </c>
      <c r="AT102" t="s">
        <v>1422</v>
      </c>
      <c r="AU102" t="s">
        <v>347</v>
      </c>
      <c r="AV102" t="s">
        <v>1441</v>
      </c>
      <c r="AW102" t="s">
        <v>349</v>
      </c>
      <c r="AX102" s="4" t="str">
        <f>"83814"</f>
        <v>83814</v>
      </c>
      <c r="AY102" t="s">
        <v>120</v>
      </c>
      <c r="BA102" s="5">
        <v>12087772654</v>
      </c>
      <c r="BC102" t="s">
        <v>1700</v>
      </c>
      <c r="BD102" t="s">
        <v>351</v>
      </c>
      <c r="BG102" t="s">
        <v>479</v>
      </c>
      <c r="BH102" s="1">
        <v>44887.791666666664</v>
      </c>
      <c r="BI102">
        <v>35</v>
      </c>
      <c r="BJ102">
        <v>0</v>
      </c>
      <c r="BK102">
        <v>7</v>
      </c>
      <c r="BL102">
        <v>7</v>
      </c>
      <c r="BM102">
        <v>7</v>
      </c>
      <c r="BN102">
        <v>7</v>
      </c>
      <c r="BO102">
        <v>7</v>
      </c>
      <c r="BP102">
        <v>0</v>
      </c>
      <c r="BQ102" t="str">
        <f>"8:00 AM"</f>
        <v>8:00 AM</v>
      </c>
      <c r="BR102" t="str">
        <f>"4:00 PM"</f>
        <v>4:00 PM</v>
      </c>
      <c r="BS102" t="s">
        <v>133</v>
      </c>
      <c r="BT102">
        <v>0</v>
      </c>
      <c r="BU102">
        <v>0</v>
      </c>
      <c r="BV102" t="s">
        <v>134</v>
      </c>
      <c r="BX102" s="2" t="s">
        <v>352</v>
      </c>
      <c r="BY102" t="s">
        <v>11679</v>
      </c>
      <c r="CA102" t="s">
        <v>4197</v>
      </c>
      <c r="CB102" t="s">
        <v>479</v>
      </c>
      <c r="CC102" s="4" t="str">
        <f>"20171"</f>
        <v>20171</v>
      </c>
      <c r="CD102" t="s">
        <v>2631</v>
      </c>
      <c r="CE102" t="s">
        <v>355</v>
      </c>
      <c r="CF102" s="6">
        <v>18.36</v>
      </c>
      <c r="CG102" s="6">
        <v>21</v>
      </c>
      <c r="CH102" s="6">
        <v>27.54</v>
      </c>
      <c r="CI102" s="6">
        <v>31.5</v>
      </c>
      <c r="CJ102" t="s">
        <v>137</v>
      </c>
      <c r="CK102" t="s">
        <v>356</v>
      </c>
      <c r="CL102" t="s">
        <v>11680</v>
      </c>
      <c r="CO102" t="s">
        <v>138</v>
      </c>
      <c r="CP102" t="s">
        <v>114</v>
      </c>
      <c r="CQ102" t="s">
        <v>114</v>
      </c>
      <c r="CR102" t="s">
        <v>114</v>
      </c>
      <c r="CS102" t="s">
        <v>114</v>
      </c>
      <c r="CT102" t="s">
        <v>114</v>
      </c>
      <c r="CU102" t="s">
        <v>134</v>
      </c>
      <c r="CV102" t="s">
        <v>358</v>
      </c>
      <c r="CW102" s="5" t="str">
        <f>"+17328337702"</f>
        <v>+17328337702</v>
      </c>
      <c r="CX102" t="s">
        <v>7287</v>
      </c>
      <c r="CY102" t="s">
        <v>138</v>
      </c>
      <c r="CZ102" t="s">
        <v>139</v>
      </c>
      <c r="DA102" t="s">
        <v>134</v>
      </c>
      <c r="DB102" t="s">
        <v>114</v>
      </c>
      <c r="DC102" t="s">
        <v>114</v>
      </c>
      <c r="DD102" t="s">
        <v>134</v>
      </c>
    </row>
    <row r="103" spans="1:108" ht="15" customHeight="1" x14ac:dyDescent="0.25">
      <c r="A103" t="s">
        <v>16729</v>
      </c>
      <c r="B103" t="s">
        <v>165</v>
      </c>
      <c r="C103" s="1">
        <v>44897.499753240743</v>
      </c>
      <c r="D103" s="1">
        <v>44923</v>
      </c>
      <c r="E103" t="s">
        <v>134</v>
      </c>
      <c r="F103" t="s">
        <v>1357</v>
      </c>
      <c r="G103" t="str">
        <f>"39-3091.00"</f>
        <v>39-3091.00</v>
      </c>
      <c r="H103" t="s">
        <v>362</v>
      </c>
      <c r="I103">
        <v>32</v>
      </c>
      <c r="J103">
        <v>32</v>
      </c>
      <c r="K103" s="1">
        <v>44986</v>
      </c>
      <c r="L103" s="1">
        <v>45222</v>
      </c>
      <c r="M103" s="1">
        <v>44986</v>
      </c>
      <c r="N103" s="1">
        <v>45222</v>
      </c>
      <c r="O103" t="s">
        <v>199</v>
      </c>
      <c r="P103" t="s">
        <v>16730</v>
      </c>
      <c r="Q103" t="s">
        <v>16731</v>
      </c>
      <c r="R103" t="s">
        <v>13386</v>
      </c>
      <c r="T103" t="s">
        <v>374</v>
      </c>
      <c r="U103" t="s">
        <v>339</v>
      </c>
      <c r="V103" s="4" t="str">
        <f>"21409"</f>
        <v>21409</v>
      </c>
      <c r="W103" t="s">
        <v>120</v>
      </c>
      <c r="Y103" s="5">
        <v>14109741990</v>
      </c>
      <c r="AA103">
        <v>7139</v>
      </c>
      <c r="AB103" t="s">
        <v>1841</v>
      </c>
      <c r="AC103" t="s">
        <v>4063</v>
      </c>
      <c r="AE103" t="s">
        <v>252</v>
      </c>
      <c r="AF103" t="s">
        <v>13386</v>
      </c>
      <c r="AH103" t="s">
        <v>374</v>
      </c>
      <c r="AI103" t="s">
        <v>339</v>
      </c>
      <c r="AJ103" s="4" t="str">
        <f>"21409"</f>
        <v>21409</v>
      </c>
      <c r="AK103" t="s">
        <v>120</v>
      </c>
      <c r="AM103" s="5">
        <v>14439491214</v>
      </c>
      <c r="AO103" t="s">
        <v>16732</v>
      </c>
      <c r="AP103" t="s">
        <v>256</v>
      </c>
      <c r="AQ103" t="s">
        <v>535</v>
      </c>
      <c r="AR103" t="s">
        <v>536</v>
      </c>
      <c r="AS103" t="s">
        <v>537</v>
      </c>
      <c r="AT103" t="s">
        <v>538</v>
      </c>
      <c r="AU103" t="s">
        <v>539</v>
      </c>
      <c r="AV103" t="s">
        <v>540</v>
      </c>
      <c r="AW103" t="s">
        <v>232</v>
      </c>
      <c r="AX103" s="4" t="str">
        <f>"78550"</f>
        <v>78550</v>
      </c>
      <c r="AY103" t="s">
        <v>120</v>
      </c>
      <c r="BA103" s="5">
        <v>19564408720</v>
      </c>
      <c r="BB103">
        <v>0</v>
      </c>
      <c r="BC103" t="s">
        <v>563</v>
      </c>
      <c r="BD103" t="s">
        <v>543</v>
      </c>
      <c r="BG103" t="s">
        <v>339</v>
      </c>
      <c r="BH103" s="1">
        <v>44896.791666666664</v>
      </c>
      <c r="BI103">
        <v>40</v>
      </c>
      <c r="BJ103">
        <v>8</v>
      </c>
      <c r="BK103">
        <v>0</v>
      </c>
      <c r="BL103">
        <v>0</v>
      </c>
      <c r="BM103">
        <v>8</v>
      </c>
      <c r="BN103">
        <v>8</v>
      </c>
      <c r="BO103">
        <v>8</v>
      </c>
      <c r="BP103">
        <v>8</v>
      </c>
      <c r="BQ103" t="str">
        <f>"1:00 PM"</f>
        <v>1:00 PM</v>
      </c>
      <c r="BR103" t="str">
        <f>"10:00 PM"</f>
        <v>10:00 PM</v>
      </c>
      <c r="BS103" t="s">
        <v>133</v>
      </c>
      <c r="BT103">
        <v>0</v>
      </c>
      <c r="BU103">
        <v>0</v>
      </c>
      <c r="BV103" t="s">
        <v>134</v>
      </c>
      <c r="BX103" s="2" t="s">
        <v>579</v>
      </c>
      <c r="BY103" t="s">
        <v>16733</v>
      </c>
      <c r="CA103" t="s">
        <v>374</v>
      </c>
      <c r="CB103" t="s">
        <v>339</v>
      </c>
      <c r="CC103" s="4" t="str">
        <f>"21409"</f>
        <v>21409</v>
      </c>
      <c r="CD103" t="s">
        <v>4594</v>
      </c>
      <c r="CE103" t="s">
        <v>1673</v>
      </c>
      <c r="CF103" s="6">
        <v>14.2</v>
      </c>
      <c r="CG103" s="6">
        <v>14.24</v>
      </c>
      <c r="CJ103" t="s">
        <v>137</v>
      </c>
      <c r="CK103" t="s">
        <v>549</v>
      </c>
      <c r="CL103" t="s">
        <v>16734</v>
      </c>
      <c r="CO103" t="s">
        <v>138</v>
      </c>
      <c r="CP103" t="s">
        <v>114</v>
      </c>
      <c r="CQ103" t="s">
        <v>114</v>
      </c>
      <c r="CR103" t="s">
        <v>134</v>
      </c>
      <c r="CS103" t="s">
        <v>114</v>
      </c>
      <c r="CT103" t="s">
        <v>114</v>
      </c>
      <c r="CU103" t="s">
        <v>114</v>
      </c>
      <c r="CV103" t="s">
        <v>16735</v>
      </c>
      <c r="CW103" s="5" t="str">
        <f>"+14439491214"</f>
        <v>+14439491214</v>
      </c>
      <c r="CX103" t="s">
        <v>16736</v>
      </c>
      <c r="CY103" t="s">
        <v>138</v>
      </c>
      <c r="CZ103" t="s">
        <v>139</v>
      </c>
      <c r="DA103" t="s">
        <v>134</v>
      </c>
      <c r="DB103" t="s">
        <v>114</v>
      </c>
      <c r="DC103" t="s">
        <v>114</v>
      </c>
      <c r="DD103" t="s">
        <v>134</v>
      </c>
    </row>
    <row r="104" spans="1:108" ht="15" customHeight="1" x14ac:dyDescent="0.25">
      <c r="A104" t="s">
        <v>15532</v>
      </c>
      <c r="B104" t="s">
        <v>165</v>
      </c>
      <c r="C104" s="1">
        <v>44896.768554166665</v>
      </c>
      <c r="D104" s="1">
        <v>44923</v>
      </c>
      <c r="E104" t="s">
        <v>134</v>
      </c>
      <c r="F104" t="s">
        <v>2420</v>
      </c>
      <c r="G104" t="str">
        <f>"53-7062.00"</f>
        <v>53-7062.00</v>
      </c>
      <c r="H104" t="s">
        <v>245</v>
      </c>
      <c r="I104">
        <v>20</v>
      </c>
      <c r="J104">
        <v>20</v>
      </c>
      <c r="K104" s="1">
        <v>44986</v>
      </c>
      <c r="L104" s="1">
        <v>45092</v>
      </c>
      <c r="M104" s="1">
        <v>44986</v>
      </c>
      <c r="N104" s="1">
        <v>45092</v>
      </c>
      <c r="O104" t="s">
        <v>117</v>
      </c>
      <c r="P104" t="s">
        <v>2421</v>
      </c>
      <c r="Q104" t="s">
        <v>2422</v>
      </c>
      <c r="R104" t="s">
        <v>15533</v>
      </c>
      <c r="T104" t="s">
        <v>4581</v>
      </c>
      <c r="U104" t="s">
        <v>232</v>
      </c>
      <c r="V104" s="4" t="str">
        <f>"75050"</f>
        <v>75050</v>
      </c>
      <c r="W104" t="s">
        <v>120</v>
      </c>
      <c r="Y104" s="5">
        <v>12102988888</v>
      </c>
      <c r="AA104">
        <v>532289</v>
      </c>
      <c r="AB104" t="s">
        <v>2424</v>
      </c>
      <c r="AC104" t="s">
        <v>2425</v>
      </c>
      <c r="AE104" t="s">
        <v>2426</v>
      </c>
      <c r="AF104" t="s">
        <v>2427</v>
      </c>
      <c r="AH104" t="s">
        <v>684</v>
      </c>
      <c r="AI104" t="s">
        <v>232</v>
      </c>
      <c r="AJ104" s="4" t="str">
        <f>"78744"</f>
        <v>78744</v>
      </c>
      <c r="AK104" t="s">
        <v>120</v>
      </c>
      <c r="AM104" s="5">
        <v>12102988888</v>
      </c>
      <c r="AO104" t="s">
        <v>2428</v>
      </c>
      <c r="AP104" t="s">
        <v>256</v>
      </c>
      <c r="AQ104" t="s">
        <v>885</v>
      </c>
      <c r="AR104" t="s">
        <v>886</v>
      </c>
      <c r="AT104" t="s">
        <v>887</v>
      </c>
      <c r="AV104" t="s">
        <v>888</v>
      </c>
      <c r="AW104" t="s">
        <v>232</v>
      </c>
      <c r="AX104" s="4" t="str">
        <f>"75098"</f>
        <v>75098</v>
      </c>
      <c r="AY104" t="s">
        <v>120</v>
      </c>
      <c r="BA104" s="5">
        <v>19724424244</v>
      </c>
      <c r="BC104" t="s">
        <v>889</v>
      </c>
      <c r="BD104" t="s">
        <v>1264</v>
      </c>
      <c r="BG104" t="s">
        <v>232</v>
      </c>
      <c r="BH104" s="1">
        <v>44895.791666666664</v>
      </c>
      <c r="BI104">
        <v>40</v>
      </c>
      <c r="BJ104">
        <v>6</v>
      </c>
      <c r="BK104">
        <v>6</v>
      </c>
      <c r="BL104">
        <v>5</v>
      </c>
      <c r="BM104">
        <v>5</v>
      </c>
      <c r="BN104">
        <v>6</v>
      </c>
      <c r="BO104">
        <v>6</v>
      </c>
      <c r="BP104">
        <v>6</v>
      </c>
      <c r="BQ104" t="str">
        <f>"6:00 AM"</f>
        <v>6:00 AM</v>
      </c>
      <c r="BR104" t="str">
        <f>"10:00 PM"</f>
        <v>10:00 PM</v>
      </c>
      <c r="BS104" t="s">
        <v>133</v>
      </c>
      <c r="BT104">
        <v>0</v>
      </c>
      <c r="BU104">
        <v>0</v>
      </c>
      <c r="BV104" t="s">
        <v>134</v>
      </c>
      <c r="BX104" t="s">
        <v>219</v>
      </c>
      <c r="BY104" t="s">
        <v>15533</v>
      </c>
      <c r="CA104" t="s">
        <v>4581</v>
      </c>
      <c r="CB104" t="s">
        <v>232</v>
      </c>
      <c r="CC104" s="4" t="str">
        <f>"75050"</f>
        <v>75050</v>
      </c>
      <c r="CD104" t="s">
        <v>1482</v>
      </c>
      <c r="CE104" t="s">
        <v>1528</v>
      </c>
      <c r="CF104" s="6">
        <v>16.21</v>
      </c>
      <c r="CG104" s="6">
        <v>25</v>
      </c>
      <c r="CH104" s="6">
        <v>24.32</v>
      </c>
      <c r="CI104" s="6">
        <v>37.5</v>
      </c>
      <c r="CJ104" t="s">
        <v>137</v>
      </c>
      <c r="CL104" t="s">
        <v>15534</v>
      </c>
      <c r="CO104" t="s">
        <v>138</v>
      </c>
      <c r="CP104" t="s">
        <v>114</v>
      </c>
      <c r="CQ104" t="s">
        <v>114</v>
      </c>
      <c r="CR104" t="s">
        <v>114</v>
      </c>
      <c r="CS104" t="s">
        <v>114</v>
      </c>
      <c r="CT104" t="s">
        <v>114</v>
      </c>
      <c r="CU104" t="s">
        <v>114</v>
      </c>
      <c r="CV104" t="s">
        <v>2430</v>
      </c>
      <c r="CW104" s="5" t="str">
        <f>"+12102988888"</f>
        <v>+12102988888</v>
      </c>
      <c r="CX104" t="s">
        <v>138</v>
      </c>
      <c r="CY104" t="s">
        <v>2072</v>
      </c>
      <c r="CZ104" t="s">
        <v>139</v>
      </c>
      <c r="DA104" t="s">
        <v>134</v>
      </c>
      <c r="DB104" t="s">
        <v>134</v>
      </c>
      <c r="DC104" t="s">
        <v>114</v>
      </c>
      <c r="DD104" t="s">
        <v>134</v>
      </c>
    </row>
    <row r="105" spans="1:108" ht="15" customHeight="1" x14ac:dyDescent="0.25">
      <c r="A105" t="s">
        <v>2419</v>
      </c>
      <c r="B105" t="s">
        <v>165</v>
      </c>
      <c r="C105" s="1">
        <v>44896.765263541667</v>
      </c>
      <c r="D105" s="1">
        <v>44923</v>
      </c>
      <c r="E105" t="s">
        <v>134</v>
      </c>
      <c r="F105" t="s">
        <v>2420</v>
      </c>
      <c r="G105" t="str">
        <f>"53-7062.00"</f>
        <v>53-7062.00</v>
      </c>
      <c r="H105" t="s">
        <v>245</v>
      </c>
      <c r="I105">
        <v>20</v>
      </c>
      <c r="J105">
        <v>20</v>
      </c>
      <c r="K105" s="1">
        <v>44986</v>
      </c>
      <c r="L105" s="1">
        <v>45092</v>
      </c>
      <c r="M105" s="1">
        <v>44986</v>
      </c>
      <c r="N105" s="1">
        <v>45092</v>
      </c>
      <c r="O105" t="s">
        <v>117</v>
      </c>
      <c r="P105" t="s">
        <v>2421</v>
      </c>
      <c r="Q105" t="s">
        <v>2422</v>
      </c>
      <c r="R105" t="s">
        <v>2423</v>
      </c>
      <c r="T105" t="s">
        <v>2108</v>
      </c>
      <c r="U105" t="s">
        <v>232</v>
      </c>
      <c r="V105" s="4" t="str">
        <f>"78233"</f>
        <v>78233</v>
      </c>
      <c r="W105" t="s">
        <v>120</v>
      </c>
      <c r="Y105" s="5">
        <v>12102988888</v>
      </c>
      <c r="AA105">
        <v>532289</v>
      </c>
      <c r="AB105" t="s">
        <v>2424</v>
      </c>
      <c r="AC105" t="s">
        <v>2425</v>
      </c>
      <c r="AE105" t="s">
        <v>2426</v>
      </c>
      <c r="AF105" t="s">
        <v>2427</v>
      </c>
      <c r="AH105" t="s">
        <v>684</v>
      </c>
      <c r="AI105" t="s">
        <v>232</v>
      </c>
      <c r="AJ105" s="4" t="str">
        <f>"78744"</f>
        <v>78744</v>
      </c>
      <c r="AK105" t="s">
        <v>120</v>
      </c>
      <c r="AM105" s="5">
        <v>12102988888</v>
      </c>
      <c r="AO105" t="s">
        <v>2428</v>
      </c>
      <c r="AP105" t="s">
        <v>256</v>
      </c>
      <c r="AQ105" t="s">
        <v>885</v>
      </c>
      <c r="AR105" t="s">
        <v>886</v>
      </c>
      <c r="AT105" t="s">
        <v>887</v>
      </c>
      <c r="AV105" t="s">
        <v>888</v>
      </c>
      <c r="AW105" t="s">
        <v>232</v>
      </c>
      <c r="AX105" s="4" t="str">
        <f>"75098"</f>
        <v>75098</v>
      </c>
      <c r="AY105" t="s">
        <v>120</v>
      </c>
      <c r="BA105" s="5">
        <v>1872493896</v>
      </c>
      <c r="BC105" t="s">
        <v>889</v>
      </c>
      <c r="BD105" t="s">
        <v>1264</v>
      </c>
      <c r="BG105" t="s">
        <v>232</v>
      </c>
      <c r="BH105" s="1">
        <v>44895.791666666664</v>
      </c>
      <c r="BI105">
        <v>40</v>
      </c>
      <c r="BJ105">
        <v>6</v>
      </c>
      <c r="BK105">
        <v>6</v>
      </c>
      <c r="BL105">
        <v>5</v>
      </c>
      <c r="BM105">
        <v>5</v>
      </c>
      <c r="BN105">
        <v>6</v>
      </c>
      <c r="BO105">
        <v>6</v>
      </c>
      <c r="BP105">
        <v>6</v>
      </c>
      <c r="BQ105" t="str">
        <f>"6:00 AM"</f>
        <v>6:00 AM</v>
      </c>
      <c r="BR105" t="str">
        <f>"10:00 PM"</f>
        <v>10:00 PM</v>
      </c>
      <c r="BS105" t="s">
        <v>133</v>
      </c>
      <c r="BT105">
        <v>0</v>
      </c>
      <c r="BU105">
        <v>0</v>
      </c>
      <c r="BV105" t="s">
        <v>134</v>
      </c>
      <c r="BX105" t="s">
        <v>219</v>
      </c>
      <c r="BY105" t="s">
        <v>2423</v>
      </c>
      <c r="CA105" t="s">
        <v>2108</v>
      </c>
      <c r="CB105" t="s">
        <v>232</v>
      </c>
      <c r="CC105" s="4" t="str">
        <f>"78233"</f>
        <v>78233</v>
      </c>
      <c r="CD105" t="s">
        <v>2112</v>
      </c>
      <c r="CE105" t="s">
        <v>1342</v>
      </c>
      <c r="CF105" s="6">
        <v>15.7</v>
      </c>
      <c r="CG105" s="6">
        <v>25</v>
      </c>
      <c r="CH105" s="6">
        <v>23.55</v>
      </c>
      <c r="CI105" s="6">
        <v>37.5</v>
      </c>
      <c r="CJ105" t="s">
        <v>137</v>
      </c>
      <c r="CL105" t="s">
        <v>2429</v>
      </c>
      <c r="CO105" t="s">
        <v>138</v>
      </c>
      <c r="CP105" t="s">
        <v>114</v>
      </c>
      <c r="CQ105" t="s">
        <v>114</v>
      </c>
      <c r="CR105" t="s">
        <v>114</v>
      </c>
      <c r="CS105" t="s">
        <v>114</v>
      </c>
      <c r="CT105" t="s">
        <v>114</v>
      </c>
      <c r="CU105" t="s">
        <v>114</v>
      </c>
      <c r="CV105" t="s">
        <v>2430</v>
      </c>
      <c r="CW105" s="5" t="str">
        <f>"+12102988888"</f>
        <v>+12102988888</v>
      </c>
      <c r="CX105" t="s">
        <v>138</v>
      </c>
      <c r="CY105" t="s">
        <v>2072</v>
      </c>
      <c r="CZ105" t="s">
        <v>139</v>
      </c>
      <c r="DA105" t="s">
        <v>134</v>
      </c>
      <c r="DB105" t="s">
        <v>134</v>
      </c>
      <c r="DC105" t="s">
        <v>114</v>
      </c>
      <c r="DD105" t="s">
        <v>134</v>
      </c>
    </row>
    <row r="106" spans="1:108" ht="15" customHeight="1" x14ac:dyDescent="0.25">
      <c r="A106" t="s">
        <v>14854</v>
      </c>
      <c r="B106" t="s">
        <v>165</v>
      </c>
      <c r="C106" s="1">
        <v>44896.756072453703</v>
      </c>
      <c r="D106" s="1">
        <v>44923</v>
      </c>
      <c r="E106" t="s">
        <v>134</v>
      </c>
      <c r="F106" t="s">
        <v>3920</v>
      </c>
      <c r="G106" t="str">
        <f>"35-3023.00"</f>
        <v>35-3023.00</v>
      </c>
      <c r="H106" t="s">
        <v>555</v>
      </c>
      <c r="I106">
        <v>5</v>
      </c>
      <c r="J106">
        <v>5</v>
      </c>
      <c r="K106" s="1">
        <v>44971</v>
      </c>
      <c r="L106" s="1">
        <v>45240</v>
      </c>
      <c r="M106" s="1">
        <v>44971</v>
      </c>
      <c r="N106" s="1">
        <v>45240</v>
      </c>
      <c r="O106" t="s">
        <v>199</v>
      </c>
      <c r="P106" t="s">
        <v>3667</v>
      </c>
      <c r="R106" t="s">
        <v>3668</v>
      </c>
      <c r="T106" t="s">
        <v>3669</v>
      </c>
      <c r="U106" t="s">
        <v>631</v>
      </c>
      <c r="V106" s="4" t="str">
        <f>"73018"</f>
        <v>73018</v>
      </c>
      <c r="W106" t="s">
        <v>120</v>
      </c>
      <c r="Y106" s="5">
        <v>14058330012</v>
      </c>
      <c r="Z106">
        <v>0</v>
      </c>
      <c r="AA106">
        <v>71399</v>
      </c>
      <c r="AB106" t="s">
        <v>3670</v>
      </c>
      <c r="AC106" t="s">
        <v>1438</v>
      </c>
      <c r="AE106" t="s">
        <v>424</v>
      </c>
      <c r="AF106" t="s">
        <v>3668</v>
      </c>
      <c r="AH106" t="s">
        <v>3669</v>
      </c>
      <c r="AI106" t="s">
        <v>631</v>
      </c>
      <c r="AJ106" s="4" t="str">
        <f>"73018"</f>
        <v>73018</v>
      </c>
      <c r="AK106" t="s">
        <v>120</v>
      </c>
      <c r="AM106" s="5">
        <v>14058330012</v>
      </c>
      <c r="AN106">
        <v>0</v>
      </c>
      <c r="AO106" t="s">
        <v>3671</v>
      </c>
      <c r="AP106" t="s">
        <v>256</v>
      </c>
      <c r="AQ106" t="s">
        <v>535</v>
      </c>
      <c r="AR106" t="s">
        <v>536</v>
      </c>
      <c r="AS106" t="s">
        <v>537</v>
      </c>
      <c r="AT106" t="s">
        <v>538</v>
      </c>
      <c r="AU106" t="s">
        <v>539</v>
      </c>
      <c r="AV106" t="s">
        <v>540</v>
      </c>
      <c r="AW106" t="s">
        <v>232</v>
      </c>
      <c r="AX106" s="4" t="str">
        <f>"78550"</f>
        <v>78550</v>
      </c>
      <c r="AY106" t="s">
        <v>120</v>
      </c>
      <c r="AZ106" t="s">
        <v>541</v>
      </c>
      <c r="BA106" s="5">
        <v>19564408720</v>
      </c>
      <c r="BB106">
        <v>0</v>
      </c>
      <c r="BC106" t="s">
        <v>542</v>
      </c>
      <c r="BD106" t="s">
        <v>543</v>
      </c>
      <c r="BG106" t="s">
        <v>631</v>
      </c>
      <c r="BH106" s="1">
        <v>44895.791666666664</v>
      </c>
      <c r="BI106">
        <v>40</v>
      </c>
      <c r="BJ106">
        <v>8</v>
      </c>
      <c r="BK106">
        <v>0</v>
      </c>
      <c r="BL106">
        <v>0</v>
      </c>
      <c r="BM106">
        <v>8</v>
      </c>
      <c r="BN106">
        <v>8</v>
      </c>
      <c r="BO106">
        <v>8</v>
      </c>
      <c r="BP106">
        <v>8</v>
      </c>
      <c r="BQ106" t="str">
        <f>"1:00 PM"</f>
        <v>1:00 PM</v>
      </c>
      <c r="BR106" t="str">
        <f>"10:00 PM"</f>
        <v>10:00 PM</v>
      </c>
      <c r="BS106" t="s">
        <v>133</v>
      </c>
      <c r="BT106">
        <v>0</v>
      </c>
      <c r="BU106">
        <v>0</v>
      </c>
      <c r="BV106" t="s">
        <v>134</v>
      </c>
      <c r="BX106" t="s">
        <v>3921</v>
      </c>
      <c r="BY106" t="s">
        <v>14855</v>
      </c>
      <c r="CA106" t="s">
        <v>3669</v>
      </c>
      <c r="CB106" t="s">
        <v>631</v>
      </c>
      <c r="CC106" s="4" t="str">
        <f>"73018"</f>
        <v>73018</v>
      </c>
      <c r="CD106" t="s">
        <v>3673</v>
      </c>
      <c r="CE106" t="s">
        <v>2926</v>
      </c>
      <c r="CF106" s="6">
        <v>9.39</v>
      </c>
      <c r="CG106" s="6">
        <v>11.35</v>
      </c>
      <c r="CH106" s="6">
        <v>0</v>
      </c>
      <c r="CI106" s="6">
        <v>0</v>
      </c>
      <c r="CJ106" t="s">
        <v>137</v>
      </c>
      <c r="CK106" t="s">
        <v>3922</v>
      </c>
      <c r="CL106" t="s">
        <v>14856</v>
      </c>
      <c r="CO106" t="s">
        <v>138</v>
      </c>
      <c r="CP106" t="s">
        <v>114</v>
      </c>
      <c r="CQ106" t="s">
        <v>114</v>
      </c>
      <c r="CR106" t="s">
        <v>134</v>
      </c>
      <c r="CS106" t="s">
        <v>114</v>
      </c>
      <c r="CT106" t="s">
        <v>114</v>
      </c>
      <c r="CU106" t="s">
        <v>114</v>
      </c>
      <c r="CV106" t="s">
        <v>11850</v>
      </c>
      <c r="CW106" s="5" t="str">
        <f>"+14058330012"</f>
        <v>+14058330012</v>
      </c>
      <c r="CX106" t="s">
        <v>3671</v>
      </c>
      <c r="CY106" t="s">
        <v>138</v>
      </c>
      <c r="CZ106" t="s">
        <v>139</v>
      </c>
      <c r="DA106" t="s">
        <v>134</v>
      </c>
      <c r="DB106" t="s">
        <v>114</v>
      </c>
      <c r="DC106" t="s">
        <v>114</v>
      </c>
      <c r="DD106" t="s">
        <v>134</v>
      </c>
    </row>
    <row r="107" spans="1:108" ht="15" customHeight="1" x14ac:dyDescent="0.25">
      <c r="A107" t="s">
        <v>9054</v>
      </c>
      <c r="B107" t="s">
        <v>165</v>
      </c>
      <c r="C107" s="1">
        <v>44896.74909409722</v>
      </c>
      <c r="D107" s="1">
        <v>44923</v>
      </c>
      <c r="E107" t="s">
        <v>134</v>
      </c>
      <c r="F107" t="s">
        <v>334</v>
      </c>
      <c r="G107" t="str">
        <f>"37-3011.00"</f>
        <v>37-3011.00</v>
      </c>
      <c r="H107" t="s">
        <v>335</v>
      </c>
      <c r="I107">
        <v>7</v>
      </c>
      <c r="J107">
        <v>7</v>
      </c>
      <c r="K107" s="1">
        <v>44986</v>
      </c>
      <c r="L107" s="1">
        <v>45260</v>
      </c>
      <c r="M107" s="1">
        <v>44986</v>
      </c>
      <c r="N107" s="1">
        <v>45260</v>
      </c>
      <c r="O107" t="s">
        <v>199</v>
      </c>
      <c r="P107" t="s">
        <v>9055</v>
      </c>
      <c r="R107" t="s">
        <v>9056</v>
      </c>
      <c r="S107" t="s">
        <v>9057</v>
      </c>
      <c r="T107" t="s">
        <v>9058</v>
      </c>
      <c r="U107" t="s">
        <v>748</v>
      </c>
      <c r="V107" s="4" t="str">
        <f>"19047"</f>
        <v>19047</v>
      </c>
      <c r="W107" t="s">
        <v>120</v>
      </c>
      <c r="X107" t="s">
        <v>138</v>
      </c>
      <c r="Y107" s="5">
        <v>12157524038</v>
      </c>
      <c r="AA107">
        <v>541320</v>
      </c>
      <c r="AB107" t="s">
        <v>9059</v>
      </c>
      <c r="AC107" t="s">
        <v>173</v>
      </c>
      <c r="AD107" t="s">
        <v>177</v>
      </c>
      <c r="AE107" t="s">
        <v>342</v>
      </c>
      <c r="AF107" t="s">
        <v>9056</v>
      </c>
      <c r="AG107" t="s">
        <v>9057</v>
      </c>
      <c r="AH107" t="s">
        <v>9058</v>
      </c>
      <c r="AI107" t="s">
        <v>748</v>
      </c>
      <c r="AJ107" s="4" t="str">
        <f>"19047"</f>
        <v>19047</v>
      </c>
      <c r="AK107" t="s">
        <v>120</v>
      </c>
      <c r="AM107" s="5">
        <v>12157524038</v>
      </c>
      <c r="AO107" t="s">
        <v>9060</v>
      </c>
      <c r="AP107" t="s">
        <v>256</v>
      </c>
      <c r="AQ107" t="s">
        <v>1352</v>
      </c>
      <c r="AR107" t="s">
        <v>1353</v>
      </c>
      <c r="AS107" t="s">
        <v>138</v>
      </c>
      <c r="AT107" t="s">
        <v>1284</v>
      </c>
      <c r="AU107" t="s">
        <v>138</v>
      </c>
      <c r="AV107" t="s">
        <v>1285</v>
      </c>
      <c r="AW107" t="s">
        <v>232</v>
      </c>
      <c r="AX107" s="4" t="str">
        <f>"77414"</f>
        <v>77414</v>
      </c>
      <c r="AY107" t="s">
        <v>120</v>
      </c>
      <c r="BA107" s="5">
        <v>19793187285</v>
      </c>
      <c r="BC107" t="s">
        <v>1354</v>
      </c>
      <c r="BD107" t="s">
        <v>1287</v>
      </c>
      <c r="BG107" t="s">
        <v>748</v>
      </c>
      <c r="BH107" s="1">
        <v>44895.791666666664</v>
      </c>
      <c r="BI107">
        <v>40</v>
      </c>
      <c r="BJ107">
        <v>0</v>
      </c>
      <c r="BK107">
        <v>8</v>
      </c>
      <c r="BL107">
        <v>8</v>
      </c>
      <c r="BM107">
        <v>8</v>
      </c>
      <c r="BN107">
        <v>8</v>
      </c>
      <c r="BO107">
        <v>8</v>
      </c>
      <c r="BP107">
        <v>0</v>
      </c>
      <c r="BQ107" t="str">
        <f>"7:00 AM"</f>
        <v>7:00 AM</v>
      </c>
      <c r="BR107" t="str">
        <f>"3:30 PM"</f>
        <v>3:30 PM</v>
      </c>
      <c r="BS107" t="s">
        <v>133</v>
      </c>
      <c r="BT107">
        <v>0</v>
      </c>
      <c r="BU107">
        <v>0</v>
      </c>
      <c r="BV107" t="s">
        <v>134</v>
      </c>
      <c r="BX107" s="2" t="s">
        <v>9061</v>
      </c>
      <c r="BY107" t="s">
        <v>9062</v>
      </c>
      <c r="BZ107" t="s">
        <v>138</v>
      </c>
      <c r="CA107" t="s">
        <v>4100</v>
      </c>
      <c r="CB107" t="s">
        <v>748</v>
      </c>
      <c r="CC107" s="4" t="str">
        <f>"18966"</f>
        <v>18966</v>
      </c>
      <c r="CD107" t="s">
        <v>1533</v>
      </c>
      <c r="CE107" t="s">
        <v>1266</v>
      </c>
      <c r="CF107" s="6">
        <v>17.82</v>
      </c>
      <c r="CG107" s="6">
        <v>18</v>
      </c>
      <c r="CH107" s="6">
        <v>26.73</v>
      </c>
      <c r="CI107" s="6">
        <v>27</v>
      </c>
      <c r="CJ107" t="s">
        <v>137</v>
      </c>
      <c r="CK107" t="s">
        <v>9063</v>
      </c>
      <c r="CL107" t="s">
        <v>9064</v>
      </c>
      <c r="CO107" t="s">
        <v>138</v>
      </c>
      <c r="CP107" t="s">
        <v>114</v>
      </c>
      <c r="CQ107" t="s">
        <v>114</v>
      </c>
      <c r="CR107" t="s">
        <v>114</v>
      </c>
      <c r="CS107" t="s">
        <v>114</v>
      </c>
      <c r="CT107" t="s">
        <v>114</v>
      </c>
      <c r="CU107" t="s">
        <v>134</v>
      </c>
      <c r="CV107" t="s">
        <v>1356</v>
      </c>
      <c r="CW107" s="5" t="str">
        <f>"+12157524038"</f>
        <v>+12157524038</v>
      </c>
      <c r="CX107" t="s">
        <v>9060</v>
      </c>
      <c r="CY107" t="s">
        <v>138</v>
      </c>
      <c r="CZ107" t="s">
        <v>139</v>
      </c>
      <c r="DA107" t="s">
        <v>134</v>
      </c>
      <c r="DB107" t="s">
        <v>134</v>
      </c>
      <c r="DC107" t="s">
        <v>114</v>
      </c>
      <c r="DD107" t="s">
        <v>134</v>
      </c>
    </row>
    <row r="108" spans="1:108" ht="15" customHeight="1" x14ac:dyDescent="0.25">
      <c r="A108" t="s">
        <v>12559</v>
      </c>
      <c r="B108" t="s">
        <v>165</v>
      </c>
      <c r="C108" s="1">
        <v>44896.680972106478</v>
      </c>
      <c r="D108" s="1">
        <v>44923</v>
      </c>
      <c r="E108" t="s">
        <v>134</v>
      </c>
      <c r="F108" t="s">
        <v>2308</v>
      </c>
      <c r="G108" t="str">
        <f>"39-3091.00"</f>
        <v>39-3091.00</v>
      </c>
      <c r="H108" t="s">
        <v>362</v>
      </c>
      <c r="I108">
        <v>22</v>
      </c>
      <c r="J108">
        <v>22</v>
      </c>
      <c r="K108" s="1">
        <v>44986</v>
      </c>
      <c r="L108" s="1">
        <v>45230</v>
      </c>
      <c r="M108" s="1">
        <v>44986</v>
      </c>
      <c r="N108" s="1">
        <v>45230</v>
      </c>
      <c r="O108" t="s">
        <v>199</v>
      </c>
      <c r="P108" t="s">
        <v>12560</v>
      </c>
      <c r="Q108" t="s">
        <v>138</v>
      </c>
      <c r="R108" t="s">
        <v>12561</v>
      </c>
      <c r="S108" t="s">
        <v>12562</v>
      </c>
      <c r="T108" t="s">
        <v>12563</v>
      </c>
      <c r="U108" t="s">
        <v>394</v>
      </c>
      <c r="V108" s="4" t="str">
        <f>"29546"</f>
        <v>29546</v>
      </c>
      <c r="W108" t="s">
        <v>120</v>
      </c>
      <c r="X108" t="s">
        <v>138</v>
      </c>
      <c r="Y108" s="5">
        <v>18439923277</v>
      </c>
      <c r="Z108">
        <v>0</v>
      </c>
      <c r="AA108">
        <v>71119</v>
      </c>
      <c r="AB108" t="s">
        <v>1663</v>
      </c>
      <c r="AC108" t="s">
        <v>2211</v>
      </c>
      <c r="AD108" t="s">
        <v>138</v>
      </c>
      <c r="AE108" t="s">
        <v>2623</v>
      </c>
      <c r="AF108" t="s">
        <v>12561</v>
      </c>
      <c r="AG108" t="s">
        <v>12562</v>
      </c>
      <c r="AH108" t="s">
        <v>12563</v>
      </c>
      <c r="AI108" t="s">
        <v>394</v>
      </c>
      <c r="AJ108" s="4" t="str">
        <f>"29546"</f>
        <v>29546</v>
      </c>
      <c r="AK108" t="s">
        <v>120</v>
      </c>
      <c r="AM108" s="5">
        <v>18439923277</v>
      </c>
      <c r="AN108">
        <v>0</v>
      </c>
      <c r="AO108" t="s">
        <v>12564</v>
      </c>
      <c r="AP108" t="s">
        <v>256</v>
      </c>
      <c r="AQ108" t="s">
        <v>535</v>
      </c>
      <c r="AR108" t="s">
        <v>536</v>
      </c>
      <c r="AS108" t="s">
        <v>537</v>
      </c>
      <c r="AT108" t="s">
        <v>538</v>
      </c>
      <c r="AU108" t="s">
        <v>539</v>
      </c>
      <c r="AV108" t="s">
        <v>540</v>
      </c>
      <c r="AW108" t="s">
        <v>232</v>
      </c>
      <c r="AX108" s="4" t="str">
        <f>"78550"</f>
        <v>78550</v>
      </c>
      <c r="AY108" t="s">
        <v>120</v>
      </c>
      <c r="BA108" s="5">
        <v>19564408720</v>
      </c>
      <c r="BB108">
        <v>0</v>
      </c>
      <c r="BC108" t="s">
        <v>1022</v>
      </c>
      <c r="BD108" t="s">
        <v>543</v>
      </c>
      <c r="BG108" t="s">
        <v>394</v>
      </c>
      <c r="BH108" s="1">
        <v>44895.791666666664</v>
      </c>
      <c r="BI108">
        <v>40</v>
      </c>
      <c r="BJ108">
        <v>8</v>
      </c>
      <c r="BK108">
        <v>0</v>
      </c>
      <c r="BL108">
        <v>0</v>
      </c>
      <c r="BM108">
        <v>8</v>
      </c>
      <c r="BN108">
        <v>8</v>
      </c>
      <c r="BO108">
        <v>8</v>
      </c>
      <c r="BP108">
        <v>8</v>
      </c>
      <c r="BQ108" t="str">
        <f>"1:00 PM"</f>
        <v>1:00 PM</v>
      </c>
      <c r="BR108" t="str">
        <f>"10:00 PM"</f>
        <v>10:00 PM</v>
      </c>
      <c r="BS108" t="s">
        <v>133</v>
      </c>
      <c r="BT108">
        <v>0</v>
      </c>
      <c r="BU108">
        <v>0</v>
      </c>
      <c r="BV108" t="s">
        <v>134</v>
      </c>
      <c r="BX108" s="2" t="s">
        <v>579</v>
      </c>
      <c r="BY108" t="s">
        <v>12565</v>
      </c>
      <c r="CA108" t="s">
        <v>12563</v>
      </c>
      <c r="CB108" t="s">
        <v>394</v>
      </c>
      <c r="CC108" s="4" t="str">
        <f>"29546"</f>
        <v>29546</v>
      </c>
      <c r="CD108" t="s">
        <v>638</v>
      </c>
      <c r="CE108" t="s">
        <v>4065</v>
      </c>
      <c r="CF108" s="6">
        <v>9.75</v>
      </c>
      <c r="CG108" s="6">
        <v>11.89</v>
      </c>
      <c r="CJ108" t="s">
        <v>137</v>
      </c>
      <c r="CK108" t="s">
        <v>549</v>
      </c>
      <c r="CL108" t="s">
        <v>12566</v>
      </c>
      <c r="CM108" t="s">
        <v>12567</v>
      </c>
      <c r="CO108" t="s">
        <v>138</v>
      </c>
      <c r="CP108" t="s">
        <v>114</v>
      </c>
      <c r="CQ108" t="s">
        <v>114</v>
      </c>
      <c r="CR108" t="s">
        <v>134</v>
      </c>
      <c r="CS108" t="s">
        <v>114</v>
      </c>
      <c r="CT108" t="s">
        <v>114</v>
      </c>
      <c r="CU108" t="s">
        <v>114</v>
      </c>
      <c r="CV108" t="s">
        <v>1360</v>
      </c>
      <c r="CW108" s="5" t="str">
        <f>"+18439923277"</f>
        <v>+18439923277</v>
      </c>
      <c r="CX108" t="s">
        <v>12564</v>
      </c>
      <c r="CY108" t="s">
        <v>138</v>
      </c>
      <c r="CZ108" t="s">
        <v>139</v>
      </c>
      <c r="DA108" t="s">
        <v>134</v>
      </c>
      <c r="DB108" t="s">
        <v>114</v>
      </c>
      <c r="DC108" t="s">
        <v>114</v>
      </c>
      <c r="DD108" t="s">
        <v>134</v>
      </c>
    </row>
    <row r="109" spans="1:108" ht="15" customHeight="1" x14ac:dyDescent="0.25">
      <c r="A109" t="s">
        <v>6137</v>
      </c>
      <c r="B109" t="s">
        <v>165</v>
      </c>
      <c r="C109" s="1">
        <v>44896.669338425927</v>
      </c>
      <c r="D109" s="1">
        <v>44923</v>
      </c>
      <c r="E109" t="s">
        <v>134</v>
      </c>
      <c r="F109" t="s">
        <v>334</v>
      </c>
      <c r="G109" t="str">
        <f>"37-3011.00"</f>
        <v>37-3011.00</v>
      </c>
      <c r="H109" t="s">
        <v>335</v>
      </c>
      <c r="I109">
        <v>7</v>
      </c>
      <c r="J109">
        <v>7</v>
      </c>
      <c r="K109" s="1">
        <v>44986</v>
      </c>
      <c r="L109" s="1">
        <v>45260</v>
      </c>
      <c r="M109" s="1">
        <v>44986</v>
      </c>
      <c r="N109" s="1">
        <v>45260</v>
      </c>
      <c r="O109" t="s">
        <v>117</v>
      </c>
      <c r="P109" t="s">
        <v>6138</v>
      </c>
      <c r="R109" t="s">
        <v>6139</v>
      </c>
      <c r="T109" t="s">
        <v>6140</v>
      </c>
      <c r="U109" t="s">
        <v>748</v>
      </c>
      <c r="V109" s="4" t="str">
        <f>"15142"</f>
        <v>15142</v>
      </c>
      <c r="W109" t="s">
        <v>120</v>
      </c>
      <c r="Y109" s="5">
        <v>14122763289</v>
      </c>
      <c r="AA109">
        <v>71391</v>
      </c>
      <c r="AB109" t="s">
        <v>6141</v>
      </c>
      <c r="AC109" t="s">
        <v>1796</v>
      </c>
      <c r="AE109" t="s">
        <v>4346</v>
      </c>
      <c r="AF109" t="s">
        <v>6139</v>
      </c>
      <c r="AH109" t="s">
        <v>6140</v>
      </c>
      <c r="AI109" t="s">
        <v>748</v>
      </c>
      <c r="AJ109" s="4" t="str">
        <f>"15142"</f>
        <v>15142</v>
      </c>
      <c r="AK109" t="s">
        <v>120</v>
      </c>
      <c r="AM109" s="5">
        <v>14122763289</v>
      </c>
      <c r="AO109" t="s">
        <v>6142</v>
      </c>
      <c r="AP109" t="s">
        <v>256</v>
      </c>
      <c r="AQ109" t="s">
        <v>2115</v>
      </c>
      <c r="AR109" t="s">
        <v>2116</v>
      </c>
      <c r="AT109" t="s">
        <v>1930</v>
      </c>
      <c r="AU109" t="s">
        <v>1931</v>
      </c>
      <c r="AV109" t="s">
        <v>1932</v>
      </c>
      <c r="AW109" t="s">
        <v>349</v>
      </c>
      <c r="AX109" s="4" t="str">
        <f>"83814"</f>
        <v>83814</v>
      </c>
      <c r="AY109" t="s">
        <v>120</v>
      </c>
      <c r="BA109" s="5">
        <v>12087772654</v>
      </c>
      <c r="BC109" t="s">
        <v>2117</v>
      </c>
      <c r="BD109" t="s">
        <v>351</v>
      </c>
      <c r="BG109" t="s">
        <v>748</v>
      </c>
      <c r="BH109" s="1">
        <v>44895.791666666664</v>
      </c>
      <c r="BI109">
        <v>40</v>
      </c>
      <c r="BJ109">
        <v>0</v>
      </c>
      <c r="BK109">
        <v>8</v>
      </c>
      <c r="BL109">
        <v>8</v>
      </c>
      <c r="BM109">
        <v>8</v>
      </c>
      <c r="BN109">
        <v>8</v>
      </c>
      <c r="BO109">
        <v>8</v>
      </c>
      <c r="BP109">
        <v>0</v>
      </c>
      <c r="BQ109" t="str">
        <f>"6:00 AM"</f>
        <v>6:00 AM</v>
      </c>
      <c r="BR109" t="str">
        <f>"2:30 PM"</f>
        <v>2:30 PM</v>
      </c>
      <c r="BS109" t="s">
        <v>133</v>
      </c>
      <c r="BT109">
        <v>0</v>
      </c>
      <c r="BU109">
        <v>0</v>
      </c>
      <c r="BV109" t="s">
        <v>134</v>
      </c>
      <c r="BX109" s="2" t="s">
        <v>6143</v>
      </c>
      <c r="BY109" t="s">
        <v>6144</v>
      </c>
      <c r="CA109" t="s">
        <v>6140</v>
      </c>
      <c r="CB109" t="s">
        <v>748</v>
      </c>
      <c r="CC109" s="4" t="str">
        <f>"15142"</f>
        <v>15142</v>
      </c>
      <c r="CD109" t="s">
        <v>1475</v>
      </c>
      <c r="CE109" t="s">
        <v>1346</v>
      </c>
      <c r="CF109" s="6">
        <v>15.95</v>
      </c>
      <c r="CH109" s="6">
        <v>23.93</v>
      </c>
      <c r="CJ109" t="s">
        <v>137</v>
      </c>
      <c r="CK109" t="s">
        <v>138</v>
      </c>
      <c r="CL109" t="s">
        <v>6145</v>
      </c>
      <c r="CO109" t="s">
        <v>138</v>
      </c>
      <c r="CP109" t="s">
        <v>134</v>
      </c>
      <c r="CQ109" t="s">
        <v>134</v>
      </c>
      <c r="CR109" t="s">
        <v>114</v>
      </c>
      <c r="CS109" t="s">
        <v>114</v>
      </c>
      <c r="CT109" t="s">
        <v>114</v>
      </c>
      <c r="CU109" t="s">
        <v>114</v>
      </c>
      <c r="CV109" t="s">
        <v>2118</v>
      </c>
      <c r="CW109" s="5" t="str">
        <f>"+14122763289"</f>
        <v>+14122763289</v>
      </c>
      <c r="CX109" t="s">
        <v>6142</v>
      </c>
      <c r="CY109" t="s">
        <v>138</v>
      </c>
      <c r="CZ109" t="s">
        <v>139</v>
      </c>
      <c r="DA109" t="s">
        <v>134</v>
      </c>
      <c r="DB109" t="s">
        <v>134</v>
      </c>
      <c r="DC109" t="s">
        <v>114</v>
      </c>
      <c r="DD109" t="s">
        <v>134</v>
      </c>
    </row>
    <row r="110" spans="1:108" ht="15" customHeight="1" x14ac:dyDescent="0.25">
      <c r="A110" t="s">
        <v>13320</v>
      </c>
      <c r="B110" t="s">
        <v>165</v>
      </c>
      <c r="C110" s="1">
        <v>44896.611046874998</v>
      </c>
      <c r="D110" s="1">
        <v>44923</v>
      </c>
      <c r="E110" t="s">
        <v>134</v>
      </c>
      <c r="F110" t="s">
        <v>334</v>
      </c>
      <c r="G110" t="str">
        <f>"37-3011.00"</f>
        <v>37-3011.00</v>
      </c>
      <c r="H110" t="s">
        <v>335</v>
      </c>
      <c r="I110">
        <v>20</v>
      </c>
      <c r="J110">
        <v>20</v>
      </c>
      <c r="K110" s="1">
        <v>44986</v>
      </c>
      <c r="L110" s="1">
        <v>45260</v>
      </c>
      <c r="M110" s="1">
        <v>44986</v>
      </c>
      <c r="N110" s="1">
        <v>45260</v>
      </c>
      <c r="O110" t="s">
        <v>117</v>
      </c>
      <c r="P110" t="s">
        <v>9045</v>
      </c>
      <c r="Q110" t="s">
        <v>9046</v>
      </c>
      <c r="R110" t="s">
        <v>9047</v>
      </c>
      <c r="T110" t="s">
        <v>1978</v>
      </c>
      <c r="U110" t="s">
        <v>697</v>
      </c>
      <c r="V110" s="4" t="str">
        <f>"63303"</f>
        <v>63303</v>
      </c>
      <c r="W110" t="s">
        <v>120</v>
      </c>
      <c r="Y110" s="5">
        <v>13145741537</v>
      </c>
      <c r="AA110">
        <v>56173</v>
      </c>
      <c r="AB110" t="s">
        <v>2685</v>
      </c>
      <c r="AC110" t="s">
        <v>5760</v>
      </c>
      <c r="AD110" t="s">
        <v>138</v>
      </c>
      <c r="AE110" t="s">
        <v>342</v>
      </c>
      <c r="AF110" t="s">
        <v>9047</v>
      </c>
      <c r="AH110" t="s">
        <v>1978</v>
      </c>
      <c r="AI110" t="s">
        <v>697</v>
      </c>
      <c r="AJ110" s="4" t="str">
        <f>"63303"</f>
        <v>63303</v>
      </c>
      <c r="AK110" t="s">
        <v>120</v>
      </c>
      <c r="AM110" s="5">
        <v>13145741537</v>
      </c>
      <c r="AO110" t="s">
        <v>9048</v>
      </c>
      <c r="AP110" t="s">
        <v>256</v>
      </c>
      <c r="AQ110" t="s">
        <v>826</v>
      </c>
      <c r="AR110" t="s">
        <v>827</v>
      </c>
      <c r="AS110" t="s">
        <v>138</v>
      </c>
      <c r="AT110" t="s">
        <v>346</v>
      </c>
      <c r="AU110" t="s">
        <v>347</v>
      </c>
      <c r="AV110" t="s">
        <v>828</v>
      </c>
      <c r="AW110" t="s">
        <v>349</v>
      </c>
      <c r="AX110" s="4" t="str">
        <f>"83814"</f>
        <v>83814</v>
      </c>
      <c r="AY110" t="s">
        <v>120</v>
      </c>
      <c r="BA110" s="5">
        <v>12087772654</v>
      </c>
      <c r="BC110" t="s">
        <v>829</v>
      </c>
      <c r="BD110" t="s">
        <v>351</v>
      </c>
      <c r="BG110" t="s">
        <v>697</v>
      </c>
      <c r="BH110" s="1">
        <v>44895.791666666664</v>
      </c>
      <c r="BI110">
        <v>40</v>
      </c>
      <c r="BJ110">
        <v>0</v>
      </c>
      <c r="BK110">
        <v>8</v>
      </c>
      <c r="BL110">
        <v>8</v>
      </c>
      <c r="BM110">
        <v>8</v>
      </c>
      <c r="BN110">
        <v>8</v>
      </c>
      <c r="BO110">
        <v>8</v>
      </c>
      <c r="BP110">
        <v>0</v>
      </c>
      <c r="BQ110" t="str">
        <f>"7:00 AM"</f>
        <v>7:00 AM</v>
      </c>
      <c r="BR110" t="str">
        <f>"4:30 PM"</f>
        <v>4:30 PM</v>
      </c>
      <c r="BS110" t="s">
        <v>133</v>
      </c>
      <c r="BT110">
        <v>0</v>
      </c>
      <c r="BU110">
        <v>1</v>
      </c>
      <c r="BV110" t="s">
        <v>134</v>
      </c>
      <c r="BX110" s="2" t="s">
        <v>1836</v>
      </c>
      <c r="BY110" t="s">
        <v>9049</v>
      </c>
      <c r="CA110" t="s">
        <v>1978</v>
      </c>
      <c r="CB110" t="s">
        <v>697</v>
      </c>
      <c r="CC110" s="4" t="str">
        <f>"63303"</f>
        <v>63303</v>
      </c>
      <c r="CD110" t="s">
        <v>1962</v>
      </c>
      <c r="CE110" t="s">
        <v>713</v>
      </c>
      <c r="CF110" s="6">
        <v>16.96</v>
      </c>
      <c r="CG110" s="6">
        <v>17</v>
      </c>
      <c r="CH110" s="6">
        <v>25.44</v>
      </c>
      <c r="CI110" s="6">
        <v>25.5</v>
      </c>
      <c r="CJ110" t="s">
        <v>137</v>
      </c>
      <c r="CK110" t="s">
        <v>356</v>
      </c>
      <c r="CL110" t="s">
        <v>9050</v>
      </c>
      <c r="CO110" t="s">
        <v>138</v>
      </c>
      <c r="CP110" t="s">
        <v>114</v>
      </c>
      <c r="CQ110" t="s">
        <v>114</v>
      </c>
      <c r="CR110" t="s">
        <v>114</v>
      </c>
      <c r="CS110" t="s">
        <v>134</v>
      </c>
      <c r="CT110" t="s">
        <v>114</v>
      </c>
      <c r="CU110" t="s">
        <v>134</v>
      </c>
      <c r="CV110" t="s">
        <v>358</v>
      </c>
      <c r="CW110" s="5" t="str">
        <f>"+13145741537"</f>
        <v>+13145741537</v>
      </c>
      <c r="CX110" t="s">
        <v>9048</v>
      </c>
      <c r="CY110" t="s">
        <v>138</v>
      </c>
      <c r="CZ110" t="s">
        <v>139</v>
      </c>
      <c r="DA110" t="s">
        <v>134</v>
      </c>
      <c r="DB110" t="s">
        <v>114</v>
      </c>
      <c r="DC110" t="s">
        <v>114</v>
      </c>
      <c r="DD110" t="s">
        <v>134</v>
      </c>
    </row>
    <row r="111" spans="1:108" ht="15" customHeight="1" x14ac:dyDescent="0.25">
      <c r="A111" t="s">
        <v>11681</v>
      </c>
      <c r="B111" t="s">
        <v>165</v>
      </c>
      <c r="C111" s="1">
        <v>44896.606437962961</v>
      </c>
      <c r="D111" s="1">
        <v>44923</v>
      </c>
      <c r="E111" t="s">
        <v>134</v>
      </c>
      <c r="F111" t="s">
        <v>1658</v>
      </c>
      <c r="G111" t="str">
        <f>"37-3011.00"</f>
        <v>37-3011.00</v>
      </c>
      <c r="H111" t="s">
        <v>335</v>
      </c>
      <c r="I111">
        <v>60</v>
      </c>
      <c r="J111">
        <v>60</v>
      </c>
      <c r="K111" s="1">
        <v>44986</v>
      </c>
      <c r="L111" s="1">
        <v>45230</v>
      </c>
      <c r="M111" s="1">
        <v>44986</v>
      </c>
      <c r="N111" s="1">
        <v>45230</v>
      </c>
      <c r="O111" t="s">
        <v>117</v>
      </c>
      <c r="P111" t="s">
        <v>1976</v>
      </c>
      <c r="R111" t="s">
        <v>1977</v>
      </c>
      <c r="T111" t="s">
        <v>1978</v>
      </c>
      <c r="U111" t="s">
        <v>697</v>
      </c>
      <c r="V111" s="4" t="str">
        <f>"63304"</f>
        <v>63304</v>
      </c>
      <c r="W111" t="s">
        <v>120</v>
      </c>
      <c r="Y111" s="5">
        <v>16363298550</v>
      </c>
      <c r="AA111">
        <v>56173</v>
      </c>
      <c r="AB111" t="s">
        <v>1979</v>
      </c>
      <c r="AC111" t="s">
        <v>1980</v>
      </c>
      <c r="AD111" t="s">
        <v>138</v>
      </c>
      <c r="AE111" t="s">
        <v>1981</v>
      </c>
      <c r="AF111" t="s">
        <v>1977</v>
      </c>
      <c r="AH111" t="s">
        <v>1978</v>
      </c>
      <c r="AI111" t="s">
        <v>697</v>
      </c>
      <c r="AJ111" s="4" t="str">
        <f>"63304"</f>
        <v>63304</v>
      </c>
      <c r="AK111" t="s">
        <v>120</v>
      </c>
      <c r="AM111" s="5">
        <v>16363298550</v>
      </c>
      <c r="AO111" t="s">
        <v>1982</v>
      </c>
      <c r="AP111" t="s">
        <v>256</v>
      </c>
      <c r="AQ111" t="s">
        <v>826</v>
      </c>
      <c r="AR111" t="s">
        <v>827</v>
      </c>
      <c r="AS111" t="s">
        <v>138</v>
      </c>
      <c r="AT111" t="s">
        <v>346</v>
      </c>
      <c r="AU111" t="s">
        <v>347</v>
      </c>
      <c r="AV111" t="s">
        <v>828</v>
      </c>
      <c r="AW111" t="s">
        <v>349</v>
      </c>
      <c r="AX111" s="4" t="str">
        <f>"83814"</f>
        <v>83814</v>
      </c>
      <c r="AY111" t="s">
        <v>120</v>
      </c>
      <c r="BA111" s="5">
        <v>12087772654</v>
      </c>
      <c r="BC111" t="s">
        <v>829</v>
      </c>
      <c r="BD111" t="s">
        <v>351</v>
      </c>
      <c r="BG111" t="s">
        <v>697</v>
      </c>
      <c r="BH111" s="1">
        <v>44895.791666666664</v>
      </c>
      <c r="BI111">
        <v>40</v>
      </c>
      <c r="BJ111">
        <v>0</v>
      </c>
      <c r="BK111">
        <v>8</v>
      </c>
      <c r="BL111">
        <v>8</v>
      </c>
      <c r="BM111">
        <v>8</v>
      </c>
      <c r="BN111">
        <v>8</v>
      </c>
      <c r="BO111">
        <v>8</v>
      </c>
      <c r="BP111">
        <v>0</v>
      </c>
      <c r="BQ111" t="str">
        <f>"7:00 AM"</f>
        <v>7:00 AM</v>
      </c>
      <c r="BR111" t="str">
        <f>"3:30 PM"</f>
        <v>3:30 PM</v>
      </c>
      <c r="BS111" t="s">
        <v>133</v>
      </c>
      <c r="BT111">
        <v>0</v>
      </c>
      <c r="BU111">
        <v>0</v>
      </c>
      <c r="BV111" t="s">
        <v>134</v>
      </c>
      <c r="BX111" s="2" t="s">
        <v>1983</v>
      </c>
      <c r="BY111" t="s">
        <v>1984</v>
      </c>
      <c r="CA111" t="s">
        <v>1985</v>
      </c>
      <c r="CB111" t="s">
        <v>697</v>
      </c>
      <c r="CC111" s="4" t="str">
        <f>"63304"</f>
        <v>63304</v>
      </c>
      <c r="CD111" t="s">
        <v>1962</v>
      </c>
      <c r="CE111" t="s">
        <v>713</v>
      </c>
      <c r="CF111" s="6">
        <v>16.96</v>
      </c>
      <c r="CG111" s="6">
        <v>18</v>
      </c>
      <c r="CH111" s="6">
        <v>25.44</v>
      </c>
      <c r="CI111" s="6">
        <v>27</v>
      </c>
      <c r="CJ111" t="s">
        <v>137</v>
      </c>
      <c r="CK111" t="s">
        <v>356</v>
      </c>
      <c r="CL111" t="s">
        <v>1986</v>
      </c>
      <c r="CO111" t="s">
        <v>138</v>
      </c>
      <c r="CP111" t="s">
        <v>114</v>
      </c>
      <c r="CQ111" t="s">
        <v>114</v>
      </c>
      <c r="CR111" t="s">
        <v>114</v>
      </c>
      <c r="CS111" t="s">
        <v>114</v>
      </c>
      <c r="CT111" t="s">
        <v>114</v>
      </c>
      <c r="CU111" t="s">
        <v>134</v>
      </c>
      <c r="CV111" t="s">
        <v>358</v>
      </c>
      <c r="CW111" s="5" t="str">
        <f>"+16363298550"</f>
        <v>+16363298550</v>
      </c>
      <c r="CX111" t="s">
        <v>1982</v>
      </c>
      <c r="CY111" t="s">
        <v>138</v>
      </c>
      <c r="CZ111" t="s">
        <v>139</v>
      </c>
      <c r="DA111" t="s">
        <v>134</v>
      </c>
      <c r="DB111" t="s">
        <v>114</v>
      </c>
      <c r="DC111" t="s">
        <v>114</v>
      </c>
      <c r="DD111" t="s">
        <v>134</v>
      </c>
    </row>
    <row r="112" spans="1:108" ht="15" customHeight="1" x14ac:dyDescent="0.25">
      <c r="A112" t="s">
        <v>14845</v>
      </c>
      <c r="B112" t="s">
        <v>165</v>
      </c>
      <c r="C112" s="1">
        <v>44896.585200578702</v>
      </c>
      <c r="D112" s="1">
        <v>44923</v>
      </c>
      <c r="E112" t="s">
        <v>134</v>
      </c>
      <c r="F112" t="s">
        <v>334</v>
      </c>
      <c r="G112" t="str">
        <f>"37-3011.00"</f>
        <v>37-3011.00</v>
      </c>
      <c r="H112" t="s">
        <v>335</v>
      </c>
      <c r="I112">
        <v>30</v>
      </c>
      <c r="J112">
        <v>30</v>
      </c>
      <c r="K112" s="1">
        <v>44986</v>
      </c>
      <c r="L112" s="1">
        <v>45260</v>
      </c>
      <c r="M112" s="1">
        <v>44986</v>
      </c>
      <c r="N112" s="1">
        <v>45260</v>
      </c>
      <c r="O112" t="s">
        <v>117</v>
      </c>
      <c r="P112" t="s">
        <v>14138</v>
      </c>
      <c r="R112" t="s">
        <v>14139</v>
      </c>
      <c r="S112" t="s">
        <v>14140</v>
      </c>
      <c r="T112" t="s">
        <v>14141</v>
      </c>
      <c r="U112" t="s">
        <v>1003</v>
      </c>
      <c r="V112" s="4" t="str">
        <f>"08036"</f>
        <v>08036</v>
      </c>
      <c r="W112" t="s">
        <v>120</v>
      </c>
      <c r="X112" t="s">
        <v>138</v>
      </c>
      <c r="Y112" s="5">
        <v>16092658002</v>
      </c>
      <c r="AA112">
        <v>561730</v>
      </c>
      <c r="AB112" t="s">
        <v>14142</v>
      </c>
      <c r="AC112" t="s">
        <v>536</v>
      </c>
      <c r="AE112" t="s">
        <v>424</v>
      </c>
      <c r="AF112" t="s">
        <v>14139</v>
      </c>
      <c r="AG112" t="s">
        <v>14140</v>
      </c>
      <c r="AH112" t="s">
        <v>14141</v>
      </c>
      <c r="AI112" t="s">
        <v>1003</v>
      </c>
      <c r="AJ112" s="4" t="str">
        <f>"08036"</f>
        <v>08036</v>
      </c>
      <c r="AK112" t="s">
        <v>120</v>
      </c>
      <c r="AM112" s="5">
        <v>16092658002</v>
      </c>
      <c r="AO112" t="s">
        <v>14143</v>
      </c>
      <c r="AP112" t="s">
        <v>256</v>
      </c>
      <c r="AQ112" t="s">
        <v>2327</v>
      </c>
      <c r="AR112" t="s">
        <v>1063</v>
      </c>
      <c r="AS112" t="s">
        <v>1857</v>
      </c>
      <c r="AT112" t="s">
        <v>1284</v>
      </c>
      <c r="AU112" t="s">
        <v>138</v>
      </c>
      <c r="AV112" t="s">
        <v>1285</v>
      </c>
      <c r="AW112" t="s">
        <v>232</v>
      </c>
      <c r="AX112" s="4" t="str">
        <f>"77414"</f>
        <v>77414</v>
      </c>
      <c r="AY112" t="s">
        <v>120</v>
      </c>
      <c r="BA112" s="5">
        <v>19793187280</v>
      </c>
      <c r="BC112" t="s">
        <v>2328</v>
      </c>
      <c r="BD112" t="s">
        <v>1287</v>
      </c>
      <c r="BG112" t="s">
        <v>1003</v>
      </c>
      <c r="BH112" s="1">
        <v>44895.791666666664</v>
      </c>
      <c r="BI112">
        <v>40</v>
      </c>
      <c r="BJ112">
        <v>0</v>
      </c>
      <c r="BK112">
        <v>8</v>
      </c>
      <c r="BL112">
        <v>8</v>
      </c>
      <c r="BM112">
        <v>8</v>
      </c>
      <c r="BN112">
        <v>8</v>
      </c>
      <c r="BO112">
        <v>8</v>
      </c>
      <c r="BP112">
        <v>0</v>
      </c>
      <c r="BQ112" t="str">
        <f>"8:00 AM"</f>
        <v>8:00 AM</v>
      </c>
      <c r="BR112" t="str">
        <f>"5:00 PM"</f>
        <v>5:00 PM</v>
      </c>
      <c r="BS112" t="s">
        <v>133</v>
      </c>
      <c r="BT112">
        <v>0</v>
      </c>
      <c r="BU112">
        <v>0</v>
      </c>
      <c r="BV112" t="s">
        <v>134</v>
      </c>
      <c r="BX112" s="2" t="s">
        <v>10888</v>
      </c>
      <c r="BY112" t="s">
        <v>14144</v>
      </c>
      <c r="BZ112" t="s">
        <v>138</v>
      </c>
      <c r="CA112" t="s">
        <v>9053</v>
      </c>
      <c r="CB112" t="s">
        <v>1003</v>
      </c>
      <c r="CC112" s="4" t="str">
        <f>"08075"</f>
        <v>08075</v>
      </c>
      <c r="CD112" t="s">
        <v>2558</v>
      </c>
      <c r="CE112" t="s">
        <v>1266</v>
      </c>
      <c r="CF112" s="6">
        <v>17.82</v>
      </c>
      <c r="CG112" s="6">
        <v>23</v>
      </c>
      <c r="CH112" s="6">
        <v>26.73</v>
      </c>
      <c r="CI112" s="6">
        <v>34.5</v>
      </c>
      <c r="CJ112" t="s">
        <v>137</v>
      </c>
      <c r="CK112" t="s">
        <v>14145</v>
      </c>
      <c r="CL112" t="s">
        <v>14146</v>
      </c>
      <c r="CO112" t="s">
        <v>138</v>
      </c>
      <c r="CP112" t="s">
        <v>114</v>
      </c>
      <c r="CQ112" t="s">
        <v>114</v>
      </c>
      <c r="CR112" t="s">
        <v>114</v>
      </c>
      <c r="CS112" t="s">
        <v>114</v>
      </c>
      <c r="CT112" t="s">
        <v>114</v>
      </c>
      <c r="CU112" t="s">
        <v>134</v>
      </c>
      <c r="CV112" t="s">
        <v>133</v>
      </c>
      <c r="CW112" s="5" t="str">
        <f>"+16092658002"</f>
        <v>+16092658002</v>
      </c>
      <c r="CX112" t="s">
        <v>14143</v>
      </c>
      <c r="CY112" t="s">
        <v>138</v>
      </c>
      <c r="CZ112" t="s">
        <v>139</v>
      </c>
      <c r="DA112" t="s">
        <v>134</v>
      </c>
      <c r="DB112" t="s">
        <v>134</v>
      </c>
      <c r="DC112" t="s">
        <v>114</v>
      </c>
      <c r="DD112" t="s">
        <v>134</v>
      </c>
    </row>
    <row r="113" spans="1:113" ht="15" customHeight="1" x14ac:dyDescent="0.25">
      <c r="A113" t="s">
        <v>6957</v>
      </c>
      <c r="B113" t="s">
        <v>165</v>
      </c>
      <c r="C113" s="1">
        <v>44896.564950925924</v>
      </c>
      <c r="D113" s="1">
        <v>44923</v>
      </c>
      <c r="E113" t="s">
        <v>134</v>
      </c>
      <c r="F113" t="s">
        <v>1658</v>
      </c>
      <c r="G113" t="str">
        <f>"37-3011.00"</f>
        <v>37-3011.00</v>
      </c>
      <c r="H113" t="s">
        <v>335</v>
      </c>
      <c r="I113">
        <v>13</v>
      </c>
      <c r="J113">
        <v>13</v>
      </c>
      <c r="K113" s="1">
        <v>44986</v>
      </c>
      <c r="L113" s="1">
        <v>45260</v>
      </c>
      <c r="M113" s="1">
        <v>44986</v>
      </c>
      <c r="N113" s="1">
        <v>45260</v>
      </c>
      <c r="O113" t="s">
        <v>117</v>
      </c>
      <c r="P113" t="s">
        <v>5669</v>
      </c>
      <c r="R113" t="s">
        <v>5670</v>
      </c>
      <c r="T113" t="s">
        <v>291</v>
      </c>
      <c r="U113" t="s">
        <v>697</v>
      </c>
      <c r="V113" s="4" t="str">
        <f>"65807"</f>
        <v>65807</v>
      </c>
      <c r="W113" t="s">
        <v>120</v>
      </c>
      <c r="Y113" s="5">
        <v>14178623707</v>
      </c>
      <c r="AA113">
        <v>42493</v>
      </c>
      <c r="AB113" t="s">
        <v>5671</v>
      </c>
      <c r="AC113" t="s">
        <v>1705</v>
      </c>
      <c r="AE113" t="s">
        <v>342</v>
      </c>
      <c r="AF113" t="s">
        <v>5670</v>
      </c>
      <c r="AH113" t="s">
        <v>291</v>
      </c>
      <c r="AI113" t="s">
        <v>697</v>
      </c>
      <c r="AJ113" s="4" t="str">
        <f>"65807"</f>
        <v>65807</v>
      </c>
      <c r="AK113" t="s">
        <v>120</v>
      </c>
      <c r="AM113" s="5">
        <v>14178623707</v>
      </c>
      <c r="AO113" t="s">
        <v>5672</v>
      </c>
      <c r="AP113" t="s">
        <v>256</v>
      </c>
      <c r="AQ113" t="s">
        <v>1439</v>
      </c>
      <c r="AR113" t="s">
        <v>1440</v>
      </c>
      <c r="AT113" t="s">
        <v>1422</v>
      </c>
      <c r="AU113" t="s">
        <v>347</v>
      </c>
      <c r="AV113" t="s">
        <v>1441</v>
      </c>
      <c r="AW113" t="s">
        <v>349</v>
      </c>
      <c r="AX113" s="4" t="str">
        <f>"83814"</f>
        <v>83814</v>
      </c>
      <c r="AY113" t="s">
        <v>120</v>
      </c>
      <c r="BA113" s="5">
        <v>12087772654</v>
      </c>
      <c r="BC113" t="s">
        <v>1442</v>
      </c>
      <c r="BD113" t="s">
        <v>351</v>
      </c>
      <c r="BG113" t="s">
        <v>697</v>
      </c>
      <c r="BH113" s="1">
        <v>44893.791666666664</v>
      </c>
      <c r="BI113">
        <v>40</v>
      </c>
      <c r="BJ113">
        <v>0</v>
      </c>
      <c r="BK113">
        <v>8</v>
      </c>
      <c r="BL113">
        <v>8</v>
      </c>
      <c r="BM113">
        <v>8</v>
      </c>
      <c r="BN113">
        <v>8</v>
      </c>
      <c r="BO113">
        <v>8</v>
      </c>
      <c r="BP113">
        <v>0</v>
      </c>
      <c r="BQ113" t="str">
        <f>"7:30 AM"</f>
        <v>7:30 AM</v>
      </c>
      <c r="BR113" t="str">
        <f>"4:30 PM"</f>
        <v>4:30 PM</v>
      </c>
      <c r="BS113" t="s">
        <v>133</v>
      </c>
      <c r="BT113">
        <v>0</v>
      </c>
      <c r="BU113">
        <v>0</v>
      </c>
      <c r="BV113" t="s">
        <v>134</v>
      </c>
      <c r="BX113" s="2" t="s">
        <v>5673</v>
      </c>
      <c r="BY113" t="s">
        <v>5674</v>
      </c>
      <c r="CA113" t="s">
        <v>291</v>
      </c>
      <c r="CB113" t="s">
        <v>697</v>
      </c>
      <c r="CC113" s="4" t="str">
        <f>"65807"</f>
        <v>65807</v>
      </c>
      <c r="CD113" t="s">
        <v>1363</v>
      </c>
      <c r="CE113" t="s">
        <v>1364</v>
      </c>
      <c r="CF113" s="6">
        <v>14.84</v>
      </c>
      <c r="CH113" s="6">
        <v>22.26</v>
      </c>
      <c r="CJ113" t="s">
        <v>137</v>
      </c>
      <c r="CK113" t="s">
        <v>138</v>
      </c>
      <c r="CL113" t="s">
        <v>5675</v>
      </c>
      <c r="CO113" t="s">
        <v>138</v>
      </c>
      <c r="CP113" t="s">
        <v>114</v>
      </c>
      <c r="CQ113" t="s">
        <v>114</v>
      </c>
      <c r="CR113" t="s">
        <v>114</v>
      </c>
      <c r="CS113" t="s">
        <v>114</v>
      </c>
      <c r="CT113" t="s">
        <v>114</v>
      </c>
      <c r="CU113" t="s">
        <v>114</v>
      </c>
      <c r="CV113" t="s">
        <v>5676</v>
      </c>
      <c r="CW113" s="5" t="str">
        <f>"+14178623707"</f>
        <v>+14178623707</v>
      </c>
      <c r="CX113" t="s">
        <v>5677</v>
      </c>
      <c r="CY113" t="s">
        <v>138</v>
      </c>
      <c r="CZ113" t="s">
        <v>139</v>
      </c>
      <c r="DA113" t="s">
        <v>134</v>
      </c>
      <c r="DB113" t="s">
        <v>114</v>
      </c>
      <c r="DC113" t="s">
        <v>114</v>
      </c>
      <c r="DD113" t="s">
        <v>134</v>
      </c>
    </row>
    <row r="114" spans="1:113" ht="15" customHeight="1" x14ac:dyDescent="0.25">
      <c r="A114" t="s">
        <v>10007</v>
      </c>
      <c r="B114" t="s">
        <v>165</v>
      </c>
      <c r="C114" s="1">
        <v>44896.562718055553</v>
      </c>
      <c r="D114" s="1">
        <v>44923</v>
      </c>
      <c r="E114" t="s">
        <v>134</v>
      </c>
      <c r="F114" t="s">
        <v>1331</v>
      </c>
      <c r="G114" t="str">
        <f>"35-2014.00"</f>
        <v>35-2014.00</v>
      </c>
      <c r="H114" t="s">
        <v>915</v>
      </c>
      <c r="I114">
        <v>6</v>
      </c>
      <c r="J114">
        <v>6</v>
      </c>
      <c r="K114" s="1">
        <v>44986</v>
      </c>
      <c r="L114" s="1">
        <v>45207</v>
      </c>
      <c r="M114" s="1">
        <v>44986</v>
      </c>
      <c r="N114" s="1">
        <v>45207</v>
      </c>
      <c r="O114" t="s">
        <v>117</v>
      </c>
      <c r="P114" t="s">
        <v>5986</v>
      </c>
      <c r="Q114" t="s">
        <v>5987</v>
      </c>
      <c r="R114" t="s">
        <v>5988</v>
      </c>
      <c r="T114" t="s">
        <v>5989</v>
      </c>
      <c r="U114" t="s">
        <v>203</v>
      </c>
      <c r="V114" s="4" t="str">
        <f>"36542"</f>
        <v>36542</v>
      </c>
      <c r="W114" t="s">
        <v>120</v>
      </c>
      <c r="Y114" s="5">
        <v>12512243221</v>
      </c>
      <c r="AA114">
        <v>72111</v>
      </c>
      <c r="AB114" t="s">
        <v>2211</v>
      </c>
      <c r="AC114" t="s">
        <v>4631</v>
      </c>
      <c r="AE114" t="s">
        <v>2426</v>
      </c>
      <c r="AF114" t="s">
        <v>5988</v>
      </c>
      <c r="AH114" t="s">
        <v>5990</v>
      </c>
      <c r="AI114" t="s">
        <v>203</v>
      </c>
      <c r="AJ114" s="4" t="str">
        <f>"36542"</f>
        <v>36542</v>
      </c>
      <c r="AK114" t="s">
        <v>120</v>
      </c>
      <c r="AM114" s="5">
        <v>12512243221</v>
      </c>
      <c r="AO114" t="s">
        <v>5991</v>
      </c>
      <c r="AP114" t="s">
        <v>256</v>
      </c>
      <c r="AQ114" t="s">
        <v>400</v>
      </c>
      <c r="AR114" t="s">
        <v>401</v>
      </c>
      <c r="AS114" t="s">
        <v>397</v>
      </c>
      <c r="AT114" t="s">
        <v>402</v>
      </c>
      <c r="AU114" t="s">
        <v>152</v>
      </c>
      <c r="AV114" t="s">
        <v>403</v>
      </c>
      <c r="AW114" t="s">
        <v>232</v>
      </c>
      <c r="AX114" s="4" t="str">
        <f>"75033"</f>
        <v>75033</v>
      </c>
      <c r="AY114" t="s">
        <v>120</v>
      </c>
      <c r="BA114" s="5">
        <v>19727789690</v>
      </c>
      <c r="BC114" t="s">
        <v>5992</v>
      </c>
      <c r="BD114" t="s">
        <v>405</v>
      </c>
      <c r="BG114" t="s">
        <v>203</v>
      </c>
      <c r="BH114" s="1">
        <v>44895.791666666664</v>
      </c>
      <c r="BI114">
        <v>40</v>
      </c>
      <c r="BJ114">
        <v>8</v>
      </c>
      <c r="BK114">
        <v>0</v>
      </c>
      <c r="BL114">
        <v>0</v>
      </c>
      <c r="BM114">
        <v>8</v>
      </c>
      <c r="BN114">
        <v>8</v>
      </c>
      <c r="BO114">
        <v>8</v>
      </c>
      <c r="BP114">
        <v>8</v>
      </c>
      <c r="BQ114" t="str">
        <f>"10:00 AM"</f>
        <v>10:00 AM</v>
      </c>
      <c r="BR114" t="str">
        <f>"6:30 PM"</f>
        <v>6:30 PM</v>
      </c>
      <c r="BS114" t="s">
        <v>133</v>
      </c>
      <c r="BT114">
        <v>0</v>
      </c>
      <c r="BU114">
        <v>0</v>
      </c>
      <c r="BV114" t="s">
        <v>134</v>
      </c>
      <c r="BX114" s="2" t="s">
        <v>10008</v>
      </c>
      <c r="BY114" t="s">
        <v>5988</v>
      </c>
      <c r="CA114" t="s">
        <v>5994</v>
      </c>
      <c r="CB114" t="s">
        <v>203</v>
      </c>
      <c r="CC114" s="4" t="str">
        <f>"36542"</f>
        <v>36542</v>
      </c>
      <c r="CD114" t="s">
        <v>2330</v>
      </c>
      <c r="CE114" t="s">
        <v>2726</v>
      </c>
      <c r="CF114" s="6">
        <v>14</v>
      </c>
      <c r="CH114" s="6">
        <v>21</v>
      </c>
      <c r="CJ114" t="s">
        <v>137</v>
      </c>
      <c r="CK114" t="s">
        <v>909</v>
      </c>
      <c r="CL114" t="s">
        <v>10009</v>
      </c>
      <c r="CO114" t="s">
        <v>138</v>
      </c>
      <c r="CP114" t="s">
        <v>114</v>
      </c>
      <c r="CQ114" t="s">
        <v>114</v>
      </c>
      <c r="CR114" t="s">
        <v>114</v>
      </c>
      <c r="CS114" t="s">
        <v>114</v>
      </c>
      <c r="CT114" t="s">
        <v>114</v>
      </c>
      <c r="CU114" t="s">
        <v>114</v>
      </c>
      <c r="CV114" s="2" t="s">
        <v>10010</v>
      </c>
      <c r="CW114" s="5" t="str">
        <f>"+12512243221"</f>
        <v>+12512243221</v>
      </c>
      <c r="CX114" t="s">
        <v>138</v>
      </c>
      <c r="CY114" t="s">
        <v>5997</v>
      </c>
      <c r="CZ114" t="s">
        <v>139</v>
      </c>
      <c r="DA114" t="s">
        <v>134</v>
      </c>
      <c r="DB114" t="s">
        <v>134</v>
      </c>
      <c r="DC114" t="s">
        <v>114</v>
      </c>
      <c r="DD114" t="s">
        <v>134</v>
      </c>
    </row>
    <row r="115" spans="1:113" ht="15" customHeight="1" x14ac:dyDescent="0.25">
      <c r="A115" t="s">
        <v>8971</v>
      </c>
      <c r="B115" t="s">
        <v>165</v>
      </c>
      <c r="C115" s="1">
        <v>44896.552745023146</v>
      </c>
      <c r="D115" s="1">
        <v>44923</v>
      </c>
      <c r="E115" t="s">
        <v>134</v>
      </c>
      <c r="F115" t="s">
        <v>1662</v>
      </c>
      <c r="G115" t="str">
        <f t="shared" ref="G115:G130" si="5">"37-3011.00"</f>
        <v>37-3011.00</v>
      </c>
      <c r="H115" t="s">
        <v>335</v>
      </c>
      <c r="I115">
        <v>24</v>
      </c>
      <c r="J115">
        <v>24</v>
      </c>
      <c r="K115" s="1">
        <v>44986</v>
      </c>
      <c r="L115" s="1">
        <v>45230</v>
      </c>
      <c r="M115" s="1">
        <v>44986</v>
      </c>
      <c r="N115" s="1">
        <v>45230</v>
      </c>
      <c r="O115" t="s">
        <v>117</v>
      </c>
      <c r="P115" t="s">
        <v>8972</v>
      </c>
      <c r="R115" t="s">
        <v>8973</v>
      </c>
      <c r="S115" t="s">
        <v>3966</v>
      </c>
      <c r="T115" t="s">
        <v>2108</v>
      </c>
      <c r="U115" t="s">
        <v>154</v>
      </c>
      <c r="V115" s="4" t="str">
        <f>"33576"</f>
        <v>33576</v>
      </c>
      <c r="W115" t="s">
        <v>120</v>
      </c>
      <c r="Y115" s="5">
        <v>18132236999</v>
      </c>
      <c r="AA115">
        <v>56173</v>
      </c>
      <c r="AB115" t="s">
        <v>942</v>
      </c>
      <c r="AC115" t="s">
        <v>943</v>
      </c>
      <c r="AE115" t="s">
        <v>3968</v>
      </c>
      <c r="AF115" t="s">
        <v>8973</v>
      </c>
      <c r="AG115" t="s">
        <v>3966</v>
      </c>
      <c r="AH115" t="s">
        <v>2108</v>
      </c>
      <c r="AI115" t="s">
        <v>154</v>
      </c>
      <c r="AJ115" s="4" t="str">
        <f>"33576"</f>
        <v>33576</v>
      </c>
      <c r="AK115" t="s">
        <v>120</v>
      </c>
      <c r="AM115" s="5">
        <v>18132236999</v>
      </c>
      <c r="AO115" t="s">
        <v>945</v>
      </c>
      <c r="AP115" t="s">
        <v>256</v>
      </c>
      <c r="AQ115" t="s">
        <v>475</v>
      </c>
      <c r="AR115" t="s">
        <v>476</v>
      </c>
      <c r="AT115" t="s">
        <v>477</v>
      </c>
      <c r="AV115" t="s">
        <v>478</v>
      </c>
      <c r="AW115" t="s">
        <v>479</v>
      </c>
      <c r="AX115" s="4" t="str">
        <f>"22903"</f>
        <v>22903</v>
      </c>
      <c r="AY115" t="s">
        <v>120</v>
      </c>
      <c r="BA115" s="5">
        <v>14342634300</v>
      </c>
      <c r="BC115" t="s">
        <v>480</v>
      </c>
      <c r="BD115" t="s">
        <v>481</v>
      </c>
      <c r="BG115" t="s">
        <v>154</v>
      </c>
      <c r="BH115" s="1">
        <v>44895.791666666664</v>
      </c>
      <c r="BI115">
        <v>40</v>
      </c>
      <c r="BJ115">
        <v>0</v>
      </c>
      <c r="BK115">
        <v>8</v>
      </c>
      <c r="BL115">
        <v>8</v>
      </c>
      <c r="BM115">
        <v>8</v>
      </c>
      <c r="BN115">
        <v>8</v>
      </c>
      <c r="BO115">
        <v>8</v>
      </c>
      <c r="BP115">
        <v>0</v>
      </c>
      <c r="BQ115" t="str">
        <f>"7:00 AM"</f>
        <v>7:00 AM</v>
      </c>
      <c r="BR115" t="str">
        <f>"4:00 PM"</f>
        <v>4:00 PM</v>
      </c>
      <c r="BS115" t="s">
        <v>133</v>
      </c>
      <c r="BT115">
        <v>0</v>
      </c>
      <c r="BU115">
        <v>0</v>
      </c>
      <c r="BV115" t="s">
        <v>134</v>
      </c>
      <c r="BX115" s="2" t="s">
        <v>3969</v>
      </c>
      <c r="BY115" t="s">
        <v>8973</v>
      </c>
      <c r="CA115" t="s">
        <v>2108</v>
      </c>
      <c r="CB115" t="s">
        <v>154</v>
      </c>
      <c r="CC115" s="4" t="str">
        <f>"33576"</f>
        <v>33576</v>
      </c>
      <c r="CD115" t="s">
        <v>2262</v>
      </c>
      <c r="CE115" t="s">
        <v>567</v>
      </c>
      <c r="CF115" s="6">
        <v>14.84</v>
      </c>
      <c r="CH115" s="6">
        <v>22.26</v>
      </c>
      <c r="CJ115" t="s">
        <v>137</v>
      </c>
      <c r="CK115" t="s">
        <v>487</v>
      </c>
      <c r="CL115" t="s">
        <v>8974</v>
      </c>
      <c r="CO115" t="s">
        <v>138</v>
      </c>
      <c r="CP115" t="s">
        <v>114</v>
      </c>
      <c r="CQ115" t="s">
        <v>114</v>
      </c>
      <c r="CR115" t="s">
        <v>114</v>
      </c>
      <c r="CS115" t="s">
        <v>114</v>
      </c>
      <c r="CT115" t="s">
        <v>114</v>
      </c>
      <c r="CU115" t="s">
        <v>114</v>
      </c>
      <c r="CV115" t="s">
        <v>8975</v>
      </c>
      <c r="CW115" s="5" t="str">
        <f>"+18132236999"</f>
        <v>+18132236999</v>
      </c>
      <c r="CX115" t="s">
        <v>138</v>
      </c>
      <c r="CY115" t="s">
        <v>1274</v>
      </c>
      <c r="CZ115" t="s">
        <v>139</v>
      </c>
      <c r="DA115" t="s">
        <v>134</v>
      </c>
      <c r="DB115" t="s">
        <v>114</v>
      </c>
      <c r="DC115" t="s">
        <v>114</v>
      </c>
      <c r="DD115" t="s">
        <v>134</v>
      </c>
      <c r="DE115" t="s">
        <v>492</v>
      </c>
      <c r="DF115" t="s">
        <v>493</v>
      </c>
      <c r="DH115" t="s">
        <v>481</v>
      </c>
      <c r="DI115" t="s">
        <v>480</v>
      </c>
    </row>
    <row r="116" spans="1:113" ht="15" customHeight="1" x14ac:dyDescent="0.25">
      <c r="A116" t="s">
        <v>7092</v>
      </c>
      <c r="B116" t="s">
        <v>165</v>
      </c>
      <c r="C116" s="1">
        <v>44896.551728124999</v>
      </c>
      <c r="D116" s="1">
        <v>44923</v>
      </c>
      <c r="E116" t="s">
        <v>134</v>
      </c>
      <c r="F116" t="s">
        <v>334</v>
      </c>
      <c r="G116" t="str">
        <f t="shared" si="5"/>
        <v>37-3011.00</v>
      </c>
      <c r="H116" t="s">
        <v>335</v>
      </c>
      <c r="I116">
        <v>15</v>
      </c>
      <c r="J116">
        <v>15</v>
      </c>
      <c r="K116" s="1">
        <v>44986</v>
      </c>
      <c r="L116" s="1">
        <v>45260</v>
      </c>
      <c r="M116" s="1">
        <v>44986</v>
      </c>
      <c r="N116" s="1">
        <v>45260</v>
      </c>
      <c r="O116" t="s">
        <v>117</v>
      </c>
      <c r="P116" t="s">
        <v>7093</v>
      </c>
      <c r="R116" t="s">
        <v>7094</v>
      </c>
      <c r="T116" t="s">
        <v>6072</v>
      </c>
      <c r="U116" t="s">
        <v>1361</v>
      </c>
      <c r="V116" s="4" t="str">
        <f>"38654"</f>
        <v>38654</v>
      </c>
      <c r="W116" t="s">
        <v>120</v>
      </c>
      <c r="Y116" s="5">
        <v>16628906048</v>
      </c>
      <c r="AA116">
        <v>56173</v>
      </c>
      <c r="AB116" t="s">
        <v>4464</v>
      </c>
      <c r="AC116" t="s">
        <v>4128</v>
      </c>
      <c r="AE116" t="s">
        <v>1419</v>
      </c>
      <c r="AF116" t="s">
        <v>7094</v>
      </c>
      <c r="AH116" t="s">
        <v>6072</v>
      </c>
      <c r="AI116" t="s">
        <v>1361</v>
      </c>
      <c r="AJ116" s="4" t="str">
        <f>"38654"</f>
        <v>38654</v>
      </c>
      <c r="AK116" t="s">
        <v>120</v>
      </c>
      <c r="AM116" s="5">
        <v>16628906048</v>
      </c>
      <c r="AO116" t="s">
        <v>7095</v>
      </c>
      <c r="AP116" t="s">
        <v>256</v>
      </c>
      <c r="AQ116" t="s">
        <v>885</v>
      </c>
      <c r="AR116" t="s">
        <v>886</v>
      </c>
      <c r="AT116" t="s">
        <v>887</v>
      </c>
      <c r="AV116" t="s">
        <v>888</v>
      </c>
      <c r="AW116" t="s">
        <v>232</v>
      </c>
      <c r="AX116" s="4" t="str">
        <f>"75098"</f>
        <v>75098</v>
      </c>
      <c r="AY116" t="s">
        <v>120</v>
      </c>
      <c r="BA116" s="5">
        <v>19724424244</v>
      </c>
      <c r="BC116" t="s">
        <v>889</v>
      </c>
      <c r="BD116" t="s">
        <v>1264</v>
      </c>
      <c r="BG116" t="s">
        <v>1361</v>
      </c>
      <c r="BH116" s="1">
        <v>44895.791666666664</v>
      </c>
      <c r="BI116">
        <v>40</v>
      </c>
      <c r="BJ116">
        <v>0</v>
      </c>
      <c r="BK116">
        <v>8</v>
      </c>
      <c r="BL116">
        <v>8</v>
      </c>
      <c r="BM116">
        <v>8</v>
      </c>
      <c r="BN116">
        <v>8</v>
      </c>
      <c r="BO116">
        <v>8</v>
      </c>
      <c r="BP116">
        <v>0</v>
      </c>
      <c r="BQ116" t="str">
        <f>"7:30 AM"</f>
        <v>7:30 AM</v>
      </c>
      <c r="BR116" t="str">
        <f>"4:00 PM"</f>
        <v>4:00 PM</v>
      </c>
      <c r="BS116" t="s">
        <v>133</v>
      </c>
      <c r="BT116">
        <v>0</v>
      </c>
      <c r="BU116">
        <v>0</v>
      </c>
      <c r="BV116" t="s">
        <v>134</v>
      </c>
      <c r="BX116" s="2" t="s">
        <v>2039</v>
      </c>
      <c r="BY116" t="s">
        <v>7094</v>
      </c>
      <c r="CA116" t="s">
        <v>6072</v>
      </c>
      <c r="CB116" t="s">
        <v>1361</v>
      </c>
      <c r="CC116" s="4" t="str">
        <f>"38654"</f>
        <v>38654</v>
      </c>
      <c r="CD116" t="s">
        <v>6074</v>
      </c>
      <c r="CE116" t="s">
        <v>5551</v>
      </c>
      <c r="CF116" s="6">
        <v>15.13</v>
      </c>
      <c r="CG116" s="6">
        <v>16</v>
      </c>
      <c r="CH116" s="6">
        <v>22.7</v>
      </c>
      <c r="CI116" s="6">
        <v>24</v>
      </c>
      <c r="CJ116" t="s">
        <v>137</v>
      </c>
      <c r="CK116" t="s">
        <v>2086</v>
      </c>
      <c r="CL116" t="s">
        <v>7096</v>
      </c>
      <c r="CO116" t="s">
        <v>138</v>
      </c>
      <c r="CP116" t="s">
        <v>114</v>
      </c>
      <c r="CQ116" t="s">
        <v>114</v>
      </c>
      <c r="CR116" t="s">
        <v>114</v>
      </c>
      <c r="CS116" t="s">
        <v>114</v>
      </c>
      <c r="CT116" t="s">
        <v>114</v>
      </c>
      <c r="CU116" t="s">
        <v>114</v>
      </c>
      <c r="CV116" t="s">
        <v>7097</v>
      </c>
      <c r="CW116" s="5" t="str">
        <f>"+16628906048"</f>
        <v>+16628906048</v>
      </c>
      <c r="CX116" t="s">
        <v>138</v>
      </c>
      <c r="CY116" t="s">
        <v>6075</v>
      </c>
      <c r="CZ116" t="s">
        <v>139</v>
      </c>
      <c r="DA116" t="s">
        <v>134</v>
      </c>
      <c r="DB116" t="s">
        <v>134</v>
      </c>
      <c r="DC116" t="s">
        <v>114</v>
      </c>
      <c r="DD116" t="s">
        <v>134</v>
      </c>
    </row>
    <row r="117" spans="1:113" ht="15" customHeight="1" x14ac:dyDescent="0.25">
      <c r="A117" t="s">
        <v>5515</v>
      </c>
      <c r="B117" t="s">
        <v>165</v>
      </c>
      <c r="C117" s="1">
        <v>44896.525547916666</v>
      </c>
      <c r="D117" s="1">
        <v>44923</v>
      </c>
      <c r="E117" t="s">
        <v>134</v>
      </c>
      <c r="F117" t="s">
        <v>334</v>
      </c>
      <c r="G117" t="str">
        <f t="shared" si="5"/>
        <v>37-3011.00</v>
      </c>
      <c r="H117" t="s">
        <v>335</v>
      </c>
      <c r="I117">
        <v>16</v>
      </c>
      <c r="J117">
        <v>16</v>
      </c>
      <c r="K117" s="1">
        <v>44986</v>
      </c>
      <c r="L117" s="1">
        <v>45260</v>
      </c>
      <c r="M117" s="1">
        <v>44986</v>
      </c>
      <c r="N117" s="1">
        <v>45260</v>
      </c>
      <c r="O117" t="s">
        <v>117</v>
      </c>
      <c r="P117" t="s">
        <v>5516</v>
      </c>
      <c r="Q117" t="s">
        <v>5517</v>
      </c>
      <c r="R117" t="s">
        <v>5518</v>
      </c>
      <c r="T117" t="s">
        <v>2794</v>
      </c>
      <c r="U117" t="s">
        <v>232</v>
      </c>
      <c r="V117" s="4" t="str">
        <f>"75002"</f>
        <v>75002</v>
      </c>
      <c r="W117" t="s">
        <v>120</v>
      </c>
      <c r="Y117" s="5">
        <v>19729850279</v>
      </c>
      <c r="AA117">
        <v>56173</v>
      </c>
      <c r="AB117" t="s">
        <v>2685</v>
      </c>
      <c r="AC117" t="s">
        <v>4680</v>
      </c>
      <c r="AE117" t="s">
        <v>424</v>
      </c>
      <c r="AF117" t="s">
        <v>5518</v>
      </c>
      <c r="AH117" t="s">
        <v>2794</v>
      </c>
      <c r="AI117" t="s">
        <v>232</v>
      </c>
      <c r="AJ117" s="4" t="str">
        <f>"75002"</f>
        <v>75002</v>
      </c>
      <c r="AK117" t="s">
        <v>120</v>
      </c>
      <c r="AM117" s="5">
        <v>19729850279</v>
      </c>
      <c r="AO117" t="s">
        <v>5519</v>
      </c>
      <c r="AP117" t="s">
        <v>256</v>
      </c>
      <c r="AQ117" t="s">
        <v>885</v>
      </c>
      <c r="AR117" t="s">
        <v>886</v>
      </c>
      <c r="AT117" t="s">
        <v>887</v>
      </c>
      <c r="AV117" t="s">
        <v>888</v>
      </c>
      <c r="AW117" t="s">
        <v>232</v>
      </c>
      <c r="AX117" s="4" t="str">
        <f>"75098"</f>
        <v>75098</v>
      </c>
      <c r="AY117" t="s">
        <v>120</v>
      </c>
      <c r="BA117" s="5">
        <v>19724424244</v>
      </c>
      <c r="BC117" t="s">
        <v>889</v>
      </c>
      <c r="BD117" t="s">
        <v>1264</v>
      </c>
      <c r="BG117" t="s">
        <v>232</v>
      </c>
      <c r="BH117" s="1">
        <v>44895.791666666664</v>
      </c>
      <c r="BI117">
        <v>40</v>
      </c>
      <c r="BJ117">
        <v>0</v>
      </c>
      <c r="BK117">
        <v>8</v>
      </c>
      <c r="BL117">
        <v>8</v>
      </c>
      <c r="BM117">
        <v>8</v>
      </c>
      <c r="BN117">
        <v>8</v>
      </c>
      <c r="BO117">
        <v>8</v>
      </c>
      <c r="BP117">
        <v>0</v>
      </c>
      <c r="BQ117" t="str">
        <f>"6:00 AM"</f>
        <v>6:00 AM</v>
      </c>
      <c r="BR117" t="str">
        <f>"9:00 PM"</f>
        <v>9:00 PM</v>
      </c>
      <c r="BS117" t="s">
        <v>133</v>
      </c>
      <c r="BT117">
        <v>0</v>
      </c>
      <c r="BU117">
        <v>0</v>
      </c>
      <c r="BV117" t="s">
        <v>134</v>
      </c>
      <c r="BX117" s="2" t="s">
        <v>2039</v>
      </c>
      <c r="BY117" t="s">
        <v>5518</v>
      </c>
      <c r="CA117" t="s">
        <v>2794</v>
      </c>
      <c r="CB117" t="s">
        <v>232</v>
      </c>
      <c r="CC117" s="4" t="str">
        <f>"75002"</f>
        <v>75002</v>
      </c>
      <c r="CD117" t="s">
        <v>3860</v>
      </c>
      <c r="CE117" t="s">
        <v>1528</v>
      </c>
      <c r="CF117" s="6">
        <v>16.3</v>
      </c>
      <c r="CG117" s="6">
        <v>18.5</v>
      </c>
      <c r="CH117" s="6">
        <v>24.45</v>
      </c>
      <c r="CI117" s="6">
        <v>27.75</v>
      </c>
      <c r="CJ117" t="s">
        <v>137</v>
      </c>
      <c r="CL117" t="s">
        <v>5520</v>
      </c>
      <c r="CO117" t="s">
        <v>138</v>
      </c>
      <c r="CP117" t="s">
        <v>114</v>
      </c>
      <c r="CQ117" t="s">
        <v>114</v>
      </c>
      <c r="CR117" t="s">
        <v>114</v>
      </c>
      <c r="CS117" t="s">
        <v>114</v>
      </c>
      <c r="CT117" t="s">
        <v>114</v>
      </c>
      <c r="CU117" t="s">
        <v>114</v>
      </c>
      <c r="CV117" t="s">
        <v>5521</v>
      </c>
      <c r="CW117" s="5" t="str">
        <f>"+19729850279"</f>
        <v>+19729850279</v>
      </c>
      <c r="CX117" t="s">
        <v>138</v>
      </c>
      <c r="CY117" t="s">
        <v>2072</v>
      </c>
      <c r="CZ117" t="s">
        <v>139</v>
      </c>
      <c r="DA117" t="s">
        <v>134</v>
      </c>
      <c r="DB117" t="s">
        <v>134</v>
      </c>
      <c r="DC117" t="s">
        <v>114</v>
      </c>
      <c r="DD117" t="s">
        <v>134</v>
      </c>
    </row>
    <row r="118" spans="1:113" ht="15" customHeight="1" x14ac:dyDescent="0.25">
      <c r="A118" t="s">
        <v>16744</v>
      </c>
      <c r="B118" t="s">
        <v>165</v>
      </c>
      <c r="C118" s="1">
        <v>44896.503937152775</v>
      </c>
      <c r="D118" s="1">
        <v>44923</v>
      </c>
      <c r="E118" t="s">
        <v>134</v>
      </c>
      <c r="F118" t="s">
        <v>14917</v>
      </c>
      <c r="G118" t="str">
        <f t="shared" si="5"/>
        <v>37-3011.00</v>
      </c>
      <c r="H118" t="s">
        <v>335</v>
      </c>
      <c r="I118">
        <v>7</v>
      </c>
      <c r="J118">
        <v>7</v>
      </c>
      <c r="K118" s="1">
        <v>44986</v>
      </c>
      <c r="L118" s="1">
        <v>45260</v>
      </c>
      <c r="M118" s="1">
        <v>44986</v>
      </c>
      <c r="N118" s="1">
        <v>45260</v>
      </c>
      <c r="O118" t="s">
        <v>117</v>
      </c>
      <c r="P118" t="s">
        <v>14918</v>
      </c>
      <c r="Q118" t="s">
        <v>14919</v>
      </c>
      <c r="R118" t="s">
        <v>14920</v>
      </c>
      <c r="S118" t="s">
        <v>138</v>
      </c>
      <c r="T118" t="s">
        <v>4425</v>
      </c>
      <c r="U118" t="s">
        <v>1279</v>
      </c>
      <c r="V118" s="4" t="str">
        <f>"66219"</f>
        <v>66219</v>
      </c>
      <c r="W118" t="s">
        <v>120</v>
      </c>
      <c r="X118" t="s">
        <v>138</v>
      </c>
      <c r="Y118" s="5">
        <v>19138880997</v>
      </c>
      <c r="AA118">
        <v>561730</v>
      </c>
      <c r="AB118" t="s">
        <v>10814</v>
      </c>
      <c r="AC118" t="s">
        <v>10999</v>
      </c>
      <c r="AD118" t="s">
        <v>138</v>
      </c>
      <c r="AE118" t="s">
        <v>342</v>
      </c>
      <c r="AF118" t="s">
        <v>14920</v>
      </c>
      <c r="AG118" t="s">
        <v>138</v>
      </c>
      <c r="AH118" t="s">
        <v>4425</v>
      </c>
      <c r="AI118" t="s">
        <v>1279</v>
      </c>
      <c r="AJ118" s="4" t="str">
        <f>"66219"</f>
        <v>66219</v>
      </c>
      <c r="AK118" t="s">
        <v>120</v>
      </c>
      <c r="AM118" s="5">
        <v>19138880997</v>
      </c>
      <c r="AO118" t="s">
        <v>14921</v>
      </c>
      <c r="AP118" t="s">
        <v>256</v>
      </c>
      <c r="AQ118" t="s">
        <v>1352</v>
      </c>
      <c r="AR118" t="s">
        <v>1353</v>
      </c>
      <c r="AS118" t="s">
        <v>138</v>
      </c>
      <c r="AT118" t="s">
        <v>1284</v>
      </c>
      <c r="AU118" t="s">
        <v>138</v>
      </c>
      <c r="AV118" t="s">
        <v>1285</v>
      </c>
      <c r="AW118" t="s">
        <v>232</v>
      </c>
      <c r="AX118" s="4" t="str">
        <f>"77414"</f>
        <v>77414</v>
      </c>
      <c r="AY118" t="s">
        <v>120</v>
      </c>
      <c r="BA118" s="5">
        <v>19793187285</v>
      </c>
      <c r="BC118" t="s">
        <v>1354</v>
      </c>
      <c r="BD118" t="s">
        <v>1287</v>
      </c>
      <c r="BG118" t="s">
        <v>1279</v>
      </c>
      <c r="BH118" s="1">
        <v>44895.791666666664</v>
      </c>
      <c r="BI118">
        <v>40</v>
      </c>
      <c r="BJ118">
        <v>0</v>
      </c>
      <c r="BK118">
        <v>8</v>
      </c>
      <c r="BL118">
        <v>8</v>
      </c>
      <c r="BM118">
        <v>8</v>
      </c>
      <c r="BN118">
        <v>8</v>
      </c>
      <c r="BO118">
        <v>8</v>
      </c>
      <c r="BP118">
        <v>0</v>
      </c>
      <c r="BQ118" t="str">
        <f>"7:00 AM"</f>
        <v>7:00 AM</v>
      </c>
      <c r="BR118" t="str">
        <f>"4:00 PM"</f>
        <v>4:00 PM</v>
      </c>
      <c r="BS118" t="s">
        <v>133</v>
      </c>
      <c r="BT118">
        <v>0</v>
      </c>
      <c r="BU118">
        <v>0</v>
      </c>
      <c r="BV118" t="s">
        <v>134</v>
      </c>
      <c r="BX118" s="2" t="s">
        <v>16745</v>
      </c>
      <c r="BY118" t="s">
        <v>14920</v>
      </c>
      <c r="BZ118" t="s">
        <v>138</v>
      </c>
      <c r="CA118" t="s">
        <v>4425</v>
      </c>
      <c r="CB118" t="s">
        <v>1279</v>
      </c>
      <c r="CC118" s="4" t="str">
        <f>"66219"</f>
        <v>66219</v>
      </c>
      <c r="CD118" t="s">
        <v>1289</v>
      </c>
      <c r="CE118" t="s">
        <v>1290</v>
      </c>
      <c r="CF118" s="6">
        <v>16.920000000000002</v>
      </c>
      <c r="CG118" s="6">
        <v>19.559999999999999</v>
      </c>
      <c r="CH118" s="6">
        <v>25.38</v>
      </c>
      <c r="CI118" s="6">
        <v>29.34</v>
      </c>
      <c r="CJ118" t="s">
        <v>137</v>
      </c>
      <c r="CK118" t="s">
        <v>14922</v>
      </c>
      <c r="CL118" t="s">
        <v>14923</v>
      </c>
      <c r="CO118" t="s">
        <v>138</v>
      </c>
      <c r="CP118" t="s">
        <v>114</v>
      </c>
      <c r="CQ118" t="s">
        <v>114</v>
      </c>
      <c r="CR118" t="s">
        <v>114</v>
      </c>
      <c r="CS118" t="s">
        <v>114</v>
      </c>
      <c r="CT118" t="s">
        <v>114</v>
      </c>
      <c r="CU118" t="s">
        <v>134</v>
      </c>
      <c r="CV118" t="s">
        <v>1356</v>
      </c>
      <c r="CW118" s="5" t="str">
        <f>"+19138880997"</f>
        <v>+19138880997</v>
      </c>
      <c r="CX118" t="s">
        <v>14924</v>
      </c>
      <c r="CY118" t="s">
        <v>138</v>
      </c>
      <c r="CZ118" t="s">
        <v>139</v>
      </c>
      <c r="DA118" t="s">
        <v>134</v>
      </c>
      <c r="DB118" t="s">
        <v>134</v>
      </c>
      <c r="DC118" t="s">
        <v>114</v>
      </c>
      <c r="DD118" t="s">
        <v>134</v>
      </c>
    </row>
    <row r="119" spans="1:113" ht="15" customHeight="1" x14ac:dyDescent="0.25">
      <c r="A119" t="s">
        <v>2800</v>
      </c>
      <c r="B119" t="s">
        <v>165</v>
      </c>
      <c r="C119" s="1">
        <v>44896.499804861109</v>
      </c>
      <c r="D119" s="1">
        <v>44923</v>
      </c>
      <c r="E119" t="s">
        <v>134</v>
      </c>
      <c r="F119" t="s">
        <v>334</v>
      </c>
      <c r="G119" t="str">
        <f t="shared" si="5"/>
        <v>37-3011.00</v>
      </c>
      <c r="H119" t="s">
        <v>335</v>
      </c>
      <c r="I119">
        <v>15</v>
      </c>
      <c r="J119">
        <v>15</v>
      </c>
      <c r="K119" s="1">
        <v>44986</v>
      </c>
      <c r="L119" s="1">
        <v>45260</v>
      </c>
      <c r="M119" s="1">
        <v>44986</v>
      </c>
      <c r="N119" s="1">
        <v>45260</v>
      </c>
      <c r="O119" t="s">
        <v>117</v>
      </c>
      <c r="P119" t="s">
        <v>2801</v>
      </c>
      <c r="R119" t="s">
        <v>2802</v>
      </c>
      <c r="S119" t="s">
        <v>138</v>
      </c>
      <c r="T119" t="s">
        <v>2803</v>
      </c>
      <c r="U119" t="s">
        <v>154</v>
      </c>
      <c r="V119" s="4" t="str">
        <f>"33763"</f>
        <v>33763</v>
      </c>
      <c r="W119" t="s">
        <v>120</v>
      </c>
      <c r="X119" t="s">
        <v>138</v>
      </c>
      <c r="Y119" s="5">
        <v>17274235135</v>
      </c>
      <c r="AA119">
        <v>561730</v>
      </c>
      <c r="AB119" t="s">
        <v>2092</v>
      </c>
      <c r="AC119" t="s">
        <v>1702</v>
      </c>
      <c r="AD119" t="s">
        <v>138</v>
      </c>
      <c r="AE119" t="s">
        <v>342</v>
      </c>
      <c r="AF119" t="s">
        <v>2802</v>
      </c>
      <c r="AG119" t="s">
        <v>138</v>
      </c>
      <c r="AH119" t="s">
        <v>2803</v>
      </c>
      <c r="AI119" t="s">
        <v>154</v>
      </c>
      <c r="AJ119" s="4" t="str">
        <f>"33763"</f>
        <v>33763</v>
      </c>
      <c r="AK119" t="s">
        <v>120</v>
      </c>
      <c r="AM119" s="5">
        <v>17274235135</v>
      </c>
      <c r="AO119" t="s">
        <v>2804</v>
      </c>
      <c r="AP119" t="s">
        <v>256</v>
      </c>
      <c r="AQ119" t="s">
        <v>1282</v>
      </c>
      <c r="AR119" t="s">
        <v>1283</v>
      </c>
      <c r="AS119" t="s">
        <v>138</v>
      </c>
      <c r="AT119" t="s">
        <v>1284</v>
      </c>
      <c r="AU119" t="s">
        <v>138</v>
      </c>
      <c r="AV119" t="s">
        <v>1285</v>
      </c>
      <c r="AW119" t="s">
        <v>232</v>
      </c>
      <c r="AX119" s="4" t="str">
        <f>"77414"</f>
        <v>77414</v>
      </c>
      <c r="AY119" t="s">
        <v>120</v>
      </c>
      <c r="BA119" s="5">
        <v>19793187279</v>
      </c>
      <c r="BC119" t="s">
        <v>1286</v>
      </c>
      <c r="BD119" t="s">
        <v>1287</v>
      </c>
      <c r="BG119" t="s">
        <v>154</v>
      </c>
      <c r="BH119" s="1">
        <v>44895.791666666664</v>
      </c>
      <c r="BI119">
        <v>40</v>
      </c>
      <c r="BJ119">
        <v>0</v>
      </c>
      <c r="BK119">
        <v>8</v>
      </c>
      <c r="BL119">
        <v>8</v>
      </c>
      <c r="BM119">
        <v>8</v>
      </c>
      <c r="BN119">
        <v>8</v>
      </c>
      <c r="BO119">
        <v>8</v>
      </c>
      <c r="BP119">
        <v>0</v>
      </c>
      <c r="BQ119" t="str">
        <f>"7:00 AM"</f>
        <v>7:00 AM</v>
      </c>
      <c r="BR119" t="str">
        <f>"4:00 PM"</f>
        <v>4:00 PM</v>
      </c>
      <c r="BS119" t="s">
        <v>133</v>
      </c>
      <c r="BT119">
        <v>0</v>
      </c>
      <c r="BU119">
        <v>0</v>
      </c>
      <c r="BV119" t="s">
        <v>134</v>
      </c>
      <c r="BX119" s="2" t="s">
        <v>2805</v>
      </c>
      <c r="BY119" t="s">
        <v>2802</v>
      </c>
      <c r="BZ119" t="s">
        <v>138</v>
      </c>
      <c r="CA119" t="s">
        <v>2803</v>
      </c>
      <c r="CB119" t="s">
        <v>154</v>
      </c>
      <c r="CC119" s="4" t="str">
        <f>"33763"</f>
        <v>33763</v>
      </c>
      <c r="CD119" t="s">
        <v>2806</v>
      </c>
      <c r="CE119" t="s">
        <v>567</v>
      </c>
      <c r="CF119" s="6">
        <v>14.84</v>
      </c>
      <c r="CG119" s="6">
        <v>15.5</v>
      </c>
      <c r="CH119" s="6">
        <v>22.26</v>
      </c>
      <c r="CI119" s="6">
        <v>23.25</v>
      </c>
      <c r="CJ119" t="s">
        <v>137</v>
      </c>
      <c r="CK119" t="s">
        <v>2807</v>
      </c>
      <c r="CL119" t="s">
        <v>2808</v>
      </c>
      <c r="CO119" t="s">
        <v>138</v>
      </c>
      <c r="CP119" t="s">
        <v>114</v>
      </c>
      <c r="CQ119" t="s">
        <v>114</v>
      </c>
      <c r="CR119" t="s">
        <v>114</v>
      </c>
      <c r="CS119" t="s">
        <v>114</v>
      </c>
      <c r="CT119" t="s">
        <v>114</v>
      </c>
      <c r="CU119" t="s">
        <v>134</v>
      </c>
      <c r="CV119" s="2" t="s">
        <v>2373</v>
      </c>
      <c r="CW119" s="5" t="str">
        <f>"+17274235135"</f>
        <v>+17274235135</v>
      </c>
      <c r="CX119" t="s">
        <v>2804</v>
      </c>
      <c r="CY119" t="s">
        <v>138</v>
      </c>
      <c r="CZ119" t="s">
        <v>139</v>
      </c>
      <c r="DA119" t="s">
        <v>134</v>
      </c>
      <c r="DB119" t="s">
        <v>134</v>
      </c>
      <c r="DC119" t="s">
        <v>114</v>
      </c>
      <c r="DD119" t="s">
        <v>134</v>
      </c>
    </row>
    <row r="120" spans="1:113" ht="15" customHeight="1" x14ac:dyDescent="0.25">
      <c r="A120" t="s">
        <v>5769</v>
      </c>
      <c r="B120" t="s">
        <v>165</v>
      </c>
      <c r="C120" s="1">
        <v>44896.493085300928</v>
      </c>
      <c r="D120" s="1">
        <v>44923</v>
      </c>
      <c r="E120" t="s">
        <v>134</v>
      </c>
      <c r="F120" t="s">
        <v>5770</v>
      </c>
      <c r="G120" t="str">
        <f t="shared" si="5"/>
        <v>37-3011.00</v>
      </c>
      <c r="H120" t="s">
        <v>335</v>
      </c>
      <c r="I120">
        <v>8</v>
      </c>
      <c r="J120">
        <v>8</v>
      </c>
      <c r="K120" s="1">
        <v>44986</v>
      </c>
      <c r="L120" s="1">
        <v>45261</v>
      </c>
      <c r="M120" s="1">
        <v>44986</v>
      </c>
      <c r="N120" s="1">
        <v>45261</v>
      </c>
      <c r="O120" t="s">
        <v>117</v>
      </c>
      <c r="P120" t="s">
        <v>5771</v>
      </c>
      <c r="Q120" t="s">
        <v>5772</v>
      </c>
      <c r="R120" t="s">
        <v>5773</v>
      </c>
      <c r="T120" t="s">
        <v>2108</v>
      </c>
      <c r="U120" t="s">
        <v>232</v>
      </c>
      <c r="V120" s="4" t="str">
        <f>"78219"</f>
        <v>78219</v>
      </c>
      <c r="W120" t="s">
        <v>120</v>
      </c>
      <c r="Y120" s="5">
        <v>12143574668</v>
      </c>
      <c r="AA120">
        <v>56173</v>
      </c>
      <c r="AB120" t="s">
        <v>4295</v>
      </c>
      <c r="AC120" t="s">
        <v>1892</v>
      </c>
      <c r="AE120" t="s">
        <v>5774</v>
      </c>
      <c r="AF120" t="s">
        <v>5773</v>
      </c>
      <c r="AH120" t="s">
        <v>2108</v>
      </c>
      <c r="AI120" t="s">
        <v>232</v>
      </c>
      <c r="AJ120" s="4" t="str">
        <f>"78219"</f>
        <v>78219</v>
      </c>
      <c r="AK120" t="s">
        <v>120</v>
      </c>
      <c r="AM120" s="5">
        <v>12143574668</v>
      </c>
      <c r="AO120" t="s">
        <v>5775</v>
      </c>
      <c r="AP120" t="s">
        <v>256</v>
      </c>
      <c r="AQ120" t="s">
        <v>885</v>
      </c>
      <c r="AR120" t="s">
        <v>886</v>
      </c>
      <c r="AT120" t="s">
        <v>887</v>
      </c>
      <c r="AV120" t="s">
        <v>888</v>
      </c>
      <c r="AW120" t="s">
        <v>232</v>
      </c>
      <c r="AX120" s="4" t="str">
        <f>"75098"</f>
        <v>75098</v>
      </c>
      <c r="AY120" t="s">
        <v>120</v>
      </c>
      <c r="BA120" s="5">
        <v>19724424244</v>
      </c>
      <c r="BC120" t="s">
        <v>889</v>
      </c>
      <c r="BD120" t="s">
        <v>1264</v>
      </c>
      <c r="BG120" t="s">
        <v>232</v>
      </c>
      <c r="BH120" s="1">
        <v>44895.791666666664</v>
      </c>
      <c r="BI120">
        <v>40</v>
      </c>
      <c r="BJ120">
        <v>0</v>
      </c>
      <c r="BK120">
        <v>8</v>
      </c>
      <c r="BL120">
        <v>8</v>
      </c>
      <c r="BM120">
        <v>8</v>
      </c>
      <c r="BN120">
        <v>8</v>
      </c>
      <c r="BO120">
        <v>8</v>
      </c>
      <c r="BP120">
        <v>0</v>
      </c>
      <c r="BQ120" t="str">
        <f>"7:00 AM"</f>
        <v>7:00 AM</v>
      </c>
      <c r="BR120" t="str">
        <f>"4:00 PM"</f>
        <v>4:00 PM</v>
      </c>
      <c r="BS120" t="s">
        <v>133</v>
      </c>
      <c r="BT120">
        <v>0</v>
      </c>
      <c r="BU120">
        <v>0</v>
      </c>
      <c r="BV120" t="s">
        <v>134</v>
      </c>
      <c r="BX120" s="2" t="s">
        <v>5776</v>
      </c>
      <c r="BY120" t="s">
        <v>5773</v>
      </c>
      <c r="CA120" t="s">
        <v>2108</v>
      </c>
      <c r="CB120" t="s">
        <v>232</v>
      </c>
      <c r="CC120" s="4" t="str">
        <f>"78219"</f>
        <v>78219</v>
      </c>
      <c r="CD120" t="s">
        <v>2112</v>
      </c>
      <c r="CE120" t="s">
        <v>1342</v>
      </c>
      <c r="CF120" s="6">
        <v>15.05</v>
      </c>
      <c r="CG120" s="6">
        <v>16.36</v>
      </c>
      <c r="CH120" s="6">
        <v>22.58</v>
      </c>
      <c r="CI120" s="6">
        <v>24.54</v>
      </c>
      <c r="CJ120" t="s">
        <v>137</v>
      </c>
      <c r="CK120" t="s">
        <v>2086</v>
      </c>
      <c r="CL120" t="s">
        <v>5777</v>
      </c>
      <c r="CO120" t="s">
        <v>138</v>
      </c>
      <c r="CP120" t="s">
        <v>114</v>
      </c>
      <c r="CQ120" t="s">
        <v>114</v>
      </c>
      <c r="CR120" t="s">
        <v>114</v>
      </c>
      <c r="CS120" t="s">
        <v>114</v>
      </c>
      <c r="CT120" t="s">
        <v>114</v>
      </c>
      <c r="CU120" t="s">
        <v>114</v>
      </c>
      <c r="CV120" t="s">
        <v>5778</v>
      </c>
      <c r="CW120" s="5" t="str">
        <f>"+12143574668"</f>
        <v>+12143574668</v>
      </c>
      <c r="CX120" t="s">
        <v>138</v>
      </c>
      <c r="CY120" t="s">
        <v>2072</v>
      </c>
      <c r="CZ120" t="s">
        <v>139</v>
      </c>
      <c r="DA120" t="s">
        <v>134</v>
      </c>
      <c r="DB120" t="s">
        <v>134</v>
      </c>
      <c r="DC120" t="s">
        <v>114</v>
      </c>
      <c r="DD120" t="s">
        <v>134</v>
      </c>
    </row>
    <row r="121" spans="1:113" ht="15" customHeight="1" x14ac:dyDescent="0.25">
      <c r="A121" t="s">
        <v>12584</v>
      </c>
      <c r="B121" t="s">
        <v>165</v>
      </c>
      <c r="C121" s="1">
        <v>44896.49070347222</v>
      </c>
      <c r="D121" s="1">
        <v>44923</v>
      </c>
      <c r="E121" t="s">
        <v>134</v>
      </c>
      <c r="F121" t="s">
        <v>334</v>
      </c>
      <c r="G121" t="str">
        <f t="shared" si="5"/>
        <v>37-3011.00</v>
      </c>
      <c r="H121" t="s">
        <v>335</v>
      </c>
      <c r="I121">
        <v>5</v>
      </c>
      <c r="J121">
        <v>5</v>
      </c>
      <c r="K121" s="1">
        <v>44986</v>
      </c>
      <c r="L121" s="1">
        <v>45230</v>
      </c>
      <c r="M121" s="1">
        <v>44986</v>
      </c>
      <c r="N121" s="1">
        <v>45230</v>
      </c>
      <c r="O121" t="s">
        <v>117</v>
      </c>
      <c r="P121" t="s">
        <v>12585</v>
      </c>
      <c r="R121" t="s">
        <v>12586</v>
      </c>
      <c r="T121" t="s">
        <v>941</v>
      </c>
      <c r="U121" t="s">
        <v>232</v>
      </c>
      <c r="V121" s="4" t="str">
        <f>"78660"</f>
        <v>78660</v>
      </c>
      <c r="W121" t="s">
        <v>120</v>
      </c>
      <c r="Y121" s="5">
        <v>15129407580</v>
      </c>
      <c r="AA121">
        <v>56173</v>
      </c>
      <c r="AB121" t="s">
        <v>12587</v>
      </c>
      <c r="AC121" t="s">
        <v>4269</v>
      </c>
      <c r="AE121" t="s">
        <v>424</v>
      </c>
      <c r="AF121" t="s">
        <v>12586</v>
      </c>
      <c r="AH121" t="s">
        <v>941</v>
      </c>
      <c r="AI121" t="s">
        <v>232</v>
      </c>
      <c r="AJ121" s="4" t="str">
        <f>"78660"</f>
        <v>78660</v>
      </c>
      <c r="AK121" t="s">
        <v>120</v>
      </c>
      <c r="AM121" s="5">
        <v>15129407580</v>
      </c>
      <c r="AO121" t="s">
        <v>12588</v>
      </c>
      <c r="AP121" t="s">
        <v>256</v>
      </c>
      <c r="AQ121" t="s">
        <v>885</v>
      </c>
      <c r="AR121" t="s">
        <v>886</v>
      </c>
      <c r="AT121" t="s">
        <v>887</v>
      </c>
      <c r="AV121" t="s">
        <v>888</v>
      </c>
      <c r="AW121" t="s">
        <v>232</v>
      </c>
      <c r="AX121" s="4" t="str">
        <f>"75098"</f>
        <v>75098</v>
      </c>
      <c r="AY121" t="s">
        <v>120</v>
      </c>
      <c r="BA121" s="5">
        <v>19724424244</v>
      </c>
      <c r="BC121" t="s">
        <v>889</v>
      </c>
      <c r="BD121" t="s">
        <v>1264</v>
      </c>
      <c r="BG121" t="s">
        <v>232</v>
      </c>
      <c r="BH121" s="1">
        <v>44895.791666666664</v>
      </c>
      <c r="BI121">
        <v>40</v>
      </c>
      <c r="BJ121">
        <v>0</v>
      </c>
      <c r="BK121">
        <v>8</v>
      </c>
      <c r="BL121">
        <v>8</v>
      </c>
      <c r="BM121">
        <v>8</v>
      </c>
      <c r="BN121">
        <v>8</v>
      </c>
      <c r="BO121">
        <v>8</v>
      </c>
      <c r="BP121">
        <v>0</v>
      </c>
      <c r="BQ121" t="str">
        <f>"6:00 AM"</f>
        <v>6:00 AM</v>
      </c>
      <c r="BR121" t="str">
        <f>"5:00 PM"</f>
        <v>5:00 PM</v>
      </c>
      <c r="BS121" t="s">
        <v>133</v>
      </c>
      <c r="BT121">
        <v>0</v>
      </c>
      <c r="BU121">
        <v>0</v>
      </c>
      <c r="BV121" t="s">
        <v>134</v>
      </c>
      <c r="BX121" t="s">
        <v>219</v>
      </c>
      <c r="BY121" t="s">
        <v>12586</v>
      </c>
      <c r="CA121" t="s">
        <v>941</v>
      </c>
      <c r="CB121" t="s">
        <v>232</v>
      </c>
      <c r="CC121" s="4" t="str">
        <f>"78660"</f>
        <v>78660</v>
      </c>
      <c r="CD121" t="s">
        <v>948</v>
      </c>
      <c r="CE121" t="s">
        <v>949</v>
      </c>
      <c r="CF121" s="6">
        <v>16.079999999999998</v>
      </c>
      <c r="CG121" s="6">
        <v>20</v>
      </c>
      <c r="CH121" s="6">
        <v>24.12</v>
      </c>
      <c r="CI121" s="6">
        <v>30</v>
      </c>
      <c r="CJ121" t="s">
        <v>137</v>
      </c>
      <c r="CK121" t="s">
        <v>2086</v>
      </c>
      <c r="CL121" t="s">
        <v>12589</v>
      </c>
      <c r="CO121" t="s">
        <v>138</v>
      </c>
      <c r="CP121" t="s">
        <v>114</v>
      </c>
      <c r="CQ121" t="s">
        <v>114</v>
      </c>
      <c r="CR121" t="s">
        <v>114</v>
      </c>
      <c r="CS121" t="s">
        <v>114</v>
      </c>
      <c r="CT121" t="s">
        <v>114</v>
      </c>
      <c r="CU121" t="s">
        <v>114</v>
      </c>
      <c r="CV121" t="s">
        <v>12590</v>
      </c>
      <c r="CW121" s="5" t="str">
        <f>"+15129407580"</f>
        <v>+15129407580</v>
      </c>
      <c r="CX121" t="s">
        <v>138</v>
      </c>
      <c r="CY121" t="s">
        <v>2072</v>
      </c>
      <c r="CZ121" t="s">
        <v>139</v>
      </c>
      <c r="DA121" t="s">
        <v>134</v>
      </c>
      <c r="DB121" t="s">
        <v>134</v>
      </c>
      <c r="DC121" t="s">
        <v>114</v>
      </c>
      <c r="DD121" t="s">
        <v>134</v>
      </c>
    </row>
    <row r="122" spans="1:113" ht="15" customHeight="1" x14ac:dyDescent="0.25">
      <c r="A122" t="s">
        <v>2788</v>
      </c>
      <c r="B122" t="s">
        <v>165</v>
      </c>
      <c r="C122" s="1">
        <v>44896.487881944442</v>
      </c>
      <c r="D122" s="1">
        <v>44923</v>
      </c>
      <c r="E122" t="s">
        <v>134</v>
      </c>
      <c r="F122" t="s">
        <v>334</v>
      </c>
      <c r="G122" t="str">
        <f t="shared" si="5"/>
        <v>37-3011.00</v>
      </c>
      <c r="H122" t="s">
        <v>335</v>
      </c>
      <c r="I122">
        <v>8</v>
      </c>
      <c r="J122">
        <v>8</v>
      </c>
      <c r="K122" s="1">
        <v>44986</v>
      </c>
      <c r="L122" s="1">
        <v>45230</v>
      </c>
      <c r="M122" s="1">
        <v>44986</v>
      </c>
      <c r="N122" s="1">
        <v>45230</v>
      </c>
      <c r="O122" t="s">
        <v>117</v>
      </c>
      <c r="P122" t="s">
        <v>2789</v>
      </c>
      <c r="Q122" t="s">
        <v>2790</v>
      </c>
      <c r="R122" t="s">
        <v>2791</v>
      </c>
      <c r="T122" t="s">
        <v>2792</v>
      </c>
      <c r="U122" t="s">
        <v>232</v>
      </c>
      <c r="V122" s="4" t="str">
        <f>"77834"</f>
        <v>77834</v>
      </c>
      <c r="W122" t="s">
        <v>120</v>
      </c>
      <c r="Y122" s="5">
        <v>19793530955</v>
      </c>
      <c r="AA122">
        <v>56173</v>
      </c>
      <c r="AB122" t="s">
        <v>2793</v>
      </c>
      <c r="AC122" t="s">
        <v>2794</v>
      </c>
      <c r="AD122" t="s">
        <v>2795</v>
      </c>
      <c r="AE122" t="s">
        <v>424</v>
      </c>
      <c r="AF122" t="s">
        <v>2791</v>
      </c>
      <c r="AH122" t="s">
        <v>2792</v>
      </c>
      <c r="AI122" t="s">
        <v>232</v>
      </c>
      <c r="AJ122" s="4" t="str">
        <f>"77834"</f>
        <v>77834</v>
      </c>
      <c r="AK122" t="s">
        <v>120</v>
      </c>
      <c r="AM122" s="5">
        <v>19793530955</v>
      </c>
      <c r="AO122" t="s">
        <v>2796</v>
      </c>
      <c r="AP122" t="s">
        <v>256</v>
      </c>
      <c r="AQ122" t="s">
        <v>885</v>
      </c>
      <c r="AR122" t="s">
        <v>886</v>
      </c>
      <c r="AT122" t="s">
        <v>887</v>
      </c>
      <c r="AV122" t="s">
        <v>888</v>
      </c>
      <c r="AW122" t="s">
        <v>232</v>
      </c>
      <c r="AX122" s="4" t="str">
        <f>"75098"</f>
        <v>75098</v>
      </c>
      <c r="AY122" t="s">
        <v>120</v>
      </c>
      <c r="BA122" s="5">
        <v>19724424244</v>
      </c>
      <c r="BC122" t="s">
        <v>889</v>
      </c>
      <c r="BD122" t="s">
        <v>890</v>
      </c>
      <c r="BG122" t="s">
        <v>232</v>
      </c>
      <c r="BH122" s="1">
        <v>44895.791666666664</v>
      </c>
      <c r="BI122">
        <v>40</v>
      </c>
      <c r="BJ122">
        <v>0</v>
      </c>
      <c r="BK122">
        <v>8</v>
      </c>
      <c r="BL122">
        <v>8</v>
      </c>
      <c r="BM122">
        <v>8</v>
      </c>
      <c r="BN122">
        <v>8</v>
      </c>
      <c r="BO122">
        <v>8</v>
      </c>
      <c r="BP122">
        <v>0</v>
      </c>
      <c r="BQ122" t="str">
        <f>"7:00 AM"</f>
        <v>7:00 AM</v>
      </c>
      <c r="BR122" t="str">
        <f>"4:30 PM"</f>
        <v>4:30 PM</v>
      </c>
      <c r="BS122" t="s">
        <v>133</v>
      </c>
      <c r="BT122">
        <v>0</v>
      </c>
      <c r="BU122">
        <v>0</v>
      </c>
      <c r="BV122" t="s">
        <v>134</v>
      </c>
      <c r="BX122" s="2" t="s">
        <v>2797</v>
      </c>
      <c r="BY122" t="s">
        <v>2791</v>
      </c>
      <c r="CA122" t="s">
        <v>2792</v>
      </c>
      <c r="CB122" t="s">
        <v>232</v>
      </c>
      <c r="CC122" s="4" t="str">
        <f>"77834"</f>
        <v>77834</v>
      </c>
      <c r="CD122" t="s">
        <v>1345</v>
      </c>
      <c r="CE122" t="s">
        <v>1550</v>
      </c>
      <c r="CF122" s="6">
        <v>15.56</v>
      </c>
      <c r="CG122" s="6">
        <v>16.5</v>
      </c>
      <c r="CH122" s="6">
        <v>23.34</v>
      </c>
      <c r="CI122" s="6">
        <v>24.75</v>
      </c>
      <c r="CJ122" t="s">
        <v>137</v>
      </c>
      <c r="CK122" t="s">
        <v>2086</v>
      </c>
      <c r="CL122" t="s">
        <v>2798</v>
      </c>
      <c r="CO122" t="s">
        <v>138</v>
      </c>
      <c r="CP122" t="s">
        <v>114</v>
      </c>
      <c r="CQ122" t="s">
        <v>114</v>
      </c>
      <c r="CR122" t="s">
        <v>114</v>
      </c>
      <c r="CS122" t="s">
        <v>114</v>
      </c>
      <c r="CT122" t="s">
        <v>114</v>
      </c>
      <c r="CU122" t="s">
        <v>114</v>
      </c>
      <c r="CV122" t="s">
        <v>2799</v>
      </c>
      <c r="CW122" s="5" t="str">
        <f>"+19793530955"</f>
        <v>+19793530955</v>
      </c>
      <c r="CX122" t="s">
        <v>138</v>
      </c>
      <c r="CY122" t="s">
        <v>2072</v>
      </c>
      <c r="CZ122" t="s">
        <v>139</v>
      </c>
      <c r="DA122" t="s">
        <v>134</v>
      </c>
      <c r="DB122" t="s">
        <v>134</v>
      </c>
      <c r="DC122" t="s">
        <v>114</v>
      </c>
      <c r="DD122" t="s">
        <v>134</v>
      </c>
    </row>
    <row r="123" spans="1:113" ht="15" customHeight="1" x14ac:dyDescent="0.25">
      <c r="A123" t="s">
        <v>12724</v>
      </c>
      <c r="B123" t="s">
        <v>165</v>
      </c>
      <c r="C123" s="1">
        <v>44896.484084027776</v>
      </c>
      <c r="D123" s="1">
        <v>44923</v>
      </c>
      <c r="E123" t="s">
        <v>134</v>
      </c>
      <c r="F123" t="s">
        <v>5770</v>
      </c>
      <c r="G123" t="str">
        <f t="shared" si="5"/>
        <v>37-3011.00</v>
      </c>
      <c r="H123" t="s">
        <v>335</v>
      </c>
      <c r="I123">
        <v>24</v>
      </c>
      <c r="J123">
        <v>24</v>
      </c>
      <c r="K123" s="1">
        <v>44986</v>
      </c>
      <c r="L123" s="1">
        <v>45261</v>
      </c>
      <c r="M123" s="1">
        <v>44986</v>
      </c>
      <c r="N123" s="1">
        <v>45261</v>
      </c>
      <c r="O123" t="s">
        <v>117</v>
      </c>
      <c r="P123" t="s">
        <v>8014</v>
      </c>
      <c r="Q123" t="s">
        <v>5772</v>
      </c>
      <c r="R123" t="s">
        <v>8015</v>
      </c>
      <c r="T123" t="s">
        <v>1525</v>
      </c>
      <c r="U123" t="s">
        <v>232</v>
      </c>
      <c r="V123" s="4" t="str">
        <f>"75247"</f>
        <v>75247</v>
      </c>
      <c r="W123" t="s">
        <v>120</v>
      </c>
      <c r="Y123" s="5">
        <v>12143574668</v>
      </c>
      <c r="AA123">
        <v>56173</v>
      </c>
      <c r="AB123" t="s">
        <v>4295</v>
      </c>
      <c r="AC123" t="s">
        <v>1892</v>
      </c>
      <c r="AE123" t="s">
        <v>5774</v>
      </c>
      <c r="AF123" t="s">
        <v>8015</v>
      </c>
      <c r="AH123" t="s">
        <v>1525</v>
      </c>
      <c r="AI123" t="s">
        <v>232</v>
      </c>
      <c r="AJ123" s="4" t="str">
        <f>"75247"</f>
        <v>75247</v>
      </c>
      <c r="AK123" t="s">
        <v>120</v>
      </c>
      <c r="AM123" s="5">
        <v>12143574668</v>
      </c>
      <c r="AO123" t="s">
        <v>5775</v>
      </c>
      <c r="AP123" t="s">
        <v>256</v>
      </c>
      <c r="AQ123" t="s">
        <v>885</v>
      </c>
      <c r="AR123" t="s">
        <v>886</v>
      </c>
      <c r="AT123" t="s">
        <v>887</v>
      </c>
      <c r="AV123" t="s">
        <v>888</v>
      </c>
      <c r="AW123" t="s">
        <v>232</v>
      </c>
      <c r="AX123" s="4" t="str">
        <f>"75098"</f>
        <v>75098</v>
      </c>
      <c r="AY123" t="s">
        <v>120</v>
      </c>
      <c r="BA123" s="5">
        <v>19724424244</v>
      </c>
      <c r="BC123" t="s">
        <v>889</v>
      </c>
      <c r="BD123" t="s">
        <v>1264</v>
      </c>
      <c r="BG123" t="s">
        <v>232</v>
      </c>
      <c r="BH123" s="1">
        <v>44895.791666666664</v>
      </c>
      <c r="BI123">
        <v>40</v>
      </c>
      <c r="BJ123">
        <v>0</v>
      </c>
      <c r="BK123">
        <v>8</v>
      </c>
      <c r="BL123">
        <v>8</v>
      </c>
      <c r="BM123">
        <v>8</v>
      </c>
      <c r="BN123">
        <v>8</v>
      </c>
      <c r="BO123">
        <v>8</v>
      </c>
      <c r="BP123">
        <v>0</v>
      </c>
      <c r="BQ123" t="str">
        <f>"7:00 AM"</f>
        <v>7:00 AM</v>
      </c>
      <c r="BR123" t="str">
        <f>"4:00 PM"</f>
        <v>4:00 PM</v>
      </c>
      <c r="BS123" t="s">
        <v>133</v>
      </c>
      <c r="BT123">
        <v>0</v>
      </c>
      <c r="BU123">
        <v>0</v>
      </c>
      <c r="BV123" t="s">
        <v>134</v>
      </c>
      <c r="BX123" s="2" t="s">
        <v>6073</v>
      </c>
      <c r="BY123" t="s">
        <v>8015</v>
      </c>
      <c r="CA123" t="s">
        <v>1525</v>
      </c>
      <c r="CB123" t="s">
        <v>232</v>
      </c>
      <c r="CC123" s="4" t="str">
        <f>"75247"</f>
        <v>75247</v>
      </c>
      <c r="CD123" t="s">
        <v>1482</v>
      </c>
      <c r="CE123" t="s">
        <v>1528</v>
      </c>
      <c r="CF123" s="6">
        <v>16.3</v>
      </c>
      <c r="CG123" s="6">
        <v>18.5</v>
      </c>
      <c r="CH123" s="6">
        <v>24.45</v>
      </c>
      <c r="CI123" s="6">
        <v>27.75</v>
      </c>
      <c r="CJ123" t="s">
        <v>137</v>
      </c>
      <c r="CK123" t="s">
        <v>2086</v>
      </c>
      <c r="CL123" t="s">
        <v>8016</v>
      </c>
      <c r="CO123" t="s">
        <v>138</v>
      </c>
      <c r="CP123" t="s">
        <v>114</v>
      </c>
      <c r="CQ123" t="s">
        <v>114</v>
      </c>
      <c r="CR123" t="s">
        <v>114</v>
      </c>
      <c r="CS123" t="s">
        <v>114</v>
      </c>
      <c r="CT123" t="s">
        <v>114</v>
      </c>
      <c r="CU123" t="s">
        <v>114</v>
      </c>
      <c r="CV123" s="2" t="s">
        <v>12725</v>
      </c>
      <c r="CW123" s="5" t="str">
        <f>"+12143574668"</f>
        <v>+12143574668</v>
      </c>
      <c r="CX123" t="s">
        <v>138</v>
      </c>
      <c r="CY123" t="s">
        <v>2072</v>
      </c>
      <c r="CZ123" t="s">
        <v>139</v>
      </c>
      <c r="DA123" t="s">
        <v>134</v>
      </c>
      <c r="DB123" t="s">
        <v>134</v>
      </c>
      <c r="DC123" t="s">
        <v>114</v>
      </c>
      <c r="DD123" t="s">
        <v>134</v>
      </c>
    </row>
    <row r="124" spans="1:113" ht="15" customHeight="1" x14ac:dyDescent="0.25">
      <c r="A124" t="s">
        <v>12690</v>
      </c>
      <c r="B124" t="s">
        <v>165</v>
      </c>
      <c r="C124" s="1">
        <v>44896.482314236113</v>
      </c>
      <c r="D124" s="1">
        <v>44923</v>
      </c>
      <c r="E124" t="s">
        <v>134</v>
      </c>
      <c r="F124" t="s">
        <v>334</v>
      </c>
      <c r="G124" t="str">
        <f t="shared" si="5"/>
        <v>37-3011.00</v>
      </c>
      <c r="H124" t="s">
        <v>335</v>
      </c>
      <c r="I124">
        <v>8</v>
      </c>
      <c r="J124">
        <v>8</v>
      </c>
      <c r="K124" s="1">
        <v>44986</v>
      </c>
      <c r="L124" s="1">
        <v>45261</v>
      </c>
      <c r="M124" s="1">
        <v>44986</v>
      </c>
      <c r="N124" s="1">
        <v>45261</v>
      </c>
      <c r="O124" t="s">
        <v>117</v>
      </c>
      <c r="P124" t="s">
        <v>12691</v>
      </c>
      <c r="R124" t="s">
        <v>12692</v>
      </c>
      <c r="T124" t="s">
        <v>12664</v>
      </c>
      <c r="U124" t="s">
        <v>232</v>
      </c>
      <c r="V124" s="4" t="str">
        <f>"75078"</f>
        <v>75078</v>
      </c>
      <c r="W124" t="s">
        <v>120</v>
      </c>
      <c r="Y124" s="5">
        <v>14693433365</v>
      </c>
      <c r="AA124">
        <v>56173</v>
      </c>
      <c r="AB124" t="s">
        <v>1751</v>
      </c>
      <c r="AC124" t="s">
        <v>12693</v>
      </c>
      <c r="AE124" t="s">
        <v>2623</v>
      </c>
      <c r="AF124" t="s">
        <v>12692</v>
      </c>
      <c r="AH124" t="s">
        <v>12664</v>
      </c>
      <c r="AI124" t="s">
        <v>232</v>
      </c>
      <c r="AJ124" s="4" t="str">
        <f>"75078"</f>
        <v>75078</v>
      </c>
      <c r="AK124" t="s">
        <v>120</v>
      </c>
      <c r="AM124" s="5">
        <v>14693433365</v>
      </c>
      <c r="AO124" t="s">
        <v>12694</v>
      </c>
      <c r="AP124" t="s">
        <v>256</v>
      </c>
      <c r="AQ124" t="s">
        <v>885</v>
      </c>
      <c r="AR124" t="s">
        <v>886</v>
      </c>
      <c r="AT124" t="s">
        <v>887</v>
      </c>
      <c r="AV124" t="s">
        <v>888</v>
      </c>
      <c r="AW124" t="s">
        <v>232</v>
      </c>
      <c r="AX124" s="4" t="str">
        <f>"75098"</f>
        <v>75098</v>
      </c>
      <c r="AY124" t="s">
        <v>120</v>
      </c>
      <c r="BA124" s="5">
        <v>19724424244</v>
      </c>
      <c r="BC124" t="s">
        <v>889</v>
      </c>
      <c r="BD124" t="s">
        <v>1264</v>
      </c>
      <c r="BG124" t="s">
        <v>232</v>
      </c>
      <c r="BH124" s="1">
        <v>44895.791666666664</v>
      </c>
      <c r="BI124">
        <v>40</v>
      </c>
      <c r="BJ124">
        <v>0</v>
      </c>
      <c r="BK124">
        <v>8</v>
      </c>
      <c r="BL124">
        <v>8</v>
      </c>
      <c r="BM124">
        <v>8</v>
      </c>
      <c r="BN124">
        <v>8</v>
      </c>
      <c r="BO124">
        <v>8</v>
      </c>
      <c r="BP124">
        <v>0</v>
      </c>
      <c r="BQ124" t="str">
        <f>"8:00 AM"</f>
        <v>8:00 AM</v>
      </c>
      <c r="BR124" t="str">
        <f>"4:00 PM"</f>
        <v>4:00 PM</v>
      </c>
      <c r="BS124" t="s">
        <v>133</v>
      </c>
      <c r="BT124">
        <v>0</v>
      </c>
      <c r="BU124">
        <v>0</v>
      </c>
      <c r="BV124" t="s">
        <v>134</v>
      </c>
      <c r="BX124" t="s">
        <v>219</v>
      </c>
      <c r="BY124" t="s">
        <v>12692</v>
      </c>
      <c r="CA124" t="s">
        <v>12664</v>
      </c>
      <c r="CB124" t="s">
        <v>232</v>
      </c>
      <c r="CC124" s="4" t="str">
        <f>"75078"</f>
        <v>75078</v>
      </c>
      <c r="CD124" t="s">
        <v>3860</v>
      </c>
      <c r="CE124" t="s">
        <v>1528</v>
      </c>
      <c r="CF124" s="6">
        <v>16.3</v>
      </c>
      <c r="CG124" s="6">
        <v>18.489999999999998</v>
      </c>
      <c r="CH124" s="6">
        <v>24.45</v>
      </c>
      <c r="CI124" s="6">
        <v>27.74</v>
      </c>
      <c r="CJ124" t="s">
        <v>137</v>
      </c>
      <c r="CL124" t="s">
        <v>12695</v>
      </c>
      <c r="CO124" t="s">
        <v>138</v>
      </c>
      <c r="CP124" t="s">
        <v>114</v>
      </c>
      <c r="CQ124" t="s">
        <v>114</v>
      </c>
      <c r="CR124" t="s">
        <v>114</v>
      </c>
      <c r="CS124" t="s">
        <v>114</v>
      </c>
      <c r="CT124" t="s">
        <v>114</v>
      </c>
      <c r="CU124" t="s">
        <v>114</v>
      </c>
      <c r="CV124" t="s">
        <v>12696</v>
      </c>
      <c r="CW124" s="5" t="str">
        <f>"+14693433365"</f>
        <v>+14693433365</v>
      </c>
      <c r="CX124" t="s">
        <v>138</v>
      </c>
      <c r="CY124" t="s">
        <v>2072</v>
      </c>
      <c r="CZ124" t="s">
        <v>139</v>
      </c>
      <c r="DA124" t="s">
        <v>134</v>
      </c>
      <c r="DB124" t="s">
        <v>134</v>
      </c>
      <c r="DC124" t="s">
        <v>114</v>
      </c>
      <c r="DD124" t="s">
        <v>134</v>
      </c>
    </row>
    <row r="125" spans="1:113" ht="15" customHeight="1" x14ac:dyDescent="0.25">
      <c r="A125" t="s">
        <v>2888</v>
      </c>
      <c r="B125" t="s">
        <v>165</v>
      </c>
      <c r="C125" s="1">
        <v>44896.464716203707</v>
      </c>
      <c r="D125" s="1">
        <v>44923</v>
      </c>
      <c r="E125" t="s">
        <v>134</v>
      </c>
      <c r="F125" t="s">
        <v>334</v>
      </c>
      <c r="G125" t="str">
        <f t="shared" si="5"/>
        <v>37-3011.00</v>
      </c>
      <c r="H125" t="s">
        <v>335</v>
      </c>
      <c r="I125">
        <v>15</v>
      </c>
      <c r="J125">
        <v>15</v>
      </c>
      <c r="K125" s="1">
        <v>44986</v>
      </c>
      <c r="L125" s="1">
        <v>45282</v>
      </c>
      <c r="M125" s="1">
        <v>44986</v>
      </c>
      <c r="N125" s="1">
        <v>45282</v>
      </c>
      <c r="O125" t="s">
        <v>117</v>
      </c>
      <c r="P125" t="s">
        <v>2889</v>
      </c>
      <c r="R125" t="s">
        <v>2890</v>
      </c>
      <c r="S125" t="s">
        <v>2891</v>
      </c>
      <c r="T125" t="s">
        <v>1695</v>
      </c>
      <c r="U125" t="s">
        <v>394</v>
      </c>
      <c r="V125" s="4" t="str">
        <f>"29464"</f>
        <v>29464</v>
      </c>
      <c r="W125" t="s">
        <v>120</v>
      </c>
      <c r="X125" t="s">
        <v>138</v>
      </c>
      <c r="Y125" s="5">
        <v>18433884664</v>
      </c>
      <c r="AA125">
        <v>561730</v>
      </c>
      <c r="AB125" t="s">
        <v>2892</v>
      </c>
      <c r="AC125" t="s">
        <v>1676</v>
      </c>
      <c r="AD125" t="s">
        <v>138</v>
      </c>
      <c r="AE125" t="s">
        <v>424</v>
      </c>
      <c r="AF125" t="s">
        <v>2890</v>
      </c>
      <c r="AG125" t="s">
        <v>2891</v>
      </c>
      <c r="AH125" t="s">
        <v>1695</v>
      </c>
      <c r="AI125" t="s">
        <v>394</v>
      </c>
      <c r="AJ125" s="4" t="str">
        <f>"29464"</f>
        <v>29464</v>
      </c>
      <c r="AK125" t="s">
        <v>120</v>
      </c>
      <c r="AM125" s="5">
        <v>18433884664</v>
      </c>
      <c r="AO125" t="s">
        <v>2893</v>
      </c>
      <c r="AP125" t="s">
        <v>256</v>
      </c>
      <c r="AQ125" t="s">
        <v>2351</v>
      </c>
      <c r="AR125" t="s">
        <v>1353</v>
      </c>
      <c r="AS125" t="s">
        <v>259</v>
      </c>
      <c r="AT125" t="s">
        <v>2352</v>
      </c>
      <c r="AU125" t="s">
        <v>138</v>
      </c>
      <c r="AV125" t="s">
        <v>1285</v>
      </c>
      <c r="AW125" t="s">
        <v>232</v>
      </c>
      <c r="AX125" s="4" t="str">
        <f t="shared" ref="AX125:AX138" si="6">"77414"</f>
        <v>77414</v>
      </c>
      <c r="AY125" t="s">
        <v>120</v>
      </c>
      <c r="BA125" s="5">
        <v>19793187283</v>
      </c>
      <c r="BC125" t="s">
        <v>2353</v>
      </c>
      <c r="BD125" t="s">
        <v>1287</v>
      </c>
      <c r="BG125" t="s">
        <v>394</v>
      </c>
      <c r="BH125" s="1">
        <v>44895.791666666664</v>
      </c>
      <c r="BI125">
        <v>40</v>
      </c>
      <c r="BJ125">
        <v>0</v>
      </c>
      <c r="BK125">
        <v>8</v>
      </c>
      <c r="BL125">
        <v>8</v>
      </c>
      <c r="BM125">
        <v>8</v>
      </c>
      <c r="BN125">
        <v>8</v>
      </c>
      <c r="BO125">
        <v>8</v>
      </c>
      <c r="BP125">
        <v>0</v>
      </c>
      <c r="BQ125" t="str">
        <f>"7:30 AM"</f>
        <v>7:30 AM</v>
      </c>
      <c r="BR125" t="str">
        <f>"4:30 PM"</f>
        <v>4:30 PM</v>
      </c>
      <c r="BS125" t="s">
        <v>133</v>
      </c>
      <c r="BT125">
        <v>0</v>
      </c>
      <c r="BU125">
        <v>0</v>
      </c>
      <c r="BV125" t="s">
        <v>134</v>
      </c>
      <c r="BX125" s="2" t="s">
        <v>2894</v>
      </c>
      <c r="BY125" t="s">
        <v>2895</v>
      </c>
      <c r="BZ125" t="s">
        <v>138</v>
      </c>
      <c r="CA125" t="s">
        <v>2896</v>
      </c>
      <c r="CB125" t="s">
        <v>394</v>
      </c>
      <c r="CC125" s="4" t="str">
        <f>"29492"</f>
        <v>29492</v>
      </c>
      <c r="CD125" t="s">
        <v>1631</v>
      </c>
      <c r="CE125" t="s">
        <v>1244</v>
      </c>
      <c r="CF125" s="6">
        <v>16.09</v>
      </c>
      <c r="CG125" s="6">
        <v>18.5</v>
      </c>
      <c r="CH125" s="6">
        <v>24.14</v>
      </c>
      <c r="CI125" s="6">
        <v>27.75</v>
      </c>
      <c r="CJ125" t="s">
        <v>137</v>
      </c>
      <c r="CK125" t="s">
        <v>2897</v>
      </c>
      <c r="CL125" t="s">
        <v>2898</v>
      </c>
      <c r="CO125" t="s">
        <v>138</v>
      </c>
      <c r="CP125" t="s">
        <v>114</v>
      </c>
      <c r="CQ125" t="s">
        <v>114</v>
      </c>
      <c r="CR125" t="s">
        <v>114</v>
      </c>
      <c r="CS125" t="s">
        <v>114</v>
      </c>
      <c r="CT125" t="s">
        <v>114</v>
      </c>
      <c r="CU125" t="s">
        <v>114</v>
      </c>
      <c r="CV125" t="s">
        <v>2899</v>
      </c>
      <c r="CW125" s="5" t="str">
        <f>"+18433884664"</f>
        <v>+18433884664</v>
      </c>
      <c r="CX125" t="s">
        <v>2893</v>
      </c>
      <c r="CY125" t="s">
        <v>138</v>
      </c>
      <c r="CZ125" t="s">
        <v>139</v>
      </c>
      <c r="DA125" t="s">
        <v>134</v>
      </c>
      <c r="DB125" t="s">
        <v>134</v>
      </c>
      <c r="DC125" t="s">
        <v>114</v>
      </c>
      <c r="DD125" t="s">
        <v>134</v>
      </c>
    </row>
    <row r="126" spans="1:113" ht="15" customHeight="1" x14ac:dyDescent="0.25">
      <c r="A126" t="s">
        <v>10906</v>
      </c>
      <c r="B126" t="s">
        <v>165</v>
      </c>
      <c r="C126" s="1">
        <v>44896.461191203707</v>
      </c>
      <c r="D126" s="1">
        <v>44923</v>
      </c>
      <c r="E126" t="s">
        <v>134</v>
      </c>
      <c r="F126" t="s">
        <v>334</v>
      </c>
      <c r="G126" t="str">
        <f t="shared" si="5"/>
        <v>37-3011.00</v>
      </c>
      <c r="H126" t="s">
        <v>335</v>
      </c>
      <c r="I126">
        <v>9</v>
      </c>
      <c r="J126">
        <v>9</v>
      </c>
      <c r="K126" s="1">
        <v>44986</v>
      </c>
      <c r="L126" s="1">
        <v>45281</v>
      </c>
      <c r="M126" s="1">
        <v>44986</v>
      </c>
      <c r="N126" s="1">
        <v>45281</v>
      </c>
      <c r="O126" t="s">
        <v>117</v>
      </c>
      <c r="P126" t="s">
        <v>10907</v>
      </c>
      <c r="Q126" t="s">
        <v>10908</v>
      </c>
      <c r="R126" t="s">
        <v>10909</v>
      </c>
      <c r="S126" t="s">
        <v>138</v>
      </c>
      <c r="T126" t="s">
        <v>10910</v>
      </c>
      <c r="U126" t="s">
        <v>214</v>
      </c>
      <c r="V126" s="4" t="str">
        <f>"70769"</f>
        <v>70769</v>
      </c>
      <c r="W126" t="s">
        <v>120</v>
      </c>
      <c r="X126" t="s">
        <v>138</v>
      </c>
      <c r="Y126" s="5">
        <v>12256221196</v>
      </c>
      <c r="AA126">
        <v>561730</v>
      </c>
      <c r="AB126" t="s">
        <v>7152</v>
      </c>
      <c r="AC126" t="s">
        <v>7030</v>
      </c>
      <c r="AD126" t="s">
        <v>138</v>
      </c>
      <c r="AE126" t="s">
        <v>2138</v>
      </c>
      <c r="AF126" t="s">
        <v>10909</v>
      </c>
      <c r="AG126" t="s">
        <v>138</v>
      </c>
      <c r="AH126" t="s">
        <v>10910</v>
      </c>
      <c r="AI126" t="s">
        <v>214</v>
      </c>
      <c r="AJ126" s="4" t="str">
        <f>"70769"</f>
        <v>70769</v>
      </c>
      <c r="AK126" t="s">
        <v>120</v>
      </c>
      <c r="AM126" s="5">
        <v>12256221196</v>
      </c>
      <c r="AO126" t="s">
        <v>10911</v>
      </c>
      <c r="AP126" t="s">
        <v>256</v>
      </c>
      <c r="AQ126" t="s">
        <v>2351</v>
      </c>
      <c r="AR126" t="s">
        <v>1353</v>
      </c>
      <c r="AS126" t="s">
        <v>259</v>
      </c>
      <c r="AT126" t="s">
        <v>2352</v>
      </c>
      <c r="AU126" t="s">
        <v>138</v>
      </c>
      <c r="AV126" t="s">
        <v>1285</v>
      </c>
      <c r="AW126" t="s">
        <v>232</v>
      </c>
      <c r="AX126" s="4" t="str">
        <f t="shared" si="6"/>
        <v>77414</v>
      </c>
      <c r="AY126" t="s">
        <v>120</v>
      </c>
      <c r="BA126" s="5">
        <v>19793187283</v>
      </c>
      <c r="BC126" t="s">
        <v>2353</v>
      </c>
      <c r="BD126" t="s">
        <v>1287</v>
      </c>
      <c r="BG126" t="s">
        <v>214</v>
      </c>
      <c r="BH126" s="1">
        <v>44895.791666666664</v>
      </c>
      <c r="BI126">
        <v>40</v>
      </c>
      <c r="BJ126">
        <v>0</v>
      </c>
      <c r="BK126">
        <v>8</v>
      </c>
      <c r="BL126">
        <v>8</v>
      </c>
      <c r="BM126">
        <v>8</v>
      </c>
      <c r="BN126">
        <v>8</v>
      </c>
      <c r="BO126">
        <v>8</v>
      </c>
      <c r="BP126">
        <v>0</v>
      </c>
      <c r="BQ126" t="str">
        <f>"7:00 AM"</f>
        <v>7:00 AM</v>
      </c>
      <c r="BR126" t="str">
        <f>"4:00 PM"</f>
        <v>4:00 PM</v>
      </c>
      <c r="BS126" t="s">
        <v>133</v>
      </c>
      <c r="BT126">
        <v>0</v>
      </c>
      <c r="BU126">
        <v>0</v>
      </c>
      <c r="BV126" t="s">
        <v>134</v>
      </c>
      <c r="BX126" s="2" t="s">
        <v>10912</v>
      </c>
      <c r="BY126" t="s">
        <v>10909</v>
      </c>
      <c r="BZ126" t="s">
        <v>138</v>
      </c>
      <c r="CA126" t="s">
        <v>10910</v>
      </c>
      <c r="CB126" t="s">
        <v>214</v>
      </c>
      <c r="CC126" s="4" t="str">
        <f>"70769"</f>
        <v>70769</v>
      </c>
      <c r="CD126" t="s">
        <v>2569</v>
      </c>
      <c r="CE126" t="s">
        <v>737</v>
      </c>
      <c r="CF126" s="6">
        <v>14.87</v>
      </c>
      <c r="CG126" s="6">
        <v>18.13</v>
      </c>
      <c r="CH126" s="6">
        <v>22.31</v>
      </c>
      <c r="CI126" s="6">
        <v>27.2</v>
      </c>
      <c r="CJ126" t="s">
        <v>137</v>
      </c>
      <c r="CK126" t="s">
        <v>2357</v>
      </c>
      <c r="CL126" t="s">
        <v>10913</v>
      </c>
      <c r="CO126" t="s">
        <v>138</v>
      </c>
      <c r="CP126" t="s">
        <v>114</v>
      </c>
      <c r="CQ126" t="s">
        <v>114</v>
      </c>
      <c r="CR126" t="s">
        <v>114</v>
      </c>
      <c r="CS126" t="s">
        <v>114</v>
      </c>
      <c r="CT126" t="s">
        <v>114</v>
      </c>
      <c r="CU126" t="s">
        <v>134</v>
      </c>
      <c r="CV126" t="s">
        <v>2360</v>
      </c>
      <c r="CW126" s="5" t="str">
        <f>"+12256221196"</f>
        <v>+12256221196</v>
      </c>
      <c r="CX126" t="s">
        <v>10911</v>
      </c>
      <c r="CY126" t="s">
        <v>138</v>
      </c>
      <c r="CZ126" t="s">
        <v>139</v>
      </c>
      <c r="DA126" t="s">
        <v>134</v>
      </c>
      <c r="DB126" t="s">
        <v>134</v>
      </c>
      <c r="DC126" t="s">
        <v>114</v>
      </c>
      <c r="DD126" t="s">
        <v>134</v>
      </c>
    </row>
    <row r="127" spans="1:113" ht="15" customHeight="1" x14ac:dyDescent="0.25">
      <c r="A127" t="s">
        <v>2404</v>
      </c>
      <c r="B127" t="s">
        <v>165</v>
      </c>
      <c r="C127" s="1">
        <v>44896.452189004631</v>
      </c>
      <c r="D127" s="1">
        <v>44923</v>
      </c>
      <c r="E127" t="s">
        <v>134</v>
      </c>
      <c r="F127" t="s">
        <v>334</v>
      </c>
      <c r="G127" t="str">
        <f t="shared" si="5"/>
        <v>37-3011.00</v>
      </c>
      <c r="H127" t="s">
        <v>335</v>
      </c>
      <c r="I127">
        <v>5</v>
      </c>
      <c r="J127">
        <v>5</v>
      </c>
      <c r="K127" s="1">
        <v>44986</v>
      </c>
      <c r="L127" s="1">
        <v>45291</v>
      </c>
      <c r="M127" s="1">
        <v>44986</v>
      </c>
      <c r="N127" s="1">
        <v>45291</v>
      </c>
      <c r="O127" t="s">
        <v>199</v>
      </c>
      <c r="P127" t="s">
        <v>2405</v>
      </c>
      <c r="R127" t="s">
        <v>2406</v>
      </c>
      <c r="S127" t="s">
        <v>2407</v>
      </c>
      <c r="T127" t="s">
        <v>2408</v>
      </c>
      <c r="U127" t="s">
        <v>1003</v>
      </c>
      <c r="V127" s="4" t="str">
        <f>"07649"</f>
        <v>07649</v>
      </c>
      <c r="W127" t="s">
        <v>120</v>
      </c>
      <c r="X127" t="s">
        <v>138</v>
      </c>
      <c r="Y127" s="5">
        <v>12012659638</v>
      </c>
      <c r="AA127">
        <v>561730</v>
      </c>
      <c r="AB127" t="s">
        <v>2409</v>
      </c>
      <c r="AC127" t="s">
        <v>2410</v>
      </c>
      <c r="AD127" t="s">
        <v>138</v>
      </c>
      <c r="AE127" t="s">
        <v>2082</v>
      </c>
      <c r="AF127" t="s">
        <v>2406</v>
      </c>
      <c r="AG127" t="s">
        <v>2407</v>
      </c>
      <c r="AH127" t="s">
        <v>2408</v>
      </c>
      <c r="AI127" t="s">
        <v>1003</v>
      </c>
      <c r="AJ127" s="4" t="str">
        <f>"07649"</f>
        <v>07649</v>
      </c>
      <c r="AK127" t="s">
        <v>120</v>
      </c>
      <c r="AM127" s="5">
        <v>12012659638</v>
      </c>
      <c r="AO127" t="s">
        <v>2411</v>
      </c>
      <c r="AP127" t="s">
        <v>256</v>
      </c>
      <c r="AQ127" t="s">
        <v>2351</v>
      </c>
      <c r="AR127" t="s">
        <v>1353</v>
      </c>
      <c r="AS127" t="s">
        <v>259</v>
      </c>
      <c r="AT127" t="s">
        <v>2352</v>
      </c>
      <c r="AU127" t="s">
        <v>138</v>
      </c>
      <c r="AV127" t="s">
        <v>1285</v>
      </c>
      <c r="AW127" t="s">
        <v>232</v>
      </c>
      <c r="AX127" s="4" t="str">
        <f t="shared" si="6"/>
        <v>77414</v>
      </c>
      <c r="AY127" t="s">
        <v>120</v>
      </c>
      <c r="BA127" s="5">
        <v>19793187283</v>
      </c>
      <c r="BC127" t="s">
        <v>2353</v>
      </c>
      <c r="BD127" t="s">
        <v>1287</v>
      </c>
      <c r="BG127" t="s">
        <v>1003</v>
      </c>
      <c r="BH127" s="1">
        <v>44895.791666666664</v>
      </c>
      <c r="BI127">
        <v>40</v>
      </c>
      <c r="BJ127">
        <v>0</v>
      </c>
      <c r="BK127">
        <v>8</v>
      </c>
      <c r="BL127">
        <v>8</v>
      </c>
      <c r="BM127">
        <v>8</v>
      </c>
      <c r="BN127">
        <v>8</v>
      </c>
      <c r="BO127">
        <v>8</v>
      </c>
      <c r="BP127">
        <v>0</v>
      </c>
      <c r="BQ127" t="str">
        <f>"7:00 AM"</f>
        <v>7:00 AM</v>
      </c>
      <c r="BR127" t="str">
        <f>"4:00 PM"</f>
        <v>4:00 PM</v>
      </c>
      <c r="BS127" t="s">
        <v>133</v>
      </c>
      <c r="BT127">
        <v>0</v>
      </c>
      <c r="BU127">
        <v>3</v>
      </c>
      <c r="BV127" t="s">
        <v>134</v>
      </c>
      <c r="BX127" s="2" t="s">
        <v>2412</v>
      </c>
      <c r="BY127" t="s">
        <v>2413</v>
      </c>
      <c r="BZ127" t="s">
        <v>138</v>
      </c>
      <c r="CA127" t="s">
        <v>2414</v>
      </c>
      <c r="CB127" t="s">
        <v>1003</v>
      </c>
      <c r="CC127" s="4" t="str">
        <f>"07675"</f>
        <v>07675</v>
      </c>
      <c r="CD127" t="s">
        <v>2415</v>
      </c>
      <c r="CE127" t="s">
        <v>1009</v>
      </c>
      <c r="CF127" s="6">
        <v>19.940000000000001</v>
      </c>
      <c r="CH127" s="6">
        <v>29.91</v>
      </c>
      <c r="CJ127" t="s">
        <v>137</v>
      </c>
      <c r="CK127" t="s">
        <v>2416</v>
      </c>
      <c r="CL127" t="s">
        <v>2417</v>
      </c>
      <c r="CO127" t="s">
        <v>138</v>
      </c>
      <c r="CP127" t="s">
        <v>114</v>
      </c>
      <c r="CQ127" t="s">
        <v>114</v>
      </c>
      <c r="CR127" t="s">
        <v>114</v>
      </c>
      <c r="CS127" t="s">
        <v>134</v>
      </c>
      <c r="CT127" t="s">
        <v>114</v>
      </c>
      <c r="CU127" t="s">
        <v>134</v>
      </c>
      <c r="CV127" t="s">
        <v>2056</v>
      </c>
      <c r="CW127" s="5" t="str">
        <f>"+12012659638"</f>
        <v>+12012659638</v>
      </c>
      <c r="CX127" t="s">
        <v>2418</v>
      </c>
      <c r="CY127" t="s">
        <v>138</v>
      </c>
      <c r="CZ127" t="s">
        <v>139</v>
      </c>
      <c r="DA127" t="s">
        <v>134</v>
      </c>
      <c r="DB127" t="s">
        <v>134</v>
      </c>
      <c r="DC127" t="s">
        <v>114</v>
      </c>
      <c r="DD127" t="s">
        <v>134</v>
      </c>
    </row>
    <row r="128" spans="1:113" ht="15" customHeight="1" x14ac:dyDescent="0.25">
      <c r="A128" t="s">
        <v>10140</v>
      </c>
      <c r="B128" t="s">
        <v>165</v>
      </c>
      <c r="C128" s="1">
        <v>44896.445568402778</v>
      </c>
      <c r="D128" s="1">
        <v>44923</v>
      </c>
      <c r="E128" t="s">
        <v>134</v>
      </c>
      <c r="F128" t="s">
        <v>334</v>
      </c>
      <c r="G128" t="str">
        <f t="shared" si="5"/>
        <v>37-3011.00</v>
      </c>
      <c r="H128" t="s">
        <v>335</v>
      </c>
      <c r="I128">
        <v>20</v>
      </c>
      <c r="J128">
        <v>20</v>
      </c>
      <c r="K128" s="1">
        <v>44986</v>
      </c>
      <c r="L128" s="1">
        <v>45251</v>
      </c>
      <c r="M128" s="1">
        <v>44986</v>
      </c>
      <c r="N128" s="1">
        <v>45251</v>
      </c>
      <c r="O128" t="s">
        <v>117</v>
      </c>
      <c r="P128" t="s">
        <v>10141</v>
      </c>
      <c r="Q128" t="s">
        <v>10142</v>
      </c>
      <c r="R128" t="s">
        <v>10143</v>
      </c>
      <c r="S128" t="s">
        <v>138</v>
      </c>
      <c r="T128" t="s">
        <v>10144</v>
      </c>
      <c r="U128" t="s">
        <v>129</v>
      </c>
      <c r="V128" s="4" t="str">
        <f>"30126"</f>
        <v>30126</v>
      </c>
      <c r="W128" t="s">
        <v>120</v>
      </c>
      <c r="X128" t="s">
        <v>138</v>
      </c>
      <c r="Y128" s="5">
        <v>14046919310</v>
      </c>
      <c r="AA128">
        <v>561730</v>
      </c>
      <c r="AB128" t="s">
        <v>10145</v>
      </c>
      <c r="AC128" t="s">
        <v>3955</v>
      </c>
      <c r="AD128" t="s">
        <v>138</v>
      </c>
      <c r="AE128" t="s">
        <v>1526</v>
      </c>
      <c r="AF128" t="s">
        <v>10143</v>
      </c>
      <c r="AG128" t="s">
        <v>138</v>
      </c>
      <c r="AH128" t="s">
        <v>10144</v>
      </c>
      <c r="AI128" t="s">
        <v>129</v>
      </c>
      <c r="AJ128" s="4" t="str">
        <f>"30126"</f>
        <v>30126</v>
      </c>
      <c r="AK128" t="s">
        <v>120</v>
      </c>
      <c r="AM128" s="5">
        <v>14046919310</v>
      </c>
      <c r="AO128" t="s">
        <v>10146</v>
      </c>
      <c r="AP128" t="s">
        <v>256</v>
      </c>
      <c r="AQ128" t="s">
        <v>2351</v>
      </c>
      <c r="AR128" t="s">
        <v>1353</v>
      </c>
      <c r="AS128" t="s">
        <v>259</v>
      </c>
      <c r="AT128" t="s">
        <v>2352</v>
      </c>
      <c r="AU128" t="s">
        <v>138</v>
      </c>
      <c r="AV128" t="s">
        <v>1285</v>
      </c>
      <c r="AW128" t="s">
        <v>232</v>
      </c>
      <c r="AX128" s="4" t="str">
        <f t="shared" si="6"/>
        <v>77414</v>
      </c>
      <c r="AY128" t="s">
        <v>120</v>
      </c>
      <c r="BA128" s="5">
        <v>19793187283</v>
      </c>
      <c r="BC128" t="s">
        <v>2353</v>
      </c>
      <c r="BD128" t="s">
        <v>1287</v>
      </c>
      <c r="BG128" t="s">
        <v>129</v>
      </c>
      <c r="BH128" s="1">
        <v>44895.791666666664</v>
      </c>
      <c r="BI128">
        <v>40</v>
      </c>
      <c r="BJ128">
        <v>0</v>
      </c>
      <c r="BK128">
        <v>10</v>
      </c>
      <c r="BL128">
        <v>10</v>
      </c>
      <c r="BM128">
        <v>10</v>
      </c>
      <c r="BN128">
        <v>10</v>
      </c>
      <c r="BO128">
        <v>0</v>
      </c>
      <c r="BP128">
        <v>0</v>
      </c>
      <c r="BQ128" t="str">
        <f>"6:00 AM"</f>
        <v>6:00 AM</v>
      </c>
      <c r="BR128" t="str">
        <f>"4:30 PM"</f>
        <v>4:30 PM</v>
      </c>
      <c r="BS128" t="s">
        <v>133</v>
      </c>
      <c r="BT128">
        <v>0</v>
      </c>
      <c r="BU128">
        <v>0</v>
      </c>
      <c r="BV128" t="s">
        <v>134</v>
      </c>
      <c r="BX128" s="2" t="s">
        <v>10147</v>
      </c>
      <c r="BY128" t="s">
        <v>10143</v>
      </c>
      <c r="BZ128" t="s">
        <v>138</v>
      </c>
      <c r="CA128" t="s">
        <v>10144</v>
      </c>
      <c r="CB128" t="s">
        <v>129</v>
      </c>
      <c r="CC128" s="4" t="str">
        <f>"30126"</f>
        <v>30126</v>
      </c>
      <c r="CD128" t="s">
        <v>1540</v>
      </c>
      <c r="CE128" t="s">
        <v>908</v>
      </c>
      <c r="CF128" s="6">
        <v>16.45</v>
      </c>
      <c r="CH128" s="6">
        <v>24.68</v>
      </c>
      <c r="CJ128" t="s">
        <v>137</v>
      </c>
      <c r="CK128" t="s">
        <v>2357</v>
      </c>
      <c r="CL128" t="s">
        <v>10148</v>
      </c>
      <c r="CO128" t="s">
        <v>138</v>
      </c>
      <c r="CP128" t="s">
        <v>114</v>
      </c>
      <c r="CQ128" t="s">
        <v>114</v>
      </c>
      <c r="CR128" t="s">
        <v>114</v>
      </c>
      <c r="CS128" t="s">
        <v>114</v>
      </c>
      <c r="CT128" t="s">
        <v>114</v>
      </c>
      <c r="CU128" t="s">
        <v>134</v>
      </c>
      <c r="CV128" t="s">
        <v>2056</v>
      </c>
      <c r="CW128" s="5" t="str">
        <f>"+14047885528"</f>
        <v>+14047885528</v>
      </c>
      <c r="CX128" t="s">
        <v>10146</v>
      </c>
      <c r="CY128" t="s">
        <v>138</v>
      </c>
      <c r="CZ128" t="s">
        <v>139</v>
      </c>
      <c r="DA128" t="s">
        <v>134</v>
      </c>
      <c r="DB128" t="s">
        <v>134</v>
      </c>
      <c r="DC128" t="s">
        <v>114</v>
      </c>
      <c r="DD128" t="s">
        <v>134</v>
      </c>
    </row>
    <row r="129" spans="1:113" ht="15" customHeight="1" x14ac:dyDescent="0.25">
      <c r="A129" t="s">
        <v>11810</v>
      </c>
      <c r="B129" t="s">
        <v>165</v>
      </c>
      <c r="C129" s="1">
        <v>44896.443569791663</v>
      </c>
      <c r="D129" s="1">
        <v>44923</v>
      </c>
      <c r="E129" t="s">
        <v>134</v>
      </c>
      <c r="F129" t="s">
        <v>334</v>
      </c>
      <c r="G129" t="str">
        <f t="shared" si="5"/>
        <v>37-3011.00</v>
      </c>
      <c r="H129" t="s">
        <v>335</v>
      </c>
      <c r="I129">
        <v>12</v>
      </c>
      <c r="J129">
        <v>12</v>
      </c>
      <c r="K129" s="1">
        <v>44986</v>
      </c>
      <c r="L129" s="1">
        <v>45261</v>
      </c>
      <c r="M129" s="1">
        <v>44986</v>
      </c>
      <c r="N129" s="1">
        <v>45261</v>
      </c>
      <c r="O129" t="s">
        <v>117</v>
      </c>
      <c r="P129" t="s">
        <v>9146</v>
      </c>
      <c r="R129" t="s">
        <v>9147</v>
      </c>
      <c r="S129" t="s">
        <v>138</v>
      </c>
      <c r="T129" t="s">
        <v>1461</v>
      </c>
      <c r="U129" t="s">
        <v>1003</v>
      </c>
      <c r="V129" s="4" t="str">
        <f>"07940"</f>
        <v>07940</v>
      </c>
      <c r="W129" t="s">
        <v>120</v>
      </c>
      <c r="X129" t="s">
        <v>138</v>
      </c>
      <c r="Y129" s="5">
        <v>19736355499</v>
      </c>
      <c r="AA129">
        <v>561730</v>
      </c>
      <c r="AB129" t="s">
        <v>9148</v>
      </c>
      <c r="AC129" t="s">
        <v>1580</v>
      </c>
      <c r="AD129" t="s">
        <v>138</v>
      </c>
      <c r="AE129" t="s">
        <v>342</v>
      </c>
      <c r="AF129" t="s">
        <v>9147</v>
      </c>
      <c r="AG129" t="s">
        <v>138</v>
      </c>
      <c r="AH129" t="s">
        <v>1461</v>
      </c>
      <c r="AI129" t="s">
        <v>1003</v>
      </c>
      <c r="AJ129" s="4" t="str">
        <f>"07940"</f>
        <v>07940</v>
      </c>
      <c r="AK129" t="s">
        <v>120</v>
      </c>
      <c r="AM129" s="5">
        <v>19736355499</v>
      </c>
      <c r="AO129" t="s">
        <v>9149</v>
      </c>
      <c r="AP129" t="s">
        <v>256</v>
      </c>
      <c r="AQ129" t="s">
        <v>2351</v>
      </c>
      <c r="AR129" t="s">
        <v>1353</v>
      </c>
      <c r="AS129" t="s">
        <v>259</v>
      </c>
      <c r="AT129" t="s">
        <v>2352</v>
      </c>
      <c r="AU129" t="s">
        <v>138</v>
      </c>
      <c r="AV129" t="s">
        <v>1285</v>
      </c>
      <c r="AW129" t="s">
        <v>232</v>
      </c>
      <c r="AX129" s="4" t="str">
        <f t="shared" si="6"/>
        <v>77414</v>
      </c>
      <c r="AY129" t="s">
        <v>120</v>
      </c>
      <c r="BA129" s="5">
        <v>19793187283</v>
      </c>
      <c r="BC129" t="s">
        <v>2353</v>
      </c>
      <c r="BD129" t="s">
        <v>1287</v>
      </c>
      <c r="BG129" t="s">
        <v>1003</v>
      </c>
      <c r="BH129" s="1">
        <v>44895.791666666664</v>
      </c>
      <c r="BI129">
        <v>40</v>
      </c>
      <c r="BJ129">
        <v>0</v>
      </c>
      <c r="BK129">
        <v>8</v>
      </c>
      <c r="BL129">
        <v>8</v>
      </c>
      <c r="BM129">
        <v>8</v>
      </c>
      <c r="BN129">
        <v>8</v>
      </c>
      <c r="BO129">
        <v>8</v>
      </c>
      <c r="BP129">
        <v>0</v>
      </c>
      <c r="BQ129" t="str">
        <f>"8:00 AM"</f>
        <v>8:00 AM</v>
      </c>
      <c r="BR129" t="str">
        <f>"5:00 PM"</f>
        <v>5:00 PM</v>
      </c>
      <c r="BS129" t="s">
        <v>133</v>
      </c>
      <c r="BT129">
        <v>0</v>
      </c>
      <c r="BU129">
        <v>0</v>
      </c>
      <c r="BV129" t="s">
        <v>134</v>
      </c>
      <c r="BX129" s="2" t="s">
        <v>9150</v>
      </c>
      <c r="BY129" t="s">
        <v>9151</v>
      </c>
      <c r="BZ129" t="s">
        <v>138</v>
      </c>
      <c r="CA129" t="s">
        <v>9152</v>
      </c>
      <c r="CB129" t="s">
        <v>1003</v>
      </c>
      <c r="CC129" s="4" t="str">
        <f>"07932"</f>
        <v>07932</v>
      </c>
      <c r="CD129" t="s">
        <v>1640</v>
      </c>
      <c r="CE129" t="s">
        <v>1009</v>
      </c>
      <c r="CF129" s="6">
        <v>19.940000000000001</v>
      </c>
      <c r="CG129" s="6">
        <v>23</v>
      </c>
      <c r="CH129" s="6">
        <v>29.91</v>
      </c>
      <c r="CI129" s="6">
        <v>34.5</v>
      </c>
      <c r="CJ129" t="s">
        <v>137</v>
      </c>
      <c r="CK129" t="s">
        <v>2617</v>
      </c>
      <c r="CL129" t="s">
        <v>9153</v>
      </c>
      <c r="CO129" t="s">
        <v>138</v>
      </c>
      <c r="CP129" t="s">
        <v>114</v>
      </c>
      <c r="CQ129" t="s">
        <v>114</v>
      </c>
      <c r="CR129" t="s">
        <v>114</v>
      </c>
      <c r="CS129" t="s">
        <v>114</v>
      </c>
      <c r="CT129" t="s">
        <v>114</v>
      </c>
      <c r="CU129" t="s">
        <v>134</v>
      </c>
      <c r="CV129" t="s">
        <v>2056</v>
      </c>
      <c r="CW129" s="5" t="str">
        <f>"N/A"</f>
        <v>N/A</v>
      </c>
      <c r="CX129" t="s">
        <v>9154</v>
      </c>
      <c r="CY129" t="s">
        <v>9155</v>
      </c>
      <c r="CZ129" t="s">
        <v>139</v>
      </c>
      <c r="DA129" t="s">
        <v>134</v>
      </c>
      <c r="DB129" t="s">
        <v>134</v>
      </c>
      <c r="DC129" t="s">
        <v>114</v>
      </c>
      <c r="DD129" t="s">
        <v>134</v>
      </c>
    </row>
    <row r="130" spans="1:113" ht="15" customHeight="1" x14ac:dyDescent="0.25">
      <c r="A130" t="s">
        <v>5873</v>
      </c>
      <c r="B130" t="s">
        <v>165</v>
      </c>
      <c r="C130" s="1">
        <v>44896.439038425924</v>
      </c>
      <c r="D130" s="1">
        <v>44923</v>
      </c>
      <c r="E130" t="s">
        <v>134</v>
      </c>
      <c r="F130" t="s">
        <v>334</v>
      </c>
      <c r="G130" t="str">
        <f t="shared" si="5"/>
        <v>37-3011.00</v>
      </c>
      <c r="H130" t="s">
        <v>335</v>
      </c>
      <c r="I130">
        <v>20</v>
      </c>
      <c r="J130">
        <v>20</v>
      </c>
      <c r="K130" s="1">
        <v>44986</v>
      </c>
      <c r="L130" s="1">
        <v>45233</v>
      </c>
      <c r="M130" s="1">
        <v>44986</v>
      </c>
      <c r="N130" s="1">
        <v>45233</v>
      </c>
      <c r="O130" t="s">
        <v>199</v>
      </c>
      <c r="P130" t="s">
        <v>5874</v>
      </c>
      <c r="Q130" t="s">
        <v>5875</v>
      </c>
      <c r="R130" t="s">
        <v>5876</v>
      </c>
      <c r="S130" t="s">
        <v>5877</v>
      </c>
      <c r="T130" t="s">
        <v>5878</v>
      </c>
      <c r="U130" t="s">
        <v>232</v>
      </c>
      <c r="V130" s="4" t="str">
        <f>"79118"</f>
        <v>79118</v>
      </c>
      <c r="W130" t="s">
        <v>120</v>
      </c>
      <c r="X130" t="s">
        <v>138</v>
      </c>
      <c r="Y130" s="5">
        <v>18063549693</v>
      </c>
      <c r="AA130">
        <v>561730</v>
      </c>
      <c r="AB130" t="s">
        <v>5879</v>
      </c>
      <c r="AC130" t="s">
        <v>5880</v>
      </c>
      <c r="AD130" t="s">
        <v>138</v>
      </c>
      <c r="AE130" t="s">
        <v>342</v>
      </c>
      <c r="AF130" t="s">
        <v>5876</v>
      </c>
      <c r="AG130" t="s">
        <v>5877</v>
      </c>
      <c r="AH130" t="s">
        <v>5878</v>
      </c>
      <c r="AI130" t="s">
        <v>232</v>
      </c>
      <c r="AJ130" s="4" t="str">
        <f>"79118"</f>
        <v>79118</v>
      </c>
      <c r="AK130" t="s">
        <v>120</v>
      </c>
      <c r="AM130" s="5">
        <v>18063549693</v>
      </c>
      <c r="AO130" t="s">
        <v>5881</v>
      </c>
      <c r="AP130" t="s">
        <v>256</v>
      </c>
      <c r="AQ130" t="s">
        <v>1352</v>
      </c>
      <c r="AR130" t="s">
        <v>1353</v>
      </c>
      <c r="AS130" t="s">
        <v>138</v>
      </c>
      <c r="AT130" t="s">
        <v>1284</v>
      </c>
      <c r="AU130" t="s">
        <v>138</v>
      </c>
      <c r="AV130" t="s">
        <v>1285</v>
      </c>
      <c r="AW130" t="s">
        <v>232</v>
      </c>
      <c r="AX130" s="4" t="str">
        <f t="shared" si="6"/>
        <v>77414</v>
      </c>
      <c r="AY130" t="s">
        <v>120</v>
      </c>
      <c r="BA130" s="5">
        <v>19793187285</v>
      </c>
      <c r="BC130" t="s">
        <v>1354</v>
      </c>
      <c r="BD130" t="s">
        <v>1287</v>
      </c>
      <c r="BG130" t="s">
        <v>232</v>
      </c>
      <c r="BH130" s="1">
        <v>44895.791666666664</v>
      </c>
      <c r="BI130">
        <v>40</v>
      </c>
      <c r="BJ130">
        <v>0</v>
      </c>
      <c r="BK130">
        <v>8</v>
      </c>
      <c r="BL130">
        <v>8</v>
      </c>
      <c r="BM130">
        <v>8</v>
      </c>
      <c r="BN130">
        <v>8</v>
      </c>
      <c r="BO130">
        <v>8</v>
      </c>
      <c r="BP130">
        <v>0</v>
      </c>
      <c r="BQ130" t="str">
        <f>"7:30 AM"</f>
        <v>7:30 AM</v>
      </c>
      <c r="BR130" t="str">
        <f>"6:00 PM"</f>
        <v>6:00 PM</v>
      </c>
      <c r="BS130" t="s">
        <v>133</v>
      </c>
      <c r="BT130">
        <v>0</v>
      </c>
      <c r="BU130">
        <v>0</v>
      </c>
      <c r="BV130" t="s">
        <v>134</v>
      </c>
      <c r="BX130" s="2" t="s">
        <v>5882</v>
      </c>
      <c r="BY130" t="s">
        <v>5876</v>
      </c>
      <c r="BZ130" t="s">
        <v>138</v>
      </c>
      <c r="CA130" t="s">
        <v>5878</v>
      </c>
      <c r="CB130" t="s">
        <v>232</v>
      </c>
      <c r="CC130" s="4" t="str">
        <f>"79118"</f>
        <v>79118</v>
      </c>
      <c r="CD130" t="s">
        <v>5883</v>
      </c>
      <c r="CE130" t="s">
        <v>5884</v>
      </c>
      <c r="CF130" s="6">
        <v>14.74</v>
      </c>
      <c r="CG130" s="6">
        <v>15</v>
      </c>
      <c r="CH130" s="6">
        <v>22.11</v>
      </c>
      <c r="CI130" s="6">
        <v>22.5</v>
      </c>
      <c r="CJ130" t="s">
        <v>137</v>
      </c>
      <c r="CK130" t="s">
        <v>4820</v>
      </c>
      <c r="CL130" t="s">
        <v>5885</v>
      </c>
      <c r="CO130" t="s">
        <v>138</v>
      </c>
      <c r="CP130" t="s">
        <v>114</v>
      </c>
      <c r="CQ130" t="s">
        <v>114</v>
      </c>
      <c r="CR130" t="s">
        <v>114</v>
      </c>
      <c r="CS130" t="s">
        <v>114</v>
      </c>
      <c r="CT130" t="s">
        <v>114</v>
      </c>
      <c r="CU130" t="s">
        <v>114</v>
      </c>
      <c r="CV130" t="s">
        <v>5886</v>
      </c>
      <c r="CW130" s="5" t="str">
        <f>"+18063549693"</f>
        <v>+18063549693</v>
      </c>
      <c r="CX130" t="s">
        <v>5881</v>
      </c>
      <c r="CY130" t="s">
        <v>138</v>
      </c>
      <c r="CZ130" t="s">
        <v>139</v>
      </c>
      <c r="DA130" t="s">
        <v>134</v>
      </c>
      <c r="DB130" t="s">
        <v>134</v>
      </c>
      <c r="DC130" t="s">
        <v>114</v>
      </c>
      <c r="DD130" t="s">
        <v>134</v>
      </c>
    </row>
    <row r="131" spans="1:113" ht="15" customHeight="1" x14ac:dyDescent="0.25">
      <c r="A131" t="s">
        <v>2945</v>
      </c>
      <c r="B131" t="s">
        <v>165</v>
      </c>
      <c r="C131" s="1">
        <v>44896.436019560184</v>
      </c>
      <c r="D131" s="1">
        <v>44923</v>
      </c>
      <c r="E131" t="s">
        <v>134</v>
      </c>
      <c r="F131" t="s">
        <v>2946</v>
      </c>
      <c r="G131" t="str">
        <f>"47-2051.00"</f>
        <v>47-2051.00</v>
      </c>
      <c r="H131" t="s">
        <v>1508</v>
      </c>
      <c r="I131">
        <v>8</v>
      </c>
      <c r="J131">
        <v>8</v>
      </c>
      <c r="K131" s="1">
        <v>44986</v>
      </c>
      <c r="L131" s="1">
        <v>45260</v>
      </c>
      <c r="M131" s="1">
        <v>44986</v>
      </c>
      <c r="N131" s="1">
        <v>45260</v>
      </c>
      <c r="O131" t="s">
        <v>117</v>
      </c>
      <c r="P131" t="s">
        <v>2947</v>
      </c>
      <c r="R131" t="s">
        <v>2948</v>
      </c>
      <c r="S131" t="s">
        <v>2949</v>
      </c>
      <c r="T131" t="s">
        <v>2950</v>
      </c>
      <c r="U131" t="s">
        <v>181</v>
      </c>
      <c r="V131" s="4" t="str">
        <f>"81147"</f>
        <v>81147</v>
      </c>
      <c r="W131" t="s">
        <v>120</v>
      </c>
      <c r="X131" t="s">
        <v>138</v>
      </c>
      <c r="Y131" s="5">
        <v>19707310126</v>
      </c>
      <c r="AA131">
        <v>238110</v>
      </c>
      <c r="AB131" t="s">
        <v>2951</v>
      </c>
      <c r="AC131" t="s">
        <v>2952</v>
      </c>
      <c r="AE131" t="s">
        <v>1981</v>
      </c>
      <c r="AF131" t="s">
        <v>2948</v>
      </c>
      <c r="AG131" t="s">
        <v>2949</v>
      </c>
      <c r="AH131" t="s">
        <v>2950</v>
      </c>
      <c r="AI131" t="s">
        <v>181</v>
      </c>
      <c r="AJ131" s="4" t="str">
        <f>"81147"</f>
        <v>81147</v>
      </c>
      <c r="AK131" t="s">
        <v>120</v>
      </c>
      <c r="AM131" s="5">
        <v>19707310126</v>
      </c>
      <c r="AO131" t="s">
        <v>2953</v>
      </c>
      <c r="AP131" t="s">
        <v>256</v>
      </c>
      <c r="AQ131" t="s">
        <v>2327</v>
      </c>
      <c r="AR131" t="s">
        <v>1063</v>
      </c>
      <c r="AS131" t="s">
        <v>1857</v>
      </c>
      <c r="AT131" t="s">
        <v>1284</v>
      </c>
      <c r="AU131" t="s">
        <v>138</v>
      </c>
      <c r="AV131" t="s">
        <v>1285</v>
      </c>
      <c r="AW131" t="s">
        <v>232</v>
      </c>
      <c r="AX131" s="4" t="str">
        <f t="shared" si="6"/>
        <v>77414</v>
      </c>
      <c r="AY131" t="s">
        <v>120</v>
      </c>
      <c r="BA131" s="5">
        <v>19793187280</v>
      </c>
      <c r="BC131" t="s">
        <v>2328</v>
      </c>
      <c r="BD131" t="s">
        <v>1287</v>
      </c>
      <c r="BG131" t="s">
        <v>181</v>
      </c>
      <c r="BH131" s="1">
        <v>44895.791666666664</v>
      </c>
      <c r="BI131">
        <v>45</v>
      </c>
      <c r="BJ131">
        <v>0</v>
      </c>
      <c r="BK131">
        <v>9</v>
      </c>
      <c r="BL131">
        <v>9</v>
      </c>
      <c r="BM131">
        <v>9</v>
      </c>
      <c r="BN131">
        <v>9</v>
      </c>
      <c r="BO131">
        <v>9</v>
      </c>
      <c r="BP131">
        <v>0</v>
      </c>
      <c r="BQ131" t="str">
        <f>"7:00 AM"</f>
        <v>7:00 AM</v>
      </c>
      <c r="BR131" t="str">
        <f>"4:00 PM"</f>
        <v>4:00 PM</v>
      </c>
      <c r="BS131" t="s">
        <v>133</v>
      </c>
      <c r="BT131">
        <v>0</v>
      </c>
      <c r="BU131">
        <v>0</v>
      </c>
      <c r="BV131" t="s">
        <v>134</v>
      </c>
      <c r="BX131" s="2" t="s">
        <v>2954</v>
      </c>
      <c r="BY131" t="s">
        <v>2955</v>
      </c>
      <c r="BZ131" t="s">
        <v>138</v>
      </c>
      <c r="CA131" t="s">
        <v>2950</v>
      </c>
      <c r="CB131" t="s">
        <v>181</v>
      </c>
      <c r="CC131" s="4" t="str">
        <f>"81147"</f>
        <v>81147</v>
      </c>
      <c r="CD131" t="s">
        <v>2956</v>
      </c>
      <c r="CE131" t="s">
        <v>2738</v>
      </c>
      <c r="CF131" s="6">
        <v>23.22</v>
      </c>
      <c r="CG131" s="6">
        <v>25</v>
      </c>
      <c r="CH131" s="6">
        <v>34.83</v>
      </c>
      <c r="CI131" s="6">
        <v>37.5</v>
      </c>
      <c r="CJ131" t="s">
        <v>137</v>
      </c>
      <c r="CK131" t="s">
        <v>2957</v>
      </c>
      <c r="CL131" t="s">
        <v>2958</v>
      </c>
      <c r="CO131" t="s">
        <v>138</v>
      </c>
      <c r="CP131" t="s">
        <v>114</v>
      </c>
      <c r="CQ131" t="s">
        <v>114</v>
      </c>
      <c r="CR131" t="s">
        <v>114</v>
      </c>
      <c r="CS131" t="s">
        <v>114</v>
      </c>
      <c r="CT131" t="s">
        <v>114</v>
      </c>
      <c r="CU131" t="s">
        <v>134</v>
      </c>
      <c r="CV131" t="s">
        <v>133</v>
      </c>
      <c r="CW131" s="5" t="str">
        <f>"+19707310126"</f>
        <v>+19707310126</v>
      </c>
      <c r="CX131" t="s">
        <v>2953</v>
      </c>
      <c r="CY131" t="s">
        <v>138</v>
      </c>
      <c r="CZ131" t="s">
        <v>139</v>
      </c>
      <c r="DA131" t="s">
        <v>134</v>
      </c>
      <c r="DB131" t="s">
        <v>134</v>
      </c>
      <c r="DC131" t="s">
        <v>114</v>
      </c>
      <c r="DD131" t="s">
        <v>134</v>
      </c>
    </row>
    <row r="132" spans="1:113" ht="15" customHeight="1" x14ac:dyDescent="0.25">
      <c r="A132" t="s">
        <v>16123</v>
      </c>
      <c r="B132" t="s">
        <v>165</v>
      </c>
      <c r="C132" s="1">
        <v>44896.431968865742</v>
      </c>
      <c r="D132" s="1">
        <v>44923</v>
      </c>
      <c r="E132" t="s">
        <v>134</v>
      </c>
      <c r="F132" t="s">
        <v>334</v>
      </c>
      <c r="G132" t="str">
        <f>"37-3011.00"</f>
        <v>37-3011.00</v>
      </c>
      <c r="H132" t="s">
        <v>335</v>
      </c>
      <c r="I132">
        <v>8</v>
      </c>
      <c r="J132">
        <v>8</v>
      </c>
      <c r="K132" s="1">
        <v>44986</v>
      </c>
      <c r="L132" s="1">
        <v>45260</v>
      </c>
      <c r="M132" s="1">
        <v>44986</v>
      </c>
      <c r="N132" s="1">
        <v>45260</v>
      </c>
      <c r="O132" t="s">
        <v>199</v>
      </c>
      <c r="P132" t="s">
        <v>11761</v>
      </c>
      <c r="Q132" t="s">
        <v>11762</v>
      </c>
      <c r="R132" t="s">
        <v>11763</v>
      </c>
      <c r="S132" t="s">
        <v>11764</v>
      </c>
      <c r="T132" t="s">
        <v>1642</v>
      </c>
      <c r="U132" t="s">
        <v>1279</v>
      </c>
      <c r="V132" s="4" t="str">
        <f>"67042"</f>
        <v>67042</v>
      </c>
      <c r="W132" t="s">
        <v>120</v>
      </c>
      <c r="Y132" s="5">
        <v>13167688217</v>
      </c>
      <c r="AA132">
        <v>561730</v>
      </c>
      <c r="AB132" t="s">
        <v>1834</v>
      </c>
      <c r="AC132" t="s">
        <v>4015</v>
      </c>
      <c r="AE132" t="s">
        <v>424</v>
      </c>
      <c r="AF132" t="s">
        <v>11763</v>
      </c>
      <c r="AG132" t="s">
        <v>11764</v>
      </c>
      <c r="AH132" t="s">
        <v>1642</v>
      </c>
      <c r="AI132" t="s">
        <v>1279</v>
      </c>
      <c r="AJ132" s="4" t="str">
        <f>"67042"</f>
        <v>67042</v>
      </c>
      <c r="AK132" t="s">
        <v>120</v>
      </c>
      <c r="AM132" s="5">
        <v>13167688217</v>
      </c>
      <c r="AO132" t="s">
        <v>11765</v>
      </c>
      <c r="AP132" t="s">
        <v>256</v>
      </c>
      <c r="AQ132" t="s">
        <v>2327</v>
      </c>
      <c r="AR132" t="s">
        <v>1063</v>
      </c>
      <c r="AS132" t="s">
        <v>1857</v>
      </c>
      <c r="AT132" t="s">
        <v>1284</v>
      </c>
      <c r="AU132" t="s">
        <v>138</v>
      </c>
      <c r="AV132" t="s">
        <v>1285</v>
      </c>
      <c r="AW132" t="s">
        <v>232</v>
      </c>
      <c r="AX132" s="4" t="str">
        <f t="shared" si="6"/>
        <v>77414</v>
      </c>
      <c r="AY132" t="s">
        <v>120</v>
      </c>
      <c r="BA132" s="5">
        <v>19793187280</v>
      </c>
      <c r="BC132" t="s">
        <v>2328</v>
      </c>
      <c r="BD132" t="s">
        <v>1287</v>
      </c>
      <c r="BG132" t="s">
        <v>1279</v>
      </c>
      <c r="BH132" s="1">
        <v>44895.791666666664</v>
      </c>
      <c r="BI132">
        <v>40</v>
      </c>
      <c r="BJ132">
        <v>0</v>
      </c>
      <c r="BK132">
        <v>10</v>
      </c>
      <c r="BL132">
        <v>10</v>
      </c>
      <c r="BM132">
        <v>10</v>
      </c>
      <c r="BN132">
        <v>10</v>
      </c>
      <c r="BO132">
        <v>0</v>
      </c>
      <c r="BP132">
        <v>0</v>
      </c>
      <c r="BQ132" t="str">
        <f>"7:00 AM"</f>
        <v>7:00 AM</v>
      </c>
      <c r="BR132" t="str">
        <f>"5:00 PM"</f>
        <v>5:00 PM</v>
      </c>
      <c r="BS132" t="s">
        <v>133</v>
      </c>
      <c r="BT132">
        <v>0</v>
      </c>
      <c r="BU132">
        <v>0</v>
      </c>
      <c r="BV132" t="s">
        <v>134</v>
      </c>
      <c r="BX132" s="2" t="s">
        <v>11766</v>
      </c>
      <c r="BY132" t="s">
        <v>11767</v>
      </c>
      <c r="BZ132" t="s">
        <v>138</v>
      </c>
      <c r="CA132" t="s">
        <v>4215</v>
      </c>
      <c r="CB132" t="s">
        <v>1279</v>
      </c>
      <c r="CC132" s="4" t="str">
        <f>"67214"</f>
        <v>67214</v>
      </c>
      <c r="CD132" t="s">
        <v>4216</v>
      </c>
      <c r="CE132" t="s">
        <v>4217</v>
      </c>
      <c r="CF132" s="6">
        <v>15.18</v>
      </c>
      <c r="CH132" s="6">
        <v>22.77</v>
      </c>
      <c r="CJ132" t="s">
        <v>137</v>
      </c>
      <c r="CK132" t="s">
        <v>2332</v>
      </c>
      <c r="CL132" t="s">
        <v>11768</v>
      </c>
      <c r="CO132" t="s">
        <v>138</v>
      </c>
      <c r="CP132" t="s">
        <v>114</v>
      </c>
      <c r="CQ132" t="s">
        <v>114</v>
      </c>
      <c r="CR132" t="s">
        <v>114</v>
      </c>
      <c r="CS132" t="s">
        <v>114</v>
      </c>
      <c r="CT132" t="s">
        <v>114</v>
      </c>
      <c r="CU132" t="s">
        <v>134</v>
      </c>
      <c r="CV132" t="s">
        <v>2056</v>
      </c>
      <c r="CW132" s="5" t="str">
        <f>"+13167688217"</f>
        <v>+13167688217</v>
      </c>
      <c r="CX132" t="s">
        <v>11769</v>
      </c>
      <c r="CY132" t="s">
        <v>138</v>
      </c>
      <c r="CZ132" t="s">
        <v>139</v>
      </c>
      <c r="DA132" t="s">
        <v>134</v>
      </c>
      <c r="DB132" t="s">
        <v>134</v>
      </c>
      <c r="DC132" t="s">
        <v>114</v>
      </c>
      <c r="DD132" t="s">
        <v>134</v>
      </c>
    </row>
    <row r="133" spans="1:113" ht="15" customHeight="1" x14ac:dyDescent="0.25">
      <c r="A133" t="s">
        <v>10153</v>
      </c>
      <c r="B133" t="s">
        <v>165</v>
      </c>
      <c r="C133" s="1">
        <v>44896.429832638889</v>
      </c>
      <c r="D133" s="1">
        <v>44923</v>
      </c>
      <c r="E133" t="s">
        <v>134</v>
      </c>
      <c r="F133" t="s">
        <v>1270</v>
      </c>
      <c r="G133" t="str">
        <f>"37-3011.00"</f>
        <v>37-3011.00</v>
      </c>
      <c r="H133" t="s">
        <v>335</v>
      </c>
      <c r="I133">
        <v>9</v>
      </c>
      <c r="J133">
        <v>9</v>
      </c>
      <c r="K133" s="1">
        <v>44986</v>
      </c>
      <c r="L133" s="1">
        <v>45245</v>
      </c>
      <c r="M133" s="1">
        <v>44986</v>
      </c>
      <c r="N133" s="1">
        <v>45245</v>
      </c>
      <c r="O133" t="s">
        <v>117</v>
      </c>
      <c r="P133" t="s">
        <v>10154</v>
      </c>
      <c r="R133" t="s">
        <v>10155</v>
      </c>
      <c r="S133" t="s">
        <v>138</v>
      </c>
      <c r="T133" t="s">
        <v>10156</v>
      </c>
      <c r="U133" t="s">
        <v>479</v>
      </c>
      <c r="V133" s="4" t="str">
        <f>"24184"</f>
        <v>24184</v>
      </c>
      <c r="W133" t="s">
        <v>120</v>
      </c>
      <c r="X133" t="s">
        <v>138</v>
      </c>
      <c r="Y133" s="5">
        <v>15404843368</v>
      </c>
      <c r="AA133">
        <v>561730</v>
      </c>
      <c r="AB133" t="s">
        <v>1352</v>
      </c>
      <c r="AC133" t="s">
        <v>422</v>
      </c>
      <c r="AD133" t="s">
        <v>138</v>
      </c>
      <c r="AE133" t="s">
        <v>1526</v>
      </c>
      <c r="AF133" t="s">
        <v>10155</v>
      </c>
      <c r="AG133" t="s">
        <v>138</v>
      </c>
      <c r="AH133" t="s">
        <v>10156</v>
      </c>
      <c r="AI133" t="s">
        <v>479</v>
      </c>
      <c r="AJ133" s="4" t="str">
        <f>"24184"</f>
        <v>24184</v>
      </c>
      <c r="AK133" t="s">
        <v>120</v>
      </c>
      <c r="AM133" s="5">
        <v>15404843368</v>
      </c>
      <c r="AO133" t="s">
        <v>10157</v>
      </c>
      <c r="AP133" t="s">
        <v>256</v>
      </c>
      <c r="AQ133" t="s">
        <v>1352</v>
      </c>
      <c r="AR133" t="s">
        <v>1353</v>
      </c>
      <c r="AS133" t="s">
        <v>138</v>
      </c>
      <c r="AT133" t="s">
        <v>1284</v>
      </c>
      <c r="AU133" t="s">
        <v>138</v>
      </c>
      <c r="AV133" t="s">
        <v>1285</v>
      </c>
      <c r="AW133" t="s">
        <v>232</v>
      </c>
      <c r="AX133" s="4" t="str">
        <f t="shared" si="6"/>
        <v>77414</v>
      </c>
      <c r="AY133" t="s">
        <v>120</v>
      </c>
      <c r="BA133" s="5">
        <v>19793187285</v>
      </c>
      <c r="BC133" t="s">
        <v>1354</v>
      </c>
      <c r="BD133" t="s">
        <v>1287</v>
      </c>
      <c r="BG133" t="s">
        <v>479</v>
      </c>
      <c r="BH133" s="1">
        <v>44895.791666666664</v>
      </c>
      <c r="BI133">
        <v>40</v>
      </c>
      <c r="BJ133">
        <v>0</v>
      </c>
      <c r="BK133">
        <v>8</v>
      </c>
      <c r="BL133">
        <v>8</v>
      </c>
      <c r="BM133">
        <v>8</v>
      </c>
      <c r="BN133">
        <v>8</v>
      </c>
      <c r="BO133">
        <v>8</v>
      </c>
      <c r="BP133">
        <v>0</v>
      </c>
      <c r="BQ133" t="str">
        <f>"7:00 AM"</f>
        <v>7:00 AM</v>
      </c>
      <c r="BR133" t="str">
        <f>"4:00 PM"</f>
        <v>4:00 PM</v>
      </c>
      <c r="BS133" t="s">
        <v>133</v>
      </c>
      <c r="BT133">
        <v>0</v>
      </c>
      <c r="BU133">
        <v>0</v>
      </c>
      <c r="BV133" t="s">
        <v>134</v>
      </c>
      <c r="BX133" s="2" t="s">
        <v>10158</v>
      </c>
      <c r="BY133" t="s">
        <v>10159</v>
      </c>
      <c r="BZ133" t="s">
        <v>138</v>
      </c>
      <c r="CA133" t="s">
        <v>3980</v>
      </c>
      <c r="CB133" t="s">
        <v>479</v>
      </c>
      <c r="CC133" s="4" t="str">
        <f>"24092"</f>
        <v>24092</v>
      </c>
      <c r="CD133" t="s">
        <v>1679</v>
      </c>
      <c r="CE133" t="s">
        <v>1424</v>
      </c>
      <c r="CF133" s="6">
        <v>14.16</v>
      </c>
      <c r="CH133" s="6">
        <v>21.24</v>
      </c>
      <c r="CJ133" t="s">
        <v>137</v>
      </c>
      <c r="CK133" t="s">
        <v>2332</v>
      </c>
      <c r="CL133" t="s">
        <v>10160</v>
      </c>
      <c r="CO133" t="s">
        <v>138</v>
      </c>
      <c r="CP133" t="s">
        <v>114</v>
      </c>
      <c r="CQ133" t="s">
        <v>114</v>
      </c>
      <c r="CR133" t="s">
        <v>114</v>
      </c>
      <c r="CS133" t="s">
        <v>114</v>
      </c>
      <c r="CT133" t="s">
        <v>114</v>
      </c>
      <c r="CU133" t="s">
        <v>134</v>
      </c>
      <c r="CV133" t="s">
        <v>1356</v>
      </c>
      <c r="CW133" s="5" t="str">
        <f>"+15404843368"</f>
        <v>+15404843368</v>
      </c>
      <c r="CX133" t="s">
        <v>10157</v>
      </c>
      <c r="CY133" t="s">
        <v>138</v>
      </c>
      <c r="CZ133" t="s">
        <v>139</v>
      </c>
      <c r="DA133" t="s">
        <v>134</v>
      </c>
      <c r="DB133" t="s">
        <v>134</v>
      </c>
      <c r="DC133" t="s">
        <v>114</v>
      </c>
      <c r="DD133" t="s">
        <v>134</v>
      </c>
    </row>
    <row r="134" spans="1:113" ht="15" customHeight="1" x14ac:dyDescent="0.25">
      <c r="A134" t="s">
        <v>5563</v>
      </c>
      <c r="B134" t="s">
        <v>165</v>
      </c>
      <c r="C134" s="1">
        <v>44896.421934027778</v>
      </c>
      <c r="D134" s="1">
        <v>44923</v>
      </c>
      <c r="E134" t="s">
        <v>134</v>
      </c>
      <c r="F134" t="s">
        <v>5564</v>
      </c>
      <c r="G134" t="str">
        <f>"53-7062.00"</f>
        <v>53-7062.00</v>
      </c>
      <c r="H134" t="s">
        <v>245</v>
      </c>
      <c r="I134">
        <v>27</v>
      </c>
      <c r="J134">
        <v>27</v>
      </c>
      <c r="K134" s="1">
        <v>44986</v>
      </c>
      <c r="L134" s="1">
        <v>45260</v>
      </c>
      <c r="M134" s="1">
        <v>44986</v>
      </c>
      <c r="N134" s="1">
        <v>45260</v>
      </c>
      <c r="O134" t="s">
        <v>117</v>
      </c>
      <c r="P134" t="s">
        <v>5565</v>
      </c>
      <c r="R134" t="s">
        <v>5566</v>
      </c>
      <c r="S134" t="s">
        <v>138</v>
      </c>
      <c r="T134" t="s">
        <v>5567</v>
      </c>
      <c r="U134" t="s">
        <v>281</v>
      </c>
      <c r="V134" s="4" t="str">
        <f>"02149"</f>
        <v>02149</v>
      </c>
      <c r="W134" t="s">
        <v>120</v>
      </c>
      <c r="Y134" s="5">
        <v>18579280876</v>
      </c>
      <c r="AA134">
        <v>484210</v>
      </c>
      <c r="AB134" t="s">
        <v>5568</v>
      </c>
      <c r="AC134" t="s">
        <v>5569</v>
      </c>
      <c r="AD134" t="s">
        <v>1857</v>
      </c>
      <c r="AE134" t="s">
        <v>1654</v>
      </c>
      <c r="AF134" t="s">
        <v>5566</v>
      </c>
      <c r="AG134" t="s">
        <v>138</v>
      </c>
      <c r="AH134" t="s">
        <v>5567</v>
      </c>
      <c r="AI134" t="s">
        <v>281</v>
      </c>
      <c r="AJ134" s="4" t="str">
        <f>"02149"</f>
        <v>02149</v>
      </c>
      <c r="AK134" t="s">
        <v>120</v>
      </c>
      <c r="AM134" s="5">
        <v>18579280876</v>
      </c>
      <c r="AO134" t="s">
        <v>5570</v>
      </c>
      <c r="AP134" t="s">
        <v>256</v>
      </c>
      <c r="AQ134" t="s">
        <v>1282</v>
      </c>
      <c r="AR134" t="s">
        <v>1283</v>
      </c>
      <c r="AS134" t="s">
        <v>138</v>
      </c>
      <c r="AT134" t="s">
        <v>1284</v>
      </c>
      <c r="AU134" t="s">
        <v>138</v>
      </c>
      <c r="AV134" t="s">
        <v>1285</v>
      </c>
      <c r="AW134" t="s">
        <v>232</v>
      </c>
      <c r="AX134" s="4" t="str">
        <f t="shared" si="6"/>
        <v>77414</v>
      </c>
      <c r="AY134" t="s">
        <v>120</v>
      </c>
      <c r="BA134" s="5">
        <v>19792457577</v>
      </c>
      <c r="BB134">
        <v>104</v>
      </c>
      <c r="BC134" t="s">
        <v>1286</v>
      </c>
      <c r="BD134" t="s">
        <v>1287</v>
      </c>
      <c r="BG134" t="s">
        <v>281</v>
      </c>
      <c r="BH134" s="1">
        <v>44895.791666666664</v>
      </c>
      <c r="BI134">
        <v>56</v>
      </c>
      <c r="BJ134">
        <v>8</v>
      </c>
      <c r="BK134">
        <v>8</v>
      </c>
      <c r="BL134">
        <v>8</v>
      </c>
      <c r="BM134">
        <v>8</v>
      </c>
      <c r="BN134">
        <v>8</v>
      </c>
      <c r="BO134">
        <v>8</v>
      </c>
      <c r="BP134">
        <v>8</v>
      </c>
      <c r="BQ134" t="str">
        <f>"8:00 AM"</f>
        <v>8:00 AM</v>
      </c>
      <c r="BR134" t="str">
        <f>"4:00 PM"</f>
        <v>4:00 PM</v>
      </c>
      <c r="BS134" t="s">
        <v>133</v>
      </c>
      <c r="BT134">
        <v>0</v>
      </c>
      <c r="BU134">
        <v>0</v>
      </c>
      <c r="BV134" t="s">
        <v>134</v>
      </c>
      <c r="BX134" s="2" t="s">
        <v>5571</v>
      </c>
      <c r="BY134" t="s">
        <v>5566</v>
      </c>
      <c r="BZ134" t="s">
        <v>138</v>
      </c>
      <c r="CA134" t="s">
        <v>5567</v>
      </c>
      <c r="CB134" t="s">
        <v>281</v>
      </c>
      <c r="CC134" s="4" t="str">
        <f>"02149"</f>
        <v>02149</v>
      </c>
      <c r="CD134" t="s">
        <v>2629</v>
      </c>
      <c r="CE134" t="s">
        <v>2630</v>
      </c>
      <c r="CF134" s="6">
        <v>19.059999999999999</v>
      </c>
      <c r="CH134" s="6">
        <v>28.59</v>
      </c>
      <c r="CJ134" t="s">
        <v>137</v>
      </c>
      <c r="CK134" t="s">
        <v>5572</v>
      </c>
      <c r="CL134" t="s">
        <v>5573</v>
      </c>
      <c r="CO134" t="s">
        <v>138</v>
      </c>
      <c r="CP134" t="s">
        <v>114</v>
      </c>
      <c r="CQ134" t="s">
        <v>114</v>
      </c>
      <c r="CR134" t="s">
        <v>114</v>
      </c>
      <c r="CS134" t="s">
        <v>114</v>
      </c>
      <c r="CT134" t="s">
        <v>114</v>
      </c>
      <c r="CU134" t="s">
        <v>134</v>
      </c>
      <c r="CV134" t="s">
        <v>2056</v>
      </c>
      <c r="CW134" s="5" t="str">
        <f>"+18579280876"</f>
        <v>+18579280876</v>
      </c>
      <c r="CX134" t="s">
        <v>5574</v>
      </c>
      <c r="CY134" t="s">
        <v>138</v>
      </c>
      <c r="CZ134" t="s">
        <v>139</v>
      </c>
      <c r="DA134" t="s">
        <v>134</v>
      </c>
      <c r="DB134" t="s">
        <v>114</v>
      </c>
      <c r="DC134" t="s">
        <v>114</v>
      </c>
      <c r="DD134" t="s">
        <v>134</v>
      </c>
    </row>
    <row r="135" spans="1:113" ht="15" customHeight="1" x14ac:dyDescent="0.25">
      <c r="A135" t="s">
        <v>10152</v>
      </c>
      <c r="B135" t="s">
        <v>165</v>
      </c>
      <c r="C135" s="1">
        <v>44896.416373842592</v>
      </c>
      <c r="D135" s="1">
        <v>44923</v>
      </c>
      <c r="E135" t="s">
        <v>134</v>
      </c>
      <c r="F135" t="s">
        <v>334</v>
      </c>
      <c r="G135" t="str">
        <f t="shared" ref="G135:G140" si="7">"37-3011.00"</f>
        <v>37-3011.00</v>
      </c>
      <c r="H135" t="s">
        <v>335</v>
      </c>
      <c r="I135">
        <v>15</v>
      </c>
      <c r="J135">
        <v>15</v>
      </c>
      <c r="K135" s="1">
        <v>44986</v>
      </c>
      <c r="L135" s="1">
        <v>45275</v>
      </c>
      <c r="M135" s="1">
        <v>44986</v>
      </c>
      <c r="N135" s="1">
        <v>45275</v>
      </c>
      <c r="O135" t="s">
        <v>199</v>
      </c>
      <c r="P135" t="s">
        <v>7107</v>
      </c>
      <c r="R135" t="s">
        <v>7108</v>
      </c>
      <c r="S135" t="s">
        <v>7109</v>
      </c>
      <c r="T135" t="s">
        <v>4517</v>
      </c>
      <c r="U135" t="s">
        <v>1003</v>
      </c>
      <c r="V135" s="4" t="str">
        <f>"07621"</f>
        <v>07621</v>
      </c>
      <c r="W135" t="s">
        <v>120</v>
      </c>
      <c r="X135" t="s">
        <v>138</v>
      </c>
      <c r="Y135" s="5">
        <v>12013844905</v>
      </c>
      <c r="AA135">
        <v>561730</v>
      </c>
      <c r="AB135" t="s">
        <v>7110</v>
      </c>
      <c r="AC135" t="s">
        <v>1304</v>
      </c>
      <c r="AD135" t="s">
        <v>138</v>
      </c>
      <c r="AE135" t="s">
        <v>1835</v>
      </c>
      <c r="AF135" t="s">
        <v>7108</v>
      </c>
      <c r="AG135" t="s">
        <v>7109</v>
      </c>
      <c r="AH135" t="s">
        <v>4517</v>
      </c>
      <c r="AI135" t="s">
        <v>1003</v>
      </c>
      <c r="AJ135" s="4" t="str">
        <f>"07621"</f>
        <v>07621</v>
      </c>
      <c r="AK135" t="s">
        <v>120</v>
      </c>
      <c r="AM135" s="5">
        <v>12013844905</v>
      </c>
      <c r="AO135" t="s">
        <v>7111</v>
      </c>
      <c r="AP135" t="s">
        <v>256</v>
      </c>
      <c r="AQ135" t="s">
        <v>1352</v>
      </c>
      <c r="AR135" t="s">
        <v>1353</v>
      </c>
      <c r="AS135" t="s">
        <v>138</v>
      </c>
      <c r="AT135" t="s">
        <v>1284</v>
      </c>
      <c r="AU135" t="s">
        <v>138</v>
      </c>
      <c r="AV135" t="s">
        <v>1285</v>
      </c>
      <c r="AW135" t="s">
        <v>232</v>
      </c>
      <c r="AX135" s="4" t="str">
        <f t="shared" si="6"/>
        <v>77414</v>
      </c>
      <c r="AY135" t="s">
        <v>120</v>
      </c>
      <c r="BA135" s="5">
        <v>19793187285</v>
      </c>
      <c r="BC135" t="s">
        <v>1354</v>
      </c>
      <c r="BD135" t="s">
        <v>1287</v>
      </c>
      <c r="BG135" t="s">
        <v>1003</v>
      </c>
      <c r="BH135" s="1">
        <v>44895.791666666664</v>
      </c>
      <c r="BI135">
        <v>40</v>
      </c>
      <c r="BJ135">
        <v>0</v>
      </c>
      <c r="BK135">
        <v>8</v>
      </c>
      <c r="BL135">
        <v>8</v>
      </c>
      <c r="BM135">
        <v>8</v>
      </c>
      <c r="BN135">
        <v>8</v>
      </c>
      <c r="BO135">
        <v>8</v>
      </c>
      <c r="BP135">
        <v>0</v>
      </c>
      <c r="BQ135" t="str">
        <f>"7:00 AM"</f>
        <v>7:00 AM</v>
      </c>
      <c r="BR135" t="str">
        <f>"4:00 PM"</f>
        <v>4:00 PM</v>
      </c>
      <c r="BS135" t="s">
        <v>133</v>
      </c>
      <c r="BT135">
        <v>0</v>
      </c>
      <c r="BU135">
        <v>0</v>
      </c>
      <c r="BV135" t="s">
        <v>134</v>
      </c>
      <c r="BX135" s="2" t="s">
        <v>7112</v>
      </c>
      <c r="BY135" t="s">
        <v>7113</v>
      </c>
      <c r="BZ135" t="s">
        <v>138</v>
      </c>
      <c r="CA135" t="s">
        <v>4517</v>
      </c>
      <c r="CB135" t="s">
        <v>1003</v>
      </c>
      <c r="CC135" s="4" t="str">
        <f>"07621"</f>
        <v>07621</v>
      </c>
      <c r="CD135" t="s">
        <v>2415</v>
      </c>
      <c r="CE135" t="s">
        <v>1009</v>
      </c>
      <c r="CF135" s="6">
        <v>19.940000000000001</v>
      </c>
      <c r="CG135" s="6">
        <v>27</v>
      </c>
      <c r="CH135" s="6">
        <v>29.91</v>
      </c>
      <c r="CI135" s="6">
        <v>40.5</v>
      </c>
      <c r="CJ135" t="s">
        <v>137</v>
      </c>
      <c r="CK135" t="s">
        <v>4379</v>
      </c>
      <c r="CL135" t="s">
        <v>7114</v>
      </c>
      <c r="CO135" t="s">
        <v>138</v>
      </c>
      <c r="CP135" t="s">
        <v>114</v>
      </c>
      <c r="CQ135" t="s">
        <v>114</v>
      </c>
      <c r="CR135" t="s">
        <v>114</v>
      </c>
      <c r="CS135" t="s">
        <v>114</v>
      </c>
      <c r="CT135" t="s">
        <v>114</v>
      </c>
      <c r="CU135" t="s">
        <v>134</v>
      </c>
      <c r="CV135" t="s">
        <v>133</v>
      </c>
      <c r="CW135" s="5" t="str">
        <f>"+12013844905"</f>
        <v>+12013844905</v>
      </c>
      <c r="CX135" t="s">
        <v>7115</v>
      </c>
      <c r="CY135" t="s">
        <v>138</v>
      </c>
      <c r="CZ135" t="s">
        <v>139</v>
      </c>
      <c r="DA135" t="s">
        <v>134</v>
      </c>
      <c r="DB135" t="s">
        <v>134</v>
      </c>
      <c r="DC135" t="s">
        <v>114</v>
      </c>
      <c r="DD135" t="s">
        <v>134</v>
      </c>
    </row>
    <row r="136" spans="1:113" ht="15" customHeight="1" x14ac:dyDescent="0.25">
      <c r="A136" t="s">
        <v>2879</v>
      </c>
      <c r="B136" t="s">
        <v>165</v>
      </c>
      <c r="C136" s="1">
        <v>44896.416208796298</v>
      </c>
      <c r="D136" s="1">
        <v>44923</v>
      </c>
      <c r="E136" t="s">
        <v>134</v>
      </c>
      <c r="F136" t="s">
        <v>334</v>
      </c>
      <c r="G136" t="str">
        <f t="shared" si="7"/>
        <v>37-3011.00</v>
      </c>
      <c r="H136" t="s">
        <v>335</v>
      </c>
      <c r="I136">
        <v>25</v>
      </c>
      <c r="J136">
        <v>25</v>
      </c>
      <c r="K136" s="1">
        <v>44986</v>
      </c>
      <c r="L136" s="1">
        <v>45275</v>
      </c>
      <c r="M136" s="1">
        <v>44986</v>
      </c>
      <c r="N136" s="1">
        <v>45275</v>
      </c>
      <c r="O136" t="s">
        <v>117</v>
      </c>
      <c r="P136" t="s">
        <v>2880</v>
      </c>
      <c r="R136" t="s">
        <v>2881</v>
      </c>
      <c r="S136" t="s">
        <v>138</v>
      </c>
      <c r="T136" t="s">
        <v>2882</v>
      </c>
      <c r="U136" t="s">
        <v>1411</v>
      </c>
      <c r="V136" s="4" t="str">
        <f>"44321"</f>
        <v>44321</v>
      </c>
      <c r="W136" t="s">
        <v>120</v>
      </c>
      <c r="X136" t="s">
        <v>138</v>
      </c>
      <c r="Y136" s="5">
        <v>13306662655</v>
      </c>
      <c r="AA136">
        <v>561730</v>
      </c>
      <c r="AB136" t="s">
        <v>1815</v>
      </c>
      <c r="AC136" t="s">
        <v>2211</v>
      </c>
      <c r="AD136" t="s">
        <v>2149</v>
      </c>
      <c r="AE136" t="s">
        <v>342</v>
      </c>
      <c r="AF136" t="s">
        <v>2881</v>
      </c>
      <c r="AG136" t="s">
        <v>138</v>
      </c>
      <c r="AH136" t="s">
        <v>2882</v>
      </c>
      <c r="AI136" t="s">
        <v>1411</v>
      </c>
      <c r="AJ136" s="4" t="str">
        <f>"44321"</f>
        <v>44321</v>
      </c>
      <c r="AK136" t="s">
        <v>120</v>
      </c>
      <c r="AM136" s="5">
        <v>13306662655</v>
      </c>
      <c r="AO136" t="s">
        <v>2883</v>
      </c>
      <c r="AP136" t="s">
        <v>256</v>
      </c>
      <c r="AQ136" t="s">
        <v>1282</v>
      </c>
      <c r="AR136" t="s">
        <v>1283</v>
      </c>
      <c r="AS136" t="s">
        <v>138</v>
      </c>
      <c r="AT136" t="s">
        <v>1284</v>
      </c>
      <c r="AU136" t="s">
        <v>138</v>
      </c>
      <c r="AV136" t="s">
        <v>1285</v>
      </c>
      <c r="AW136" t="s">
        <v>232</v>
      </c>
      <c r="AX136" s="4" t="str">
        <f t="shared" si="6"/>
        <v>77414</v>
      </c>
      <c r="AY136" t="s">
        <v>120</v>
      </c>
      <c r="BA136" s="5">
        <v>19793187279</v>
      </c>
      <c r="BC136" t="s">
        <v>1286</v>
      </c>
      <c r="BD136" t="s">
        <v>1287</v>
      </c>
      <c r="BG136" t="s">
        <v>1411</v>
      </c>
      <c r="BH136" s="1">
        <v>44895.791666666664</v>
      </c>
      <c r="BI136">
        <v>45</v>
      </c>
      <c r="BJ136">
        <v>0</v>
      </c>
      <c r="BK136">
        <v>9</v>
      </c>
      <c r="BL136">
        <v>9</v>
      </c>
      <c r="BM136">
        <v>9</v>
      </c>
      <c r="BN136">
        <v>9</v>
      </c>
      <c r="BO136">
        <v>9</v>
      </c>
      <c r="BP136">
        <v>0</v>
      </c>
      <c r="BQ136" t="str">
        <f>"8:00 AM"</f>
        <v>8:00 AM</v>
      </c>
      <c r="BR136" t="str">
        <f>"6:00 PM"</f>
        <v>6:00 PM</v>
      </c>
      <c r="BS136" t="s">
        <v>133</v>
      </c>
      <c r="BT136">
        <v>0</v>
      </c>
      <c r="BU136">
        <v>0</v>
      </c>
      <c r="BV136" t="s">
        <v>134</v>
      </c>
      <c r="BX136" s="2" t="s">
        <v>2884</v>
      </c>
      <c r="BY136" t="s">
        <v>2885</v>
      </c>
      <c r="BZ136" t="s">
        <v>138</v>
      </c>
      <c r="CA136" t="s">
        <v>2882</v>
      </c>
      <c r="CB136" t="s">
        <v>1411</v>
      </c>
      <c r="CC136" s="4" t="str">
        <f>"44321"</f>
        <v>44321</v>
      </c>
      <c r="CD136" t="s">
        <v>1459</v>
      </c>
      <c r="CE136" t="s">
        <v>1460</v>
      </c>
      <c r="CF136" s="6">
        <v>15.77</v>
      </c>
      <c r="CG136" s="6">
        <v>17</v>
      </c>
      <c r="CH136" s="6">
        <v>23.66</v>
      </c>
      <c r="CI136" s="6">
        <v>25.5</v>
      </c>
      <c r="CJ136" t="s">
        <v>137</v>
      </c>
      <c r="CK136" t="s">
        <v>2617</v>
      </c>
      <c r="CL136" t="s">
        <v>2886</v>
      </c>
      <c r="CO136" t="s">
        <v>138</v>
      </c>
      <c r="CP136" t="s">
        <v>114</v>
      </c>
      <c r="CQ136" t="s">
        <v>114</v>
      </c>
      <c r="CR136" t="s">
        <v>114</v>
      </c>
      <c r="CS136" t="s">
        <v>114</v>
      </c>
      <c r="CT136" t="s">
        <v>114</v>
      </c>
      <c r="CU136" t="s">
        <v>114</v>
      </c>
      <c r="CV136" s="2" t="s">
        <v>2887</v>
      </c>
      <c r="CW136" s="5" t="str">
        <f>"+13306662655"</f>
        <v>+13306662655</v>
      </c>
      <c r="CX136" t="s">
        <v>2883</v>
      </c>
      <c r="CY136" t="s">
        <v>138</v>
      </c>
      <c r="CZ136" t="s">
        <v>139</v>
      </c>
      <c r="DA136" t="s">
        <v>134</v>
      </c>
      <c r="DB136" t="s">
        <v>134</v>
      </c>
      <c r="DC136" t="s">
        <v>114</v>
      </c>
      <c r="DD136" t="s">
        <v>134</v>
      </c>
    </row>
    <row r="137" spans="1:113" ht="15" customHeight="1" x14ac:dyDescent="0.25">
      <c r="A137" t="s">
        <v>6027</v>
      </c>
      <c r="B137" t="s">
        <v>165</v>
      </c>
      <c r="C137" s="1">
        <v>44896.414480439817</v>
      </c>
      <c r="D137" s="1">
        <v>44923</v>
      </c>
      <c r="E137" t="s">
        <v>134</v>
      </c>
      <c r="F137" t="s">
        <v>334</v>
      </c>
      <c r="G137" t="str">
        <f t="shared" si="7"/>
        <v>37-3011.00</v>
      </c>
      <c r="H137" t="s">
        <v>335</v>
      </c>
      <c r="I137">
        <v>10</v>
      </c>
      <c r="J137">
        <v>10</v>
      </c>
      <c r="K137" s="1">
        <v>44986</v>
      </c>
      <c r="L137" s="1">
        <v>45272</v>
      </c>
      <c r="M137" s="1">
        <v>44986</v>
      </c>
      <c r="N137" s="1">
        <v>45272</v>
      </c>
      <c r="O137" t="s">
        <v>117</v>
      </c>
      <c r="P137" t="s">
        <v>6028</v>
      </c>
      <c r="R137" t="s">
        <v>6029</v>
      </c>
      <c r="S137" t="s">
        <v>6030</v>
      </c>
      <c r="T137" t="s">
        <v>5796</v>
      </c>
      <c r="U137" t="s">
        <v>479</v>
      </c>
      <c r="V137" s="4" t="str">
        <f>"20166"</f>
        <v>20166</v>
      </c>
      <c r="W137" t="s">
        <v>120</v>
      </c>
      <c r="X137" t="s">
        <v>138</v>
      </c>
      <c r="Y137" s="5">
        <v>17034332739</v>
      </c>
      <c r="AA137">
        <v>561730</v>
      </c>
      <c r="AB137" t="s">
        <v>4522</v>
      </c>
      <c r="AC137" t="s">
        <v>5636</v>
      </c>
      <c r="AE137" t="s">
        <v>1436</v>
      </c>
      <c r="AF137" t="s">
        <v>6029</v>
      </c>
      <c r="AG137" t="s">
        <v>6030</v>
      </c>
      <c r="AH137" t="s">
        <v>5796</v>
      </c>
      <c r="AI137" t="s">
        <v>479</v>
      </c>
      <c r="AJ137" s="4" t="str">
        <f>"20166"</f>
        <v>20166</v>
      </c>
      <c r="AK137" t="s">
        <v>120</v>
      </c>
      <c r="AM137" s="5">
        <v>17034332739</v>
      </c>
      <c r="AO137" t="s">
        <v>6031</v>
      </c>
      <c r="AP137" t="s">
        <v>256</v>
      </c>
      <c r="AQ137" t="s">
        <v>2327</v>
      </c>
      <c r="AR137" t="s">
        <v>1063</v>
      </c>
      <c r="AS137" t="s">
        <v>1857</v>
      </c>
      <c r="AT137" t="s">
        <v>1284</v>
      </c>
      <c r="AU137" t="s">
        <v>138</v>
      </c>
      <c r="AV137" t="s">
        <v>1285</v>
      </c>
      <c r="AW137" t="s">
        <v>232</v>
      </c>
      <c r="AX137" s="4" t="str">
        <f t="shared" si="6"/>
        <v>77414</v>
      </c>
      <c r="AY137" t="s">
        <v>120</v>
      </c>
      <c r="BA137" s="5">
        <v>19793187280</v>
      </c>
      <c r="BC137" t="s">
        <v>2328</v>
      </c>
      <c r="BD137" t="s">
        <v>1287</v>
      </c>
      <c r="BG137" t="s">
        <v>479</v>
      </c>
      <c r="BH137" s="1">
        <v>44895.791666666664</v>
      </c>
      <c r="BI137">
        <v>40</v>
      </c>
      <c r="BJ137">
        <v>0</v>
      </c>
      <c r="BK137">
        <v>8</v>
      </c>
      <c r="BL137">
        <v>8</v>
      </c>
      <c r="BM137">
        <v>8</v>
      </c>
      <c r="BN137">
        <v>8</v>
      </c>
      <c r="BO137">
        <v>8</v>
      </c>
      <c r="BP137">
        <v>0</v>
      </c>
      <c r="BQ137" t="str">
        <f>"7:00 AM"</f>
        <v>7:00 AM</v>
      </c>
      <c r="BR137" t="str">
        <f>"4:00 PM"</f>
        <v>4:00 PM</v>
      </c>
      <c r="BS137" t="s">
        <v>133</v>
      </c>
      <c r="BT137">
        <v>0</v>
      </c>
      <c r="BU137">
        <v>0</v>
      </c>
      <c r="BV137" t="s">
        <v>134</v>
      </c>
      <c r="BX137" s="2" t="s">
        <v>6032</v>
      </c>
      <c r="BY137" t="s">
        <v>6029</v>
      </c>
      <c r="BZ137" t="s">
        <v>138</v>
      </c>
      <c r="CA137" t="s">
        <v>5796</v>
      </c>
      <c r="CB137" t="s">
        <v>479</v>
      </c>
      <c r="CC137" s="4" t="str">
        <f>"20166"</f>
        <v>20166</v>
      </c>
      <c r="CD137" t="s">
        <v>1938</v>
      </c>
      <c r="CE137" t="s">
        <v>355</v>
      </c>
      <c r="CF137" s="6">
        <v>18.36</v>
      </c>
      <c r="CH137" s="6">
        <v>27.54</v>
      </c>
      <c r="CJ137" t="s">
        <v>137</v>
      </c>
      <c r="CK137" t="s">
        <v>4820</v>
      </c>
      <c r="CL137" t="s">
        <v>6033</v>
      </c>
      <c r="CO137" t="s">
        <v>138</v>
      </c>
      <c r="CP137" t="s">
        <v>114</v>
      </c>
      <c r="CQ137" t="s">
        <v>114</v>
      </c>
      <c r="CR137" t="s">
        <v>114</v>
      </c>
      <c r="CS137" t="s">
        <v>114</v>
      </c>
      <c r="CT137" t="s">
        <v>114</v>
      </c>
      <c r="CU137" t="s">
        <v>134</v>
      </c>
      <c r="CV137" t="s">
        <v>4424</v>
      </c>
      <c r="CW137" s="5" t="str">
        <f>"+17034332739"</f>
        <v>+17034332739</v>
      </c>
      <c r="CX137" t="s">
        <v>6031</v>
      </c>
      <c r="CY137" t="s">
        <v>138</v>
      </c>
      <c r="CZ137" t="s">
        <v>139</v>
      </c>
      <c r="DA137" t="s">
        <v>134</v>
      </c>
      <c r="DB137" t="s">
        <v>134</v>
      </c>
      <c r="DC137" t="s">
        <v>114</v>
      </c>
      <c r="DD137" t="s">
        <v>134</v>
      </c>
    </row>
    <row r="138" spans="1:113" ht="15" customHeight="1" x14ac:dyDescent="0.25">
      <c r="A138" t="s">
        <v>16688</v>
      </c>
      <c r="B138" t="s">
        <v>165</v>
      </c>
      <c r="C138" s="1">
        <v>44896.412913425927</v>
      </c>
      <c r="D138" s="1">
        <v>44923</v>
      </c>
      <c r="E138" t="s">
        <v>134</v>
      </c>
      <c r="F138" t="s">
        <v>334</v>
      </c>
      <c r="G138" t="str">
        <f t="shared" si="7"/>
        <v>37-3011.00</v>
      </c>
      <c r="H138" t="s">
        <v>335</v>
      </c>
      <c r="I138">
        <v>8</v>
      </c>
      <c r="J138">
        <v>8</v>
      </c>
      <c r="K138" s="1">
        <v>44986</v>
      </c>
      <c r="L138" s="1">
        <v>45261</v>
      </c>
      <c r="M138" s="1">
        <v>44986</v>
      </c>
      <c r="N138" s="1">
        <v>45261</v>
      </c>
      <c r="O138" t="s">
        <v>199</v>
      </c>
      <c r="P138" t="s">
        <v>13368</v>
      </c>
      <c r="R138" t="s">
        <v>13369</v>
      </c>
      <c r="S138" t="s">
        <v>13370</v>
      </c>
      <c r="T138" t="s">
        <v>13371</v>
      </c>
      <c r="U138" t="s">
        <v>1003</v>
      </c>
      <c r="V138" s="4" t="str">
        <f>"08867"</f>
        <v>08867</v>
      </c>
      <c r="W138" t="s">
        <v>120</v>
      </c>
      <c r="Y138" s="5">
        <v>18884673636</v>
      </c>
      <c r="Z138">
        <v>407</v>
      </c>
      <c r="AA138">
        <v>561730</v>
      </c>
      <c r="AB138" t="s">
        <v>13372</v>
      </c>
      <c r="AC138" t="s">
        <v>2208</v>
      </c>
      <c r="AE138" t="s">
        <v>342</v>
      </c>
      <c r="AF138" t="s">
        <v>13369</v>
      </c>
      <c r="AG138" t="s">
        <v>13370</v>
      </c>
      <c r="AH138" t="s">
        <v>13371</v>
      </c>
      <c r="AI138" t="s">
        <v>1003</v>
      </c>
      <c r="AJ138" s="4" t="str">
        <f>"08867"</f>
        <v>08867</v>
      </c>
      <c r="AK138" t="s">
        <v>120</v>
      </c>
      <c r="AM138" s="5">
        <v>18884673636</v>
      </c>
      <c r="AN138">
        <v>407</v>
      </c>
      <c r="AO138" t="s">
        <v>13373</v>
      </c>
      <c r="AP138" t="s">
        <v>256</v>
      </c>
      <c r="AQ138" t="s">
        <v>2327</v>
      </c>
      <c r="AR138" t="s">
        <v>1063</v>
      </c>
      <c r="AS138" t="s">
        <v>1857</v>
      </c>
      <c r="AT138" t="s">
        <v>1284</v>
      </c>
      <c r="AU138" t="s">
        <v>138</v>
      </c>
      <c r="AV138" t="s">
        <v>1285</v>
      </c>
      <c r="AW138" t="s">
        <v>232</v>
      </c>
      <c r="AX138" s="4" t="str">
        <f t="shared" si="6"/>
        <v>77414</v>
      </c>
      <c r="AY138" t="s">
        <v>120</v>
      </c>
      <c r="BA138" s="5">
        <v>19793187280</v>
      </c>
      <c r="BC138" t="s">
        <v>2328</v>
      </c>
      <c r="BD138" t="s">
        <v>1287</v>
      </c>
      <c r="BG138" t="s">
        <v>1003</v>
      </c>
      <c r="BH138" s="1">
        <v>44895.791666666664</v>
      </c>
      <c r="BI138">
        <v>45</v>
      </c>
      <c r="BJ138">
        <v>0</v>
      </c>
      <c r="BK138">
        <v>9</v>
      </c>
      <c r="BL138">
        <v>9</v>
      </c>
      <c r="BM138">
        <v>9</v>
      </c>
      <c r="BN138">
        <v>9</v>
      </c>
      <c r="BO138">
        <v>9</v>
      </c>
      <c r="BP138">
        <v>0</v>
      </c>
      <c r="BQ138" t="str">
        <f>"8:00 AM"</f>
        <v>8:00 AM</v>
      </c>
      <c r="BR138" t="str">
        <f>"5:00 PM"</f>
        <v>5:00 PM</v>
      </c>
      <c r="BS138" t="s">
        <v>133</v>
      </c>
      <c r="BT138">
        <v>0</v>
      </c>
      <c r="BU138">
        <v>0</v>
      </c>
      <c r="BV138" t="s">
        <v>134</v>
      </c>
      <c r="BX138" s="2" t="s">
        <v>13374</v>
      </c>
      <c r="BY138" t="s">
        <v>13375</v>
      </c>
      <c r="BZ138" t="s">
        <v>138</v>
      </c>
      <c r="CA138" t="s">
        <v>13371</v>
      </c>
      <c r="CB138" t="s">
        <v>1003</v>
      </c>
      <c r="CC138" s="4" t="str">
        <f>"08867"</f>
        <v>08867</v>
      </c>
      <c r="CD138" t="s">
        <v>2664</v>
      </c>
      <c r="CE138" t="s">
        <v>1009</v>
      </c>
      <c r="CF138" s="6">
        <v>19.940000000000001</v>
      </c>
      <c r="CG138" s="6">
        <v>27</v>
      </c>
      <c r="CH138" s="6">
        <v>29.91</v>
      </c>
      <c r="CI138" s="6">
        <v>40.5</v>
      </c>
      <c r="CJ138" t="s">
        <v>137</v>
      </c>
      <c r="CK138" t="s">
        <v>3984</v>
      </c>
      <c r="CL138" t="s">
        <v>13376</v>
      </c>
      <c r="CO138" t="s">
        <v>138</v>
      </c>
      <c r="CP138" t="s">
        <v>114</v>
      </c>
      <c r="CQ138" t="s">
        <v>114</v>
      </c>
      <c r="CR138" t="s">
        <v>114</v>
      </c>
      <c r="CS138" t="s">
        <v>114</v>
      </c>
      <c r="CT138" t="s">
        <v>114</v>
      </c>
      <c r="CU138" t="s">
        <v>134</v>
      </c>
      <c r="CV138" t="s">
        <v>1356</v>
      </c>
      <c r="CW138" s="5" t="str">
        <f>"+18884673636"</f>
        <v>+18884673636</v>
      </c>
      <c r="CX138" t="s">
        <v>13373</v>
      </c>
      <c r="CY138" t="s">
        <v>138</v>
      </c>
      <c r="CZ138" t="s">
        <v>139</v>
      </c>
      <c r="DA138" t="s">
        <v>134</v>
      </c>
      <c r="DB138" t="s">
        <v>134</v>
      </c>
      <c r="DC138" t="s">
        <v>114</v>
      </c>
      <c r="DD138" t="s">
        <v>134</v>
      </c>
    </row>
    <row r="139" spans="1:113" ht="15" customHeight="1" x14ac:dyDescent="0.25">
      <c r="A139" t="s">
        <v>16097</v>
      </c>
      <c r="B139" t="s">
        <v>165</v>
      </c>
      <c r="C139" s="1">
        <v>44896.40650636574</v>
      </c>
      <c r="D139" s="1">
        <v>44923</v>
      </c>
      <c r="E139" t="s">
        <v>134</v>
      </c>
      <c r="F139" t="s">
        <v>334</v>
      </c>
      <c r="G139" t="str">
        <f t="shared" si="7"/>
        <v>37-3011.00</v>
      </c>
      <c r="H139" t="s">
        <v>335</v>
      </c>
      <c r="I139">
        <v>32</v>
      </c>
      <c r="J139">
        <v>32</v>
      </c>
      <c r="K139" s="1">
        <v>44986</v>
      </c>
      <c r="L139" s="1">
        <v>45275</v>
      </c>
      <c r="M139" s="1">
        <v>44986</v>
      </c>
      <c r="N139" s="1">
        <v>45275</v>
      </c>
      <c r="O139" t="s">
        <v>117</v>
      </c>
      <c r="P139" t="s">
        <v>16098</v>
      </c>
      <c r="Q139" t="s">
        <v>16099</v>
      </c>
      <c r="R139" t="s">
        <v>16100</v>
      </c>
      <c r="S139" t="s">
        <v>16101</v>
      </c>
      <c r="T139" t="s">
        <v>16102</v>
      </c>
      <c r="U139" t="s">
        <v>657</v>
      </c>
      <c r="V139" s="4" t="str">
        <f>"37027"</f>
        <v>37027</v>
      </c>
      <c r="W139" t="s">
        <v>120</v>
      </c>
      <c r="Y139" s="5">
        <v>16153730722</v>
      </c>
      <c r="AA139">
        <v>56173</v>
      </c>
      <c r="AB139" t="s">
        <v>653</v>
      </c>
      <c r="AC139" t="s">
        <v>2678</v>
      </c>
      <c r="AE139" t="s">
        <v>342</v>
      </c>
      <c r="AF139" t="s">
        <v>16100</v>
      </c>
      <c r="AG139" t="s">
        <v>16101</v>
      </c>
      <c r="AH139" t="s">
        <v>16102</v>
      </c>
      <c r="AI139" t="s">
        <v>657</v>
      </c>
      <c r="AJ139" s="4" t="str">
        <f>"37027"</f>
        <v>37027</v>
      </c>
      <c r="AK139" t="s">
        <v>120</v>
      </c>
      <c r="AM139" s="5">
        <v>16153730722</v>
      </c>
      <c r="AO139" t="s">
        <v>16103</v>
      </c>
      <c r="AP139" t="s">
        <v>256</v>
      </c>
      <c r="AQ139" t="s">
        <v>475</v>
      </c>
      <c r="AR139" t="s">
        <v>476</v>
      </c>
      <c r="AT139" t="s">
        <v>477</v>
      </c>
      <c r="AV139" t="s">
        <v>478</v>
      </c>
      <c r="AW139" t="s">
        <v>479</v>
      </c>
      <c r="AX139" s="4" t="str">
        <f>"22903"</f>
        <v>22903</v>
      </c>
      <c r="AY139" t="s">
        <v>120</v>
      </c>
      <c r="BA139" s="5">
        <v>14342634300</v>
      </c>
      <c r="BC139" t="s">
        <v>2910</v>
      </c>
      <c r="BD139" t="s">
        <v>481</v>
      </c>
      <c r="BG139" t="s">
        <v>657</v>
      </c>
      <c r="BH139" s="1">
        <v>44895.791666666664</v>
      </c>
      <c r="BI139">
        <v>40</v>
      </c>
      <c r="BJ139">
        <v>0</v>
      </c>
      <c r="BK139">
        <v>8</v>
      </c>
      <c r="BL139">
        <v>8</v>
      </c>
      <c r="BM139">
        <v>8</v>
      </c>
      <c r="BN139">
        <v>8</v>
      </c>
      <c r="BO139">
        <v>8</v>
      </c>
      <c r="BP139">
        <v>0</v>
      </c>
      <c r="BQ139" t="str">
        <f>"6:30 AM"</f>
        <v>6:30 AM</v>
      </c>
      <c r="BR139" t="str">
        <f>"3:30 PM"</f>
        <v>3:30 PM</v>
      </c>
      <c r="BS139" t="s">
        <v>133</v>
      </c>
      <c r="BT139">
        <v>0</v>
      </c>
      <c r="BU139">
        <v>0</v>
      </c>
      <c r="BV139" t="s">
        <v>134</v>
      </c>
      <c r="BX139" s="2" t="s">
        <v>482</v>
      </c>
      <c r="BY139" t="s">
        <v>16100</v>
      </c>
      <c r="CA139" t="s">
        <v>16102</v>
      </c>
      <c r="CB139" t="s">
        <v>657</v>
      </c>
      <c r="CC139" s="4" t="str">
        <f>"37027"</f>
        <v>37027</v>
      </c>
      <c r="CD139" t="s">
        <v>2834</v>
      </c>
      <c r="CE139" t="s">
        <v>1667</v>
      </c>
      <c r="CF139" s="6">
        <v>16.04</v>
      </c>
      <c r="CH139" s="6">
        <v>24.06</v>
      </c>
      <c r="CJ139" t="s">
        <v>137</v>
      </c>
      <c r="CK139" t="s">
        <v>487</v>
      </c>
      <c r="CL139" t="s">
        <v>16104</v>
      </c>
      <c r="CO139" t="s">
        <v>138</v>
      </c>
      <c r="CP139" t="s">
        <v>114</v>
      </c>
      <c r="CQ139" t="s">
        <v>114</v>
      </c>
      <c r="CR139" t="s">
        <v>114</v>
      </c>
      <c r="CS139" t="s">
        <v>114</v>
      </c>
      <c r="CT139" t="s">
        <v>114</v>
      </c>
      <c r="CU139" t="s">
        <v>114</v>
      </c>
      <c r="CV139" t="s">
        <v>16105</v>
      </c>
      <c r="CW139" s="5" t="str">
        <f>"N/A"</f>
        <v>N/A</v>
      </c>
      <c r="CX139" t="s">
        <v>16106</v>
      </c>
      <c r="CY139" t="s">
        <v>1668</v>
      </c>
      <c r="CZ139" t="s">
        <v>139</v>
      </c>
      <c r="DA139" t="s">
        <v>134</v>
      </c>
      <c r="DB139" t="s">
        <v>114</v>
      </c>
      <c r="DC139" t="s">
        <v>114</v>
      </c>
      <c r="DD139" t="s">
        <v>134</v>
      </c>
      <c r="DE139" t="s">
        <v>2773</v>
      </c>
      <c r="DF139" t="s">
        <v>2140</v>
      </c>
      <c r="DH139" t="s">
        <v>481</v>
      </c>
      <c r="DI139" t="s">
        <v>2910</v>
      </c>
    </row>
    <row r="140" spans="1:113" ht="15" customHeight="1" x14ac:dyDescent="0.25">
      <c r="A140" t="s">
        <v>2716</v>
      </c>
      <c r="B140" t="s">
        <v>165</v>
      </c>
      <c r="C140" s="1">
        <v>44896.406157407408</v>
      </c>
      <c r="D140" s="1">
        <v>44923</v>
      </c>
      <c r="E140" t="s">
        <v>134</v>
      </c>
      <c r="F140" t="s">
        <v>1248</v>
      </c>
      <c r="G140" t="str">
        <f t="shared" si="7"/>
        <v>37-3011.00</v>
      </c>
      <c r="H140" t="s">
        <v>335</v>
      </c>
      <c r="I140">
        <v>15</v>
      </c>
      <c r="J140">
        <v>15</v>
      </c>
      <c r="K140" s="1">
        <v>44986</v>
      </c>
      <c r="L140" s="1">
        <v>45230</v>
      </c>
      <c r="M140" s="1">
        <v>44986</v>
      </c>
      <c r="N140" s="1">
        <v>45230</v>
      </c>
      <c r="O140" t="s">
        <v>199</v>
      </c>
      <c r="P140" t="s">
        <v>2717</v>
      </c>
      <c r="R140" t="s">
        <v>2718</v>
      </c>
      <c r="T140" t="s">
        <v>1592</v>
      </c>
      <c r="U140" t="s">
        <v>619</v>
      </c>
      <c r="V140" s="4" t="str">
        <f>"40324"</f>
        <v>40324</v>
      </c>
      <c r="W140" t="s">
        <v>120</v>
      </c>
      <c r="Y140" s="5">
        <v>18596211552</v>
      </c>
      <c r="AA140">
        <v>56173</v>
      </c>
      <c r="AB140" t="s">
        <v>2719</v>
      </c>
      <c r="AC140" t="s">
        <v>2720</v>
      </c>
      <c r="AE140" t="s">
        <v>700</v>
      </c>
      <c r="AF140" t="s">
        <v>2718</v>
      </c>
      <c r="AH140" t="s">
        <v>1592</v>
      </c>
      <c r="AI140" t="s">
        <v>619</v>
      </c>
      <c r="AJ140" s="4" t="str">
        <f>"40324"</f>
        <v>40324</v>
      </c>
      <c r="AK140" t="s">
        <v>120</v>
      </c>
      <c r="AM140" s="5">
        <v>18596211552</v>
      </c>
      <c r="AO140" t="s">
        <v>2721</v>
      </c>
      <c r="AP140" t="s">
        <v>122</v>
      </c>
      <c r="AQ140" t="s">
        <v>1250</v>
      </c>
      <c r="AR140" t="s">
        <v>1251</v>
      </c>
      <c r="AS140" t="s">
        <v>259</v>
      </c>
      <c r="AT140" t="s">
        <v>1252</v>
      </c>
      <c r="AV140" t="s">
        <v>1253</v>
      </c>
      <c r="AW140" t="s">
        <v>657</v>
      </c>
      <c r="AX140" s="4" t="str">
        <f>"37110"</f>
        <v>37110</v>
      </c>
      <c r="AY140" t="s">
        <v>120</v>
      </c>
      <c r="BA140" s="5">
        <v>19312747811</v>
      </c>
      <c r="BC140" t="s">
        <v>1254</v>
      </c>
      <c r="BD140" t="s">
        <v>1255</v>
      </c>
      <c r="BE140" t="s">
        <v>657</v>
      </c>
      <c r="BF140" t="s">
        <v>1256</v>
      </c>
      <c r="BG140" t="s">
        <v>619</v>
      </c>
      <c r="BH140" s="1">
        <v>44895.791666666664</v>
      </c>
      <c r="BI140">
        <v>40</v>
      </c>
      <c r="BJ140">
        <v>0</v>
      </c>
      <c r="BK140">
        <v>8</v>
      </c>
      <c r="BL140">
        <v>8</v>
      </c>
      <c r="BM140">
        <v>8</v>
      </c>
      <c r="BN140">
        <v>8</v>
      </c>
      <c r="BO140">
        <v>8</v>
      </c>
      <c r="BP140">
        <v>0</v>
      </c>
      <c r="BQ140" t="str">
        <f>"7:00 AM"</f>
        <v>7:00 AM</v>
      </c>
      <c r="BR140" t="str">
        <f>"4:00 PM"</f>
        <v>4:00 PM</v>
      </c>
      <c r="BS140" t="s">
        <v>133</v>
      </c>
      <c r="BT140">
        <v>0</v>
      </c>
      <c r="BU140">
        <v>3</v>
      </c>
      <c r="BV140" t="s">
        <v>134</v>
      </c>
      <c r="BX140" s="2" t="s">
        <v>2722</v>
      </c>
      <c r="BY140" t="s">
        <v>2723</v>
      </c>
      <c r="CA140" t="s">
        <v>1592</v>
      </c>
      <c r="CB140" t="s">
        <v>619</v>
      </c>
      <c r="CC140" s="4" t="str">
        <f>"40324"</f>
        <v>40324</v>
      </c>
      <c r="CD140" t="s">
        <v>1707</v>
      </c>
      <c r="CE140" t="s">
        <v>1708</v>
      </c>
      <c r="CF140" s="6">
        <v>15.4</v>
      </c>
      <c r="CH140" s="6">
        <v>23.1</v>
      </c>
      <c r="CJ140" t="s">
        <v>137</v>
      </c>
      <c r="CL140" t="s">
        <v>2724</v>
      </c>
      <c r="CO140" t="s">
        <v>138</v>
      </c>
      <c r="CP140" t="s">
        <v>114</v>
      </c>
      <c r="CQ140" t="s">
        <v>114</v>
      </c>
      <c r="CR140" t="s">
        <v>114</v>
      </c>
      <c r="CS140" t="s">
        <v>134</v>
      </c>
      <c r="CT140" t="s">
        <v>114</v>
      </c>
      <c r="CU140" t="s">
        <v>134</v>
      </c>
      <c r="CV140" t="s">
        <v>138</v>
      </c>
      <c r="CW140" s="5" t="str">
        <f>"+15025700910"</f>
        <v>+15025700910</v>
      </c>
      <c r="CX140" t="s">
        <v>2725</v>
      </c>
      <c r="CY140" t="s">
        <v>138</v>
      </c>
      <c r="CZ140" t="s">
        <v>139</v>
      </c>
      <c r="DA140" t="s">
        <v>134</v>
      </c>
      <c r="DB140" t="s">
        <v>134</v>
      </c>
      <c r="DC140" t="s">
        <v>114</v>
      </c>
      <c r="DD140" t="s">
        <v>134</v>
      </c>
    </row>
    <row r="141" spans="1:113" ht="15" customHeight="1" x14ac:dyDescent="0.25">
      <c r="A141" t="s">
        <v>12633</v>
      </c>
      <c r="B141" t="s">
        <v>165</v>
      </c>
      <c r="C141" s="1">
        <v>44896.40475671296</v>
      </c>
      <c r="D141" s="1">
        <v>44923</v>
      </c>
      <c r="E141" t="s">
        <v>134</v>
      </c>
      <c r="F141" t="s">
        <v>12634</v>
      </c>
      <c r="G141" t="str">
        <f>"47-2051.00"</f>
        <v>47-2051.00</v>
      </c>
      <c r="H141" t="s">
        <v>1508</v>
      </c>
      <c r="I141">
        <v>5</v>
      </c>
      <c r="J141">
        <v>5</v>
      </c>
      <c r="K141" s="1">
        <v>44986</v>
      </c>
      <c r="L141" s="1">
        <v>45229</v>
      </c>
      <c r="M141" s="1">
        <v>44986</v>
      </c>
      <c r="N141" s="1">
        <v>45229</v>
      </c>
      <c r="O141" t="s">
        <v>199</v>
      </c>
      <c r="P141" t="s">
        <v>12635</v>
      </c>
      <c r="R141" t="s">
        <v>12636</v>
      </c>
      <c r="S141" t="s">
        <v>138</v>
      </c>
      <c r="T141" t="s">
        <v>1116</v>
      </c>
      <c r="U141" t="s">
        <v>657</v>
      </c>
      <c r="V141" s="4" t="str">
        <f>"38305"</f>
        <v>38305</v>
      </c>
      <c r="W141" t="s">
        <v>120</v>
      </c>
      <c r="X141" t="s">
        <v>138</v>
      </c>
      <c r="Y141" s="5">
        <v>17316685613</v>
      </c>
      <c r="Z141">
        <v>0</v>
      </c>
      <c r="AA141">
        <v>23622</v>
      </c>
      <c r="AB141" t="s">
        <v>12637</v>
      </c>
      <c r="AC141" t="s">
        <v>6731</v>
      </c>
      <c r="AD141" t="s">
        <v>138</v>
      </c>
      <c r="AE141" t="s">
        <v>700</v>
      </c>
      <c r="AF141" t="s">
        <v>12636</v>
      </c>
      <c r="AG141" t="s">
        <v>138</v>
      </c>
      <c r="AH141" t="s">
        <v>1116</v>
      </c>
      <c r="AI141" t="s">
        <v>657</v>
      </c>
      <c r="AJ141" s="4" t="str">
        <f>"38305"</f>
        <v>38305</v>
      </c>
      <c r="AK141" t="s">
        <v>120</v>
      </c>
      <c r="AM141" s="5">
        <v>17316685613</v>
      </c>
      <c r="AN141">
        <v>0</v>
      </c>
      <c r="AO141" t="s">
        <v>12638</v>
      </c>
      <c r="AP141" t="s">
        <v>122</v>
      </c>
      <c r="AQ141" t="s">
        <v>1250</v>
      </c>
      <c r="AR141" t="s">
        <v>1251</v>
      </c>
      <c r="AS141" t="s">
        <v>259</v>
      </c>
      <c r="AT141" t="s">
        <v>1252</v>
      </c>
      <c r="AV141" t="s">
        <v>1253</v>
      </c>
      <c r="AW141" t="s">
        <v>657</v>
      </c>
      <c r="AX141" s="4" t="str">
        <f>"37110"</f>
        <v>37110</v>
      </c>
      <c r="AY141" t="s">
        <v>120</v>
      </c>
      <c r="BA141" s="5">
        <v>19312747811</v>
      </c>
      <c r="BC141" t="s">
        <v>1254</v>
      </c>
      <c r="BD141" t="s">
        <v>1255</v>
      </c>
      <c r="BE141" t="s">
        <v>657</v>
      </c>
      <c r="BF141" t="s">
        <v>1256</v>
      </c>
      <c r="BG141" t="s">
        <v>657</v>
      </c>
      <c r="BH141" s="1">
        <v>45260.791666666664</v>
      </c>
      <c r="BI141">
        <v>40</v>
      </c>
      <c r="BJ141">
        <v>0</v>
      </c>
      <c r="BK141">
        <v>8</v>
      </c>
      <c r="BL141">
        <v>8</v>
      </c>
      <c r="BM141">
        <v>8</v>
      </c>
      <c r="BN141">
        <v>8</v>
      </c>
      <c r="BO141">
        <v>8</v>
      </c>
      <c r="BP141">
        <v>0</v>
      </c>
      <c r="BQ141" t="str">
        <f>"7:00 AM"</f>
        <v>7:00 AM</v>
      </c>
      <c r="BR141" t="str">
        <f>"4:00 PM"</f>
        <v>4:00 PM</v>
      </c>
      <c r="BS141" t="s">
        <v>133</v>
      </c>
      <c r="BT141">
        <v>0</v>
      </c>
      <c r="BU141">
        <v>0</v>
      </c>
      <c r="BV141" t="s">
        <v>134</v>
      </c>
      <c r="BX141" s="2" t="s">
        <v>12639</v>
      </c>
      <c r="BY141" t="s">
        <v>12636</v>
      </c>
      <c r="CA141" t="s">
        <v>1116</v>
      </c>
      <c r="CB141" t="s">
        <v>657</v>
      </c>
      <c r="CC141" s="4" t="str">
        <f>"38305"</f>
        <v>38305</v>
      </c>
      <c r="CD141" t="s">
        <v>2258</v>
      </c>
      <c r="CE141" t="s">
        <v>2987</v>
      </c>
      <c r="CF141" s="6">
        <v>19.09</v>
      </c>
      <c r="CH141" s="6">
        <v>28.67</v>
      </c>
      <c r="CJ141" t="s">
        <v>137</v>
      </c>
      <c r="CL141" t="s">
        <v>12640</v>
      </c>
      <c r="CO141" t="s">
        <v>138</v>
      </c>
      <c r="CP141" t="s">
        <v>114</v>
      </c>
      <c r="CQ141" t="s">
        <v>114</v>
      </c>
      <c r="CR141" t="s">
        <v>114</v>
      </c>
      <c r="CS141" t="s">
        <v>134</v>
      </c>
      <c r="CT141" t="s">
        <v>114</v>
      </c>
      <c r="CU141" t="s">
        <v>134</v>
      </c>
      <c r="CV141" t="s">
        <v>138</v>
      </c>
      <c r="CW141" s="5" t="str">
        <f>"+17316685613"</f>
        <v>+17316685613</v>
      </c>
      <c r="CX141" t="s">
        <v>12641</v>
      </c>
      <c r="CY141" t="s">
        <v>138</v>
      </c>
      <c r="CZ141" t="s">
        <v>139</v>
      </c>
      <c r="DA141" t="s">
        <v>134</v>
      </c>
      <c r="DB141" t="s">
        <v>134</v>
      </c>
      <c r="DC141" t="s">
        <v>114</v>
      </c>
      <c r="DD141" t="s">
        <v>134</v>
      </c>
    </row>
    <row r="142" spans="1:113" ht="15" customHeight="1" x14ac:dyDescent="0.25">
      <c r="A142" t="s">
        <v>14166</v>
      </c>
      <c r="B142" t="s">
        <v>165</v>
      </c>
      <c r="C142" s="1">
        <v>44896.396998842596</v>
      </c>
      <c r="D142" s="1">
        <v>44923</v>
      </c>
      <c r="E142" t="s">
        <v>134</v>
      </c>
      <c r="F142" t="s">
        <v>115</v>
      </c>
      <c r="G142" t="str">
        <f>"37-2012.00"</f>
        <v>37-2012.00</v>
      </c>
      <c r="H142" t="s">
        <v>116</v>
      </c>
      <c r="I142">
        <v>10</v>
      </c>
      <c r="J142">
        <v>10</v>
      </c>
      <c r="K142" s="1">
        <v>44986</v>
      </c>
      <c r="L142" s="1">
        <v>45260</v>
      </c>
      <c r="M142" s="1">
        <v>44986</v>
      </c>
      <c r="N142" s="1">
        <v>45260</v>
      </c>
      <c r="O142" t="s">
        <v>117</v>
      </c>
      <c r="P142" t="s">
        <v>3438</v>
      </c>
      <c r="R142" t="s">
        <v>3439</v>
      </c>
      <c r="T142" t="s">
        <v>3440</v>
      </c>
      <c r="U142" t="s">
        <v>232</v>
      </c>
      <c r="V142" s="4" t="str">
        <f>"78620"</f>
        <v>78620</v>
      </c>
      <c r="W142" t="s">
        <v>120</v>
      </c>
      <c r="Y142" s="5">
        <v>15124781888</v>
      </c>
      <c r="AA142">
        <v>561720</v>
      </c>
      <c r="AB142" t="s">
        <v>3441</v>
      </c>
      <c r="AC142" t="s">
        <v>2645</v>
      </c>
      <c r="AD142" t="s">
        <v>177</v>
      </c>
      <c r="AE142" t="s">
        <v>1831</v>
      </c>
      <c r="AF142" t="s">
        <v>3439</v>
      </c>
      <c r="AH142" t="s">
        <v>3442</v>
      </c>
      <c r="AI142" t="s">
        <v>232</v>
      </c>
      <c r="AJ142" s="4" t="str">
        <f>"78620"</f>
        <v>78620</v>
      </c>
      <c r="AK142" t="s">
        <v>120</v>
      </c>
      <c r="AM142" s="5">
        <v>15124781888</v>
      </c>
      <c r="AO142" t="s">
        <v>3443</v>
      </c>
      <c r="AP142" t="s">
        <v>256</v>
      </c>
      <c r="AQ142" t="s">
        <v>400</v>
      </c>
      <c r="AR142" t="s">
        <v>401</v>
      </c>
      <c r="AS142" t="s">
        <v>397</v>
      </c>
      <c r="AT142" t="s">
        <v>402</v>
      </c>
      <c r="AU142" t="s">
        <v>152</v>
      </c>
      <c r="AV142" t="s">
        <v>403</v>
      </c>
      <c r="AW142" t="s">
        <v>232</v>
      </c>
      <c r="AX142" s="4" t="str">
        <f>"75033"</f>
        <v>75033</v>
      </c>
      <c r="AY142" t="s">
        <v>120</v>
      </c>
      <c r="BA142" s="5">
        <v>19727789690</v>
      </c>
      <c r="BC142" t="s">
        <v>3444</v>
      </c>
      <c r="BD142" t="s">
        <v>405</v>
      </c>
      <c r="BG142" t="s">
        <v>394</v>
      </c>
      <c r="BH142" s="1">
        <v>44895.791666666664</v>
      </c>
      <c r="BI142">
        <v>40</v>
      </c>
      <c r="BJ142">
        <v>8</v>
      </c>
      <c r="BK142">
        <v>0</v>
      </c>
      <c r="BL142">
        <v>0</v>
      </c>
      <c r="BM142">
        <v>8</v>
      </c>
      <c r="BN142">
        <v>8</v>
      </c>
      <c r="BO142">
        <v>8</v>
      </c>
      <c r="BP142">
        <v>8</v>
      </c>
      <c r="BQ142" t="str">
        <f>"9:00 AM"</f>
        <v>9:00 AM</v>
      </c>
      <c r="BR142" t="str">
        <f>"5:30 PM"</f>
        <v>5:30 PM</v>
      </c>
      <c r="BS142" t="s">
        <v>133</v>
      </c>
      <c r="BT142">
        <v>0</v>
      </c>
      <c r="BU142">
        <v>0</v>
      </c>
      <c r="BV142" t="s">
        <v>134</v>
      </c>
      <c r="BX142" s="2" t="s">
        <v>14167</v>
      </c>
      <c r="BY142" t="s">
        <v>14168</v>
      </c>
      <c r="CA142" t="s">
        <v>2388</v>
      </c>
      <c r="CB142" t="s">
        <v>394</v>
      </c>
      <c r="CC142" s="4" t="str">
        <f>"29928"</f>
        <v>29928</v>
      </c>
      <c r="CD142" t="s">
        <v>409</v>
      </c>
      <c r="CE142" t="s">
        <v>410</v>
      </c>
      <c r="CF142" s="6">
        <v>12.06</v>
      </c>
      <c r="CH142" s="6">
        <v>18.09</v>
      </c>
      <c r="CJ142" t="s">
        <v>137</v>
      </c>
      <c r="CK142" t="s">
        <v>909</v>
      </c>
      <c r="CL142" t="s">
        <v>14169</v>
      </c>
      <c r="CO142" t="s">
        <v>138</v>
      </c>
      <c r="CP142" t="s">
        <v>114</v>
      </c>
      <c r="CQ142" t="s">
        <v>114</v>
      </c>
      <c r="CR142" t="s">
        <v>114</v>
      </c>
      <c r="CS142" t="s">
        <v>114</v>
      </c>
      <c r="CT142" t="s">
        <v>114</v>
      </c>
      <c r="CU142" t="s">
        <v>114</v>
      </c>
      <c r="CV142" s="2" t="s">
        <v>14170</v>
      </c>
      <c r="CW142" s="5" t="str">
        <f>"+15124781888"</f>
        <v>+15124781888</v>
      </c>
      <c r="CX142" t="s">
        <v>138</v>
      </c>
      <c r="CY142" t="s">
        <v>5779</v>
      </c>
      <c r="CZ142" t="s">
        <v>139</v>
      </c>
      <c r="DA142" t="s">
        <v>134</v>
      </c>
      <c r="DB142" t="s">
        <v>134</v>
      </c>
      <c r="DC142" t="s">
        <v>114</v>
      </c>
      <c r="DD142" t="s">
        <v>134</v>
      </c>
    </row>
    <row r="143" spans="1:113" ht="15" customHeight="1" x14ac:dyDescent="0.25">
      <c r="A143" t="s">
        <v>12731</v>
      </c>
      <c r="B143" t="s">
        <v>165</v>
      </c>
      <c r="C143" s="1">
        <v>44896.396296412036</v>
      </c>
      <c r="D143" s="1">
        <v>44923</v>
      </c>
      <c r="E143" t="s">
        <v>134</v>
      </c>
      <c r="F143" t="s">
        <v>1270</v>
      </c>
      <c r="G143" t="str">
        <f>"37-3011.00"</f>
        <v>37-3011.00</v>
      </c>
      <c r="H143" t="s">
        <v>335</v>
      </c>
      <c r="I143">
        <v>30</v>
      </c>
      <c r="J143">
        <v>30</v>
      </c>
      <c r="K143" s="1">
        <v>44986</v>
      </c>
      <c r="L143" s="1">
        <v>45248</v>
      </c>
      <c r="M143" s="1">
        <v>44986</v>
      </c>
      <c r="N143" s="1">
        <v>45248</v>
      </c>
      <c r="O143" t="s">
        <v>199</v>
      </c>
      <c r="P143" t="s">
        <v>2502</v>
      </c>
      <c r="R143" t="s">
        <v>2503</v>
      </c>
      <c r="S143" t="s">
        <v>138</v>
      </c>
      <c r="T143" t="s">
        <v>2504</v>
      </c>
      <c r="U143" t="s">
        <v>1003</v>
      </c>
      <c r="V143" s="4" t="str">
        <f>"07726"</f>
        <v>07726</v>
      </c>
      <c r="W143" t="s">
        <v>120</v>
      </c>
      <c r="X143" t="s">
        <v>138</v>
      </c>
      <c r="Y143" s="5">
        <v>17329709300</v>
      </c>
      <c r="AA143">
        <v>561730</v>
      </c>
      <c r="AB143" t="s">
        <v>2505</v>
      </c>
      <c r="AC143" t="s">
        <v>2506</v>
      </c>
      <c r="AE143" t="s">
        <v>342</v>
      </c>
      <c r="AF143" t="s">
        <v>2503</v>
      </c>
      <c r="AG143" t="s">
        <v>138</v>
      </c>
      <c r="AH143" t="s">
        <v>2504</v>
      </c>
      <c r="AI143" t="s">
        <v>1003</v>
      </c>
      <c r="AJ143" s="4" t="str">
        <f>"07726"</f>
        <v>07726</v>
      </c>
      <c r="AK143" t="s">
        <v>120</v>
      </c>
      <c r="AM143" s="5">
        <v>17329709300</v>
      </c>
      <c r="AO143" t="s">
        <v>2507</v>
      </c>
      <c r="AP143" t="s">
        <v>256</v>
      </c>
      <c r="AQ143" t="s">
        <v>2362</v>
      </c>
      <c r="AR143" t="s">
        <v>1907</v>
      </c>
      <c r="AS143" t="s">
        <v>1857</v>
      </c>
      <c r="AT143" t="s">
        <v>1284</v>
      </c>
      <c r="AU143" t="s">
        <v>138</v>
      </c>
      <c r="AV143" t="s">
        <v>1285</v>
      </c>
      <c r="AW143" t="s">
        <v>232</v>
      </c>
      <c r="AX143" s="4" t="str">
        <f>"77414"</f>
        <v>77414</v>
      </c>
      <c r="AY143" t="s">
        <v>120</v>
      </c>
      <c r="BA143" s="5">
        <v>19793187282</v>
      </c>
      <c r="BC143" t="s">
        <v>2363</v>
      </c>
      <c r="BD143" t="s">
        <v>1287</v>
      </c>
      <c r="BG143" t="s">
        <v>1003</v>
      </c>
      <c r="BH143" s="1">
        <v>44895.791666666664</v>
      </c>
      <c r="BI143">
        <v>40</v>
      </c>
      <c r="BJ143">
        <v>0</v>
      </c>
      <c r="BK143">
        <v>8</v>
      </c>
      <c r="BL143">
        <v>8</v>
      </c>
      <c r="BM143">
        <v>8</v>
      </c>
      <c r="BN143">
        <v>8</v>
      </c>
      <c r="BO143">
        <v>8</v>
      </c>
      <c r="BP143">
        <v>0</v>
      </c>
      <c r="BQ143" t="str">
        <f>"7:00 AM"</f>
        <v>7:00 AM</v>
      </c>
      <c r="BR143" t="str">
        <f>"4:00 PM"</f>
        <v>4:00 PM</v>
      </c>
      <c r="BS143" t="s">
        <v>133</v>
      </c>
      <c r="BT143">
        <v>0</v>
      </c>
      <c r="BU143">
        <v>3</v>
      </c>
      <c r="BV143" t="s">
        <v>134</v>
      </c>
      <c r="BX143" s="2" t="s">
        <v>12732</v>
      </c>
      <c r="BY143" t="s">
        <v>2503</v>
      </c>
      <c r="BZ143" t="s">
        <v>138</v>
      </c>
      <c r="CA143" t="s">
        <v>2504</v>
      </c>
      <c r="CB143" t="s">
        <v>1003</v>
      </c>
      <c r="CC143" s="4" t="str">
        <f>"07726"</f>
        <v>07726</v>
      </c>
      <c r="CD143" t="s">
        <v>1355</v>
      </c>
      <c r="CE143" t="s">
        <v>1009</v>
      </c>
      <c r="CF143" s="6">
        <v>19.940000000000001</v>
      </c>
      <c r="CH143" s="6">
        <v>29.91</v>
      </c>
      <c r="CJ143" t="s">
        <v>137</v>
      </c>
      <c r="CK143" t="s">
        <v>138</v>
      </c>
      <c r="CL143" t="s">
        <v>2508</v>
      </c>
      <c r="CO143" t="s">
        <v>138</v>
      </c>
      <c r="CP143" t="s">
        <v>114</v>
      </c>
      <c r="CQ143" t="s">
        <v>114</v>
      </c>
      <c r="CR143" t="s">
        <v>114</v>
      </c>
      <c r="CS143" t="s">
        <v>134</v>
      </c>
      <c r="CT143" t="s">
        <v>114</v>
      </c>
      <c r="CU143" t="s">
        <v>114</v>
      </c>
      <c r="CV143" t="s">
        <v>2509</v>
      </c>
      <c r="CW143" s="5" t="str">
        <f>"+17329709300"</f>
        <v>+17329709300</v>
      </c>
      <c r="CX143" t="s">
        <v>138</v>
      </c>
      <c r="CY143" t="s">
        <v>2510</v>
      </c>
      <c r="CZ143" t="s">
        <v>139</v>
      </c>
      <c r="DA143" t="s">
        <v>134</v>
      </c>
      <c r="DB143" t="s">
        <v>134</v>
      </c>
      <c r="DC143" t="s">
        <v>114</v>
      </c>
      <c r="DD143" t="s">
        <v>134</v>
      </c>
    </row>
    <row r="144" spans="1:113" ht="15" customHeight="1" x14ac:dyDescent="0.25">
      <c r="A144" t="s">
        <v>10065</v>
      </c>
      <c r="B144" t="s">
        <v>165</v>
      </c>
      <c r="C144" s="1">
        <v>44896.395683680559</v>
      </c>
      <c r="D144" s="1">
        <v>44923</v>
      </c>
      <c r="E144" t="s">
        <v>134</v>
      </c>
      <c r="F144" t="s">
        <v>334</v>
      </c>
      <c r="G144" t="str">
        <f>"37-3011.00"</f>
        <v>37-3011.00</v>
      </c>
      <c r="H144" t="s">
        <v>335</v>
      </c>
      <c r="I144">
        <v>16</v>
      </c>
      <c r="J144">
        <v>16</v>
      </c>
      <c r="K144" s="1">
        <v>44986</v>
      </c>
      <c r="L144" s="1">
        <v>45240</v>
      </c>
      <c r="M144" s="1">
        <v>44986</v>
      </c>
      <c r="N144" s="1">
        <v>45240</v>
      </c>
      <c r="O144" t="s">
        <v>117</v>
      </c>
      <c r="P144" t="s">
        <v>10066</v>
      </c>
      <c r="R144" t="s">
        <v>10067</v>
      </c>
      <c r="S144" t="s">
        <v>10068</v>
      </c>
      <c r="T144" t="s">
        <v>10062</v>
      </c>
      <c r="U144" t="s">
        <v>1349</v>
      </c>
      <c r="V144" s="4" t="str">
        <f>"72916"</f>
        <v>72916</v>
      </c>
      <c r="W144" t="s">
        <v>120</v>
      </c>
      <c r="X144" t="s">
        <v>138</v>
      </c>
      <c r="Y144" s="5">
        <v>14792420466</v>
      </c>
      <c r="AA144">
        <v>561730</v>
      </c>
      <c r="AB144" t="s">
        <v>2121</v>
      </c>
      <c r="AC144" t="s">
        <v>1628</v>
      </c>
      <c r="AD144" t="s">
        <v>138</v>
      </c>
      <c r="AE144" t="s">
        <v>1526</v>
      </c>
      <c r="AF144" t="s">
        <v>10067</v>
      </c>
      <c r="AG144" t="s">
        <v>10068</v>
      </c>
      <c r="AH144" t="s">
        <v>10062</v>
      </c>
      <c r="AI144" t="s">
        <v>1349</v>
      </c>
      <c r="AJ144" s="4" t="str">
        <f>"72916"</f>
        <v>72916</v>
      </c>
      <c r="AK144" t="s">
        <v>120</v>
      </c>
      <c r="AM144" s="5">
        <v>14792420466</v>
      </c>
      <c r="AO144" t="s">
        <v>10069</v>
      </c>
      <c r="AP144" t="s">
        <v>256</v>
      </c>
      <c r="AQ144" t="s">
        <v>1352</v>
      </c>
      <c r="AR144" t="s">
        <v>1353</v>
      </c>
      <c r="AS144" t="s">
        <v>138</v>
      </c>
      <c r="AT144" t="s">
        <v>1284</v>
      </c>
      <c r="AU144" t="s">
        <v>138</v>
      </c>
      <c r="AV144" t="s">
        <v>1285</v>
      </c>
      <c r="AW144" t="s">
        <v>232</v>
      </c>
      <c r="AX144" s="4" t="str">
        <f>"77414"</f>
        <v>77414</v>
      </c>
      <c r="AY144" t="s">
        <v>120</v>
      </c>
      <c r="BA144" s="5">
        <v>19793187285</v>
      </c>
      <c r="BC144" t="s">
        <v>1354</v>
      </c>
      <c r="BD144" t="s">
        <v>1287</v>
      </c>
      <c r="BG144" t="s">
        <v>1349</v>
      </c>
      <c r="BH144" s="1">
        <v>44895.791666666664</v>
      </c>
      <c r="BI144">
        <v>40</v>
      </c>
      <c r="BJ144">
        <v>0</v>
      </c>
      <c r="BK144">
        <v>8</v>
      </c>
      <c r="BL144">
        <v>8</v>
      </c>
      <c r="BM144">
        <v>8</v>
      </c>
      <c r="BN144">
        <v>8</v>
      </c>
      <c r="BO144">
        <v>8</v>
      </c>
      <c r="BP144">
        <v>0</v>
      </c>
      <c r="BQ144" t="str">
        <f>"7:00 AM"</f>
        <v>7:00 AM</v>
      </c>
      <c r="BR144" t="str">
        <f>"4:00 PM"</f>
        <v>4:00 PM</v>
      </c>
      <c r="BS144" t="s">
        <v>133</v>
      </c>
      <c r="BT144">
        <v>0</v>
      </c>
      <c r="BU144">
        <v>0</v>
      </c>
      <c r="BV144" t="s">
        <v>134</v>
      </c>
      <c r="BX144" s="2" t="s">
        <v>10070</v>
      </c>
      <c r="BY144" t="s">
        <v>10071</v>
      </c>
      <c r="BZ144" t="s">
        <v>138</v>
      </c>
      <c r="CA144" t="s">
        <v>10062</v>
      </c>
      <c r="CB144" t="s">
        <v>1349</v>
      </c>
      <c r="CC144" s="4" t="str">
        <f>"72905"</f>
        <v>72905</v>
      </c>
      <c r="CD144" t="s">
        <v>10063</v>
      </c>
      <c r="CE144" t="s">
        <v>10064</v>
      </c>
      <c r="CF144" s="6">
        <v>14.58</v>
      </c>
      <c r="CG144" s="6">
        <v>16</v>
      </c>
      <c r="CH144" s="6">
        <v>21.87</v>
      </c>
      <c r="CI144" s="6">
        <v>24</v>
      </c>
      <c r="CJ144" t="s">
        <v>137</v>
      </c>
      <c r="CK144" t="s">
        <v>10072</v>
      </c>
      <c r="CL144" t="s">
        <v>10073</v>
      </c>
      <c r="CO144" t="s">
        <v>138</v>
      </c>
      <c r="CP144" t="s">
        <v>114</v>
      </c>
      <c r="CQ144" t="s">
        <v>114</v>
      </c>
      <c r="CR144" t="s">
        <v>114</v>
      </c>
      <c r="CS144" t="s">
        <v>114</v>
      </c>
      <c r="CT144" t="s">
        <v>114</v>
      </c>
      <c r="CU144" t="s">
        <v>134</v>
      </c>
      <c r="CV144" t="s">
        <v>1356</v>
      </c>
      <c r="CW144" s="5" t="str">
        <f>"+14792420466"</f>
        <v>+14792420466</v>
      </c>
      <c r="CX144" t="s">
        <v>10074</v>
      </c>
      <c r="CY144" t="s">
        <v>138</v>
      </c>
      <c r="CZ144" t="s">
        <v>139</v>
      </c>
      <c r="DA144" t="s">
        <v>134</v>
      </c>
      <c r="DB144" t="s">
        <v>134</v>
      </c>
      <c r="DC144" t="s">
        <v>114</v>
      </c>
      <c r="DD144" t="s">
        <v>134</v>
      </c>
    </row>
    <row r="145" spans="1:113" ht="15" customHeight="1" x14ac:dyDescent="0.25">
      <c r="A145" t="s">
        <v>9089</v>
      </c>
      <c r="B145" t="s">
        <v>165</v>
      </c>
      <c r="C145" s="1">
        <v>44896.392161689815</v>
      </c>
      <c r="D145" s="1">
        <v>44923</v>
      </c>
      <c r="E145" t="s">
        <v>134</v>
      </c>
      <c r="F145" t="s">
        <v>115</v>
      </c>
      <c r="G145" t="str">
        <f>"37-2012.00"</f>
        <v>37-2012.00</v>
      </c>
      <c r="H145" t="s">
        <v>116</v>
      </c>
      <c r="I145">
        <v>15</v>
      </c>
      <c r="J145">
        <v>15</v>
      </c>
      <c r="K145" s="1">
        <v>44986</v>
      </c>
      <c r="L145" s="1">
        <v>45291</v>
      </c>
      <c r="M145" s="1">
        <v>44986</v>
      </c>
      <c r="N145" s="1">
        <v>45291</v>
      </c>
      <c r="O145" t="s">
        <v>117</v>
      </c>
      <c r="P145" t="s">
        <v>3438</v>
      </c>
      <c r="R145" t="s">
        <v>3439</v>
      </c>
      <c r="T145" t="s">
        <v>3440</v>
      </c>
      <c r="U145" t="s">
        <v>232</v>
      </c>
      <c r="V145" s="4" t="str">
        <f>"78620"</f>
        <v>78620</v>
      </c>
      <c r="W145" t="s">
        <v>120</v>
      </c>
      <c r="Y145" s="5">
        <v>15124781888</v>
      </c>
      <c r="AA145">
        <v>561720</v>
      </c>
      <c r="AB145" t="s">
        <v>3441</v>
      </c>
      <c r="AC145" t="s">
        <v>2645</v>
      </c>
      <c r="AD145" t="s">
        <v>177</v>
      </c>
      <c r="AE145" t="s">
        <v>1831</v>
      </c>
      <c r="AF145" t="s">
        <v>3439</v>
      </c>
      <c r="AH145" t="s">
        <v>3440</v>
      </c>
      <c r="AI145" t="s">
        <v>232</v>
      </c>
      <c r="AJ145" s="4" t="str">
        <f>"78620"</f>
        <v>78620</v>
      </c>
      <c r="AK145" t="s">
        <v>120</v>
      </c>
      <c r="AM145" s="5">
        <v>15124781888</v>
      </c>
      <c r="AO145" t="s">
        <v>3443</v>
      </c>
      <c r="AP145" t="s">
        <v>256</v>
      </c>
      <c r="AQ145" t="s">
        <v>400</v>
      </c>
      <c r="AR145" t="s">
        <v>401</v>
      </c>
      <c r="AS145" t="s">
        <v>397</v>
      </c>
      <c r="AT145" t="s">
        <v>402</v>
      </c>
      <c r="AU145" t="s">
        <v>152</v>
      </c>
      <c r="AV145" t="s">
        <v>403</v>
      </c>
      <c r="AW145" t="s">
        <v>232</v>
      </c>
      <c r="AX145" s="4" t="str">
        <f>"75033"</f>
        <v>75033</v>
      </c>
      <c r="AY145" t="s">
        <v>120</v>
      </c>
      <c r="BA145" s="5">
        <v>19727789690</v>
      </c>
      <c r="BC145" t="s">
        <v>3444</v>
      </c>
      <c r="BD145" t="s">
        <v>405</v>
      </c>
      <c r="BG145" t="s">
        <v>154</v>
      </c>
      <c r="BH145" s="1">
        <v>44895.791666666664</v>
      </c>
      <c r="BI145">
        <v>40</v>
      </c>
      <c r="BJ145">
        <v>8</v>
      </c>
      <c r="BK145">
        <v>0</v>
      </c>
      <c r="BL145">
        <v>0</v>
      </c>
      <c r="BM145">
        <v>8</v>
      </c>
      <c r="BN145">
        <v>8</v>
      </c>
      <c r="BO145">
        <v>8</v>
      </c>
      <c r="BP145">
        <v>8</v>
      </c>
      <c r="BQ145" t="str">
        <f>"9:00 AM"</f>
        <v>9:00 AM</v>
      </c>
      <c r="BR145" t="str">
        <f>"5:30 PM"</f>
        <v>5:30 PM</v>
      </c>
      <c r="BS145" t="s">
        <v>133</v>
      </c>
      <c r="BT145">
        <v>0</v>
      </c>
      <c r="BU145">
        <v>0</v>
      </c>
      <c r="BV145" t="s">
        <v>134</v>
      </c>
      <c r="BX145" t="s">
        <v>9090</v>
      </c>
      <c r="BY145" t="s">
        <v>9091</v>
      </c>
      <c r="CA145" t="s">
        <v>4286</v>
      </c>
      <c r="CB145" t="s">
        <v>154</v>
      </c>
      <c r="CC145" s="4" t="str">
        <f>"32541"</f>
        <v>32541</v>
      </c>
      <c r="CD145" t="s">
        <v>2355</v>
      </c>
      <c r="CE145" t="s">
        <v>2356</v>
      </c>
      <c r="CF145" s="6">
        <v>14</v>
      </c>
      <c r="CG145" s="6">
        <v>15</v>
      </c>
      <c r="CH145" s="6">
        <v>21</v>
      </c>
      <c r="CI145" s="6">
        <v>22.5</v>
      </c>
      <c r="CJ145" t="s">
        <v>137</v>
      </c>
      <c r="CK145" t="s">
        <v>909</v>
      </c>
      <c r="CL145" t="s">
        <v>9092</v>
      </c>
      <c r="CO145" t="s">
        <v>138</v>
      </c>
      <c r="CP145" t="s">
        <v>114</v>
      </c>
      <c r="CQ145" t="s">
        <v>114</v>
      </c>
      <c r="CR145" t="s">
        <v>114</v>
      </c>
      <c r="CS145" t="s">
        <v>114</v>
      </c>
      <c r="CT145" t="s">
        <v>114</v>
      </c>
      <c r="CU145" t="s">
        <v>114</v>
      </c>
      <c r="CV145" s="2" t="s">
        <v>9093</v>
      </c>
      <c r="CW145" s="5" t="str">
        <f>"+16020010025"</f>
        <v>+16020010025</v>
      </c>
      <c r="CX145" t="s">
        <v>138</v>
      </c>
      <c r="CY145" t="s">
        <v>8093</v>
      </c>
      <c r="CZ145" t="s">
        <v>139</v>
      </c>
      <c r="DA145" t="s">
        <v>134</v>
      </c>
      <c r="DB145" t="s">
        <v>134</v>
      </c>
      <c r="DC145" t="s">
        <v>114</v>
      </c>
      <c r="DD145" t="s">
        <v>134</v>
      </c>
    </row>
    <row r="146" spans="1:113" ht="15" customHeight="1" x14ac:dyDescent="0.25">
      <c r="A146" t="s">
        <v>9079</v>
      </c>
      <c r="B146" t="s">
        <v>165</v>
      </c>
      <c r="C146" s="1">
        <v>44896.389158912039</v>
      </c>
      <c r="D146" s="1">
        <v>44923</v>
      </c>
      <c r="E146" t="s">
        <v>134</v>
      </c>
      <c r="F146" t="s">
        <v>334</v>
      </c>
      <c r="G146" t="str">
        <f>"37-3011.00"</f>
        <v>37-3011.00</v>
      </c>
      <c r="H146" t="s">
        <v>335</v>
      </c>
      <c r="I146">
        <v>126</v>
      </c>
      <c r="J146">
        <v>126</v>
      </c>
      <c r="K146" s="1">
        <v>44986</v>
      </c>
      <c r="L146" s="1">
        <v>45260</v>
      </c>
      <c r="M146" s="1">
        <v>44986</v>
      </c>
      <c r="N146" s="1">
        <v>45260</v>
      </c>
      <c r="O146" t="s">
        <v>117</v>
      </c>
      <c r="P146" t="s">
        <v>9080</v>
      </c>
      <c r="Q146" t="s">
        <v>9081</v>
      </c>
      <c r="R146" t="s">
        <v>9082</v>
      </c>
      <c r="T146" t="s">
        <v>2442</v>
      </c>
      <c r="U146" t="s">
        <v>181</v>
      </c>
      <c r="V146" s="4" t="str">
        <f>"80112"</f>
        <v>80112</v>
      </c>
      <c r="W146" t="s">
        <v>120</v>
      </c>
      <c r="Y146" s="5">
        <v>13037219003</v>
      </c>
      <c r="AA146">
        <v>56173</v>
      </c>
      <c r="AB146" t="s">
        <v>5946</v>
      </c>
      <c r="AC146" t="s">
        <v>1990</v>
      </c>
      <c r="AE146" t="s">
        <v>474</v>
      </c>
      <c r="AF146" t="s">
        <v>9082</v>
      </c>
      <c r="AH146" t="s">
        <v>2442</v>
      </c>
      <c r="AI146" t="s">
        <v>181</v>
      </c>
      <c r="AJ146" s="4" t="str">
        <f>"80112"</f>
        <v>80112</v>
      </c>
      <c r="AK146" t="s">
        <v>120</v>
      </c>
      <c r="AM146" s="5">
        <v>13037219003</v>
      </c>
      <c r="AO146" t="s">
        <v>9083</v>
      </c>
      <c r="AP146" t="s">
        <v>256</v>
      </c>
      <c r="AQ146" t="s">
        <v>400</v>
      </c>
      <c r="AR146" t="s">
        <v>401</v>
      </c>
      <c r="AS146" t="s">
        <v>397</v>
      </c>
      <c r="AT146" t="s">
        <v>402</v>
      </c>
      <c r="AU146" t="s">
        <v>152</v>
      </c>
      <c r="AV146" t="s">
        <v>403</v>
      </c>
      <c r="AW146" t="s">
        <v>232</v>
      </c>
      <c r="AX146" s="4" t="str">
        <f>"75033"</f>
        <v>75033</v>
      </c>
      <c r="AY146" t="s">
        <v>120</v>
      </c>
      <c r="BA146" s="5">
        <v>19727789690</v>
      </c>
      <c r="BC146" t="s">
        <v>1503</v>
      </c>
      <c r="BD146" t="s">
        <v>405</v>
      </c>
      <c r="BG146" t="s">
        <v>181</v>
      </c>
      <c r="BH146" s="1">
        <v>44895.791666666664</v>
      </c>
      <c r="BI146">
        <v>40</v>
      </c>
      <c r="BJ146">
        <v>0</v>
      </c>
      <c r="BK146">
        <v>8</v>
      </c>
      <c r="BL146">
        <v>8</v>
      </c>
      <c r="BM146">
        <v>8</v>
      </c>
      <c r="BN146">
        <v>8</v>
      </c>
      <c r="BO146">
        <v>8</v>
      </c>
      <c r="BP146">
        <v>0</v>
      </c>
      <c r="BQ146" t="str">
        <f>"7:00 AM"</f>
        <v>7:00 AM</v>
      </c>
      <c r="BR146" t="str">
        <f>"4:00 PM"</f>
        <v>4:00 PM</v>
      </c>
      <c r="BS146" t="s">
        <v>133</v>
      </c>
      <c r="BT146">
        <v>0</v>
      </c>
      <c r="BU146">
        <v>0</v>
      </c>
      <c r="BV146" t="s">
        <v>134</v>
      </c>
      <c r="BX146" t="s">
        <v>9084</v>
      </c>
      <c r="BY146" t="s">
        <v>9085</v>
      </c>
      <c r="CA146" t="s">
        <v>2442</v>
      </c>
      <c r="CB146" t="s">
        <v>181</v>
      </c>
      <c r="CC146" s="4" t="str">
        <f>"80112"</f>
        <v>80112</v>
      </c>
      <c r="CD146" t="s">
        <v>2443</v>
      </c>
      <c r="CE146" t="s">
        <v>1610</v>
      </c>
      <c r="CF146" s="6">
        <v>19.22</v>
      </c>
      <c r="CH146" s="6">
        <v>28.83</v>
      </c>
      <c r="CJ146" t="s">
        <v>137</v>
      </c>
      <c r="CK146" t="s">
        <v>4437</v>
      </c>
      <c r="CL146" t="s">
        <v>9086</v>
      </c>
      <c r="CO146" t="s">
        <v>138</v>
      </c>
      <c r="CP146" t="s">
        <v>114</v>
      </c>
      <c r="CQ146" t="s">
        <v>114</v>
      </c>
      <c r="CR146" t="s">
        <v>114</v>
      </c>
      <c r="CS146" t="s">
        <v>114</v>
      </c>
      <c r="CT146" t="s">
        <v>114</v>
      </c>
      <c r="CU146" t="s">
        <v>114</v>
      </c>
      <c r="CV146" t="s">
        <v>9087</v>
      </c>
      <c r="CW146" s="5" t="str">
        <f>"+13037219003"</f>
        <v>+13037219003</v>
      </c>
      <c r="CX146" t="s">
        <v>138</v>
      </c>
      <c r="CY146" t="s">
        <v>9088</v>
      </c>
      <c r="CZ146" t="s">
        <v>139</v>
      </c>
      <c r="DA146" t="s">
        <v>134</v>
      </c>
      <c r="DB146" t="s">
        <v>114</v>
      </c>
      <c r="DC146" t="s">
        <v>114</v>
      </c>
      <c r="DD146" t="s">
        <v>134</v>
      </c>
    </row>
    <row r="147" spans="1:113" ht="15" customHeight="1" x14ac:dyDescent="0.25">
      <c r="A147" t="s">
        <v>4135</v>
      </c>
      <c r="B147" t="s">
        <v>165</v>
      </c>
      <c r="C147" s="1">
        <v>44896.386376967595</v>
      </c>
      <c r="D147" s="1">
        <v>44923</v>
      </c>
      <c r="E147" t="s">
        <v>134</v>
      </c>
      <c r="F147" t="s">
        <v>115</v>
      </c>
      <c r="G147" t="str">
        <f>"37-2012.00"</f>
        <v>37-2012.00</v>
      </c>
      <c r="H147" t="s">
        <v>116</v>
      </c>
      <c r="I147">
        <v>5</v>
      </c>
      <c r="J147">
        <v>5</v>
      </c>
      <c r="K147" s="1">
        <v>44986</v>
      </c>
      <c r="L147" s="1">
        <v>45291</v>
      </c>
      <c r="M147" s="1">
        <v>44986</v>
      </c>
      <c r="N147" s="1">
        <v>45291</v>
      </c>
      <c r="O147" t="s">
        <v>117</v>
      </c>
      <c r="P147" t="s">
        <v>3438</v>
      </c>
      <c r="R147" t="s">
        <v>3439</v>
      </c>
      <c r="T147" t="s">
        <v>3440</v>
      </c>
      <c r="U147" t="s">
        <v>232</v>
      </c>
      <c r="V147" s="4" t="str">
        <f>"78620"</f>
        <v>78620</v>
      </c>
      <c r="W147" t="s">
        <v>120</v>
      </c>
      <c r="Y147" s="5">
        <v>15124781888</v>
      </c>
      <c r="AA147">
        <v>561720</v>
      </c>
      <c r="AB147" t="s">
        <v>3441</v>
      </c>
      <c r="AC147" t="s">
        <v>2645</v>
      </c>
      <c r="AD147" t="s">
        <v>177</v>
      </c>
      <c r="AE147" t="s">
        <v>1831</v>
      </c>
      <c r="AF147" t="s">
        <v>3439</v>
      </c>
      <c r="AH147" t="s">
        <v>3442</v>
      </c>
      <c r="AI147" t="s">
        <v>232</v>
      </c>
      <c r="AJ147" s="4" t="str">
        <f>"78620"</f>
        <v>78620</v>
      </c>
      <c r="AK147" t="s">
        <v>120</v>
      </c>
      <c r="AM147" s="5">
        <v>15124781888</v>
      </c>
      <c r="AO147" t="s">
        <v>3443</v>
      </c>
      <c r="AP147" t="s">
        <v>256</v>
      </c>
      <c r="AQ147" t="s">
        <v>400</v>
      </c>
      <c r="AR147" t="s">
        <v>401</v>
      </c>
      <c r="AS147" t="s">
        <v>397</v>
      </c>
      <c r="AT147" t="s">
        <v>402</v>
      </c>
      <c r="AU147" t="s">
        <v>152</v>
      </c>
      <c r="AV147" t="s">
        <v>403</v>
      </c>
      <c r="AW147" t="s">
        <v>232</v>
      </c>
      <c r="AX147" s="4" t="str">
        <f>"75033"</f>
        <v>75033</v>
      </c>
      <c r="AY147" t="s">
        <v>120</v>
      </c>
      <c r="BA147" s="5">
        <v>19727789690</v>
      </c>
      <c r="BC147" t="s">
        <v>3444</v>
      </c>
      <c r="BD147" t="s">
        <v>405</v>
      </c>
      <c r="BG147" t="s">
        <v>184</v>
      </c>
      <c r="BH147" s="1">
        <v>44895.791666666664</v>
      </c>
      <c r="BI147">
        <v>40</v>
      </c>
      <c r="BJ147">
        <v>8</v>
      </c>
      <c r="BK147">
        <v>0</v>
      </c>
      <c r="BL147">
        <v>0</v>
      </c>
      <c r="BM147">
        <v>8</v>
      </c>
      <c r="BN147">
        <v>8</v>
      </c>
      <c r="BO147">
        <v>8</v>
      </c>
      <c r="BP147">
        <v>8</v>
      </c>
      <c r="BQ147" t="str">
        <f>"9:00 AM"</f>
        <v>9:00 AM</v>
      </c>
      <c r="BR147" t="str">
        <f>"5:30 PM"</f>
        <v>5:30 PM</v>
      </c>
      <c r="BS147" t="s">
        <v>133</v>
      </c>
      <c r="BT147">
        <v>0</v>
      </c>
      <c r="BU147">
        <v>0</v>
      </c>
      <c r="BV147" t="s">
        <v>134</v>
      </c>
      <c r="BX147" s="2" t="s">
        <v>4136</v>
      </c>
      <c r="BY147" t="s">
        <v>4137</v>
      </c>
      <c r="CA147" t="s">
        <v>3506</v>
      </c>
      <c r="CB147" t="s">
        <v>184</v>
      </c>
      <c r="CC147" s="4" t="str">
        <f>"60551"</f>
        <v>60551</v>
      </c>
      <c r="CD147" t="s">
        <v>4138</v>
      </c>
      <c r="CE147" t="s">
        <v>4139</v>
      </c>
      <c r="CF147" s="6">
        <v>15</v>
      </c>
      <c r="CH147" s="6">
        <v>22.5</v>
      </c>
      <c r="CJ147" t="s">
        <v>137</v>
      </c>
      <c r="CK147" t="s">
        <v>909</v>
      </c>
      <c r="CL147" t="s">
        <v>4140</v>
      </c>
      <c r="CO147" t="s">
        <v>138</v>
      </c>
      <c r="CP147" t="s">
        <v>114</v>
      </c>
      <c r="CQ147" t="s">
        <v>134</v>
      </c>
      <c r="CR147" t="s">
        <v>114</v>
      </c>
      <c r="CS147" t="s">
        <v>114</v>
      </c>
      <c r="CT147" t="s">
        <v>114</v>
      </c>
      <c r="CU147" t="s">
        <v>114</v>
      </c>
      <c r="CV147" s="2" t="s">
        <v>4141</v>
      </c>
      <c r="CW147" s="5" t="str">
        <f>"+15124781888"</f>
        <v>+15124781888</v>
      </c>
      <c r="CX147" t="s">
        <v>138</v>
      </c>
      <c r="CY147" t="s">
        <v>4142</v>
      </c>
      <c r="CZ147" t="s">
        <v>139</v>
      </c>
      <c r="DA147" t="s">
        <v>134</v>
      </c>
      <c r="DB147" t="s">
        <v>134</v>
      </c>
      <c r="DC147" t="s">
        <v>114</v>
      </c>
      <c r="DD147" t="s">
        <v>134</v>
      </c>
    </row>
    <row r="148" spans="1:113" ht="15" customHeight="1" x14ac:dyDescent="0.25">
      <c r="A148" t="s">
        <v>10867</v>
      </c>
      <c r="B148" t="s">
        <v>165</v>
      </c>
      <c r="C148" s="1">
        <v>44896.359433101854</v>
      </c>
      <c r="D148" s="1">
        <v>44923</v>
      </c>
      <c r="E148" t="s">
        <v>114</v>
      </c>
      <c r="F148" t="s">
        <v>334</v>
      </c>
      <c r="G148" t="str">
        <f>"37-3011.00"</f>
        <v>37-3011.00</v>
      </c>
      <c r="H148" t="s">
        <v>335</v>
      </c>
      <c r="I148">
        <v>30</v>
      </c>
      <c r="J148">
        <v>30</v>
      </c>
      <c r="K148" s="1">
        <v>44986</v>
      </c>
      <c r="L148" s="1">
        <v>45275</v>
      </c>
      <c r="M148" s="1">
        <v>44986</v>
      </c>
      <c r="N148" s="1">
        <v>45275</v>
      </c>
      <c r="O148" t="s">
        <v>199</v>
      </c>
      <c r="P148" t="s">
        <v>10868</v>
      </c>
      <c r="R148" t="s">
        <v>10869</v>
      </c>
      <c r="S148" t="s">
        <v>138</v>
      </c>
      <c r="T148" t="s">
        <v>10870</v>
      </c>
      <c r="U148" t="s">
        <v>1191</v>
      </c>
      <c r="V148" s="4" t="str">
        <f>"03049"</f>
        <v>03049</v>
      </c>
      <c r="W148" t="s">
        <v>120</v>
      </c>
      <c r="X148" t="s">
        <v>138</v>
      </c>
      <c r="Y148" s="5">
        <v>16038825835</v>
      </c>
      <c r="AA148">
        <v>561730</v>
      </c>
      <c r="AB148" t="s">
        <v>10871</v>
      </c>
      <c r="AC148" t="s">
        <v>1469</v>
      </c>
      <c r="AD148" t="s">
        <v>1458</v>
      </c>
      <c r="AE148" t="s">
        <v>342</v>
      </c>
      <c r="AF148" t="s">
        <v>10869</v>
      </c>
      <c r="AG148" t="s">
        <v>138</v>
      </c>
      <c r="AH148" t="s">
        <v>10870</v>
      </c>
      <c r="AI148" t="s">
        <v>1191</v>
      </c>
      <c r="AJ148" s="4" t="str">
        <f>"03049"</f>
        <v>03049</v>
      </c>
      <c r="AK148" t="s">
        <v>120</v>
      </c>
      <c r="AM148" s="5">
        <v>16038825835</v>
      </c>
      <c r="AO148" t="s">
        <v>10872</v>
      </c>
      <c r="AX148" s="4" t="str">
        <f>""</f>
        <v/>
      </c>
      <c r="BG148" t="s">
        <v>1191</v>
      </c>
      <c r="BH148" s="1">
        <v>44895.791666666664</v>
      </c>
      <c r="BI148">
        <v>40</v>
      </c>
      <c r="BJ148">
        <v>0</v>
      </c>
      <c r="BK148">
        <v>8</v>
      </c>
      <c r="BL148">
        <v>8</v>
      </c>
      <c r="BM148">
        <v>8</v>
      </c>
      <c r="BN148">
        <v>8</v>
      </c>
      <c r="BO148">
        <v>8</v>
      </c>
      <c r="BP148">
        <v>0</v>
      </c>
      <c r="BQ148" t="str">
        <f>"7:00 AM"</f>
        <v>7:00 AM</v>
      </c>
      <c r="BR148" t="str">
        <f>"4:00 PM"</f>
        <v>4:00 PM</v>
      </c>
      <c r="BS148" t="s">
        <v>133</v>
      </c>
      <c r="BT148">
        <v>0</v>
      </c>
      <c r="BU148">
        <v>0</v>
      </c>
      <c r="BV148" t="s">
        <v>134</v>
      </c>
      <c r="BX148" s="2" t="s">
        <v>10873</v>
      </c>
      <c r="BY148" t="s">
        <v>10869</v>
      </c>
      <c r="CA148" t="s">
        <v>10870</v>
      </c>
      <c r="CB148" t="s">
        <v>1191</v>
      </c>
      <c r="CC148" s="4" t="str">
        <f>"03049-6563"</f>
        <v>03049-6563</v>
      </c>
      <c r="CD148" t="s">
        <v>10874</v>
      </c>
      <c r="CE148" t="s">
        <v>2630</v>
      </c>
      <c r="CF148" s="6">
        <v>20.88</v>
      </c>
      <c r="CG148" s="6">
        <v>20.88</v>
      </c>
      <c r="CH148" s="6">
        <v>31.32</v>
      </c>
      <c r="CI148" s="6">
        <v>31.32</v>
      </c>
      <c r="CJ148" t="s">
        <v>137</v>
      </c>
      <c r="CK148" t="s">
        <v>10875</v>
      </c>
      <c r="CL148" t="s">
        <v>10876</v>
      </c>
      <c r="CO148" t="s">
        <v>138</v>
      </c>
      <c r="CP148" t="s">
        <v>114</v>
      </c>
      <c r="CQ148" t="s">
        <v>114</v>
      </c>
      <c r="CR148" t="s">
        <v>114</v>
      </c>
      <c r="CS148" t="s">
        <v>114</v>
      </c>
      <c r="CT148" t="s">
        <v>114</v>
      </c>
      <c r="CU148" t="s">
        <v>114</v>
      </c>
      <c r="CV148" t="s">
        <v>10877</v>
      </c>
      <c r="CW148" s="5" t="str">
        <f>"+16038825835"</f>
        <v>+16038825835</v>
      </c>
      <c r="CX148" t="s">
        <v>10872</v>
      </c>
      <c r="CY148" t="s">
        <v>138</v>
      </c>
      <c r="CZ148" t="s">
        <v>139</v>
      </c>
      <c r="DA148" t="s">
        <v>134</v>
      </c>
      <c r="DB148" t="s">
        <v>134</v>
      </c>
      <c r="DC148" t="s">
        <v>114</v>
      </c>
      <c r="DD148" t="s">
        <v>134</v>
      </c>
    </row>
    <row r="149" spans="1:113" ht="15" customHeight="1" x14ac:dyDescent="0.25">
      <c r="A149" t="s">
        <v>11811</v>
      </c>
      <c r="B149" t="s">
        <v>165</v>
      </c>
      <c r="C149" s="1">
        <v>44896.342794097225</v>
      </c>
      <c r="D149" s="1">
        <v>44923</v>
      </c>
      <c r="E149" t="s">
        <v>134</v>
      </c>
      <c r="F149" t="s">
        <v>334</v>
      </c>
      <c r="G149" t="str">
        <f>"37-3012.00"</f>
        <v>37-3012.00</v>
      </c>
      <c r="H149" t="s">
        <v>3129</v>
      </c>
      <c r="I149">
        <v>36</v>
      </c>
      <c r="J149">
        <v>36</v>
      </c>
      <c r="K149" s="1">
        <v>44986</v>
      </c>
      <c r="L149" s="1">
        <v>45276</v>
      </c>
      <c r="M149" s="1">
        <v>44986</v>
      </c>
      <c r="N149" s="1">
        <v>45276</v>
      </c>
      <c r="O149" t="s">
        <v>117</v>
      </c>
      <c r="P149" t="s">
        <v>11812</v>
      </c>
      <c r="R149" t="s">
        <v>11813</v>
      </c>
      <c r="S149" t="s">
        <v>10762</v>
      </c>
      <c r="T149" t="s">
        <v>5796</v>
      </c>
      <c r="U149" t="s">
        <v>479</v>
      </c>
      <c r="V149" s="4" t="str">
        <f>"20166"</f>
        <v>20166</v>
      </c>
      <c r="W149" t="s">
        <v>120</v>
      </c>
      <c r="Y149" s="5">
        <v>17038765788</v>
      </c>
      <c r="AA149">
        <v>56173</v>
      </c>
      <c r="AB149" t="s">
        <v>942</v>
      </c>
      <c r="AC149" t="s">
        <v>943</v>
      </c>
      <c r="AE149" t="s">
        <v>2205</v>
      </c>
      <c r="AF149" t="s">
        <v>11813</v>
      </c>
      <c r="AG149" t="s">
        <v>10764</v>
      </c>
      <c r="AH149" t="s">
        <v>5796</v>
      </c>
      <c r="AI149" t="s">
        <v>479</v>
      </c>
      <c r="AJ149" s="4" t="str">
        <f>"20166"</f>
        <v>20166</v>
      </c>
      <c r="AK149" t="s">
        <v>120</v>
      </c>
      <c r="AM149" s="5">
        <v>17038765788</v>
      </c>
      <c r="AO149" t="s">
        <v>945</v>
      </c>
      <c r="AP149" t="s">
        <v>256</v>
      </c>
      <c r="AQ149" t="s">
        <v>475</v>
      </c>
      <c r="AR149" t="s">
        <v>476</v>
      </c>
      <c r="AT149" t="s">
        <v>477</v>
      </c>
      <c r="AV149" t="s">
        <v>478</v>
      </c>
      <c r="AW149" t="s">
        <v>479</v>
      </c>
      <c r="AX149" s="4" t="str">
        <f>"22903"</f>
        <v>22903</v>
      </c>
      <c r="AY149" t="s">
        <v>120</v>
      </c>
      <c r="BA149" s="5">
        <v>14342634300</v>
      </c>
      <c r="BC149" t="s">
        <v>480</v>
      </c>
      <c r="BD149" t="s">
        <v>481</v>
      </c>
      <c r="BG149" t="s">
        <v>479</v>
      </c>
      <c r="BH149" s="1">
        <v>44895.791666666664</v>
      </c>
      <c r="BI149">
        <v>40</v>
      </c>
      <c r="BJ149">
        <v>0</v>
      </c>
      <c r="BK149">
        <v>8</v>
      </c>
      <c r="BL149">
        <v>8</v>
      </c>
      <c r="BM149">
        <v>8</v>
      </c>
      <c r="BN149">
        <v>8</v>
      </c>
      <c r="BO149">
        <v>8</v>
      </c>
      <c r="BP149">
        <v>0</v>
      </c>
      <c r="BQ149" t="str">
        <f>"7:00 AM"</f>
        <v>7:00 AM</v>
      </c>
      <c r="BR149" t="str">
        <f>"4:00 PM"</f>
        <v>4:00 PM</v>
      </c>
      <c r="BS149" t="s">
        <v>133</v>
      </c>
      <c r="BT149">
        <v>0</v>
      </c>
      <c r="BU149">
        <v>3</v>
      </c>
      <c r="BV149" t="s">
        <v>134</v>
      </c>
      <c r="BX149" s="2" t="s">
        <v>11814</v>
      </c>
      <c r="BY149" t="s">
        <v>11813</v>
      </c>
      <c r="CA149" t="s">
        <v>5796</v>
      </c>
      <c r="CB149" t="s">
        <v>479</v>
      </c>
      <c r="CC149" s="4" t="str">
        <f>"20166"</f>
        <v>20166</v>
      </c>
      <c r="CD149" t="s">
        <v>1938</v>
      </c>
      <c r="CE149" t="s">
        <v>355</v>
      </c>
      <c r="CF149" s="6">
        <v>21.15</v>
      </c>
      <c r="CH149" s="6">
        <v>31.73</v>
      </c>
      <c r="CJ149" t="s">
        <v>137</v>
      </c>
      <c r="CK149" t="s">
        <v>487</v>
      </c>
      <c r="CL149" t="s">
        <v>11815</v>
      </c>
      <c r="CO149" t="s">
        <v>138</v>
      </c>
      <c r="CP149" t="s">
        <v>114</v>
      </c>
      <c r="CQ149" t="s">
        <v>114</v>
      </c>
      <c r="CR149" t="s">
        <v>114</v>
      </c>
      <c r="CS149" t="s">
        <v>134</v>
      </c>
      <c r="CT149" t="s">
        <v>114</v>
      </c>
      <c r="CU149" t="s">
        <v>114</v>
      </c>
      <c r="CV149" t="s">
        <v>11816</v>
      </c>
      <c r="CW149" s="5" t="str">
        <f>"+17038765788"</f>
        <v>+17038765788</v>
      </c>
      <c r="CX149" t="s">
        <v>138</v>
      </c>
      <c r="CY149" t="s">
        <v>1680</v>
      </c>
      <c r="CZ149" t="s">
        <v>139</v>
      </c>
      <c r="DA149" t="s">
        <v>134</v>
      </c>
      <c r="DB149" t="s">
        <v>114</v>
      </c>
      <c r="DC149" t="s">
        <v>114</v>
      </c>
      <c r="DD149" t="s">
        <v>134</v>
      </c>
      <c r="DE149" t="s">
        <v>492</v>
      </c>
      <c r="DF149" t="s">
        <v>493</v>
      </c>
      <c r="DH149" t="s">
        <v>481</v>
      </c>
      <c r="DI149" t="s">
        <v>480</v>
      </c>
    </row>
    <row r="150" spans="1:113" ht="15" customHeight="1" x14ac:dyDescent="0.25">
      <c r="A150" t="s">
        <v>11817</v>
      </c>
      <c r="B150" t="s">
        <v>165</v>
      </c>
      <c r="C150" s="1">
        <v>44896.342231712966</v>
      </c>
      <c r="D150" s="1">
        <v>44923</v>
      </c>
      <c r="E150" t="s">
        <v>134</v>
      </c>
      <c r="F150" t="s">
        <v>334</v>
      </c>
      <c r="G150" t="str">
        <f>"37-3011.00"</f>
        <v>37-3011.00</v>
      </c>
      <c r="H150" t="s">
        <v>335</v>
      </c>
      <c r="I150">
        <v>15</v>
      </c>
      <c r="J150">
        <v>15</v>
      </c>
      <c r="K150" s="1">
        <v>44986</v>
      </c>
      <c r="L150" s="1">
        <v>45230</v>
      </c>
      <c r="M150" s="1">
        <v>44986</v>
      </c>
      <c r="N150" s="1">
        <v>45230</v>
      </c>
      <c r="O150" t="s">
        <v>117</v>
      </c>
      <c r="P150" t="s">
        <v>11818</v>
      </c>
      <c r="R150" t="s">
        <v>11819</v>
      </c>
      <c r="S150" t="s">
        <v>10762</v>
      </c>
      <c r="T150" t="s">
        <v>11820</v>
      </c>
      <c r="U150" t="s">
        <v>1003</v>
      </c>
      <c r="V150" s="4" t="str">
        <f>"07840"</f>
        <v>07840</v>
      </c>
      <c r="W150" t="s">
        <v>120</v>
      </c>
      <c r="Y150" s="5">
        <v>19088506600</v>
      </c>
      <c r="AA150">
        <v>56173</v>
      </c>
      <c r="AB150" t="s">
        <v>942</v>
      </c>
      <c r="AC150" t="s">
        <v>943</v>
      </c>
      <c r="AE150" t="s">
        <v>2205</v>
      </c>
      <c r="AF150" t="s">
        <v>11819</v>
      </c>
      <c r="AG150" t="s">
        <v>10762</v>
      </c>
      <c r="AH150" t="s">
        <v>11820</v>
      </c>
      <c r="AI150" t="s">
        <v>1003</v>
      </c>
      <c r="AJ150" s="4" t="str">
        <f>"07840"</f>
        <v>07840</v>
      </c>
      <c r="AK150" t="s">
        <v>120</v>
      </c>
      <c r="AM150" s="5">
        <v>19088506600</v>
      </c>
      <c r="AO150" t="s">
        <v>945</v>
      </c>
      <c r="AP150" t="s">
        <v>256</v>
      </c>
      <c r="AQ150" t="s">
        <v>475</v>
      </c>
      <c r="AR150" t="s">
        <v>476</v>
      </c>
      <c r="AT150" t="s">
        <v>477</v>
      </c>
      <c r="AV150" t="s">
        <v>478</v>
      </c>
      <c r="AW150" t="s">
        <v>479</v>
      </c>
      <c r="AX150" s="4" t="str">
        <f>"22903"</f>
        <v>22903</v>
      </c>
      <c r="AY150" t="s">
        <v>120</v>
      </c>
      <c r="BA150" s="5">
        <v>14342634300</v>
      </c>
      <c r="BC150" t="s">
        <v>480</v>
      </c>
      <c r="BD150" t="s">
        <v>481</v>
      </c>
      <c r="BG150" t="s">
        <v>1003</v>
      </c>
      <c r="BH150" s="1">
        <v>44895.791666666664</v>
      </c>
      <c r="BI150">
        <v>40</v>
      </c>
      <c r="BJ150">
        <v>0</v>
      </c>
      <c r="BK150">
        <v>8</v>
      </c>
      <c r="BL150">
        <v>8</v>
      </c>
      <c r="BM150">
        <v>8</v>
      </c>
      <c r="BN150">
        <v>8</v>
      </c>
      <c r="BO150">
        <v>8</v>
      </c>
      <c r="BP150">
        <v>0</v>
      </c>
      <c r="BQ150" t="str">
        <f>"7:00 AM"</f>
        <v>7:00 AM</v>
      </c>
      <c r="BR150" t="str">
        <f>"3:30 PM"</f>
        <v>3:30 PM</v>
      </c>
      <c r="BS150" t="s">
        <v>133</v>
      </c>
      <c r="BT150">
        <v>0</v>
      </c>
      <c r="BU150">
        <v>0</v>
      </c>
      <c r="BV150" t="s">
        <v>134</v>
      </c>
      <c r="BX150" s="2" t="s">
        <v>5765</v>
      </c>
      <c r="BY150" t="s">
        <v>11819</v>
      </c>
      <c r="CA150" t="s">
        <v>11820</v>
      </c>
      <c r="CB150" t="s">
        <v>1003</v>
      </c>
      <c r="CC150" s="4" t="str">
        <f>"07840"</f>
        <v>07840</v>
      </c>
      <c r="CD150" t="s">
        <v>1535</v>
      </c>
      <c r="CE150" t="s">
        <v>3907</v>
      </c>
      <c r="CF150" s="6">
        <v>16.899999999999999</v>
      </c>
      <c r="CH150" s="6">
        <v>25.35</v>
      </c>
      <c r="CJ150" t="s">
        <v>137</v>
      </c>
      <c r="CK150" t="s">
        <v>487</v>
      </c>
      <c r="CL150" t="s">
        <v>11821</v>
      </c>
      <c r="CO150" t="s">
        <v>138</v>
      </c>
      <c r="CP150" t="s">
        <v>114</v>
      </c>
      <c r="CQ150" t="s">
        <v>134</v>
      </c>
      <c r="CR150" t="s">
        <v>114</v>
      </c>
      <c r="CS150" t="s">
        <v>114</v>
      </c>
      <c r="CT150" t="s">
        <v>114</v>
      </c>
      <c r="CU150" t="s">
        <v>114</v>
      </c>
      <c r="CV150" t="s">
        <v>11822</v>
      </c>
      <c r="CW150" s="5" t="str">
        <f>"+19088506600"</f>
        <v>+19088506600</v>
      </c>
      <c r="CX150" t="s">
        <v>5632</v>
      </c>
      <c r="CY150" t="s">
        <v>138</v>
      </c>
      <c r="CZ150" t="s">
        <v>139</v>
      </c>
      <c r="DA150" t="s">
        <v>134</v>
      </c>
      <c r="DB150" t="s">
        <v>114</v>
      </c>
      <c r="DC150" t="s">
        <v>114</v>
      </c>
      <c r="DD150" t="s">
        <v>134</v>
      </c>
      <c r="DE150" t="s">
        <v>492</v>
      </c>
      <c r="DF150" t="s">
        <v>493</v>
      </c>
      <c r="DH150" t="s">
        <v>481</v>
      </c>
      <c r="DI150" t="s">
        <v>480</v>
      </c>
    </row>
    <row r="151" spans="1:113" ht="15" customHeight="1" x14ac:dyDescent="0.25">
      <c r="A151" t="s">
        <v>16120</v>
      </c>
      <c r="B151" t="s">
        <v>165</v>
      </c>
      <c r="C151" s="1">
        <v>44896.341345486115</v>
      </c>
      <c r="D151" s="1">
        <v>44923</v>
      </c>
      <c r="E151" t="s">
        <v>114</v>
      </c>
      <c r="F151" t="s">
        <v>1557</v>
      </c>
      <c r="G151" t="str">
        <f>"47-4091.00"</f>
        <v>47-4091.00</v>
      </c>
      <c r="H151" t="s">
        <v>1558</v>
      </c>
      <c r="I151">
        <v>12</v>
      </c>
      <c r="J151">
        <v>12</v>
      </c>
      <c r="K151" s="1">
        <v>44986</v>
      </c>
      <c r="L151" s="1">
        <v>45272</v>
      </c>
      <c r="M151" s="1">
        <v>44986</v>
      </c>
      <c r="N151" s="1">
        <v>45272</v>
      </c>
      <c r="O151" t="s">
        <v>117</v>
      </c>
      <c r="P151" t="s">
        <v>1559</v>
      </c>
      <c r="R151" t="s">
        <v>1560</v>
      </c>
      <c r="T151" t="s">
        <v>1561</v>
      </c>
      <c r="U151" t="s">
        <v>748</v>
      </c>
      <c r="V151" s="4" t="str">
        <f>"19355"</f>
        <v>19355</v>
      </c>
      <c r="W151" t="s">
        <v>120</v>
      </c>
      <c r="Y151" s="5">
        <v>16105323265</v>
      </c>
      <c r="AA151">
        <v>56173</v>
      </c>
      <c r="AB151" t="s">
        <v>1562</v>
      </c>
      <c r="AC151" t="s">
        <v>173</v>
      </c>
      <c r="AE151" t="s">
        <v>342</v>
      </c>
      <c r="AF151" t="s">
        <v>1560</v>
      </c>
      <c r="AH151" t="s">
        <v>1561</v>
      </c>
      <c r="AI151" t="s">
        <v>748</v>
      </c>
      <c r="AJ151" s="4" t="str">
        <f>"19355"</f>
        <v>19355</v>
      </c>
      <c r="AK151" t="s">
        <v>120</v>
      </c>
      <c r="AM151" s="5">
        <v>16105323265</v>
      </c>
      <c r="AN151">
        <v>100</v>
      </c>
      <c r="AO151" t="s">
        <v>1563</v>
      </c>
      <c r="AP151" t="s">
        <v>256</v>
      </c>
      <c r="AQ151" t="s">
        <v>475</v>
      </c>
      <c r="AR151" t="s">
        <v>476</v>
      </c>
      <c r="AT151" t="s">
        <v>477</v>
      </c>
      <c r="AV151" t="s">
        <v>478</v>
      </c>
      <c r="AW151" t="s">
        <v>479</v>
      </c>
      <c r="AX151" s="4" t="str">
        <f>"22903"</f>
        <v>22903</v>
      </c>
      <c r="AY151" t="s">
        <v>120</v>
      </c>
      <c r="BA151" s="5">
        <v>14342634300</v>
      </c>
      <c r="BC151" t="s">
        <v>480</v>
      </c>
      <c r="BD151" t="s">
        <v>481</v>
      </c>
      <c r="BG151" t="s">
        <v>748</v>
      </c>
      <c r="BH151" s="1">
        <v>44895.791666666664</v>
      </c>
      <c r="BI151">
        <v>40</v>
      </c>
      <c r="BJ151">
        <v>0</v>
      </c>
      <c r="BK151">
        <v>8</v>
      </c>
      <c r="BL151">
        <v>8</v>
      </c>
      <c r="BM151">
        <v>8</v>
      </c>
      <c r="BN151">
        <v>8</v>
      </c>
      <c r="BO151">
        <v>8</v>
      </c>
      <c r="BP151">
        <v>0</v>
      </c>
      <c r="BQ151" t="str">
        <f>"6:30 AM"</f>
        <v>6:30 AM</v>
      </c>
      <c r="BR151" t="str">
        <f>"3:00 PM"</f>
        <v>3:00 PM</v>
      </c>
      <c r="BS151" t="s">
        <v>133</v>
      </c>
      <c r="BT151">
        <v>0</v>
      </c>
      <c r="BU151">
        <v>3</v>
      </c>
      <c r="BV151" t="s">
        <v>134</v>
      </c>
      <c r="BX151" s="2" t="s">
        <v>1564</v>
      </c>
      <c r="BY151" t="s">
        <v>1560</v>
      </c>
      <c r="CA151" t="s">
        <v>1561</v>
      </c>
      <c r="CB151" t="s">
        <v>748</v>
      </c>
      <c r="CC151" s="4" t="str">
        <f>"19355"</f>
        <v>19355</v>
      </c>
      <c r="CD151" t="s">
        <v>1265</v>
      </c>
      <c r="CE151" t="s">
        <v>1266</v>
      </c>
      <c r="CF151" s="6">
        <v>25.61</v>
      </c>
      <c r="CH151" s="6">
        <v>38.42</v>
      </c>
      <c r="CJ151" t="s">
        <v>137</v>
      </c>
      <c r="CK151" t="s">
        <v>487</v>
      </c>
      <c r="CL151" t="s">
        <v>1565</v>
      </c>
      <c r="CO151" t="s">
        <v>138</v>
      </c>
      <c r="CP151" t="s">
        <v>114</v>
      </c>
      <c r="CQ151" t="s">
        <v>114</v>
      </c>
      <c r="CR151" t="s">
        <v>114</v>
      </c>
      <c r="CS151" t="s">
        <v>134</v>
      </c>
      <c r="CT151" t="s">
        <v>114</v>
      </c>
      <c r="CU151" t="s">
        <v>114</v>
      </c>
      <c r="CV151" t="s">
        <v>16121</v>
      </c>
      <c r="CW151" s="5" t="str">
        <f>"+16105323265"</f>
        <v>+16105323265</v>
      </c>
      <c r="CX151" t="s">
        <v>138</v>
      </c>
      <c r="CY151" t="s">
        <v>1476</v>
      </c>
      <c r="CZ151" t="s">
        <v>139</v>
      </c>
      <c r="DA151" t="s">
        <v>134</v>
      </c>
      <c r="DB151" t="s">
        <v>114</v>
      </c>
      <c r="DC151" t="s">
        <v>114</v>
      </c>
      <c r="DD151" t="s">
        <v>134</v>
      </c>
      <c r="DE151" t="s">
        <v>492</v>
      </c>
      <c r="DF151" t="s">
        <v>493</v>
      </c>
      <c r="DH151" t="s">
        <v>481</v>
      </c>
      <c r="DI151" t="s">
        <v>480</v>
      </c>
    </row>
    <row r="152" spans="1:113" ht="15" customHeight="1" x14ac:dyDescent="0.25">
      <c r="A152" t="s">
        <v>10970</v>
      </c>
      <c r="B152" t="s">
        <v>165</v>
      </c>
      <c r="C152" s="1">
        <v>44896.111868981483</v>
      </c>
      <c r="D152" s="1">
        <v>44923</v>
      </c>
      <c r="E152" t="s">
        <v>134</v>
      </c>
      <c r="F152" t="s">
        <v>334</v>
      </c>
      <c r="G152" t="str">
        <f t="shared" ref="G152:G157" si="8">"37-3011.00"</f>
        <v>37-3011.00</v>
      </c>
      <c r="H152" t="s">
        <v>335</v>
      </c>
      <c r="I152">
        <v>10</v>
      </c>
      <c r="J152">
        <v>10</v>
      </c>
      <c r="K152" s="1">
        <v>44986</v>
      </c>
      <c r="L152" s="1">
        <v>45260</v>
      </c>
      <c r="M152" s="1">
        <v>44986</v>
      </c>
      <c r="N152" s="1">
        <v>45260</v>
      </c>
      <c r="O152" t="s">
        <v>199</v>
      </c>
      <c r="P152" t="s">
        <v>10971</v>
      </c>
      <c r="R152" t="s">
        <v>10972</v>
      </c>
      <c r="T152" t="s">
        <v>5075</v>
      </c>
      <c r="U152" t="s">
        <v>657</v>
      </c>
      <c r="V152" s="4" t="str">
        <f>"38355"</f>
        <v>38355</v>
      </c>
      <c r="W152" t="s">
        <v>120</v>
      </c>
      <c r="Y152" s="5">
        <v>17316130041</v>
      </c>
      <c r="AA152">
        <v>56173</v>
      </c>
      <c r="AB152" t="s">
        <v>2204</v>
      </c>
      <c r="AC152" t="s">
        <v>10973</v>
      </c>
      <c r="AE152" t="s">
        <v>424</v>
      </c>
      <c r="AF152" t="s">
        <v>10972</v>
      </c>
      <c r="AH152" t="s">
        <v>5075</v>
      </c>
      <c r="AI152" t="s">
        <v>657</v>
      </c>
      <c r="AJ152" s="4" t="str">
        <f>"38355"</f>
        <v>38355</v>
      </c>
      <c r="AK152" t="s">
        <v>120</v>
      </c>
      <c r="AM152" s="5">
        <v>17316130041</v>
      </c>
      <c r="AO152" t="s">
        <v>10974</v>
      </c>
      <c r="AP152" t="s">
        <v>256</v>
      </c>
      <c r="AQ152" t="s">
        <v>885</v>
      </c>
      <c r="AR152" t="s">
        <v>886</v>
      </c>
      <c r="AT152" t="s">
        <v>887</v>
      </c>
      <c r="AV152" t="s">
        <v>888</v>
      </c>
      <c r="AW152" t="s">
        <v>232</v>
      </c>
      <c r="AX152" s="4" t="str">
        <f>"75098"</f>
        <v>75098</v>
      </c>
      <c r="AY152" t="s">
        <v>120</v>
      </c>
      <c r="BA152" s="5">
        <v>19724424244</v>
      </c>
      <c r="BC152" t="s">
        <v>889</v>
      </c>
      <c r="BD152" t="s">
        <v>1264</v>
      </c>
      <c r="BG152" t="s">
        <v>657</v>
      </c>
      <c r="BH152" s="1">
        <v>44895.791666666664</v>
      </c>
      <c r="BI152">
        <v>40</v>
      </c>
      <c r="BJ152">
        <v>0</v>
      </c>
      <c r="BK152">
        <v>8</v>
      </c>
      <c r="BL152">
        <v>8</v>
      </c>
      <c r="BM152">
        <v>8</v>
      </c>
      <c r="BN152">
        <v>8</v>
      </c>
      <c r="BO152">
        <v>8</v>
      </c>
      <c r="BP152">
        <v>0</v>
      </c>
      <c r="BQ152" t="str">
        <f>"7:00 AM"</f>
        <v>7:00 AM</v>
      </c>
      <c r="BR152" t="str">
        <f>"5:00 PM"</f>
        <v>5:00 PM</v>
      </c>
      <c r="BS152" t="s">
        <v>133</v>
      </c>
      <c r="BT152">
        <v>0</v>
      </c>
      <c r="BU152">
        <v>0</v>
      </c>
      <c r="BV152" t="s">
        <v>134</v>
      </c>
      <c r="BX152" s="2" t="s">
        <v>10975</v>
      </c>
      <c r="BY152" t="s">
        <v>10972</v>
      </c>
      <c r="CA152" t="s">
        <v>5075</v>
      </c>
      <c r="CB152" t="s">
        <v>657</v>
      </c>
      <c r="CC152" s="4" t="str">
        <f>"38355"</f>
        <v>38355</v>
      </c>
      <c r="CD152" t="s">
        <v>10976</v>
      </c>
      <c r="CE152" t="s">
        <v>3999</v>
      </c>
      <c r="CF152" s="6">
        <v>14.33</v>
      </c>
      <c r="CG152" s="6">
        <v>15</v>
      </c>
      <c r="CH152" s="6">
        <v>21.5</v>
      </c>
      <c r="CI152" s="6">
        <v>22.5</v>
      </c>
      <c r="CJ152" t="s">
        <v>137</v>
      </c>
      <c r="CL152" t="s">
        <v>10977</v>
      </c>
      <c r="CO152" t="s">
        <v>138</v>
      </c>
      <c r="CP152" t="s">
        <v>114</v>
      </c>
      <c r="CQ152" t="s">
        <v>114</v>
      </c>
      <c r="CR152" t="s">
        <v>114</v>
      </c>
      <c r="CS152" t="s">
        <v>114</v>
      </c>
      <c r="CT152" t="s">
        <v>114</v>
      </c>
      <c r="CU152" t="s">
        <v>114</v>
      </c>
      <c r="CV152" t="s">
        <v>7992</v>
      </c>
      <c r="CW152" s="5" t="str">
        <f>"+17316130041"</f>
        <v>+17316130041</v>
      </c>
      <c r="CX152" t="s">
        <v>138</v>
      </c>
      <c r="CY152" t="s">
        <v>7889</v>
      </c>
      <c r="CZ152" t="s">
        <v>139</v>
      </c>
      <c r="DA152" t="s">
        <v>134</v>
      </c>
      <c r="DB152" t="s">
        <v>134</v>
      </c>
      <c r="DC152" t="s">
        <v>114</v>
      </c>
      <c r="DD152" t="s">
        <v>134</v>
      </c>
    </row>
    <row r="153" spans="1:113" ht="15" customHeight="1" x14ac:dyDescent="0.25">
      <c r="A153" t="s">
        <v>11746</v>
      </c>
      <c r="B153" t="s">
        <v>165</v>
      </c>
      <c r="C153" s="1">
        <v>44896.094251967595</v>
      </c>
      <c r="D153" s="1">
        <v>44923</v>
      </c>
      <c r="E153" t="s">
        <v>134</v>
      </c>
      <c r="F153" t="s">
        <v>334</v>
      </c>
      <c r="G153" t="str">
        <f t="shared" si="8"/>
        <v>37-3011.00</v>
      </c>
      <c r="H153" t="s">
        <v>335</v>
      </c>
      <c r="I153">
        <v>15</v>
      </c>
      <c r="J153">
        <v>15</v>
      </c>
      <c r="K153" s="1">
        <v>44986</v>
      </c>
      <c r="L153" s="1">
        <v>45260</v>
      </c>
      <c r="M153" s="1">
        <v>44986</v>
      </c>
      <c r="N153" s="1">
        <v>45260</v>
      </c>
      <c r="O153" t="s">
        <v>117</v>
      </c>
      <c r="P153" t="s">
        <v>11747</v>
      </c>
      <c r="R153" t="s">
        <v>11748</v>
      </c>
      <c r="T153" t="s">
        <v>2460</v>
      </c>
      <c r="U153" t="s">
        <v>232</v>
      </c>
      <c r="V153" s="4" t="str">
        <f>"75006"</f>
        <v>75006</v>
      </c>
      <c r="W153" t="s">
        <v>120</v>
      </c>
      <c r="Y153" s="5">
        <v>19722029564</v>
      </c>
      <c r="AA153">
        <v>56173</v>
      </c>
      <c r="AB153" t="s">
        <v>9018</v>
      </c>
      <c r="AC153" t="s">
        <v>8130</v>
      </c>
      <c r="AE153" t="s">
        <v>424</v>
      </c>
      <c r="AF153" t="s">
        <v>11748</v>
      </c>
      <c r="AH153" t="s">
        <v>2460</v>
      </c>
      <c r="AI153" t="s">
        <v>232</v>
      </c>
      <c r="AJ153" s="4" t="str">
        <f>"75006"</f>
        <v>75006</v>
      </c>
      <c r="AK153" t="s">
        <v>120</v>
      </c>
      <c r="AM153" s="5">
        <v>19722029564</v>
      </c>
      <c r="AO153" t="s">
        <v>11749</v>
      </c>
      <c r="AP153" t="s">
        <v>256</v>
      </c>
      <c r="AQ153" t="s">
        <v>885</v>
      </c>
      <c r="AR153" t="s">
        <v>886</v>
      </c>
      <c r="AT153" t="s">
        <v>887</v>
      </c>
      <c r="AV153" t="s">
        <v>888</v>
      </c>
      <c r="AW153" t="s">
        <v>232</v>
      </c>
      <c r="AX153" s="4" t="str">
        <f>"75098"</f>
        <v>75098</v>
      </c>
      <c r="AY153" t="s">
        <v>120</v>
      </c>
      <c r="BA153" s="5">
        <v>19724424244</v>
      </c>
      <c r="BC153" t="s">
        <v>889</v>
      </c>
      <c r="BD153" t="s">
        <v>1264</v>
      </c>
      <c r="BG153" t="s">
        <v>232</v>
      </c>
      <c r="BH153" s="1">
        <v>44895.791666666664</v>
      </c>
      <c r="BI153">
        <v>40</v>
      </c>
      <c r="BJ153">
        <v>0</v>
      </c>
      <c r="BK153">
        <v>8</v>
      </c>
      <c r="BL153">
        <v>8</v>
      </c>
      <c r="BM153">
        <v>8</v>
      </c>
      <c r="BN153">
        <v>8</v>
      </c>
      <c r="BO153">
        <v>8</v>
      </c>
      <c r="BP153">
        <v>0</v>
      </c>
      <c r="BQ153" t="str">
        <f>"7:00 AM"</f>
        <v>7:00 AM</v>
      </c>
      <c r="BR153" t="str">
        <f>"3:00 PM"</f>
        <v>3:00 PM</v>
      </c>
      <c r="BS153" t="s">
        <v>133</v>
      </c>
      <c r="BT153">
        <v>0</v>
      </c>
      <c r="BU153">
        <v>0</v>
      </c>
      <c r="BV153" t="s">
        <v>134</v>
      </c>
      <c r="BX153" t="s">
        <v>219</v>
      </c>
      <c r="BY153" t="s">
        <v>11748</v>
      </c>
      <c r="CA153" t="s">
        <v>2460</v>
      </c>
      <c r="CB153" t="s">
        <v>232</v>
      </c>
      <c r="CC153" s="4" t="str">
        <f>"75006"</f>
        <v>75006</v>
      </c>
      <c r="CD153" t="s">
        <v>1482</v>
      </c>
      <c r="CE153" t="s">
        <v>1528</v>
      </c>
      <c r="CF153" s="6">
        <v>16.3</v>
      </c>
      <c r="CG153" s="6">
        <v>18.5</v>
      </c>
      <c r="CH153" s="6">
        <v>24.45</v>
      </c>
      <c r="CI153" s="6">
        <v>27.75</v>
      </c>
      <c r="CJ153" t="s">
        <v>137</v>
      </c>
      <c r="CK153" t="s">
        <v>2086</v>
      </c>
      <c r="CL153" t="s">
        <v>11750</v>
      </c>
      <c r="CO153" t="s">
        <v>138</v>
      </c>
      <c r="CP153" t="s">
        <v>114</v>
      </c>
      <c r="CQ153" t="s">
        <v>114</v>
      </c>
      <c r="CR153" t="s">
        <v>114</v>
      </c>
      <c r="CS153" t="s">
        <v>114</v>
      </c>
      <c r="CT153" t="s">
        <v>114</v>
      </c>
      <c r="CU153" t="s">
        <v>114</v>
      </c>
      <c r="CV153" t="s">
        <v>11751</v>
      </c>
      <c r="CW153" s="5" t="str">
        <f>"+12142029564"</f>
        <v>+12142029564</v>
      </c>
      <c r="CX153" t="s">
        <v>138</v>
      </c>
      <c r="CY153" t="s">
        <v>2072</v>
      </c>
      <c r="CZ153" t="s">
        <v>139</v>
      </c>
      <c r="DA153" t="s">
        <v>134</v>
      </c>
      <c r="DB153" t="s">
        <v>134</v>
      </c>
      <c r="DC153" t="s">
        <v>114</v>
      </c>
      <c r="DD153" t="s">
        <v>134</v>
      </c>
    </row>
    <row r="154" spans="1:113" ht="15" customHeight="1" x14ac:dyDescent="0.25">
      <c r="A154" t="s">
        <v>7932</v>
      </c>
      <c r="B154" t="s">
        <v>165</v>
      </c>
      <c r="C154" s="1">
        <v>44896.07228414352</v>
      </c>
      <c r="D154" s="1">
        <v>44923</v>
      </c>
      <c r="E154" t="s">
        <v>134</v>
      </c>
      <c r="F154" t="s">
        <v>1034</v>
      </c>
      <c r="G154" t="str">
        <f t="shared" si="8"/>
        <v>37-3011.00</v>
      </c>
      <c r="H154" t="s">
        <v>335</v>
      </c>
      <c r="I154">
        <v>8</v>
      </c>
      <c r="J154">
        <v>8</v>
      </c>
      <c r="K154" s="1">
        <v>44986</v>
      </c>
      <c r="L154" s="1">
        <v>45204</v>
      </c>
      <c r="M154" s="1">
        <v>44986</v>
      </c>
      <c r="N154" s="1">
        <v>45204</v>
      </c>
      <c r="O154" t="s">
        <v>117</v>
      </c>
      <c r="P154" t="s">
        <v>7933</v>
      </c>
      <c r="Q154" t="s">
        <v>7934</v>
      </c>
      <c r="R154" t="s">
        <v>7935</v>
      </c>
      <c r="T154" t="s">
        <v>4031</v>
      </c>
      <c r="U154" t="s">
        <v>232</v>
      </c>
      <c r="V154" s="4" t="str">
        <f>"75057"</f>
        <v>75057</v>
      </c>
      <c r="W154" t="s">
        <v>120</v>
      </c>
      <c r="Y154" s="5">
        <v>19723532775</v>
      </c>
      <c r="AA154">
        <v>56173</v>
      </c>
      <c r="AB154" t="s">
        <v>7936</v>
      </c>
      <c r="AC154" t="s">
        <v>2376</v>
      </c>
      <c r="AE154" t="s">
        <v>342</v>
      </c>
      <c r="AF154" t="s">
        <v>7935</v>
      </c>
      <c r="AH154" t="s">
        <v>4031</v>
      </c>
      <c r="AI154" t="s">
        <v>232</v>
      </c>
      <c r="AJ154" s="4" t="str">
        <f>"75057"</f>
        <v>75057</v>
      </c>
      <c r="AK154" t="s">
        <v>120</v>
      </c>
      <c r="AM154" s="5">
        <v>19723532775</v>
      </c>
      <c r="AO154" t="s">
        <v>7937</v>
      </c>
      <c r="AP154" t="s">
        <v>256</v>
      </c>
      <c r="AQ154" t="s">
        <v>885</v>
      </c>
      <c r="AR154" t="s">
        <v>886</v>
      </c>
      <c r="AT154" t="s">
        <v>887</v>
      </c>
      <c r="AV154" t="s">
        <v>888</v>
      </c>
      <c r="AW154" t="s">
        <v>232</v>
      </c>
      <c r="AX154" s="4" t="str">
        <f>"75098"</f>
        <v>75098</v>
      </c>
      <c r="AY154" t="s">
        <v>120</v>
      </c>
      <c r="BA154" s="5">
        <v>19724424244</v>
      </c>
      <c r="BC154" t="s">
        <v>889</v>
      </c>
      <c r="BD154" t="s">
        <v>1264</v>
      </c>
      <c r="BG154" t="s">
        <v>232</v>
      </c>
      <c r="BH154" s="1">
        <v>44895.791666666664</v>
      </c>
      <c r="BI154">
        <v>40</v>
      </c>
      <c r="BJ154">
        <v>0</v>
      </c>
      <c r="BK154">
        <v>8</v>
      </c>
      <c r="BL154">
        <v>8</v>
      </c>
      <c r="BM154">
        <v>8</v>
      </c>
      <c r="BN154">
        <v>8</v>
      </c>
      <c r="BO154">
        <v>8</v>
      </c>
      <c r="BP154">
        <v>0</v>
      </c>
      <c r="BQ154" t="str">
        <f>"7:00 AM"</f>
        <v>7:00 AM</v>
      </c>
      <c r="BR154" t="str">
        <f>"4:00 PM"</f>
        <v>4:00 PM</v>
      </c>
      <c r="BS154" t="s">
        <v>133</v>
      </c>
      <c r="BT154">
        <v>0</v>
      </c>
      <c r="BU154">
        <v>0</v>
      </c>
      <c r="BV154" t="s">
        <v>134</v>
      </c>
      <c r="BX154" s="2" t="s">
        <v>2039</v>
      </c>
      <c r="BY154" t="s">
        <v>7935</v>
      </c>
      <c r="CA154" t="s">
        <v>4031</v>
      </c>
      <c r="CB154" t="s">
        <v>232</v>
      </c>
      <c r="CC154" s="4" t="str">
        <f>"75057"</f>
        <v>75057</v>
      </c>
      <c r="CD154" t="s">
        <v>2071</v>
      </c>
      <c r="CE154" t="s">
        <v>1528</v>
      </c>
      <c r="CF154" s="6">
        <v>16.3</v>
      </c>
      <c r="CG154" s="6">
        <v>18.489999999999998</v>
      </c>
      <c r="CH154" s="6">
        <v>24.45</v>
      </c>
      <c r="CI154" s="6">
        <v>27.74</v>
      </c>
      <c r="CJ154" t="s">
        <v>137</v>
      </c>
      <c r="CL154" t="s">
        <v>7938</v>
      </c>
      <c r="CO154" t="s">
        <v>138</v>
      </c>
      <c r="CP154" t="s">
        <v>114</v>
      </c>
      <c r="CQ154" t="s">
        <v>114</v>
      </c>
      <c r="CR154" t="s">
        <v>114</v>
      </c>
      <c r="CS154" t="s">
        <v>114</v>
      </c>
      <c r="CT154" t="s">
        <v>114</v>
      </c>
      <c r="CU154" t="s">
        <v>114</v>
      </c>
      <c r="CV154" t="s">
        <v>7939</v>
      </c>
      <c r="CW154" s="5" t="str">
        <f>"+19723532775"</f>
        <v>+19723532775</v>
      </c>
      <c r="CX154" t="s">
        <v>138</v>
      </c>
      <c r="CY154" t="s">
        <v>2072</v>
      </c>
      <c r="CZ154" t="s">
        <v>139</v>
      </c>
      <c r="DA154" t="s">
        <v>134</v>
      </c>
      <c r="DB154" t="s">
        <v>134</v>
      </c>
      <c r="DC154" t="s">
        <v>114</v>
      </c>
      <c r="DD154" t="s">
        <v>134</v>
      </c>
    </row>
    <row r="155" spans="1:113" ht="15" customHeight="1" x14ac:dyDescent="0.25">
      <c r="A155" t="s">
        <v>12726</v>
      </c>
      <c r="B155" t="s">
        <v>165</v>
      </c>
      <c r="C155" s="1">
        <v>44896.063384490742</v>
      </c>
      <c r="D155" s="1">
        <v>44923</v>
      </c>
      <c r="E155" t="s">
        <v>134</v>
      </c>
      <c r="F155" t="s">
        <v>1219</v>
      </c>
      <c r="G155" t="str">
        <f t="shared" si="8"/>
        <v>37-3011.00</v>
      </c>
      <c r="H155" t="s">
        <v>335</v>
      </c>
      <c r="I155">
        <v>2</v>
      </c>
      <c r="J155">
        <v>2</v>
      </c>
      <c r="K155" s="1">
        <v>44986</v>
      </c>
      <c r="L155" s="1">
        <v>45275</v>
      </c>
      <c r="M155" s="1">
        <v>44986</v>
      </c>
      <c r="N155" s="1">
        <v>45275</v>
      </c>
      <c r="O155" t="s">
        <v>199</v>
      </c>
      <c r="P155" t="s">
        <v>12727</v>
      </c>
      <c r="R155" t="s">
        <v>12728</v>
      </c>
      <c r="T155" t="s">
        <v>6134</v>
      </c>
      <c r="U155" t="s">
        <v>848</v>
      </c>
      <c r="V155" s="4" t="str">
        <f>"11954"</f>
        <v>11954</v>
      </c>
      <c r="W155" t="s">
        <v>120</v>
      </c>
      <c r="Y155" s="5">
        <v>16316689120</v>
      </c>
      <c r="AA155">
        <v>56173</v>
      </c>
      <c r="AB155" t="s">
        <v>1554</v>
      </c>
      <c r="AC155" t="s">
        <v>604</v>
      </c>
      <c r="AE155" t="s">
        <v>700</v>
      </c>
      <c r="AF155" t="s">
        <v>12728</v>
      </c>
      <c r="AH155" t="s">
        <v>6134</v>
      </c>
      <c r="AI155" t="s">
        <v>848</v>
      </c>
      <c r="AJ155" s="4" t="str">
        <f>"11954"</f>
        <v>11954</v>
      </c>
      <c r="AK155" t="s">
        <v>120</v>
      </c>
      <c r="AM155" s="5">
        <v>16316689120</v>
      </c>
      <c r="AO155" t="s">
        <v>138</v>
      </c>
      <c r="AP155" t="s">
        <v>256</v>
      </c>
      <c r="AQ155" t="s">
        <v>1220</v>
      </c>
      <c r="AR155" t="s">
        <v>1221</v>
      </c>
      <c r="AT155" t="s">
        <v>1222</v>
      </c>
      <c r="AV155" t="s">
        <v>1223</v>
      </c>
      <c r="AW155" t="s">
        <v>848</v>
      </c>
      <c r="AX155" s="4" t="str">
        <f>"11590"</f>
        <v>11590</v>
      </c>
      <c r="AY155" t="s">
        <v>120</v>
      </c>
      <c r="BA155" s="5">
        <v>17577613231</v>
      </c>
      <c r="BC155" t="s">
        <v>1224</v>
      </c>
      <c r="BD155" t="s">
        <v>1225</v>
      </c>
      <c r="BG155" t="s">
        <v>848</v>
      </c>
      <c r="BH155" s="1">
        <v>44857.833333333336</v>
      </c>
      <c r="BI155">
        <v>40</v>
      </c>
      <c r="BJ155">
        <v>0</v>
      </c>
      <c r="BK155">
        <v>8</v>
      </c>
      <c r="BL155">
        <v>8</v>
      </c>
      <c r="BM155">
        <v>8</v>
      </c>
      <c r="BN155">
        <v>8</v>
      </c>
      <c r="BO155">
        <v>8</v>
      </c>
      <c r="BP155">
        <v>0</v>
      </c>
      <c r="BQ155" t="str">
        <f>"8:00 AM"</f>
        <v>8:00 AM</v>
      </c>
      <c r="BR155" t="str">
        <f>"4:00 PM"</f>
        <v>4:00 PM</v>
      </c>
      <c r="BS155" t="s">
        <v>133</v>
      </c>
      <c r="BT155">
        <v>0</v>
      </c>
      <c r="BU155">
        <v>0</v>
      </c>
      <c r="BV155" t="s">
        <v>134</v>
      </c>
      <c r="BX155" t="s">
        <v>138</v>
      </c>
      <c r="BY155" t="s">
        <v>12728</v>
      </c>
      <c r="CA155" t="s">
        <v>6134</v>
      </c>
      <c r="CB155" t="s">
        <v>848</v>
      </c>
      <c r="CC155" s="4" t="str">
        <f>"11954"</f>
        <v>11954</v>
      </c>
      <c r="CD155" t="s">
        <v>1227</v>
      </c>
      <c r="CE155" t="s">
        <v>1009</v>
      </c>
      <c r="CF155" s="6">
        <v>19.940000000000001</v>
      </c>
      <c r="CG155" s="6">
        <v>19.940000000000001</v>
      </c>
      <c r="CH155" s="6">
        <v>29.91</v>
      </c>
      <c r="CI155" s="6">
        <v>29.91</v>
      </c>
      <c r="CJ155" t="s">
        <v>137</v>
      </c>
      <c r="CK155" t="s">
        <v>138</v>
      </c>
      <c r="CL155" t="s">
        <v>12729</v>
      </c>
      <c r="CO155" t="s">
        <v>138</v>
      </c>
      <c r="CP155" t="s">
        <v>114</v>
      </c>
      <c r="CQ155" t="s">
        <v>114</v>
      </c>
      <c r="CR155" t="s">
        <v>114</v>
      </c>
      <c r="CS155" t="s">
        <v>134</v>
      </c>
      <c r="CT155" t="s">
        <v>114</v>
      </c>
      <c r="CU155" t="s">
        <v>134</v>
      </c>
      <c r="CV155" t="s">
        <v>219</v>
      </c>
      <c r="CW155" s="5" t="str">
        <f>"+16316689120"</f>
        <v>+16316689120</v>
      </c>
      <c r="CX155" t="s">
        <v>12730</v>
      </c>
      <c r="CY155" t="s">
        <v>138</v>
      </c>
      <c r="CZ155" t="s">
        <v>139</v>
      </c>
      <c r="DA155" t="s">
        <v>134</v>
      </c>
      <c r="DB155" t="s">
        <v>134</v>
      </c>
      <c r="DC155" t="s">
        <v>114</v>
      </c>
      <c r="DD155" t="s">
        <v>134</v>
      </c>
    </row>
    <row r="156" spans="1:113" ht="15" customHeight="1" x14ac:dyDescent="0.25">
      <c r="A156" t="s">
        <v>15514</v>
      </c>
      <c r="B156" t="s">
        <v>165</v>
      </c>
      <c r="C156" s="1">
        <v>44896.060324074075</v>
      </c>
      <c r="D156" s="1">
        <v>44923</v>
      </c>
      <c r="E156" t="s">
        <v>134</v>
      </c>
      <c r="F156" t="s">
        <v>334</v>
      </c>
      <c r="G156" t="str">
        <f t="shared" si="8"/>
        <v>37-3011.00</v>
      </c>
      <c r="H156" t="s">
        <v>335</v>
      </c>
      <c r="I156">
        <v>2</v>
      </c>
      <c r="J156">
        <v>2</v>
      </c>
      <c r="K156" s="1">
        <v>44986</v>
      </c>
      <c r="L156" s="1">
        <v>45260</v>
      </c>
      <c r="M156" s="1">
        <v>44986</v>
      </c>
      <c r="N156" s="1">
        <v>45260</v>
      </c>
      <c r="O156" t="s">
        <v>117</v>
      </c>
      <c r="P156" t="s">
        <v>15515</v>
      </c>
      <c r="R156" t="s">
        <v>15516</v>
      </c>
      <c r="T156" t="s">
        <v>15517</v>
      </c>
      <c r="U156" t="s">
        <v>232</v>
      </c>
      <c r="V156" s="4" t="str">
        <f>"75036"</f>
        <v>75036</v>
      </c>
      <c r="W156" t="s">
        <v>120</v>
      </c>
      <c r="Y156" s="5">
        <v>12148934886</v>
      </c>
      <c r="AA156">
        <v>56173</v>
      </c>
      <c r="AB156" t="s">
        <v>2685</v>
      </c>
      <c r="AC156" t="s">
        <v>15518</v>
      </c>
      <c r="AE156" t="s">
        <v>342</v>
      </c>
      <c r="AF156" t="s">
        <v>15516</v>
      </c>
      <c r="AH156" t="s">
        <v>15517</v>
      </c>
      <c r="AI156" t="s">
        <v>232</v>
      </c>
      <c r="AJ156" s="4" t="str">
        <f>"75036"</f>
        <v>75036</v>
      </c>
      <c r="AK156" t="s">
        <v>120</v>
      </c>
      <c r="AM156" s="5">
        <v>12148934886</v>
      </c>
      <c r="AO156" t="s">
        <v>15519</v>
      </c>
      <c r="AP156" t="s">
        <v>256</v>
      </c>
      <c r="AQ156" t="s">
        <v>885</v>
      </c>
      <c r="AR156" t="s">
        <v>15520</v>
      </c>
      <c r="AT156" t="s">
        <v>887</v>
      </c>
      <c r="AV156" t="s">
        <v>888</v>
      </c>
      <c r="AW156" t="s">
        <v>232</v>
      </c>
      <c r="AX156" s="4" t="str">
        <f>"75098"</f>
        <v>75098</v>
      </c>
      <c r="AY156" t="s">
        <v>120</v>
      </c>
      <c r="BA156" s="5">
        <v>19724424244</v>
      </c>
      <c r="BC156" t="s">
        <v>889</v>
      </c>
      <c r="BD156" t="s">
        <v>1264</v>
      </c>
      <c r="BG156" t="s">
        <v>232</v>
      </c>
      <c r="BH156" s="1">
        <v>44895.791666666664</v>
      </c>
      <c r="BI156">
        <v>40</v>
      </c>
      <c r="BJ156">
        <v>0</v>
      </c>
      <c r="BK156">
        <v>8</v>
      </c>
      <c r="BL156">
        <v>8</v>
      </c>
      <c r="BM156">
        <v>8</v>
      </c>
      <c r="BN156">
        <v>8</v>
      </c>
      <c r="BO156">
        <v>8</v>
      </c>
      <c r="BP156">
        <v>0</v>
      </c>
      <c r="BQ156" t="str">
        <f>"7:00 PM"</f>
        <v>7:00 PM</v>
      </c>
      <c r="BR156" t="str">
        <f>"4:00 AM"</f>
        <v>4:00 AM</v>
      </c>
      <c r="BS156" t="s">
        <v>133</v>
      </c>
      <c r="BT156">
        <v>0</v>
      </c>
      <c r="BU156">
        <v>0</v>
      </c>
      <c r="BV156" t="s">
        <v>134</v>
      </c>
      <c r="BX156" t="s">
        <v>219</v>
      </c>
      <c r="BY156" t="s">
        <v>15516</v>
      </c>
      <c r="CA156" t="s">
        <v>15517</v>
      </c>
      <c r="CB156" t="s">
        <v>232</v>
      </c>
      <c r="CC156" s="4" t="str">
        <f>"75036"</f>
        <v>75036</v>
      </c>
      <c r="CD156" t="s">
        <v>3860</v>
      </c>
      <c r="CE156" t="s">
        <v>1528</v>
      </c>
      <c r="CF156" s="6">
        <v>16.3</v>
      </c>
      <c r="CG156" s="6">
        <v>18.3</v>
      </c>
      <c r="CH156" s="6">
        <v>24.45</v>
      </c>
      <c r="CI156" s="6">
        <v>27.45</v>
      </c>
      <c r="CJ156" t="s">
        <v>137</v>
      </c>
      <c r="CL156" t="s">
        <v>15521</v>
      </c>
      <c r="CO156" t="s">
        <v>138</v>
      </c>
      <c r="CP156" t="s">
        <v>114</v>
      </c>
      <c r="CQ156" t="s">
        <v>114</v>
      </c>
      <c r="CR156" t="s">
        <v>114</v>
      </c>
      <c r="CS156" t="s">
        <v>114</v>
      </c>
      <c r="CT156" t="s">
        <v>114</v>
      </c>
      <c r="CU156" t="s">
        <v>114</v>
      </c>
      <c r="CV156" t="s">
        <v>15522</v>
      </c>
      <c r="CW156" s="5" t="str">
        <f>"+12148934886"</f>
        <v>+12148934886</v>
      </c>
      <c r="CX156" t="s">
        <v>138</v>
      </c>
      <c r="CY156" t="s">
        <v>2072</v>
      </c>
      <c r="CZ156" t="s">
        <v>139</v>
      </c>
      <c r="DA156" t="s">
        <v>134</v>
      </c>
      <c r="DB156" t="s">
        <v>134</v>
      </c>
      <c r="DC156" t="s">
        <v>114</v>
      </c>
      <c r="DD156" t="s">
        <v>134</v>
      </c>
    </row>
    <row r="157" spans="1:113" ht="15" customHeight="1" x14ac:dyDescent="0.25">
      <c r="A157" t="s">
        <v>10016</v>
      </c>
      <c r="B157" t="s">
        <v>165</v>
      </c>
      <c r="C157" s="1">
        <v>44896.036868402778</v>
      </c>
      <c r="D157" s="1">
        <v>44923</v>
      </c>
      <c r="E157" t="s">
        <v>134</v>
      </c>
      <c r="F157" t="s">
        <v>1219</v>
      </c>
      <c r="G157" t="str">
        <f t="shared" si="8"/>
        <v>37-3011.00</v>
      </c>
      <c r="H157" t="s">
        <v>335</v>
      </c>
      <c r="I157">
        <v>6</v>
      </c>
      <c r="J157">
        <v>6</v>
      </c>
      <c r="K157" s="1">
        <v>44986</v>
      </c>
      <c r="L157" s="1">
        <v>45275</v>
      </c>
      <c r="M157" s="1">
        <v>44986</v>
      </c>
      <c r="N157" s="1">
        <v>45275</v>
      </c>
      <c r="O157" t="s">
        <v>199</v>
      </c>
      <c r="P157" t="s">
        <v>9198</v>
      </c>
      <c r="R157" t="s">
        <v>9199</v>
      </c>
      <c r="T157" t="s">
        <v>9200</v>
      </c>
      <c r="U157" t="s">
        <v>848</v>
      </c>
      <c r="V157" s="4" t="str">
        <f>"11901"</f>
        <v>11901</v>
      </c>
      <c r="W157" t="s">
        <v>120</v>
      </c>
      <c r="Y157" s="5">
        <v>12039792091</v>
      </c>
      <c r="AA157">
        <v>56173</v>
      </c>
      <c r="AB157" t="s">
        <v>2988</v>
      </c>
      <c r="AC157" t="s">
        <v>9201</v>
      </c>
      <c r="AE157" t="s">
        <v>700</v>
      </c>
      <c r="AF157" t="s">
        <v>9202</v>
      </c>
      <c r="AH157" t="s">
        <v>1368</v>
      </c>
      <c r="AI157" t="s">
        <v>848</v>
      </c>
      <c r="AJ157" s="4" t="str">
        <f>"11969"</f>
        <v>11969</v>
      </c>
      <c r="AK157" t="s">
        <v>120</v>
      </c>
      <c r="AM157" s="5">
        <v>12039792091</v>
      </c>
      <c r="AO157" t="s">
        <v>138</v>
      </c>
      <c r="AP157" t="s">
        <v>256</v>
      </c>
      <c r="AQ157" t="s">
        <v>1220</v>
      </c>
      <c r="AR157" t="s">
        <v>1221</v>
      </c>
      <c r="AT157" t="s">
        <v>1222</v>
      </c>
      <c r="AV157" t="s">
        <v>1223</v>
      </c>
      <c r="AW157" t="s">
        <v>848</v>
      </c>
      <c r="AX157" s="4" t="str">
        <f>"11590"</f>
        <v>11590</v>
      </c>
      <c r="AY157" t="s">
        <v>120</v>
      </c>
      <c r="BA157" s="5">
        <v>17577613231</v>
      </c>
      <c r="BC157" t="s">
        <v>1224</v>
      </c>
      <c r="BD157" t="s">
        <v>1225</v>
      </c>
      <c r="BG157" t="s">
        <v>848</v>
      </c>
      <c r="BH157" s="1">
        <v>44865.833333333336</v>
      </c>
      <c r="BI157">
        <v>40</v>
      </c>
      <c r="BJ157">
        <v>0</v>
      </c>
      <c r="BK157">
        <v>8</v>
      </c>
      <c r="BL157">
        <v>8</v>
      </c>
      <c r="BM157">
        <v>8</v>
      </c>
      <c r="BN157">
        <v>8</v>
      </c>
      <c r="BO157">
        <v>8</v>
      </c>
      <c r="BP157">
        <v>0</v>
      </c>
      <c r="BQ157" t="str">
        <f>"8:00 AM"</f>
        <v>8:00 AM</v>
      </c>
      <c r="BR157" t="str">
        <f>"4:00 PM"</f>
        <v>4:00 PM</v>
      </c>
      <c r="BS157" t="s">
        <v>133</v>
      </c>
      <c r="BT157">
        <v>0</v>
      </c>
      <c r="BU157">
        <v>0</v>
      </c>
      <c r="BV157" t="s">
        <v>134</v>
      </c>
      <c r="BX157" t="s">
        <v>138</v>
      </c>
      <c r="BY157" t="s">
        <v>9199</v>
      </c>
      <c r="CA157" t="s">
        <v>9200</v>
      </c>
      <c r="CB157" t="s">
        <v>848</v>
      </c>
      <c r="CC157" s="4" t="str">
        <f>"11901"</f>
        <v>11901</v>
      </c>
      <c r="CD157" t="s">
        <v>1227</v>
      </c>
      <c r="CE157" t="s">
        <v>1009</v>
      </c>
      <c r="CF157" s="6">
        <v>19.940000000000001</v>
      </c>
      <c r="CG157" s="6">
        <v>19.940000000000001</v>
      </c>
      <c r="CH157" s="6">
        <v>29.91</v>
      </c>
      <c r="CI157" s="6">
        <v>29.91</v>
      </c>
      <c r="CJ157" t="s">
        <v>137</v>
      </c>
      <c r="CK157" t="s">
        <v>138</v>
      </c>
      <c r="CL157" t="s">
        <v>9203</v>
      </c>
      <c r="CO157" t="s">
        <v>138</v>
      </c>
      <c r="CP157" t="s">
        <v>114</v>
      </c>
      <c r="CQ157" t="s">
        <v>114</v>
      </c>
      <c r="CR157" t="s">
        <v>114</v>
      </c>
      <c r="CS157" t="s">
        <v>134</v>
      </c>
      <c r="CT157" t="s">
        <v>114</v>
      </c>
      <c r="CU157" t="s">
        <v>134</v>
      </c>
      <c r="CV157" t="s">
        <v>219</v>
      </c>
      <c r="CW157" s="5" t="str">
        <f>"+12039792091"</f>
        <v>+12039792091</v>
      </c>
      <c r="CX157" t="s">
        <v>9204</v>
      </c>
      <c r="CY157" t="s">
        <v>138</v>
      </c>
      <c r="CZ157" t="s">
        <v>139</v>
      </c>
      <c r="DA157" t="s">
        <v>134</v>
      </c>
      <c r="DB157" t="s">
        <v>134</v>
      </c>
      <c r="DC157" t="s">
        <v>114</v>
      </c>
      <c r="DD157" t="s">
        <v>134</v>
      </c>
    </row>
    <row r="158" spans="1:113" ht="15" customHeight="1" x14ac:dyDescent="0.25">
      <c r="A158" t="s">
        <v>12542</v>
      </c>
      <c r="B158" t="s">
        <v>165</v>
      </c>
      <c r="C158" s="1">
        <v>44896.032615046293</v>
      </c>
      <c r="D158" s="1">
        <v>44923</v>
      </c>
      <c r="E158" t="s">
        <v>134</v>
      </c>
      <c r="F158" t="s">
        <v>1848</v>
      </c>
      <c r="G158" t="str">
        <f>"53-7062.00"</f>
        <v>53-7062.00</v>
      </c>
      <c r="H158" t="s">
        <v>245</v>
      </c>
      <c r="I158">
        <v>4</v>
      </c>
      <c r="J158">
        <v>4</v>
      </c>
      <c r="K158" s="1">
        <v>44986</v>
      </c>
      <c r="L158" s="1">
        <v>45260</v>
      </c>
      <c r="M158" s="1">
        <v>44986</v>
      </c>
      <c r="N158" s="1">
        <v>45260</v>
      </c>
      <c r="O158" t="s">
        <v>199</v>
      </c>
      <c r="P158" t="s">
        <v>12543</v>
      </c>
      <c r="R158" t="s">
        <v>12544</v>
      </c>
      <c r="T158" t="s">
        <v>12545</v>
      </c>
      <c r="U158" t="s">
        <v>1279</v>
      </c>
      <c r="V158" s="4" t="str">
        <f>"66033"</f>
        <v>66033</v>
      </c>
      <c r="W158" t="s">
        <v>120</v>
      </c>
      <c r="Y158" s="5">
        <v>19135229484</v>
      </c>
      <c r="AA158">
        <v>56172</v>
      </c>
      <c r="AB158" t="s">
        <v>12546</v>
      </c>
      <c r="AC158" t="s">
        <v>920</v>
      </c>
      <c r="AE158" t="s">
        <v>700</v>
      </c>
      <c r="AF158" t="s">
        <v>12544</v>
      </c>
      <c r="AH158" t="s">
        <v>12545</v>
      </c>
      <c r="AI158" t="s">
        <v>1279</v>
      </c>
      <c r="AJ158" s="4" t="str">
        <f>"66033"</f>
        <v>66033</v>
      </c>
      <c r="AK158" t="s">
        <v>120</v>
      </c>
      <c r="AM158" s="5">
        <v>19135229484</v>
      </c>
      <c r="AO158" t="s">
        <v>138</v>
      </c>
      <c r="AP158" t="s">
        <v>256</v>
      </c>
      <c r="AQ158" t="s">
        <v>1220</v>
      </c>
      <c r="AR158" t="s">
        <v>1221</v>
      </c>
      <c r="AT158" t="s">
        <v>1222</v>
      </c>
      <c r="AV158" t="s">
        <v>1223</v>
      </c>
      <c r="AW158" t="s">
        <v>848</v>
      </c>
      <c r="AX158" s="4" t="str">
        <f>"11590"</f>
        <v>11590</v>
      </c>
      <c r="AY158" t="s">
        <v>120</v>
      </c>
      <c r="BA158" s="5">
        <v>15163307168</v>
      </c>
      <c r="BC158" t="s">
        <v>1224</v>
      </c>
      <c r="BD158" t="s">
        <v>1225</v>
      </c>
      <c r="BG158" t="s">
        <v>1279</v>
      </c>
      <c r="BH158" s="1">
        <v>44872.791666666664</v>
      </c>
      <c r="BI158">
        <v>40</v>
      </c>
      <c r="BJ158">
        <v>0</v>
      </c>
      <c r="BK158">
        <v>8</v>
      </c>
      <c r="BL158">
        <v>8</v>
      </c>
      <c r="BM158">
        <v>8</v>
      </c>
      <c r="BN158">
        <v>8</v>
      </c>
      <c r="BO158">
        <v>8</v>
      </c>
      <c r="BP158">
        <v>0</v>
      </c>
      <c r="BQ158" t="str">
        <f>"8:00 AM"</f>
        <v>8:00 AM</v>
      </c>
      <c r="BR158" t="str">
        <f>"5:00 PM"</f>
        <v>5:00 PM</v>
      </c>
      <c r="BS158" t="s">
        <v>133</v>
      </c>
      <c r="BT158">
        <v>0</v>
      </c>
      <c r="BU158">
        <v>0</v>
      </c>
      <c r="BV158" t="s">
        <v>134</v>
      </c>
      <c r="BX158" t="s">
        <v>219</v>
      </c>
      <c r="BY158" t="s">
        <v>12547</v>
      </c>
      <c r="CA158" t="s">
        <v>12545</v>
      </c>
      <c r="CB158" t="s">
        <v>1279</v>
      </c>
      <c r="CC158" s="4" t="str">
        <f>"66033"</f>
        <v>66033</v>
      </c>
      <c r="CD158" t="s">
        <v>1289</v>
      </c>
      <c r="CE158" t="s">
        <v>1290</v>
      </c>
      <c r="CF158" s="6">
        <v>17</v>
      </c>
      <c r="CG158" s="6">
        <v>19</v>
      </c>
      <c r="CH158" s="6">
        <v>25.5</v>
      </c>
      <c r="CI158" s="6">
        <v>28.5</v>
      </c>
      <c r="CJ158" t="s">
        <v>137</v>
      </c>
      <c r="CL158" t="s">
        <v>12548</v>
      </c>
      <c r="CO158" t="s">
        <v>138</v>
      </c>
      <c r="CP158" t="s">
        <v>114</v>
      </c>
      <c r="CQ158" t="s">
        <v>114</v>
      </c>
      <c r="CR158" t="s">
        <v>114</v>
      </c>
      <c r="CS158" t="s">
        <v>134</v>
      </c>
      <c r="CT158" t="s">
        <v>114</v>
      </c>
      <c r="CU158" t="s">
        <v>134</v>
      </c>
      <c r="CV158" t="s">
        <v>219</v>
      </c>
      <c r="CW158" s="5" t="str">
        <f>"+19135229484"</f>
        <v>+19135229484</v>
      </c>
      <c r="CX158" t="s">
        <v>12549</v>
      </c>
      <c r="CY158" t="s">
        <v>138</v>
      </c>
      <c r="CZ158" t="s">
        <v>139</v>
      </c>
      <c r="DA158" t="s">
        <v>134</v>
      </c>
      <c r="DB158" t="s">
        <v>134</v>
      </c>
      <c r="DC158" t="s">
        <v>114</v>
      </c>
      <c r="DD158" t="s">
        <v>134</v>
      </c>
    </row>
    <row r="159" spans="1:113" ht="15" customHeight="1" x14ac:dyDescent="0.25">
      <c r="A159" t="s">
        <v>13362</v>
      </c>
      <c r="B159" t="s">
        <v>165</v>
      </c>
      <c r="C159" s="1">
        <v>44896.032203125003</v>
      </c>
      <c r="D159" s="1">
        <v>44923</v>
      </c>
      <c r="E159" t="s">
        <v>134</v>
      </c>
      <c r="F159" t="s">
        <v>13363</v>
      </c>
      <c r="G159" t="str">
        <f>"37-3011.00"</f>
        <v>37-3011.00</v>
      </c>
      <c r="H159" t="s">
        <v>335</v>
      </c>
      <c r="I159">
        <v>2</v>
      </c>
      <c r="J159">
        <v>2</v>
      </c>
      <c r="K159" s="1">
        <v>44986</v>
      </c>
      <c r="L159" s="1">
        <v>45219</v>
      </c>
      <c r="M159" s="1">
        <v>44986</v>
      </c>
      <c r="N159" s="1">
        <v>45219</v>
      </c>
      <c r="O159" t="s">
        <v>199</v>
      </c>
      <c r="P159" t="s">
        <v>12665</v>
      </c>
      <c r="Q159" t="s">
        <v>12666</v>
      </c>
      <c r="R159" t="s">
        <v>12667</v>
      </c>
      <c r="T159" t="s">
        <v>2826</v>
      </c>
      <c r="U159" t="s">
        <v>848</v>
      </c>
      <c r="V159" s="4" t="str">
        <f>"12845"</f>
        <v>12845</v>
      </c>
      <c r="W159" t="s">
        <v>120</v>
      </c>
      <c r="Y159" s="5">
        <v>15186685401</v>
      </c>
      <c r="AA159">
        <v>721110</v>
      </c>
      <c r="AB159" t="s">
        <v>12668</v>
      </c>
      <c r="AC159" t="s">
        <v>2147</v>
      </c>
      <c r="AE159" t="s">
        <v>700</v>
      </c>
      <c r="AF159" t="s">
        <v>12667</v>
      </c>
      <c r="AH159" t="s">
        <v>2826</v>
      </c>
      <c r="AI159" t="s">
        <v>848</v>
      </c>
      <c r="AJ159" s="4" t="str">
        <f>"12845"</f>
        <v>12845</v>
      </c>
      <c r="AK159" t="s">
        <v>120</v>
      </c>
      <c r="AM159" s="5">
        <v>15186685401</v>
      </c>
      <c r="AO159" t="s">
        <v>138</v>
      </c>
      <c r="AP159" t="s">
        <v>256</v>
      </c>
      <c r="AQ159" t="s">
        <v>1220</v>
      </c>
      <c r="AR159" t="s">
        <v>1221</v>
      </c>
      <c r="AT159" t="s">
        <v>1222</v>
      </c>
      <c r="AV159" t="s">
        <v>1223</v>
      </c>
      <c r="AW159" t="s">
        <v>848</v>
      </c>
      <c r="AX159" s="4" t="str">
        <f>"11590"</f>
        <v>11590</v>
      </c>
      <c r="AY159" t="s">
        <v>120</v>
      </c>
      <c r="BA159" s="5">
        <v>15163307168</v>
      </c>
      <c r="BC159" t="s">
        <v>1224</v>
      </c>
      <c r="BD159" t="s">
        <v>1225</v>
      </c>
      <c r="BG159" t="s">
        <v>848</v>
      </c>
      <c r="BH159" s="1">
        <v>44872.791666666664</v>
      </c>
      <c r="BI159">
        <v>35</v>
      </c>
      <c r="BJ159">
        <v>7</v>
      </c>
      <c r="BK159">
        <v>7</v>
      </c>
      <c r="BL159">
        <v>0</v>
      </c>
      <c r="BM159">
        <v>7</v>
      </c>
      <c r="BN159">
        <v>0</v>
      </c>
      <c r="BO159">
        <v>7</v>
      </c>
      <c r="BP159">
        <v>7</v>
      </c>
      <c r="BQ159" t="str">
        <f>"6:00 AM"</f>
        <v>6:00 AM</v>
      </c>
      <c r="BR159" t="str">
        <f>"2:00 PM"</f>
        <v>2:00 PM</v>
      </c>
      <c r="BS159" t="s">
        <v>133</v>
      </c>
      <c r="BT159">
        <v>0</v>
      </c>
      <c r="BU159">
        <v>0</v>
      </c>
      <c r="BV159" t="s">
        <v>134</v>
      </c>
      <c r="BX159" t="s">
        <v>138</v>
      </c>
      <c r="BY159" t="s">
        <v>12667</v>
      </c>
      <c r="CA159" t="s">
        <v>2826</v>
      </c>
      <c r="CB159" t="s">
        <v>848</v>
      </c>
      <c r="CC159" s="4" t="str">
        <f>"12845"</f>
        <v>12845</v>
      </c>
      <c r="CD159" t="s">
        <v>1535</v>
      </c>
      <c r="CE159" t="s">
        <v>1536</v>
      </c>
      <c r="CF159" s="6">
        <v>16.78</v>
      </c>
      <c r="CG159" s="6">
        <v>16.78</v>
      </c>
      <c r="CH159" s="6">
        <v>25.17</v>
      </c>
      <c r="CI159" s="6">
        <v>25.17</v>
      </c>
      <c r="CJ159" t="s">
        <v>137</v>
      </c>
      <c r="CK159" t="s">
        <v>13364</v>
      </c>
      <c r="CL159" t="s">
        <v>13365</v>
      </c>
      <c r="CO159" t="s">
        <v>138</v>
      </c>
      <c r="CP159" t="s">
        <v>134</v>
      </c>
      <c r="CQ159" t="s">
        <v>134</v>
      </c>
      <c r="CR159" t="s">
        <v>114</v>
      </c>
      <c r="CS159" t="s">
        <v>134</v>
      </c>
      <c r="CT159" t="s">
        <v>114</v>
      </c>
      <c r="CU159" t="s">
        <v>134</v>
      </c>
      <c r="CV159" t="s">
        <v>219</v>
      </c>
      <c r="CW159" s="5" t="str">
        <f>"+15186685401"</f>
        <v>+15186685401</v>
      </c>
      <c r="CX159" t="s">
        <v>12669</v>
      </c>
      <c r="CY159" t="s">
        <v>138</v>
      </c>
      <c r="CZ159" t="s">
        <v>139</v>
      </c>
      <c r="DA159" t="s">
        <v>134</v>
      </c>
      <c r="DB159" t="s">
        <v>134</v>
      </c>
      <c r="DC159" t="s">
        <v>114</v>
      </c>
      <c r="DD159" t="s">
        <v>134</v>
      </c>
    </row>
    <row r="160" spans="1:113" ht="15" customHeight="1" x14ac:dyDescent="0.25">
      <c r="A160" t="s">
        <v>14838</v>
      </c>
      <c r="B160" t="s">
        <v>165</v>
      </c>
      <c r="C160" s="1">
        <v>44896.031006134261</v>
      </c>
      <c r="D160" s="1">
        <v>44923</v>
      </c>
      <c r="E160" t="s">
        <v>134</v>
      </c>
      <c r="F160" t="s">
        <v>1219</v>
      </c>
      <c r="G160" t="str">
        <f>"37-3011.00"</f>
        <v>37-3011.00</v>
      </c>
      <c r="H160" t="s">
        <v>335</v>
      </c>
      <c r="I160">
        <v>5</v>
      </c>
      <c r="J160">
        <v>5</v>
      </c>
      <c r="K160" s="1">
        <v>44986</v>
      </c>
      <c r="L160" s="1">
        <v>45280</v>
      </c>
      <c r="M160" s="1">
        <v>44986</v>
      </c>
      <c r="N160" s="1">
        <v>45280</v>
      </c>
      <c r="O160" t="s">
        <v>199</v>
      </c>
      <c r="P160" t="s">
        <v>14839</v>
      </c>
      <c r="R160" t="s">
        <v>14840</v>
      </c>
      <c r="T160" t="s">
        <v>1368</v>
      </c>
      <c r="U160" t="s">
        <v>848</v>
      </c>
      <c r="V160" s="4" t="str">
        <f>"11946"</f>
        <v>11946</v>
      </c>
      <c r="W160" t="s">
        <v>120</v>
      </c>
      <c r="Y160" s="5">
        <v>16314049221</v>
      </c>
      <c r="AA160">
        <v>56173</v>
      </c>
      <c r="AB160" t="s">
        <v>14841</v>
      </c>
      <c r="AC160" t="s">
        <v>4055</v>
      </c>
      <c r="AE160" t="s">
        <v>700</v>
      </c>
      <c r="AF160" t="s">
        <v>14840</v>
      </c>
      <c r="AH160" t="s">
        <v>1368</v>
      </c>
      <c r="AI160" t="s">
        <v>848</v>
      </c>
      <c r="AJ160" s="4" t="str">
        <f>"11946"</f>
        <v>11946</v>
      </c>
      <c r="AK160" t="s">
        <v>120</v>
      </c>
      <c r="AM160" s="5">
        <v>16314049221</v>
      </c>
      <c r="AO160" t="s">
        <v>138</v>
      </c>
      <c r="AP160" t="s">
        <v>256</v>
      </c>
      <c r="AQ160" t="s">
        <v>1220</v>
      </c>
      <c r="AR160" t="s">
        <v>1221</v>
      </c>
      <c r="AT160" t="s">
        <v>1222</v>
      </c>
      <c r="AV160" t="s">
        <v>1223</v>
      </c>
      <c r="AW160" t="s">
        <v>848</v>
      </c>
      <c r="AX160" s="4" t="str">
        <f>"11590"</f>
        <v>11590</v>
      </c>
      <c r="AY160" t="s">
        <v>120</v>
      </c>
      <c r="BA160" s="5">
        <v>15163307168</v>
      </c>
      <c r="BC160" t="s">
        <v>1224</v>
      </c>
      <c r="BD160" t="s">
        <v>2035</v>
      </c>
      <c r="BG160" t="s">
        <v>848</v>
      </c>
      <c r="BH160" s="1">
        <v>44894.791666666664</v>
      </c>
      <c r="BI160">
        <v>40</v>
      </c>
      <c r="BJ160">
        <v>0</v>
      </c>
      <c r="BK160">
        <v>8</v>
      </c>
      <c r="BL160">
        <v>8</v>
      </c>
      <c r="BM160">
        <v>8</v>
      </c>
      <c r="BN160">
        <v>8</v>
      </c>
      <c r="BO160">
        <v>8</v>
      </c>
      <c r="BP160">
        <v>0</v>
      </c>
      <c r="BQ160" t="str">
        <f>"8:00 AM"</f>
        <v>8:00 AM</v>
      </c>
      <c r="BR160" t="str">
        <f>"4:00 PM"</f>
        <v>4:00 PM</v>
      </c>
      <c r="BS160" t="s">
        <v>133</v>
      </c>
      <c r="BT160">
        <v>0</v>
      </c>
      <c r="BU160">
        <v>0</v>
      </c>
      <c r="BV160" t="s">
        <v>134</v>
      </c>
      <c r="BX160" t="s">
        <v>14842</v>
      </c>
      <c r="BY160" t="s">
        <v>14840</v>
      </c>
      <c r="CA160" t="s">
        <v>1368</v>
      </c>
      <c r="CB160" t="s">
        <v>848</v>
      </c>
      <c r="CC160" s="4" t="str">
        <f>"11946"</f>
        <v>11946</v>
      </c>
      <c r="CD160" t="s">
        <v>1227</v>
      </c>
      <c r="CE160" t="s">
        <v>1009</v>
      </c>
      <c r="CF160" s="6">
        <v>19.940000000000001</v>
      </c>
      <c r="CG160" s="6">
        <v>19.940000000000001</v>
      </c>
      <c r="CH160" s="6">
        <v>29.91</v>
      </c>
      <c r="CI160" s="6">
        <v>29.91</v>
      </c>
      <c r="CJ160" t="s">
        <v>137</v>
      </c>
      <c r="CK160" t="s">
        <v>138</v>
      </c>
      <c r="CL160" t="s">
        <v>14843</v>
      </c>
      <c r="CO160" t="s">
        <v>138</v>
      </c>
      <c r="CP160" t="s">
        <v>114</v>
      </c>
      <c r="CQ160" t="s">
        <v>114</v>
      </c>
      <c r="CR160" t="s">
        <v>114</v>
      </c>
      <c r="CS160" t="s">
        <v>134</v>
      </c>
      <c r="CT160" t="s">
        <v>114</v>
      </c>
      <c r="CU160" t="s">
        <v>134</v>
      </c>
      <c r="CV160" t="s">
        <v>219</v>
      </c>
      <c r="CW160" s="5" t="str">
        <f>"+16314049221"</f>
        <v>+16314049221</v>
      </c>
      <c r="CX160" t="s">
        <v>14844</v>
      </c>
      <c r="CY160" t="s">
        <v>138</v>
      </c>
      <c r="CZ160" t="s">
        <v>139</v>
      </c>
      <c r="DA160" t="s">
        <v>134</v>
      </c>
      <c r="DB160" t="s">
        <v>134</v>
      </c>
      <c r="DC160" t="s">
        <v>114</v>
      </c>
      <c r="DD160" t="s">
        <v>134</v>
      </c>
    </row>
    <row r="161" spans="1:108" ht="15" customHeight="1" x14ac:dyDescent="0.25">
      <c r="A161" t="s">
        <v>9180</v>
      </c>
      <c r="B161" t="s">
        <v>165</v>
      </c>
      <c r="C161" s="1">
        <v>44896.024674189815</v>
      </c>
      <c r="D161" s="1">
        <v>44923</v>
      </c>
      <c r="E161" t="s">
        <v>134</v>
      </c>
      <c r="F161" t="s">
        <v>334</v>
      </c>
      <c r="G161" t="str">
        <f>"37-3011.00"</f>
        <v>37-3011.00</v>
      </c>
      <c r="H161" t="s">
        <v>335</v>
      </c>
      <c r="I161">
        <v>23</v>
      </c>
      <c r="J161">
        <v>23</v>
      </c>
      <c r="K161" s="1">
        <v>44986</v>
      </c>
      <c r="L161" s="1">
        <v>45260</v>
      </c>
      <c r="M161" s="1">
        <v>44986</v>
      </c>
      <c r="N161" s="1">
        <v>45260</v>
      </c>
      <c r="O161" t="s">
        <v>199</v>
      </c>
      <c r="P161" t="s">
        <v>9181</v>
      </c>
      <c r="R161" t="s">
        <v>9182</v>
      </c>
      <c r="T161" t="s">
        <v>1629</v>
      </c>
      <c r="U161" t="s">
        <v>697</v>
      </c>
      <c r="V161" s="4" t="str">
        <f>"63132"</f>
        <v>63132</v>
      </c>
      <c r="W161" t="s">
        <v>120</v>
      </c>
      <c r="Y161" s="5">
        <v>13144282040</v>
      </c>
      <c r="AA161">
        <v>5617</v>
      </c>
      <c r="AB161" t="s">
        <v>9183</v>
      </c>
      <c r="AC161" t="s">
        <v>1380</v>
      </c>
      <c r="AD161" t="s">
        <v>1730</v>
      </c>
      <c r="AE161" t="s">
        <v>2771</v>
      </c>
      <c r="AF161" t="s">
        <v>9182</v>
      </c>
      <c r="AH161" t="s">
        <v>1629</v>
      </c>
      <c r="AI161" t="s">
        <v>697</v>
      </c>
      <c r="AJ161" s="4" t="str">
        <f>"63132"</f>
        <v>63132</v>
      </c>
      <c r="AK161" t="s">
        <v>120</v>
      </c>
      <c r="AM161" s="5">
        <v>13144282040</v>
      </c>
      <c r="AO161" t="s">
        <v>9184</v>
      </c>
      <c r="AP161" t="s">
        <v>256</v>
      </c>
      <c r="AQ161" t="s">
        <v>400</v>
      </c>
      <c r="AR161" t="s">
        <v>401</v>
      </c>
      <c r="AS161" t="s">
        <v>397</v>
      </c>
      <c r="AT161" t="s">
        <v>402</v>
      </c>
      <c r="AU161" t="s">
        <v>152</v>
      </c>
      <c r="AV161" t="s">
        <v>403</v>
      </c>
      <c r="AW161" t="s">
        <v>232</v>
      </c>
      <c r="AX161" s="4" t="str">
        <f>"75033"</f>
        <v>75033</v>
      </c>
      <c r="AY161" t="s">
        <v>120</v>
      </c>
      <c r="BA161" s="5">
        <v>19727789690</v>
      </c>
      <c r="BC161" t="s">
        <v>1534</v>
      </c>
      <c r="BD161" t="s">
        <v>405</v>
      </c>
      <c r="BG161" t="s">
        <v>697</v>
      </c>
      <c r="BH161" s="1">
        <v>44895.791666666664</v>
      </c>
      <c r="BI161">
        <v>40</v>
      </c>
      <c r="BJ161">
        <v>0</v>
      </c>
      <c r="BK161">
        <v>8</v>
      </c>
      <c r="BL161">
        <v>8</v>
      </c>
      <c r="BM161">
        <v>8</v>
      </c>
      <c r="BN161">
        <v>8</v>
      </c>
      <c r="BO161">
        <v>8</v>
      </c>
      <c r="BP161">
        <v>0</v>
      </c>
      <c r="BQ161" t="str">
        <f>"7:30 AM"</f>
        <v>7:30 AM</v>
      </c>
      <c r="BR161" t="str">
        <f>"4:30 PM"</f>
        <v>4:30 PM</v>
      </c>
      <c r="BS161" t="s">
        <v>133</v>
      </c>
      <c r="BT161">
        <v>0</v>
      </c>
      <c r="BU161">
        <v>0</v>
      </c>
      <c r="BV161" t="s">
        <v>134</v>
      </c>
      <c r="BX161" s="2" t="s">
        <v>9185</v>
      </c>
      <c r="BY161" t="s">
        <v>9182</v>
      </c>
      <c r="CA161" t="s">
        <v>1629</v>
      </c>
      <c r="CB161" t="s">
        <v>697</v>
      </c>
      <c r="CC161" s="4" t="str">
        <f>"63132"</f>
        <v>63132</v>
      </c>
      <c r="CD161" t="s">
        <v>712</v>
      </c>
      <c r="CE161" t="s">
        <v>713</v>
      </c>
      <c r="CF161" s="6">
        <v>16.96</v>
      </c>
      <c r="CG161" s="6">
        <v>16.96</v>
      </c>
      <c r="CH161" s="6">
        <v>25.44</v>
      </c>
      <c r="CI161" s="6">
        <v>25.44</v>
      </c>
      <c r="CJ161" t="s">
        <v>137</v>
      </c>
      <c r="CK161" t="s">
        <v>950</v>
      </c>
      <c r="CL161" t="s">
        <v>9186</v>
      </c>
      <c r="CO161" t="s">
        <v>138</v>
      </c>
      <c r="CP161" t="s">
        <v>114</v>
      </c>
      <c r="CQ161" t="s">
        <v>114</v>
      </c>
      <c r="CR161" t="s">
        <v>114</v>
      </c>
      <c r="CS161" t="s">
        <v>114</v>
      </c>
      <c r="CT161" t="s">
        <v>114</v>
      </c>
      <c r="CU161" t="s">
        <v>114</v>
      </c>
      <c r="CV161" s="2" t="s">
        <v>9187</v>
      </c>
      <c r="CW161" s="5" t="str">
        <f>"+13144282040"</f>
        <v>+13144282040</v>
      </c>
      <c r="CX161" t="s">
        <v>138</v>
      </c>
      <c r="CY161" t="s">
        <v>7887</v>
      </c>
      <c r="CZ161" t="s">
        <v>139</v>
      </c>
      <c r="DA161" t="s">
        <v>134</v>
      </c>
      <c r="DB161" t="s">
        <v>114</v>
      </c>
      <c r="DC161" t="s">
        <v>114</v>
      </c>
      <c r="DD161" t="s">
        <v>134</v>
      </c>
    </row>
    <row r="162" spans="1:108" ht="15" customHeight="1" x14ac:dyDescent="0.25">
      <c r="A162" t="s">
        <v>15523</v>
      </c>
      <c r="B162" t="s">
        <v>165</v>
      </c>
      <c r="C162" s="1">
        <v>44896.023504629629</v>
      </c>
      <c r="D162" s="1">
        <v>44923</v>
      </c>
      <c r="E162" t="s">
        <v>134</v>
      </c>
      <c r="F162" t="s">
        <v>2445</v>
      </c>
      <c r="G162" t="str">
        <f>"47-2181.00"</f>
        <v>47-2181.00</v>
      </c>
      <c r="H162" t="s">
        <v>1935</v>
      </c>
      <c r="I162">
        <v>13</v>
      </c>
      <c r="J162">
        <v>13</v>
      </c>
      <c r="K162" s="1">
        <v>44986</v>
      </c>
      <c r="L162" s="1">
        <v>45261</v>
      </c>
      <c r="M162" s="1">
        <v>44986</v>
      </c>
      <c r="N162" s="1">
        <v>45261</v>
      </c>
      <c r="O162" t="s">
        <v>199</v>
      </c>
      <c r="P162" t="s">
        <v>15524</v>
      </c>
      <c r="R162" t="s">
        <v>15525</v>
      </c>
      <c r="T162" t="s">
        <v>15526</v>
      </c>
      <c r="U162" t="s">
        <v>619</v>
      </c>
      <c r="V162" s="4" t="str">
        <f>"40033"</f>
        <v>40033</v>
      </c>
      <c r="W162" t="s">
        <v>120</v>
      </c>
      <c r="Y162" s="5">
        <v>15023335333</v>
      </c>
      <c r="AA162">
        <v>2381</v>
      </c>
      <c r="AB162" t="s">
        <v>15527</v>
      </c>
      <c r="AC162" t="s">
        <v>962</v>
      </c>
      <c r="AE162" t="s">
        <v>424</v>
      </c>
      <c r="AF162" t="s">
        <v>15525</v>
      </c>
      <c r="AH162" t="s">
        <v>15526</v>
      </c>
      <c r="AI162" t="s">
        <v>619</v>
      </c>
      <c r="AJ162" s="4" t="str">
        <f>"40033"</f>
        <v>40033</v>
      </c>
      <c r="AK162" t="s">
        <v>120</v>
      </c>
      <c r="AM162" s="5">
        <v>15023335333</v>
      </c>
      <c r="AO162" t="s">
        <v>15528</v>
      </c>
      <c r="AP162" t="s">
        <v>256</v>
      </c>
      <c r="AQ162" t="s">
        <v>1615</v>
      </c>
      <c r="AR162" t="s">
        <v>1616</v>
      </c>
      <c r="AT162" t="s">
        <v>1617</v>
      </c>
      <c r="AV162" t="s">
        <v>1618</v>
      </c>
      <c r="AW162" t="s">
        <v>444</v>
      </c>
      <c r="AX162" s="4" t="str">
        <f>"93446"</f>
        <v>93446</v>
      </c>
      <c r="AY162" t="s">
        <v>120</v>
      </c>
      <c r="AZ162" t="s">
        <v>1619</v>
      </c>
      <c r="BA162" s="5">
        <v>13217042589</v>
      </c>
      <c r="BC162" t="s">
        <v>1620</v>
      </c>
      <c r="BD162" t="s">
        <v>1621</v>
      </c>
      <c r="BG162" t="s">
        <v>619</v>
      </c>
      <c r="BH162" s="1">
        <v>44895.791666666664</v>
      </c>
      <c r="BI162">
        <v>40</v>
      </c>
      <c r="BJ162">
        <v>0</v>
      </c>
      <c r="BK162">
        <v>8</v>
      </c>
      <c r="BL162">
        <v>8</v>
      </c>
      <c r="BM162">
        <v>8</v>
      </c>
      <c r="BN162">
        <v>8</v>
      </c>
      <c r="BO162">
        <v>8</v>
      </c>
      <c r="BP162">
        <v>0</v>
      </c>
      <c r="BQ162" t="str">
        <f>"7:00 AM"</f>
        <v>7:00 AM</v>
      </c>
      <c r="BR162" t="str">
        <f>"3:30 PM"</f>
        <v>3:30 PM</v>
      </c>
      <c r="BS162" t="s">
        <v>133</v>
      </c>
      <c r="BT162">
        <v>0</v>
      </c>
      <c r="BU162">
        <v>6</v>
      </c>
      <c r="BV162" t="s">
        <v>134</v>
      </c>
      <c r="BX162" s="2" t="s">
        <v>15529</v>
      </c>
      <c r="BY162" t="s">
        <v>15530</v>
      </c>
      <c r="CA162" t="s">
        <v>5967</v>
      </c>
      <c r="CB162" t="s">
        <v>619</v>
      </c>
      <c r="CC162" s="4" t="str">
        <f>"40033"</f>
        <v>40033</v>
      </c>
      <c r="CD162" t="s">
        <v>638</v>
      </c>
      <c r="CE162" t="s">
        <v>10134</v>
      </c>
      <c r="CF162" s="6">
        <v>16.510000000000002</v>
      </c>
      <c r="CG162" s="6">
        <v>16.510000000000002</v>
      </c>
      <c r="CH162" s="6">
        <v>24.77</v>
      </c>
      <c r="CI162" s="6">
        <v>24.77</v>
      </c>
      <c r="CJ162" t="s">
        <v>137</v>
      </c>
      <c r="CK162" t="s">
        <v>1623</v>
      </c>
      <c r="CL162" t="s">
        <v>4707</v>
      </c>
      <c r="CO162" t="s">
        <v>138</v>
      </c>
      <c r="CP162" t="s">
        <v>114</v>
      </c>
      <c r="CQ162" t="s">
        <v>114</v>
      </c>
      <c r="CR162" t="s">
        <v>114</v>
      </c>
      <c r="CS162" t="s">
        <v>114</v>
      </c>
      <c r="CT162" t="s">
        <v>114</v>
      </c>
      <c r="CU162" t="s">
        <v>114</v>
      </c>
      <c r="CV162" t="s">
        <v>15531</v>
      </c>
      <c r="CW162" s="5" t="str">
        <f>"+15023335333"</f>
        <v>+15023335333</v>
      </c>
      <c r="CX162" t="s">
        <v>15528</v>
      </c>
      <c r="CY162" t="s">
        <v>138</v>
      </c>
      <c r="CZ162" t="s">
        <v>139</v>
      </c>
      <c r="DA162" t="s">
        <v>134</v>
      </c>
      <c r="DB162" t="s">
        <v>134</v>
      </c>
      <c r="DC162" t="s">
        <v>114</v>
      </c>
      <c r="DD162" t="s">
        <v>134</v>
      </c>
    </row>
    <row r="163" spans="1:108" ht="15" customHeight="1" x14ac:dyDescent="0.25">
      <c r="A163" t="s">
        <v>12625</v>
      </c>
      <c r="B163" t="s">
        <v>165</v>
      </c>
      <c r="C163" s="1">
        <v>44896.023060995372</v>
      </c>
      <c r="D163" s="1">
        <v>44923</v>
      </c>
      <c r="E163" t="s">
        <v>134</v>
      </c>
      <c r="F163" t="s">
        <v>334</v>
      </c>
      <c r="G163" t="str">
        <f>"37-3011.00"</f>
        <v>37-3011.00</v>
      </c>
      <c r="H163" t="s">
        <v>335</v>
      </c>
      <c r="I163">
        <v>26</v>
      </c>
      <c r="J163">
        <v>26</v>
      </c>
      <c r="K163" s="1">
        <v>44986</v>
      </c>
      <c r="L163" s="1">
        <v>45260</v>
      </c>
      <c r="M163" s="1">
        <v>44986</v>
      </c>
      <c r="N163" s="1">
        <v>45260</v>
      </c>
      <c r="O163" t="s">
        <v>199</v>
      </c>
      <c r="P163" t="s">
        <v>12626</v>
      </c>
      <c r="R163" t="s">
        <v>12627</v>
      </c>
      <c r="T163" t="s">
        <v>4014</v>
      </c>
      <c r="U163" t="s">
        <v>619</v>
      </c>
      <c r="V163" s="4" t="str">
        <f>"40299"</f>
        <v>40299</v>
      </c>
      <c r="W163" t="s">
        <v>120</v>
      </c>
      <c r="Y163" s="5">
        <v>15022611424</v>
      </c>
      <c r="AA163">
        <v>5617</v>
      </c>
      <c r="AB163" t="s">
        <v>1588</v>
      </c>
      <c r="AC163" t="s">
        <v>173</v>
      </c>
      <c r="AD163" t="s">
        <v>1458</v>
      </c>
      <c r="AE163" t="s">
        <v>424</v>
      </c>
      <c r="AF163" t="s">
        <v>12627</v>
      </c>
      <c r="AG163" t="s">
        <v>12628</v>
      </c>
      <c r="AH163" t="s">
        <v>4014</v>
      </c>
      <c r="AI163" t="s">
        <v>619</v>
      </c>
      <c r="AJ163" s="4" t="str">
        <f>"40299"</f>
        <v>40299</v>
      </c>
      <c r="AK163" t="s">
        <v>120</v>
      </c>
      <c r="AM163" s="5">
        <v>15022611424</v>
      </c>
      <c r="AO163" t="s">
        <v>12629</v>
      </c>
      <c r="AP163" t="s">
        <v>256</v>
      </c>
      <c r="AQ163" t="s">
        <v>400</v>
      </c>
      <c r="AR163" t="s">
        <v>401</v>
      </c>
      <c r="AS163" t="s">
        <v>397</v>
      </c>
      <c r="AT163" t="s">
        <v>402</v>
      </c>
      <c r="AU163" t="s">
        <v>152</v>
      </c>
      <c r="AV163" t="s">
        <v>403</v>
      </c>
      <c r="AW163" t="s">
        <v>232</v>
      </c>
      <c r="AX163" s="4" t="str">
        <f>"75033"</f>
        <v>75033</v>
      </c>
      <c r="AY163" t="s">
        <v>120</v>
      </c>
      <c r="BA163" s="5">
        <v>19727789690</v>
      </c>
      <c r="BC163" t="s">
        <v>1534</v>
      </c>
      <c r="BD163" t="s">
        <v>405</v>
      </c>
      <c r="BG163" t="s">
        <v>619</v>
      </c>
      <c r="BH163" s="1">
        <v>44895.791666666664</v>
      </c>
      <c r="BI163">
        <v>48</v>
      </c>
      <c r="BJ163">
        <v>0</v>
      </c>
      <c r="BK163">
        <v>8</v>
      </c>
      <c r="BL163">
        <v>8</v>
      </c>
      <c r="BM163">
        <v>8</v>
      </c>
      <c r="BN163">
        <v>8</v>
      </c>
      <c r="BO163">
        <v>8</v>
      </c>
      <c r="BP163">
        <v>8</v>
      </c>
      <c r="BQ163" t="str">
        <f>"7:30 AM"</f>
        <v>7:30 AM</v>
      </c>
      <c r="BR163" t="str">
        <f>"4:30 PM"</f>
        <v>4:30 PM</v>
      </c>
      <c r="BS163" t="s">
        <v>133</v>
      </c>
      <c r="BT163">
        <v>0</v>
      </c>
      <c r="BU163">
        <v>0</v>
      </c>
      <c r="BV163" t="s">
        <v>134</v>
      </c>
      <c r="BX163" s="2" t="s">
        <v>12630</v>
      </c>
      <c r="BY163" t="s">
        <v>12627</v>
      </c>
      <c r="CA163" t="s">
        <v>4014</v>
      </c>
      <c r="CB163" t="s">
        <v>619</v>
      </c>
      <c r="CC163" s="4" t="str">
        <f>"40299"</f>
        <v>40299</v>
      </c>
      <c r="CD163" t="s">
        <v>1387</v>
      </c>
      <c r="CE163" t="s">
        <v>1483</v>
      </c>
      <c r="CF163" s="6">
        <v>15.51</v>
      </c>
      <c r="CG163" s="6">
        <v>15.51</v>
      </c>
      <c r="CH163" s="6">
        <v>23.27</v>
      </c>
      <c r="CI163" s="6">
        <v>23.27</v>
      </c>
      <c r="CJ163" t="s">
        <v>137</v>
      </c>
      <c r="CK163" t="s">
        <v>950</v>
      </c>
      <c r="CL163" t="s">
        <v>12631</v>
      </c>
      <c r="CO163" t="s">
        <v>138</v>
      </c>
      <c r="CP163" t="s">
        <v>114</v>
      </c>
      <c r="CQ163" t="s">
        <v>114</v>
      </c>
      <c r="CR163" t="s">
        <v>114</v>
      </c>
      <c r="CS163" t="s">
        <v>114</v>
      </c>
      <c r="CT163" t="s">
        <v>114</v>
      </c>
      <c r="CU163" t="s">
        <v>114</v>
      </c>
      <c r="CV163" s="2" t="s">
        <v>9187</v>
      </c>
      <c r="CW163" s="5" t="str">
        <f>"+15022611424"</f>
        <v>+15022611424</v>
      </c>
      <c r="CX163" t="s">
        <v>138</v>
      </c>
      <c r="CY163" t="s">
        <v>12632</v>
      </c>
      <c r="CZ163" t="s">
        <v>139</v>
      </c>
      <c r="DA163" t="s">
        <v>134</v>
      </c>
      <c r="DB163" t="s">
        <v>114</v>
      </c>
      <c r="DC163" t="s">
        <v>114</v>
      </c>
      <c r="DD163" t="s">
        <v>134</v>
      </c>
    </row>
    <row r="164" spans="1:108" ht="15" customHeight="1" x14ac:dyDescent="0.25">
      <c r="A164" t="s">
        <v>9974</v>
      </c>
      <c r="B164" t="s">
        <v>165</v>
      </c>
      <c r="C164" s="1">
        <v>44896.021833333332</v>
      </c>
      <c r="D164" s="1">
        <v>44923</v>
      </c>
      <c r="E164" t="s">
        <v>134</v>
      </c>
      <c r="F164" t="s">
        <v>334</v>
      </c>
      <c r="G164" t="str">
        <f>"37-3011.00"</f>
        <v>37-3011.00</v>
      </c>
      <c r="H164" t="s">
        <v>335</v>
      </c>
      <c r="I164">
        <v>13</v>
      </c>
      <c r="J164">
        <v>13</v>
      </c>
      <c r="K164" s="1">
        <v>44986</v>
      </c>
      <c r="L164" s="1">
        <v>45260</v>
      </c>
      <c r="M164" s="1">
        <v>44986</v>
      </c>
      <c r="N164" s="1">
        <v>45260</v>
      </c>
      <c r="O164" t="s">
        <v>199</v>
      </c>
      <c r="P164" t="s">
        <v>9975</v>
      </c>
      <c r="R164" t="s">
        <v>9976</v>
      </c>
      <c r="T164" t="s">
        <v>2370</v>
      </c>
      <c r="U164" t="s">
        <v>2371</v>
      </c>
      <c r="V164" s="4" t="str">
        <f>"46218"</f>
        <v>46218</v>
      </c>
      <c r="W164" t="s">
        <v>120</v>
      </c>
      <c r="Y164" s="5">
        <v>13175236183</v>
      </c>
      <c r="AA164">
        <v>5617</v>
      </c>
      <c r="AB164" t="s">
        <v>9183</v>
      </c>
      <c r="AC164" t="s">
        <v>1380</v>
      </c>
      <c r="AD164" t="s">
        <v>1730</v>
      </c>
      <c r="AE164" t="s">
        <v>2771</v>
      </c>
      <c r="AF164" t="s">
        <v>9182</v>
      </c>
      <c r="AH164" t="s">
        <v>1629</v>
      </c>
      <c r="AI164" t="s">
        <v>697</v>
      </c>
      <c r="AJ164" s="4" t="str">
        <f>"63132"</f>
        <v>63132</v>
      </c>
      <c r="AK164" t="s">
        <v>120</v>
      </c>
      <c r="AM164" s="5">
        <v>13144282040</v>
      </c>
      <c r="AO164" t="s">
        <v>9184</v>
      </c>
      <c r="AP164" t="s">
        <v>256</v>
      </c>
      <c r="AQ164" t="s">
        <v>400</v>
      </c>
      <c r="AR164" t="s">
        <v>401</v>
      </c>
      <c r="AS164" t="s">
        <v>397</v>
      </c>
      <c r="AT164" t="s">
        <v>402</v>
      </c>
      <c r="AU164" t="s">
        <v>152</v>
      </c>
      <c r="AV164" t="s">
        <v>403</v>
      </c>
      <c r="AW164" t="s">
        <v>232</v>
      </c>
      <c r="AX164" s="4" t="str">
        <f>"75033"</f>
        <v>75033</v>
      </c>
      <c r="AY164" t="s">
        <v>120</v>
      </c>
      <c r="BA164" s="5">
        <v>19727789690</v>
      </c>
      <c r="BC164" t="s">
        <v>1534</v>
      </c>
      <c r="BD164" t="s">
        <v>405</v>
      </c>
      <c r="BG164" t="s">
        <v>2371</v>
      </c>
      <c r="BH164" s="1">
        <v>44895.791666666664</v>
      </c>
      <c r="BI164">
        <v>40</v>
      </c>
      <c r="BJ164">
        <v>0</v>
      </c>
      <c r="BK164">
        <v>8</v>
      </c>
      <c r="BL164">
        <v>8</v>
      </c>
      <c r="BM164">
        <v>8</v>
      </c>
      <c r="BN164">
        <v>8</v>
      </c>
      <c r="BO164">
        <v>8</v>
      </c>
      <c r="BP164">
        <v>0</v>
      </c>
      <c r="BQ164" t="str">
        <f>"7:30 AM"</f>
        <v>7:30 AM</v>
      </c>
      <c r="BR164" t="str">
        <f>"4:30 PM"</f>
        <v>4:30 PM</v>
      </c>
      <c r="BS164" t="s">
        <v>133</v>
      </c>
      <c r="BT164">
        <v>0</v>
      </c>
      <c r="BU164">
        <v>0</v>
      </c>
      <c r="BV164" t="s">
        <v>134</v>
      </c>
      <c r="BX164" s="2" t="s">
        <v>9977</v>
      </c>
      <c r="BY164" t="s">
        <v>9976</v>
      </c>
      <c r="CA164" t="s">
        <v>2370</v>
      </c>
      <c r="CB164" t="s">
        <v>2371</v>
      </c>
      <c r="CC164" s="4" t="str">
        <f>"46218"</f>
        <v>46218</v>
      </c>
      <c r="CD164" t="s">
        <v>638</v>
      </c>
      <c r="CE164" t="s">
        <v>2372</v>
      </c>
      <c r="CF164" s="6">
        <v>16.7</v>
      </c>
      <c r="CG164" s="6">
        <v>16.7</v>
      </c>
      <c r="CH164" s="6">
        <v>25.05</v>
      </c>
      <c r="CI164" s="6">
        <v>25.05</v>
      </c>
      <c r="CJ164" t="s">
        <v>137</v>
      </c>
      <c r="CK164" t="s">
        <v>950</v>
      </c>
      <c r="CL164" t="s">
        <v>9978</v>
      </c>
      <c r="CO164" t="s">
        <v>138</v>
      </c>
      <c r="CP164" t="s">
        <v>114</v>
      </c>
      <c r="CQ164" t="s">
        <v>114</v>
      </c>
      <c r="CR164" t="s">
        <v>114</v>
      </c>
      <c r="CS164" t="s">
        <v>114</v>
      </c>
      <c r="CT164" t="s">
        <v>114</v>
      </c>
      <c r="CU164" t="s">
        <v>114</v>
      </c>
      <c r="CV164" s="2" t="s">
        <v>9979</v>
      </c>
      <c r="CW164" s="5" t="str">
        <f>"+13175236183"</f>
        <v>+13175236183</v>
      </c>
      <c r="CX164" t="s">
        <v>138</v>
      </c>
      <c r="CY164" t="s">
        <v>4561</v>
      </c>
      <c r="CZ164" t="s">
        <v>139</v>
      </c>
      <c r="DA164" t="s">
        <v>134</v>
      </c>
      <c r="DB164" t="s">
        <v>114</v>
      </c>
      <c r="DC164" t="s">
        <v>114</v>
      </c>
      <c r="DD164" t="s">
        <v>134</v>
      </c>
    </row>
    <row r="165" spans="1:108" ht="15" customHeight="1" x14ac:dyDescent="0.25">
      <c r="A165" t="s">
        <v>12534</v>
      </c>
      <c r="B165" t="s">
        <v>165</v>
      </c>
      <c r="C165" s="1">
        <v>44896.014954745369</v>
      </c>
      <c r="D165" s="1">
        <v>44923</v>
      </c>
      <c r="E165" t="s">
        <v>134</v>
      </c>
      <c r="F165" t="s">
        <v>334</v>
      </c>
      <c r="G165" t="str">
        <f>"37-3011.00"</f>
        <v>37-3011.00</v>
      </c>
      <c r="H165" t="s">
        <v>335</v>
      </c>
      <c r="I165">
        <v>50</v>
      </c>
      <c r="J165">
        <v>50</v>
      </c>
      <c r="K165" s="1">
        <v>44986</v>
      </c>
      <c r="L165" s="1">
        <v>45270</v>
      </c>
      <c r="M165" s="1">
        <v>44986</v>
      </c>
      <c r="N165" s="1">
        <v>45270</v>
      </c>
      <c r="O165" t="s">
        <v>117</v>
      </c>
      <c r="P165" t="s">
        <v>12535</v>
      </c>
      <c r="R165" t="s">
        <v>12536</v>
      </c>
      <c r="T165" t="s">
        <v>1665</v>
      </c>
      <c r="U165" t="s">
        <v>657</v>
      </c>
      <c r="V165" s="4" t="str">
        <f>"37214"</f>
        <v>37214</v>
      </c>
      <c r="W165" t="s">
        <v>120</v>
      </c>
      <c r="Y165" s="5">
        <v>16158720008</v>
      </c>
      <c r="AA165">
        <v>56173</v>
      </c>
      <c r="AB165" t="s">
        <v>2892</v>
      </c>
      <c r="AC165" t="s">
        <v>6977</v>
      </c>
      <c r="AE165" t="s">
        <v>6161</v>
      </c>
      <c r="AF165" t="s">
        <v>12536</v>
      </c>
      <c r="AH165" t="s">
        <v>1665</v>
      </c>
      <c r="AI165" t="s">
        <v>657</v>
      </c>
      <c r="AJ165" s="4" t="str">
        <f>"37214"</f>
        <v>37214</v>
      </c>
      <c r="AK165" t="s">
        <v>120</v>
      </c>
      <c r="AM165" s="5">
        <v>16158720008</v>
      </c>
      <c r="AO165" t="s">
        <v>12537</v>
      </c>
      <c r="AP165" t="s">
        <v>256</v>
      </c>
      <c r="AQ165" t="s">
        <v>400</v>
      </c>
      <c r="AR165" t="s">
        <v>401</v>
      </c>
      <c r="AS165" t="s">
        <v>397</v>
      </c>
      <c r="AT165" t="s">
        <v>402</v>
      </c>
      <c r="AU165" t="s">
        <v>152</v>
      </c>
      <c r="AV165" t="s">
        <v>403</v>
      </c>
      <c r="AW165" t="s">
        <v>232</v>
      </c>
      <c r="AX165" s="4" t="str">
        <f>"75033"</f>
        <v>75033</v>
      </c>
      <c r="AY165" t="s">
        <v>120</v>
      </c>
      <c r="BA165" s="5">
        <v>19727789690</v>
      </c>
      <c r="BC165" t="s">
        <v>905</v>
      </c>
      <c r="BD165" t="s">
        <v>405</v>
      </c>
      <c r="BG165" t="s">
        <v>657</v>
      </c>
      <c r="BH165" s="1">
        <v>44895.791666666664</v>
      </c>
      <c r="BI165">
        <v>40</v>
      </c>
      <c r="BJ165">
        <v>0</v>
      </c>
      <c r="BK165">
        <v>8</v>
      </c>
      <c r="BL165">
        <v>8</v>
      </c>
      <c r="BM165">
        <v>8</v>
      </c>
      <c r="BN165">
        <v>8</v>
      </c>
      <c r="BO165">
        <v>8</v>
      </c>
      <c r="BP165">
        <v>0</v>
      </c>
      <c r="BQ165" t="str">
        <f>"7:30 AM"</f>
        <v>7:30 AM</v>
      </c>
      <c r="BR165" t="str">
        <f>"4:00 PM"</f>
        <v>4:00 PM</v>
      </c>
      <c r="BS165" t="s">
        <v>133</v>
      </c>
      <c r="BT165">
        <v>0</v>
      </c>
      <c r="BU165">
        <v>0</v>
      </c>
      <c r="BV165" t="s">
        <v>134</v>
      </c>
      <c r="BX165" s="2" t="s">
        <v>12538</v>
      </c>
      <c r="BY165" t="s">
        <v>12539</v>
      </c>
      <c r="CA165" t="s">
        <v>1665</v>
      </c>
      <c r="CB165" t="s">
        <v>657</v>
      </c>
      <c r="CC165" s="4" t="str">
        <f>"37214"</f>
        <v>37214</v>
      </c>
      <c r="CD165" t="s">
        <v>1666</v>
      </c>
      <c r="CE165" t="s">
        <v>1667</v>
      </c>
      <c r="CF165" s="6">
        <v>16.04</v>
      </c>
      <c r="CH165" s="6">
        <v>24.06</v>
      </c>
      <c r="CJ165" t="s">
        <v>137</v>
      </c>
      <c r="CK165" t="s">
        <v>909</v>
      </c>
      <c r="CL165" t="s">
        <v>12540</v>
      </c>
      <c r="CO165" t="s">
        <v>138</v>
      </c>
      <c r="CP165" t="s">
        <v>114</v>
      </c>
      <c r="CQ165" t="s">
        <v>114</v>
      </c>
      <c r="CR165" t="s">
        <v>114</v>
      </c>
      <c r="CS165" t="s">
        <v>114</v>
      </c>
      <c r="CT165" t="s">
        <v>114</v>
      </c>
      <c r="CU165" t="s">
        <v>114</v>
      </c>
      <c r="CV165" s="2" t="s">
        <v>12541</v>
      </c>
      <c r="CW165" s="5" t="str">
        <f>"+16158720008"</f>
        <v>+16158720008</v>
      </c>
      <c r="CX165" t="s">
        <v>138</v>
      </c>
      <c r="CY165" t="s">
        <v>5552</v>
      </c>
      <c r="CZ165" t="s">
        <v>139</v>
      </c>
      <c r="DA165" t="s">
        <v>134</v>
      </c>
      <c r="DB165" t="s">
        <v>114</v>
      </c>
      <c r="DC165" t="s">
        <v>114</v>
      </c>
      <c r="DD165" t="s">
        <v>134</v>
      </c>
    </row>
    <row r="166" spans="1:108" ht="15" customHeight="1" x14ac:dyDescent="0.25">
      <c r="A166" t="s">
        <v>15552</v>
      </c>
      <c r="B166" t="s">
        <v>165</v>
      </c>
      <c r="C166" s="1">
        <v>44896.013240624998</v>
      </c>
      <c r="D166" s="1">
        <v>44923</v>
      </c>
      <c r="E166" t="s">
        <v>134</v>
      </c>
      <c r="F166" t="s">
        <v>1909</v>
      </c>
      <c r="G166" t="str">
        <f>"35-9021.00"</f>
        <v>35-9021.00</v>
      </c>
      <c r="H166" t="s">
        <v>1910</v>
      </c>
      <c r="I166">
        <v>6</v>
      </c>
      <c r="J166">
        <v>6</v>
      </c>
      <c r="K166" s="1">
        <v>44986</v>
      </c>
      <c r="L166" s="1">
        <v>45260</v>
      </c>
      <c r="M166" s="1">
        <v>44986</v>
      </c>
      <c r="N166" s="1">
        <v>45260</v>
      </c>
      <c r="O166" t="s">
        <v>117</v>
      </c>
      <c r="P166" t="s">
        <v>2542</v>
      </c>
      <c r="Q166" t="s">
        <v>2543</v>
      </c>
      <c r="R166" t="s">
        <v>2544</v>
      </c>
      <c r="T166" t="s">
        <v>408</v>
      </c>
      <c r="U166" t="s">
        <v>394</v>
      </c>
      <c r="V166" s="4" t="str">
        <f>"29928"</f>
        <v>29928</v>
      </c>
      <c r="W166" t="s">
        <v>120</v>
      </c>
      <c r="Y166" s="5">
        <v>18438428000</v>
      </c>
      <c r="AA166">
        <v>72111</v>
      </c>
      <c r="AB166" t="s">
        <v>2545</v>
      </c>
      <c r="AC166" t="s">
        <v>2546</v>
      </c>
      <c r="AE166" t="s">
        <v>2547</v>
      </c>
      <c r="AF166" t="s">
        <v>2544</v>
      </c>
      <c r="AH166" t="s">
        <v>408</v>
      </c>
      <c r="AI166" t="s">
        <v>394</v>
      </c>
      <c r="AJ166" s="4" t="str">
        <f>"29928"</f>
        <v>29928</v>
      </c>
      <c r="AK166" t="s">
        <v>120</v>
      </c>
      <c r="AM166" s="5">
        <v>18438428000</v>
      </c>
      <c r="AO166" t="s">
        <v>2548</v>
      </c>
      <c r="AP166" t="s">
        <v>256</v>
      </c>
      <c r="AQ166" t="s">
        <v>400</v>
      </c>
      <c r="AR166" t="s">
        <v>401</v>
      </c>
      <c r="AS166" t="s">
        <v>397</v>
      </c>
      <c r="AT166" t="s">
        <v>402</v>
      </c>
      <c r="AU166" t="s">
        <v>152</v>
      </c>
      <c r="AV166" t="s">
        <v>403</v>
      </c>
      <c r="AW166" t="s">
        <v>232</v>
      </c>
      <c r="AX166" s="4" t="str">
        <f>"75033"</f>
        <v>75033</v>
      </c>
      <c r="AY166" t="s">
        <v>120</v>
      </c>
      <c r="BA166" s="5">
        <v>19727789690</v>
      </c>
      <c r="BC166" t="s">
        <v>905</v>
      </c>
      <c r="BD166" t="s">
        <v>405</v>
      </c>
      <c r="BG166" t="s">
        <v>394</v>
      </c>
      <c r="BH166" s="1">
        <v>44895.791666666664</v>
      </c>
      <c r="BI166">
        <v>40</v>
      </c>
      <c r="BJ166">
        <v>8</v>
      </c>
      <c r="BK166">
        <v>0</v>
      </c>
      <c r="BL166">
        <v>0</v>
      </c>
      <c r="BM166">
        <v>8</v>
      </c>
      <c r="BN166">
        <v>8</v>
      </c>
      <c r="BO166">
        <v>8</v>
      </c>
      <c r="BP166">
        <v>8</v>
      </c>
      <c r="BQ166" t="str">
        <f>"8:00 AM"</f>
        <v>8:00 AM</v>
      </c>
      <c r="BR166" t="str">
        <f>"5:00 PM"</f>
        <v>5:00 PM</v>
      </c>
      <c r="BS166" t="s">
        <v>133</v>
      </c>
      <c r="BT166">
        <v>0</v>
      </c>
      <c r="BU166">
        <v>0</v>
      </c>
      <c r="BV166" t="s">
        <v>134</v>
      </c>
      <c r="BX166" s="2" t="s">
        <v>15553</v>
      </c>
      <c r="BY166" t="s">
        <v>2544</v>
      </c>
      <c r="CA166" t="s">
        <v>408</v>
      </c>
      <c r="CB166" t="s">
        <v>394</v>
      </c>
      <c r="CC166" s="4" t="str">
        <f>"29928"</f>
        <v>29928</v>
      </c>
      <c r="CD166" t="s">
        <v>409</v>
      </c>
      <c r="CE166" t="s">
        <v>410</v>
      </c>
      <c r="CF166" s="6">
        <v>15</v>
      </c>
      <c r="CH166" s="6">
        <v>22.5</v>
      </c>
      <c r="CJ166" t="s">
        <v>137</v>
      </c>
      <c r="CK166" t="s">
        <v>4437</v>
      </c>
      <c r="CL166" t="s">
        <v>15554</v>
      </c>
      <c r="CO166" t="s">
        <v>138</v>
      </c>
      <c r="CP166" t="s">
        <v>134</v>
      </c>
      <c r="CQ166" t="s">
        <v>114</v>
      </c>
      <c r="CR166" t="s">
        <v>114</v>
      </c>
      <c r="CS166" t="s">
        <v>114</v>
      </c>
      <c r="CT166" t="s">
        <v>114</v>
      </c>
      <c r="CU166" t="s">
        <v>114</v>
      </c>
      <c r="CV166" s="2" t="s">
        <v>10032</v>
      </c>
      <c r="CW166" s="5" t="str">
        <f>"+18438428000"</f>
        <v>+18438428000</v>
      </c>
      <c r="CX166" t="s">
        <v>138</v>
      </c>
      <c r="CY166" t="s">
        <v>1913</v>
      </c>
      <c r="CZ166" t="s">
        <v>139</v>
      </c>
      <c r="DA166" t="s">
        <v>134</v>
      </c>
      <c r="DB166" t="s">
        <v>114</v>
      </c>
      <c r="DC166" t="s">
        <v>114</v>
      </c>
      <c r="DD166" t="s">
        <v>134</v>
      </c>
    </row>
    <row r="167" spans="1:108" ht="15" customHeight="1" x14ac:dyDescent="0.25">
      <c r="A167" t="s">
        <v>14107</v>
      </c>
      <c r="B167" t="s">
        <v>165</v>
      </c>
      <c r="C167" s="1">
        <v>44896.012936689818</v>
      </c>
      <c r="D167" s="1">
        <v>44923</v>
      </c>
      <c r="E167" t="s">
        <v>134</v>
      </c>
      <c r="F167" t="s">
        <v>1248</v>
      </c>
      <c r="G167" t="str">
        <f>"37-3011.00"</f>
        <v>37-3011.00</v>
      </c>
      <c r="H167" t="s">
        <v>335</v>
      </c>
      <c r="I167">
        <v>12</v>
      </c>
      <c r="J167">
        <v>12</v>
      </c>
      <c r="K167" s="1">
        <v>44986</v>
      </c>
      <c r="L167" s="1">
        <v>45270</v>
      </c>
      <c r="M167" s="1">
        <v>44986</v>
      </c>
      <c r="N167" s="1">
        <v>45270</v>
      </c>
      <c r="O167" t="s">
        <v>117</v>
      </c>
      <c r="P167" t="s">
        <v>14108</v>
      </c>
      <c r="R167" t="s">
        <v>14109</v>
      </c>
      <c r="T167" t="s">
        <v>4143</v>
      </c>
      <c r="U167" t="s">
        <v>619</v>
      </c>
      <c r="V167" s="4" t="str">
        <f>"40508"</f>
        <v>40508</v>
      </c>
      <c r="W167" t="s">
        <v>120</v>
      </c>
      <c r="Y167" s="5">
        <v>18592528444</v>
      </c>
      <c r="AA167">
        <v>5617</v>
      </c>
      <c r="AB167" t="s">
        <v>14110</v>
      </c>
      <c r="AC167" t="s">
        <v>2972</v>
      </c>
      <c r="AE167" t="s">
        <v>700</v>
      </c>
      <c r="AF167" t="s">
        <v>14111</v>
      </c>
      <c r="AH167" t="s">
        <v>4143</v>
      </c>
      <c r="AI167" t="s">
        <v>619</v>
      </c>
      <c r="AJ167" s="4" t="str">
        <f>"40508"</f>
        <v>40508</v>
      </c>
      <c r="AK167" t="s">
        <v>120</v>
      </c>
      <c r="AM167" s="5">
        <v>18592528444</v>
      </c>
      <c r="AO167" t="s">
        <v>14112</v>
      </c>
      <c r="AP167" t="s">
        <v>256</v>
      </c>
      <c r="AQ167" t="s">
        <v>1615</v>
      </c>
      <c r="AR167" t="s">
        <v>1616</v>
      </c>
      <c r="AT167" t="s">
        <v>1617</v>
      </c>
      <c r="AV167" t="s">
        <v>1618</v>
      </c>
      <c r="AW167" t="s">
        <v>444</v>
      </c>
      <c r="AX167" s="4" t="str">
        <f>"93446"</f>
        <v>93446</v>
      </c>
      <c r="AY167" t="s">
        <v>120</v>
      </c>
      <c r="AZ167" t="s">
        <v>1619</v>
      </c>
      <c r="BA167" s="5">
        <v>13217042589</v>
      </c>
      <c r="BC167" t="s">
        <v>1620</v>
      </c>
      <c r="BD167" t="s">
        <v>1621</v>
      </c>
      <c r="BG167" t="s">
        <v>619</v>
      </c>
      <c r="BH167" s="1">
        <v>44895.791666666664</v>
      </c>
      <c r="BI167">
        <v>40</v>
      </c>
      <c r="BJ167">
        <v>0</v>
      </c>
      <c r="BK167">
        <v>8</v>
      </c>
      <c r="BL167">
        <v>8</v>
      </c>
      <c r="BM167">
        <v>8</v>
      </c>
      <c r="BN167">
        <v>8</v>
      </c>
      <c r="BO167">
        <v>8</v>
      </c>
      <c r="BP167">
        <v>0</v>
      </c>
      <c r="BQ167" t="str">
        <f>"7:30 AM"</f>
        <v>7:30 AM</v>
      </c>
      <c r="BR167" t="str">
        <f>"4:00 PM"</f>
        <v>4:00 PM</v>
      </c>
      <c r="BS167" t="s">
        <v>133</v>
      </c>
      <c r="BT167">
        <v>0</v>
      </c>
      <c r="BU167">
        <v>0</v>
      </c>
      <c r="BV167" t="s">
        <v>134</v>
      </c>
      <c r="BX167" s="2" t="s">
        <v>14113</v>
      </c>
      <c r="BY167" t="s">
        <v>14114</v>
      </c>
      <c r="CA167" t="s">
        <v>1706</v>
      </c>
      <c r="CB167" t="s">
        <v>619</v>
      </c>
      <c r="CC167" s="4" t="str">
        <f>"40508"</f>
        <v>40508</v>
      </c>
      <c r="CD167" t="s">
        <v>1707</v>
      </c>
      <c r="CE167" t="s">
        <v>1708</v>
      </c>
      <c r="CF167" s="6">
        <v>15.4</v>
      </c>
      <c r="CG167" s="6">
        <v>15.4</v>
      </c>
      <c r="CH167" s="6">
        <v>23.1</v>
      </c>
      <c r="CI167" s="6">
        <v>23.1</v>
      </c>
      <c r="CJ167" t="s">
        <v>137</v>
      </c>
      <c r="CK167" t="s">
        <v>1623</v>
      </c>
      <c r="CL167" t="s">
        <v>14115</v>
      </c>
      <c r="CO167" t="s">
        <v>138</v>
      </c>
      <c r="CP167" t="s">
        <v>114</v>
      </c>
      <c r="CQ167" t="s">
        <v>114</v>
      </c>
      <c r="CR167" t="s">
        <v>114</v>
      </c>
      <c r="CS167" t="s">
        <v>114</v>
      </c>
      <c r="CT167" t="s">
        <v>114</v>
      </c>
      <c r="CU167" t="s">
        <v>134</v>
      </c>
      <c r="CV167" t="s">
        <v>138</v>
      </c>
      <c r="CW167" s="5" t="str">
        <f>"+18592528444"</f>
        <v>+18592528444</v>
      </c>
      <c r="CX167" t="s">
        <v>138</v>
      </c>
      <c r="CY167" t="s">
        <v>14116</v>
      </c>
      <c r="CZ167" t="s">
        <v>139</v>
      </c>
      <c r="DA167" t="s">
        <v>134</v>
      </c>
      <c r="DB167" t="s">
        <v>134</v>
      </c>
      <c r="DC167" t="s">
        <v>114</v>
      </c>
      <c r="DD167" t="s">
        <v>134</v>
      </c>
    </row>
    <row r="168" spans="1:108" ht="15" customHeight="1" x14ac:dyDescent="0.25">
      <c r="A168" t="s">
        <v>13377</v>
      </c>
      <c r="B168" t="s">
        <v>165</v>
      </c>
      <c r="C168" s="1">
        <v>44896.011851967596</v>
      </c>
      <c r="D168" s="1">
        <v>44923</v>
      </c>
      <c r="E168" t="s">
        <v>134</v>
      </c>
      <c r="F168" t="s">
        <v>388</v>
      </c>
      <c r="G168" t="str">
        <f>"35-3031.00"</f>
        <v>35-3031.00</v>
      </c>
      <c r="H168" t="s">
        <v>389</v>
      </c>
      <c r="I168">
        <v>23</v>
      </c>
      <c r="J168">
        <v>23</v>
      </c>
      <c r="K168" s="1">
        <v>44986</v>
      </c>
      <c r="L168" s="1">
        <v>45260</v>
      </c>
      <c r="M168" s="1">
        <v>44986</v>
      </c>
      <c r="N168" s="1">
        <v>45260</v>
      </c>
      <c r="O168" t="s">
        <v>117</v>
      </c>
      <c r="P168" t="s">
        <v>2542</v>
      </c>
      <c r="Q168" t="s">
        <v>2543</v>
      </c>
      <c r="R168" t="s">
        <v>2544</v>
      </c>
      <c r="T168" t="s">
        <v>408</v>
      </c>
      <c r="U168" t="s">
        <v>394</v>
      </c>
      <c r="V168" s="4" t="str">
        <f>"29928"</f>
        <v>29928</v>
      </c>
      <c r="W168" t="s">
        <v>120</v>
      </c>
      <c r="Y168" s="5">
        <v>18438428000</v>
      </c>
      <c r="AA168">
        <v>72111</v>
      </c>
      <c r="AB168" t="s">
        <v>2545</v>
      </c>
      <c r="AC168" t="s">
        <v>2546</v>
      </c>
      <c r="AE168" t="s">
        <v>2547</v>
      </c>
      <c r="AF168" t="s">
        <v>2544</v>
      </c>
      <c r="AH168" t="s">
        <v>408</v>
      </c>
      <c r="AI168" t="s">
        <v>394</v>
      </c>
      <c r="AJ168" s="4" t="str">
        <f>"29928"</f>
        <v>29928</v>
      </c>
      <c r="AK168" t="s">
        <v>120</v>
      </c>
      <c r="AM168" s="5">
        <v>18438428000</v>
      </c>
      <c r="AO168" t="s">
        <v>2548</v>
      </c>
      <c r="AP168" t="s">
        <v>256</v>
      </c>
      <c r="AQ168" t="s">
        <v>400</v>
      </c>
      <c r="AR168" t="s">
        <v>401</v>
      </c>
      <c r="AS168" t="s">
        <v>397</v>
      </c>
      <c r="AT168" t="s">
        <v>402</v>
      </c>
      <c r="AU168" t="s">
        <v>152</v>
      </c>
      <c r="AV168" t="s">
        <v>403</v>
      </c>
      <c r="AW168" t="s">
        <v>232</v>
      </c>
      <c r="AX168" s="4" t="str">
        <f>"75033"</f>
        <v>75033</v>
      </c>
      <c r="AY168" t="s">
        <v>120</v>
      </c>
      <c r="BA168" s="5">
        <v>19727789690</v>
      </c>
      <c r="BC168" t="s">
        <v>905</v>
      </c>
      <c r="BD168" t="s">
        <v>405</v>
      </c>
      <c r="BG168" t="s">
        <v>394</v>
      </c>
      <c r="BH168" s="1">
        <v>44895.791666666664</v>
      </c>
      <c r="BI168">
        <v>40</v>
      </c>
      <c r="BJ168">
        <v>8</v>
      </c>
      <c r="BK168">
        <v>0</v>
      </c>
      <c r="BL168">
        <v>0</v>
      </c>
      <c r="BM168">
        <v>8</v>
      </c>
      <c r="BN168">
        <v>8</v>
      </c>
      <c r="BO168">
        <v>8</v>
      </c>
      <c r="BP168">
        <v>8</v>
      </c>
      <c r="BQ168" t="str">
        <f>"6:00 AM"</f>
        <v>6:00 AM</v>
      </c>
      <c r="BR168" t="str">
        <f>"3:00 PM"</f>
        <v>3:00 PM</v>
      </c>
      <c r="BS168" t="s">
        <v>133</v>
      </c>
      <c r="BT168">
        <v>0</v>
      </c>
      <c r="BU168">
        <v>0</v>
      </c>
      <c r="BV168" t="s">
        <v>134</v>
      </c>
      <c r="BX168" s="2" t="s">
        <v>13378</v>
      </c>
      <c r="BY168" t="s">
        <v>2544</v>
      </c>
      <c r="CA168" t="s">
        <v>408</v>
      </c>
      <c r="CB168" t="s">
        <v>394</v>
      </c>
      <c r="CC168" s="4" t="str">
        <f>"29928"</f>
        <v>29928</v>
      </c>
      <c r="CD168" t="s">
        <v>409</v>
      </c>
      <c r="CE168" t="s">
        <v>410</v>
      </c>
      <c r="CF168" s="6">
        <v>10.82</v>
      </c>
      <c r="CH168" s="6">
        <v>16.23</v>
      </c>
      <c r="CJ168" t="s">
        <v>137</v>
      </c>
      <c r="CK168" t="s">
        <v>1273</v>
      </c>
      <c r="CL168" t="s">
        <v>13379</v>
      </c>
      <c r="CO168" t="s">
        <v>138</v>
      </c>
      <c r="CP168" t="s">
        <v>134</v>
      </c>
      <c r="CQ168" t="s">
        <v>114</v>
      </c>
      <c r="CR168" t="s">
        <v>114</v>
      </c>
      <c r="CS168" t="s">
        <v>114</v>
      </c>
      <c r="CT168" t="s">
        <v>114</v>
      </c>
      <c r="CU168" t="s">
        <v>114</v>
      </c>
      <c r="CV168" s="2" t="s">
        <v>2552</v>
      </c>
      <c r="CW168" s="5" t="str">
        <f>"+18438428000"</f>
        <v>+18438428000</v>
      </c>
      <c r="CX168" t="s">
        <v>138</v>
      </c>
      <c r="CY168" t="s">
        <v>1913</v>
      </c>
      <c r="CZ168" t="s">
        <v>139</v>
      </c>
      <c r="DA168" t="s">
        <v>134</v>
      </c>
      <c r="DB168" t="s">
        <v>114</v>
      </c>
      <c r="DC168" t="s">
        <v>114</v>
      </c>
      <c r="DD168" t="s">
        <v>134</v>
      </c>
    </row>
    <row r="169" spans="1:108" ht="15" customHeight="1" x14ac:dyDescent="0.25">
      <c r="A169" t="s">
        <v>13430</v>
      </c>
      <c r="B169" t="s">
        <v>165</v>
      </c>
      <c r="C169" s="1">
        <v>44896.009698611109</v>
      </c>
      <c r="D169" s="1">
        <v>44923</v>
      </c>
      <c r="E169" t="s">
        <v>134</v>
      </c>
      <c r="F169" t="s">
        <v>13431</v>
      </c>
      <c r="G169" t="str">
        <f>"35-3023.00"</f>
        <v>35-3023.00</v>
      </c>
      <c r="H169" t="s">
        <v>555</v>
      </c>
      <c r="I169">
        <v>4</v>
      </c>
      <c r="J169">
        <v>4</v>
      </c>
      <c r="K169" s="1">
        <v>44986</v>
      </c>
      <c r="L169" s="1">
        <v>45260</v>
      </c>
      <c r="M169" s="1">
        <v>44986</v>
      </c>
      <c r="N169" s="1">
        <v>45260</v>
      </c>
      <c r="O169" t="s">
        <v>117</v>
      </c>
      <c r="P169" t="s">
        <v>2542</v>
      </c>
      <c r="Q169" t="s">
        <v>2543</v>
      </c>
      <c r="R169" t="s">
        <v>2544</v>
      </c>
      <c r="T169" t="s">
        <v>408</v>
      </c>
      <c r="U169" t="s">
        <v>394</v>
      </c>
      <c r="V169" s="4" t="str">
        <f>"29928"</f>
        <v>29928</v>
      </c>
      <c r="W169" t="s">
        <v>120</v>
      </c>
      <c r="Y169" s="5">
        <v>18438428000</v>
      </c>
      <c r="AA169">
        <v>72111</v>
      </c>
      <c r="AB169" t="s">
        <v>2545</v>
      </c>
      <c r="AC169" t="s">
        <v>2546</v>
      </c>
      <c r="AE169" t="s">
        <v>2547</v>
      </c>
      <c r="AF169" t="s">
        <v>2544</v>
      </c>
      <c r="AH169" t="s">
        <v>408</v>
      </c>
      <c r="AI169" t="s">
        <v>394</v>
      </c>
      <c r="AJ169" s="4" t="str">
        <f>"29928"</f>
        <v>29928</v>
      </c>
      <c r="AK169" t="s">
        <v>120</v>
      </c>
      <c r="AM169" s="5">
        <v>18438428000</v>
      </c>
      <c r="AO169" t="s">
        <v>2548</v>
      </c>
      <c r="AP169" t="s">
        <v>256</v>
      </c>
      <c r="AQ169" t="s">
        <v>400</v>
      </c>
      <c r="AR169" t="s">
        <v>401</v>
      </c>
      <c r="AS169" t="s">
        <v>397</v>
      </c>
      <c r="AT169" t="s">
        <v>402</v>
      </c>
      <c r="AU169" t="s">
        <v>152</v>
      </c>
      <c r="AV169" t="s">
        <v>403</v>
      </c>
      <c r="AW169" t="s">
        <v>232</v>
      </c>
      <c r="AX169" s="4" t="str">
        <f>"75033"</f>
        <v>75033</v>
      </c>
      <c r="AY169" t="s">
        <v>120</v>
      </c>
      <c r="BA169" s="5">
        <v>19727789690</v>
      </c>
      <c r="BC169" t="s">
        <v>905</v>
      </c>
      <c r="BD169" t="s">
        <v>405</v>
      </c>
      <c r="BG169" t="s">
        <v>394</v>
      </c>
      <c r="BH169" s="1">
        <v>44895.791666666664</v>
      </c>
      <c r="BI169">
        <v>40</v>
      </c>
      <c r="BJ169">
        <v>8</v>
      </c>
      <c r="BK169">
        <v>0</v>
      </c>
      <c r="BL169">
        <v>0</v>
      </c>
      <c r="BM169">
        <v>8</v>
      </c>
      <c r="BN169">
        <v>8</v>
      </c>
      <c r="BO169">
        <v>8</v>
      </c>
      <c r="BP169">
        <v>8</v>
      </c>
      <c r="BQ169" t="str">
        <f>"6:00 AM"</f>
        <v>6:00 AM</v>
      </c>
      <c r="BR169" t="str">
        <f>"2:00 PM"</f>
        <v>2:00 PM</v>
      </c>
      <c r="BS169" t="s">
        <v>133</v>
      </c>
      <c r="BT169">
        <v>0</v>
      </c>
      <c r="BU169">
        <v>0</v>
      </c>
      <c r="BV169" t="s">
        <v>134</v>
      </c>
      <c r="BX169" s="2" t="s">
        <v>13432</v>
      </c>
      <c r="BY169" t="s">
        <v>2544</v>
      </c>
      <c r="CA169" t="s">
        <v>408</v>
      </c>
      <c r="CB169" t="s">
        <v>394</v>
      </c>
      <c r="CC169" s="4" t="str">
        <f>"29928"</f>
        <v>29928</v>
      </c>
      <c r="CD169" t="s">
        <v>409</v>
      </c>
      <c r="CE169" t="s">
        <v>410</v>
      </c>
      <c r="CF169" s="6">
        <v>15</v>
      </c>
      <c r="CH169" s="6">
        <v>22.5</v>
      </c>
      <c r="CJ169" t="s">
        <v>137</v>
      </c>
      <c r="CK169" t="s">
        <v>8075</v>
      </c>
      <c r="CL169" t="s">
        <v>13433</v>
      </c>
      <c r="CO169" t="s">
        <v>138</v>
      </c>
      <c r="CP169" t="s">
        <v>134</v>
      </c>
      <c r="CQ169" t="s">
        <v>114</v>
      </c>
      <c r="CR169" t="s">
        <v>114</v>
      </c>
      <c r="CS169" t="s">
        <v>114</v>
      </c>
      <c r="CT169" t="s">
        <v>114</v>
      </c>
      <c r="CU169" t="s">
        <v>114</v>
      </c>
      <c r="CV169" s="2" t="s">
        <v>2552</v>
      </c>
      <c r="CW169" s="5" t="str">
        <f>"+18438428000"</f>
        <v>+18438428000</v>
      </c>
      <c r="CX169" t="s">
        <v>138</v>
      </c>
      <c r="CY169" t="s">
        <v>1913</v>
      </c>
      <c r="CZ169" t="s">
        <v>139</v>
      </c>
      <c r="DA169" t="s">
        <v>134</v>
      </c>
      <c r="DB169" t="s">
        <v>114</v>
      </c>
      <c r="DC169" t="s">
        <v>114</v>
      </c>
      <c r="DD169" t="s">
        <v>134</v>
      </c>
    </row>
    <row r="170" spans="1:108" ht="15" customHeight="1" x14ac:dyDescent="0.25">
      <c r="A170" t="s">
        <v>5720</v>
      </c>
      <c r="B170" t="s">
        <v>165</v>
      </c>
      <c r="C170" s="1">
        <v>44896.009612037036</v>
      </c>
      <c r="D170" s="1">
        <v>44923</v>
      </c>
      <c r="E170" t="s">
        <v>134</v>
      </c>
      <c r="F170" t="s">
        <v>1219</v>
      </c>
      <c r="G170" t="str">
        <f>"37-3011.00"</f>
        <v>37-3011.00</v>
      </c>
      <c r="H170" t="s">
        <v>335</v>
      </c>
      <c r="I170">
        <v>10</v>
      </c>
      <c r="J170">
        <v>10</v>
      </c>
      <c r="K170" s="1">
        <v>44986</v>
      </c>
      <c r="L170" s="1">
        <v>45270</v>
      </c>
      <c r="M170" s="1">
        <v>44986</v>
      </c>
      <c r="N170" s="1">
        <v>45270</v>
      </c>
      <c r="O170" t="s">
        <v>117</v>
      </c>
      <c r="P170" t="s">
        <v>5721</v>
      </c>
      <c r="R170" t="s">
        <v>5722</v>
      </c>
      <c r="T170" t="s">
        <v>5723</v>
      </c>
      <c r="U170" t="s">
        <v>420</v>
      </c>
      <c r="V170" s="4" t="str">
        <f>"84025"</f>
        <v>84025</v>
      </c>
      <c r="W170" t="s">
        <v>120</v>
      </c>
      <c r="Y170" s="5">
        <v>18014257898</v>
      </c>
      <c r="AA170">
        <v>56173</v>
      </c>
      <c r="AB170" t="s">
        <v>5724</v>
      </c>
      <c r="AC170" t="s">
        <v>726</v>
      </c>
      <c r="AE170" t="s">
        <v>1835</v>
      </c>
      <c r="AF170" t="s">
        <v>5725</v>
      </c>
      <c r="AH170" t="s">
        <v>5726</v>
      </c>
      <c r="AI170" t="s">
        <v>420</v>
      </c>
      <c r="AJ170" s="4" t="str">
        <f>"84025"</f>
        <v>84025</v>
      </c>
      <c r="AK170" t="s">
        <v>120</v>
      </c>
      <c r="AM170" s="5">
        <v>18018156573</v>
      </c>
      <c r="AO170" t="s">
        <v>5727</v>
      </c>
      <c r="AP170" t="s">
        <v>256</v>
      </c>
      <c r="AQ170" t="s">
        <v>1615</v>
      </c>
      <c r="AR170" t="s">
        <v>1616</v>
      </c>
      <c r="AT170" t="s">
        <v>1617</v>
      </c>
      <c r="AV170" t="s">
        <v>1618</v>
      </c>
      <c r="AW170" t="s">
        <v>444</v>
      </c>
      <c r="AX170" s="4" t="str">
        <f>"93446"</f>
        <v>93446</v>
      </c>
      <c r="AY170" t="s">
        <v>120</v>
      </c>
      <c r="AZ170" t="s">
        <v>1619</v>
      </c>
      <c r="BA170" s="5">
        <v>13217042589</v>
      </c>
      <c r="BC170" t="s">
        <v>1620</v>
      </c>
      <c r="BD170" t="s">
        <v>1621</v>
      </c>
      <c r="BG170" t="s">
        <v>420</v>
      </c>
      <c r="BH170" s="1">
        <v>44895.791666666664</v>
      </c>
      <c r="BI170">
        <v>40</v>
      </c>
      <c r="BJ170">
        <v>0</v>
      </c>
      <c r="BK170">
        <v>8</v>
      </c>
      <c r="BL170">
        <v>8</v>
      </c>
      <c r="BM170">
        <v>8</v>
      </c>
      <c r="BN170">
        <v>8</v>
      </c>
      <c r="BO170">
        <v>8</v>
      </c>
      <c r="BP170">
        <v>0</v>
      </c>
      <c r="BQ170" t="str">
        <f>"8:00 AM"</f>
        <v>8:00 AM</v>
      </c>
      <c r="BR170" t="str">
        <f>"5:00 PM"</f>
        <v>5:00 PM</v>
      </c>
      <c r="BS170" t="s">
        <v>133</v>
      </c>
      <c r="BT170">
        <v>0</v>
      </c>
      <c r="BU170">
        <v>0</v>
      </c>
      <c r="BV170" t="s">
        <v>134</v>
      </c>
      <c r="BX170" s="2" t="s">
        <v>5728</v>
      </c>
      <c r="BY170" t="s">
        <v>5722</v>
      </c>
      <c r="CA170" t="s">
        <v>5726</v>
      </c>
      <c r="CB170" t="s">
        <v>420</v>
      </c>
      <c r="CC170" s="4" t="str">
        <f>"84025"</f>
        <v>84025</v>
      </c>
      <c r="CD170" t="s">
        <v>208</v>
      </c>
      <c r="CE170" t="s">
        <v>4475</v>
      </c>
      <c r="CF170" s="6">
        <v>17.21</v>
      </c>
      <c r="CG170" s="6">
        <v>17.21</v>
      </c>
      <c r="CH170" s="6">
        <v>25.82</v>
      </c>
      <c r="CI170" s="6">
        <v>25.82</v>
      </c>
      <c r="CJ170" t="s">
        <v>137</v>
      </c>
      <c r="CK170" t="s">
        <v>4706</v>
      </c>
      <c r="CL170" t="s">
        <v>5729</v>
      </c>
      <c r="CO170" t="s">
        <v>138</v>
      </c>
      <c r="CP170" t="s">
        <v>114</v>
      </c>
      <c r="CQ170" t="s">
        <v>114</v>
      </c>
      <c r="CR170" t="s">
        <v>114</v>
      </c>
      <c r="CS170" t="s">
        <v>114</v>
      </c>
      <c r="CT170" t="s">
        <v>114</v>
      </c>
      <c r="CU170" t="s">
        <v>134</v>
      </c>
      <c r="CV170" t="s">
        <v>138</v>
      </c>
      <c r="CW170" s="5" t="str">
        <f>"N/A"</f>
        <v>N/A</v>
      </c>
      <c r="CX170" t="s">
        <v>5730</v>
      </c>
      <c r="CY170" t="s">
        <v>5731</v>
      </c>
      <c r="CZ170" t="s">
        <v>139</v>
      </c>
      <c r="DA170" t="s">
        <v>134</v>
      </c>
      <c r="DB170" t="s">
        <v>134</v>
      </c>
      <c r="DC170" t="s">
        <v>114</v>
      </c>
      <c r="DD170" t="s">
        <v>134</v>
      </c>
    </row>
    <row r="171" spans="1:108" ht="15" customHeight="1" x14ac:dyDescent="0.25">
      <c r="A171" t="s">
        <v>15540</v>
      </c>
      <c r="B171" t="s">
        <v>165</v>
      </c>
      <c r="C171" s="1">
        <v>44896.009585995373</v>
      </c>
      <c r="D171" s="1">
        <v>44923</v>
      </c>
      <c r="E171" t="s">
        <v>134</v>
      </c>
      <c r="F171" t="s">
        <v>1219</v>
      </c>
      <c r="G171" t="str">
        <f>"37-3011.00"</f>
        <v>37-3011.00</v>
      </c>
      <c r="H171" t="s">
        <v>335</v>
      </c>
      <c r="I171">
        <v>17</v>
      </c>
      <c r="J171">
        <v>17</v>
      </c>
      <c r="K171" s="1">
        <v>44986</v>
      </c>
      <c r="L171" s="1">
        <v>45270</v>
      </c>
      <c r="M171" s="1">
        <v>44986</v>
      </c>
      <c r="N171" s="1">
        <v>45270</v>
      </c>
      <c r="O171" t="s">
        <v>199</v>
      </c>
      <c r="P171" t="s">
        <v>12570</v>
      </c>
      <c r="R171" t="s">
        <v>12571</v>
      </c>
      <c r="T171" t="s">
        <v>6246</v>
      </c>
      <c r="U171" t="s">
        <v>848</v>
      </c>
      <c r="V171" s="4" t="str">
        <f>"11937"</f>
        <v>11937</v>
      </c>
      <c r="W171" t="s">
        <v>120</v>
      </c>
      <c r="Y171" s="5">
        <v>16313247373</v>
      </c>
      <c r="AA171">
        <v>56173</v>
      </c>
      <c r="AB171" t="s">
        <v>12572</v>
      </c>
      <c r="AC171" t="s">
        <v>4406</v>
      </c>
      <c r="AE171" t="s">
        <v>700</v>
      </c>
      <c r="AF171" t="s">
        <v>12571</v>
      </c>
      <c r="AH171" t="s">
        <v>6246</v>
      </c>
      <c r="AI171" t="s">
        <v>848</v>
      </c>
      <c r="AJ171" s="4" t="str">
        <f>"11937"</f>
        <v>11937</v>
      </c>
      <c r="AK171" t="s">
        <v>120</v>
      </c>
      <c r="AM171" s="5">
        <v>16313247373</v>
      </c>
      <c r="AO171" t="s">
        <v>138</v>
      </c>
      <c r="AP171" t="s">
        <v>256</v>
      </c>
      <c r="AQ171" t="s">
        <v>1220</v>
      </c>
      <c r="AR171" t="s">
        <v>1221</v>
      </c>
      <c r="AT171" t="s">
        <v>1222</v>
      </c>
      <c r="AV171" t="s">
        <v>1223</v>
      </c>
      <c r="AW171" t="s">
        <v>848</v>
      </c>
      <c r="AX171" s="4" t="str">
        <f>"11590"</f>
        <v>11590</v>
      </c>
      <c r="AY171" t="s">
        <v>120</v>
      </c>
      <c r="BA171" s="5">
        <v>15163307168</v>
      </c>
      <c r="BC171" t="s">
        <v>1224</v>
      </c>
      <c r="BD171" t="s">
        <v>1225</v>
      </c>
      <c r="BG171" t="s">
        <v>848</v>
      </c>
      <c r="BH171" s="1">
        <v>44893.791666666664</v>
      </c>
      <c r="BI171">
        <v>40</v>
      </c>
      <c r="BJ171">
        <v>0</v>
      </c>
      <c r="BK171">
        <v>8</v>
      </c>
      <c r="BL171">
        <v>8</v>
      </c>
      <c r="BM171">
        <v>8</v>
      </c>
      <c r="BN171">
        <v>8</v>
      </c>
      <c r="BO171">
        <v>8</v>
      </c>
      <c r="BP171">
        <v>0</v>
      </c>
      <c r="BQ171" t="str">
        <f>"8:00 AM"</f>
        <v>8:00 AM</v>
      </c>
      <c r="BR171" t="str">
        <f>"4:00 PM"</f>
        <v>4:00 PM</v>
      </c>
      <c r="BS171" t="s">
        <v>133</v>
      </c>
      <c r="BT171">
        <v>0</v>
      </c>
      <c r="BU171">
        <v>0</v>
      </c>
      <c r="BV171" t="s">
        <v>134</v>
      </c>
      <c r="BX171" t="s">
        <v>138</v>
      </c>
      <c r="BY171" t="s">
        <v>12571</v>
      </c>
      <c r="CA171" t="s">
        <v>6246</v>
      </c>
      <c r="CB171" t="s">
        <v>848</v>
      </c>
      <c r="CC171" s="4" t="str">
        <f>"11937"</f>
        <v>11937</v>
      </c>
      <c r="CD171" t="s">
        <v>1227</v>
      </c>
      <c r="CE171" t="s">
        <v>1009</v>
      </c>
      <c r="CF171" s="6">
        <v>19.940000000000001</v>
      </c>
      <c r="CG171" s="6">
        <v>19.940000000000001</v>
      </c>
      <c r="CH171" s="6">
        <v>29.91</v>
      </c>
      <c r="CI171" s="6">
        <v>29.91</v>
      </c>
      <c r="CJ171" t="s">
        <v>137</v>
      </c>
      <c r="CK171" t="s">
        <v>138</v>
      </c>
      <c r="CL171" t="s">
        <v>12573</v>
      </c>
      <c r="CO171" t="s">
        <v>138</v>
      </c>
      <c r="CP171" t="s">
        <v>114</v>
      </c>
      <c r="CQ171" t="s">
        <v>114</v>
      </c>
      <c r="CR171" t="s">
        <v>114</v>
      </c>
      <c r="CS171" t="s">
        <v>134</v>
      </c>
      <c r="CT171" t="s">
        <v>114</v>
      </c>
      <c r="CU171" t="s">
        <v>134</v>
      </c>
      <c r="CV171" t="s">
        <v>219</v>
      </c>
      <c r="CW171" s="5" t="str">
        <f>"+16313247373"</f>
        <v>+16313247373</v>
      </c>
      <c r="CX171" t="s">
        <v>12574</v>
      </c>
      <c r="CY171" t="s">
        <v>138</v>
      </c>
      <c r="CZ171" t="s">
        <v>139</v>
      </c>
      <c r="DA171" t="s">
        <v>134</v>
      </c>
      <c r="DB171" t="s">
        <v>134</v>
      </c>
      <c r="DC171" t="s">
        <v>114</v>
      </c>
      <c r="DD171" t="s">
        <v>134</v>
      </c>
    </row>
    <row r="172" spans="1:108" ht="15" customHeight="1" x14ac:dyDescent="0.25">
      <c r="A172" t="s">
        <v>15591</v>
      </c>
      <c r="B172" t="s">
        <v>165</v>
      </c>
      <c r="C172" s="1">
        <v>44896.008949537034</v>
      </c>
      <c r="D172" s="1">
        <v>44923</v>
      </c>
      <c r="E172" t="s">
        <v>134</v>
      </c>
      <c r="F172" t="s">
        <v>979</v>
      </c>
      <c r="G172" t="str">
        <f>"37-1011.00"</f>
        <v>37-1011.00</v>
      </c>
      <c r="H172" t="s">
        <v>980</v>
      </c>
      <c r="I172">
        <v>5</v>
      </c>
      <c r="J172">
        <v>5</v>
      </c>
      <c r="K172" s="1">
        <v>44986</v>
      </c>
      <c r="L172" s="1">
        <v>45260</v>
      </c>
      <c r="M172" s="1">
        <v>44986</v>
      </c>
      <c r="N172" s="1">
        <v>45260</v>
      </c>
      <c r="O172" t="s">
        <v>117</v>
      </c>
      <c r="P172" t="s">
        <v>2542</v>
      </c>
      <c r="Q172" t="s">
        <v>2543</v>
      </c>
      <c r="R172" t="s">
        <v>2544</v>
      </c>
      <c r="T172" t="s">
        <v>408</v>
      </c>
      <c r="U172" t="s">
        <v>394</v>
      </c>
      <c r="V172" s="4" t="str">
        <f>"29928"</f>
        <v>29928</v>
      </c>
      <c r="W172" t="s">
        <v>120</v>
      </c>
      <c r="Y172" s="5">
        <v>18438428000</v>
      </c>
      <c r="AA172">
        <v>72111</v>
      </c>
      <c r="AB172" t="s">
        <v>2545</v>
      </c>
      <c r="AC172" t="s">
        <v>2546</v>
      </c>
      <c r="AE172" t="s">
        <v>2547</v>
      </c>
      <c r="AF172" t="s">
        <v>2544</v>
      </c>
      <c r="AH172" t="s">
        <v>408</v>
      </c>
      <c r="AI172" t="s">
        <v>394</v>
      </c>
      <c r="AJ172" s="4" t="str">
        <f>"29928"</f>
        <v>29928</v>
      </c>
      <c r="AK172" t="s">
        <v>120</v>
      </c>
      <c r="AM172" s="5">
        <v>18438428000</v>
      </c>
      <c r="AO172" t="s">
        <v>2548</v>
      </c>
      <c r="AP172" t="s">
        <v>256</v>
      </c>
      <c r="AQ172" t="s">
        <v>400</v>
      </c>
      <c r="AR172" t="s">
        <v>401</v>
      </c>
      <c r="AS172" t="s">
        <v>397</v>
      </c>
      <c r="AT172" t="s">
        <v>402</v>
      </c>
      <c r="AU172" t="s">
        <v>152</v>
      </c>
      <c r="AV172" t="s">
        <v>403</v>
      </c>
      <c r="AW172" t="s">
        <v>232</v>
      </c>
      <c r="AX172" s="4" t="str">
        <f>"75033"</f>
        <v>75033</v>
      </c>
      <c r="AY172" t="s">
        <v>120</v>
      </c>
      <c r="BA172" s="5">
        <v>19727789690</v>
      </c>
      <c r="BC172" t="s">
        <v>905</v>
      </c>
      <c r="BD172" t="s">
        <v>405</v>
      </c>
      <c r="BG172" t="s">
        <v>394</v>
      </c>
      <c r="BH172" s="1">
        <v>44895.791666666664</v>
      </c>
      <c r="BI172">
        <v>40</v>
      </c>
      <c r="BJ172">
        <v>8</v>
      </c>
      <c r="BK172">
        <v>0</v>
      </c>
      <c r="BL172">
        <v>0</v>
      </c>
      <c r="BM172">
        <v>8</v>
      </c>
      <c r="BN172">
        <v>8</v>
      </c>
      <c r="BO172">
        <v>8</v>
      </c>
      <c r="BP172">
        <v>8</v>
      </c>
      <c r="BQ172" t="str">
        <f>"8:30 AM"</f>
        <v>8:30 AM</v>
      </c>
      <c r="BR172" t="str">
        <f>"5:00 PM"</f>
        <v>5:00 PM</v>
      </c>
      <c r="BS172" t="s">
        <v>133</v>
      </c>
      <c r="BT172">
        <v>0</v>
      </c>
      <c r="BU172">
        <v>0</v>
      </c>
      <c r="BV172" t="s">
        <v>114</v>
      </c>
      <c r="BW172">
        <v>8</v>
      </c>
      <c r="BX172" s="2" t="s">
        <v>15592</v>
      </c>
      <c r="BY172" t="s">
        <v>2544</v>
      </c>
      <c r="CA172" t="s">
        <v>408</v>
      </c>
      <c r="CB172" t="s">
        <v>394</v>
      </c>
      <c r="CC172" s="4" t="str">
        <f>"29928"</f>
        <v>29928</v>
      </c>
      <c r="CD172" t="s">
        <v>409</v>
      </c>
      <c r="CE172" t="s">
        <v>410</v>
      </c>
      <c r="CF172" s="6">
        <v>19.350000000000001</v>
      </c>
      <c r="CH172" s="6">
        <v>29.03</v>
      </c>
      <c r="CJ172" t="s">
        <v>137</v>
      </c>
      <c r="CK172" t="s">
        <v>4437</v>
      </c>
      <c r="CL172" t="s">
        <v>15593</v>
      </c>
      <c r="CO172" t="s">
        <v>138</v>
      </c>
      <c r="CP172" t="s">
        <v>134</v>
      </c>
      <c r="CQ172" t="s">
        <v>114</v>
      </c>
      <c r="CR172" t="s">
        <v>114</v>
      </c>
      <c r="CS172" t="s">
        <v>114</v>
      </c>
      <c r="CT172" t="s">
        <v>114</v>
      </c>
      <c r="CU172" t="s">
        <v>114</v>
      </c>
      <c r="CV172" s="2" t="s">
        <v>2552</v>
      </c>
      <c r="CW172" s="5" t="str">
        <f>"+18438428000"</f>
        <v>+18438428000</v>
      </c>
      <c r="CX172" t="s">
        <v>138</v>
      </c>
      <c r="CY172" t="s">
        <v>1913</v>
      </c>
      <c r="CZ172" t="s">
        <v>139</v>
      </c>
      <c r="DA172" t="s">
        <v>134</v>
      </c>
      <c r="DB172" t="s">
        <v>114</v>
      </c>
      <c r="DC172" t="s">
        <v>114</v>
      </c>
      <c r="DD172" t="s">
        <v>134</v>
      </c>
    </row>
    <row r="173" spans="1:108" ht="15" customHeight="1" x14ac:dyDescent="0.25">
      <c r="A173" t="s">
        <v>16737</v>
      </c>
      <c r="B173" t="s">
        <v>165</v>
      </c>
      <c r="C173" s="1">
        <v>44896.008034027778</v>
      </c>
      <c r="D173" s="1">
        <v>44923</v>
      </c>
      <c r="E173" t="s">
        <v>134</v>
      </c>
      <c r="F173" t="s">
        <v>115</v>
      </c>
      <c r="G173" t="str">
        <f>"37-2012.00"</f>
        <v>37-2012.00</v>
      </c>
      <c r="H173" t="s">
        <v>116</v>
      </c>
      <c r="I173">
        <v>40</v>
      </c>
      <c r="J173">
        <v>40</v>
      </c>
      <c r="K173" s="1">
        <v>44986</v>
      </c>
      <c r="L173" s="1">
        <v>45260</v>
      </c>
      <c r="M173" s="1">
        <v>44986</v>
      </c>
      <c r="N173" s="1">
        <v>45260</v>
      </c>
      <c r="O173" t="s">
        <v>117</v>
      </c>
      <c r="P173" t="s">
        <v>2542</v>
      </c>
      <c r="Q173" t="s">
        <v>2543</v>
      </c>
      <c r="R173" t="s">
        <v>2544</v>
      </c>
      <c r="T173" t="s">
        <v>408</v>
      </c>
      <c r="U173" t="s">
        <v>394</v>
      </c>
      <c r="V173" s="4" t="str">
        <f>"29928"</f>
        <v>29928</v>
      </c>
      <c r="W173" t="s">
        <v>120</v>
      </c>
      <c r="Y173" s="5">
        <v>18438428000</v>
      </c>
      <c r="AA173">
        <v>72111</v>
      </c>
      <c r="AB173" t="s">
        <v>2545</v>
      </c>
      <c r="AC173" t="s">
        <v>2546</v>
      </c>
      <c r="AE173" t="s">
        <v>2547</v>
      </c>
      <c r="AF173" t="s">
        <v>2544</v>
      </c>
      <c r="AH173" t="s">
        <v>408</v>
      </c>
      <c r="AI173" t="s">
        <v>394</v>
      </c>
      <c r="AJ173" s="4" t="str">
        <f>"29928"</f>
        <v>29928</v>
      </c>
      <c r="AK173" t="s">
        <v>120</v>
      </c>
      <c r="AM173" s="5">
        <v>18438428000</v>
      </c>
      <c r="AO173" t="s">
        <v>2548</v>
      </c>
      <c r="AP173" t="s">
        <v>256</v>
      </c>
      <c r="AQ173" t="s">
        <v>400</v>
      </c>
      <c r="AR173" t="s">
        <v>401</v>
      </c>
      <c r="AS173" t="s">
        <v>397</v>
      </c>
      <c r="AT173" t="s">
        <v>402</v>
      </c>
      <c r="AU173" t="s">
        <v>152</v>
      </c>
      <c r="AV173" t="s">
        <v>403</v>
      </c>
      <c r="AW173" t="s">
        <v>232</v>
      </c>
      <c r="AX173" s="4" t="str">
        <f>"75033"</f>
        <v>75033</v>
      </c>
      <c r="AY173" t="s">
        <v>120</v>
      </c>
      <c r="BA173" s="5">
        <v>19727789690</v>
      </c>
      <c r="BC173" t="s">
        <v>905</v>
      </c>
      <c r="BD173" t="s">
        <v>405</v>
      </c>
      <c r="BG173" t="s">
        <v>394</v>
      </c>
      <c r="BH173" s="1">
        <v>44895.791666666664</v>
      </c>
      <c r="BI173">
        <v>40</v>
      </c>
      <c r="BJ173">
        <v>8</v>
      </c>
      <c r="BK173">
        <v>0</v>
      </c>
      <c r="BL173">
        <v>0</v>
      </c>
      <c r="BM173">
        <v>8</v>
      </c>
      <c r="BN173">
        <v>8</v>
      </c>
      <c r="BO173">
        <v>8</v>
      </c>
      <c r="BP173">
        <v>8</v>
      </c>
      <c r="BQ173" t="str">
        <f>"8:00 AM"</f>
        <v>8:00 AM</v>
      </c>
      <c r="BR173" t="str">
        <f>"5:00 PM"</f>
        <v>5:00 PM</v>
      </c>
      <c r="BS173" t="s">
        <v>133</v>
      </c>
      <c r="BT173">
        <v>0</v>
      </c>
      <c r="BU173">
        <v>0</v>
      </c>
      <c r="BV173" t="s">
        <v>134</v>
      </c>
      <c r="BX173" s="2" t="s">
        <v>16738</v>
      </c>
      <c r="BY173" t="s">
        <v>2544</v>
      </c>
      <c r="CA173" t="s">
        <v>408</v>
      </c>
      <c r="CB173" t="s">
        <v>394</v>
      </c>
      <c r="CC173" s="4" t="str">
        <f>"29928"</f>
        <v>29928</v>
      </c>
      <c r="CD173" t="s">
        <v>409</v>
      </c>
      <c r="CE173" t="s">
        <v>410</v>
      </c>
      <c r="CF173" s="6">
        <v>15</v>
      </c>
      <c r="CH173" s="6">
        <v>22.5</v>
      </c>
      <c r="CJ173" t="s">
        <v>137</v>
      </c>
      <c r="CK173" t="s">
        <v>4437</v>
      </c>
      <c r="CL173" t="s">
        <v>16739</v>
      </c>
      <c r="CO173" t="s">
        <v>138</v>
      </c>
      <c r="CP173" t="s">
        <v>134</v>
      </c>
      <c r="CQ173" t="s">
        <v>114</v>
      </c>
      <c r="CR173" t="s">
        <v>114</v>
      </c>
      <c r="CS173" t="s">
        <v>114</v>
      </c>
      <c r="CT173" t="s">
        <v>114</v>
      </c>
      <c r="CU173" t="s">
        <v>114</v>
      </c>
      <c r="CV173" s="2" t="s">
        <v>2552</v>
      </c>
      <c r="CW173" s="5" t="str">
        <f>"+18438428000"</f>
        <v>+18438428000</v>
      </c>
      <c r="CX173" t="s">
        <v>138</v>
      </c>
      <c r="CY173" t="s">
        <v>1913</v>
      </c>
      <c r="CZ173" t="s">
        <v>139</v>
      </c>
      <c r="DA173" t="s">
        <v>134</v>
      </c>
      <c r="DB173" t="s">
        <v>114</v>
      </c>
      <c r="DC173" t="s">
        <v>114</v>
      </c>
      <c r="DD173" t="s">
        <v>134</v>
      </c>
    </row>
    <row r="174" spans="1:108" ht="15" customHeight="1" x14ac:dyDescent="0.25">
      <c r="A174" t="s">
        <v>14171</v>
      </c>
      <c r="B174" t="s">
        <v>165</v>
      </c>
      <c r="C174" s="1">
        <v>44896.007465625</v>
      </c>
      <c r="D174" s="1">
        <v>44923</v>
      </c>
      <c r="E174" t="s">
        <v>134</v>
      </c>
      <c r="F174" t="s">
        <v>334</v>
      </c>
      <c r="G174" t="str">
        <f>"37-3011.00"</f>
        <v>37-3011.00</v>
      </c>
      <c r="H174" t="s">
        <v>335</v>
      </c>
      <c r="I174">
        <v>9</v>
      </c>
      <c r="J174">
        <v>9</v>
      </c>
      <c r="K174" s="1">
        <v>44986</v>
      </c>
      <c r="L174" s="1">
        <v>45260</v>
      </c>
      <c r="M174" s="1">
        <v>44986</v>
      </c>
      <c r="N174" s="1">
        <v>45260</v>
      </c>
      <c r="O174" t="s">
        <v>199</v>
      </c>
      <c r="P174" t="s">
        <v>7021</v>
      </c>
      <c r="R174" t="s">
        <v>7022</v>
      </c>
      <c r="T174" t="s">
        <v>5582</v>
      </c>
      <c r="U174" t="s">
        <v>697</v>
      </c>
      <c r="V174" s="4" t="str">
        <f>"63114"</f>
        <v>63114</v>
      </c>
      <c r="W174" t="s">
        <v>120</v>
      </c>
      <c r="Y174" s="5">
        <v>13149975567</v>
      </c>
      <c r="AA174">
        <v>5617</v>
      </c>
      <c r="AB174" t="s">
        <v>7023</v>
      </c>
      <c r="AC174" t="s">
        <v>210</v>
      </c>
      <c r="AE174" t="s">
        <v>1849</v>
      </c>
      <c r="AF174" t="s">
        <v>7022</v>
      </c>
      <c r="AH174" t="s">
        <v>5582</v>
      </c>
      <c r="AI174" t="s">
        <v>697</v>
      </c>
      <c r="AJ174" s="4" t="str">
        <f>"63114"</f>
        <v>63114</v>
      </c>
      <c r="AK174" t="s">
        <v>120</v>
      </c>
      <c r="AM174" s="5">
        <v>13149975567</v>
      </c>
      <c r="AO174" t="s">
        <v>7024</v>
      </c>
      <c r="AP174" t="s">
        <v>256</v>
      </c>
      <c r="AQ174" t="s">
        <v>400</v>
      </c>
      <c r="AR174" t="s">
        <v>401</v>
      </c>
      <c r="AS174" t="s">
        <v>397</v>
      </c>
      <c r="AT174" t="s">
        <v>402</v>
      </c>
      <c r="AU174" t="s">
        <v>152</v>
      </c>
      <c r="AV174" t="s">
        <v>403</v>
      </c>
      <c r="AW174" t="s">
        <v>232</v>
      </c>
      <c r="AX174" s="4" t="str">
        <f>"75033"</f>
        <v>75033</v>
      </c>
      <c r="AY174" t="s">
        <v>120</v>
      </c>
      <c r="BA174" s="5">
        <v>19727789690</v>
      </c>
      <c r="BC174" t="s">
        <v>1534</v>
      </c>
      <c r="BD174" t="s">
        <v>405</v>
      </c>
      <c r="BG174" t="s">
        <v>697</v>
      </c>
      <c r="BH174" s="1">
        <v>44895.791666666664</v>
      </c>
      <c r="BI174">
        <v>48</v>
      </c>
      <c r="BJ174">
        <v>0</v>
      </c>
      <c r="BK174">
        <v>8</v>
      </c>
      <c r="BL174">
        <v>8</v>
      </c>
      <c r="BM174">
        <v>8</v>
      </c>
      <c r="BN174">
        <v>8</v>
      </c>
      <c r="BO174">
        <v>8</v>
      </c>
      <c r="BP174">
        <v>8</v>
      </c>
      <c r="BQ174" t="str">
        <f>"7:00 AM"</f>
        <v>7:00 AM</v>
      </c>
      <c r="BR174" t="str">
        <f>"3:30 PM"</f>
        <v>3:30 PM</v>
      </c>
      <c r="BS174" t="s">
        <v>133</v>
      </c>
      <c r="BT174">
        <v>0</v>
      </c>
      <c r="BU174">
        <v>0</v>
      </c>
      <c r="BV174" t="s">
        <v>134</v>
      </c>
      <c r="BX174" s="2" t="s">
        <v>7025</v>
      </c>
      <c r="BY174" t="s">
        <v>7026</v>
      </c>
      <c r="CA174" t="s">
        <v>1629</v>
      </c>
      <c r="CB174" t="s">
        <v>697</v>
      </c>
      <c r="CC174" s="4" t="str">
        <f>"63114"</f>
        <v>63114</v>
      </c>
      <c r="CD174" t="s">
        <v>712</v>
      </c>
      <c r="CE174" t="s">
        <v>713</v>
      </c>
      <c r="CF174" s="6">
        <v>16.96</v>
      </c>
      <c r="CG174" s="6">
        <v>16.96</v>
      </c>
      <c r="CH174" s="6">
        <v>25.44</v>
      </c>
      <c r="CI174" s="6">
        <v>25.44</v>
      </c>
      <c r="CJ174" t="s">
        <v>137</v>
      </c>
      <c r="CK174" t="s">
        <v>950</v>
      </c>
      <c r="CL174" t="s">
        <v>7027</v>
      </c>
      <c r="CO174" t="s">
        <v>138</v>
      </c>
      <c r="CP174" t="s">
        <v>114</v>
      </c>
      <c r="CQ174" t="s">
        <v>114</v>
      </c>
      <c r="CR174" t="s">
        <v>114</v>
      </c>
      <c r="CS174" t="s">
        <v>114</v>
      </c>
      <c r="CT174" t="s">
        <v>114</v>
      </c>
      <c r="CU174" t="s">
        <v>114</v>
      </c>
      <c r="CV174" s="2" t="s">
        <v>14172</v>
      </c>
      <c r="CW174" s="5" t="str">
        <f>"+13149975567"</f>
        <v>+13149975567</v>
      </c>
      <c r="CX174" t="s">
        <v>138</v>
      </c>
      <c r="CY174" t="s">
        <v>2432</v>
      </c>
      <c r="CZ174" t="s">
        <v>139</v>
      </c>
      <c r="DA174" t="s">
        <v>134</v>
      </c>
      <c r="DB174" t="s">
        <v>114</v>
      </c>
      <c r="DC174" t="s">
        <v>114</v>
      </c>
      <c r="DD174" t="s">
        <v>134</v>
      </c>
    </row>
    <row r="175" spans="1:108" ht="15" customHeight="1" x14ac:dyDescent="0.25">
      <c r="A175" t="s">
        <v>2541</v>
      </c>
      <c r="B175" t="s">
        <v>165</v>
      </c>
      <c r="C175" s="1">
        <v>44896.006946759262</v>
      </c>
      <c r="D175" s="1">
        <v>44923</v>
      </c>
      <c r="E175" t="s">
        <v>134</v>
      </c>
      <c r="F175" t="s">
        <v>2383</v>
      </c>
      <c r="G175" t="str">
        <f>"43-4081.00"</f>
        <v>43-4081.00</v>
      </c>
      <c r="H175" t="s">
        <v>2463</v>
      </c>
      <c r="I175">
        <v>6</v>
      </c>
      <c r="J175">
        <v>6</v>
      </c>
      <c r="K175" s="1">
        <v>44986</v>
      </c>
      <c r="L175" s="1">
        <v>45260</v>
      </c>
      <c r="M175" s="1">
        <v>44986</v>
      </c>
      <c r="N175" s="1">
        <v>45260</v>
      </c>
      <c r="O175" t="s">
        <v>117</v>
      </c>
      <c r="P175" t="s">
        <v>2542</v>
      </c>
      <c r="Q175" t="s">
        <v>2543</v>
      </c>
      <c r="R175" t="s">
        <v>2544</v>
      </c>
      <c r="T175" t="s">
        <v>408</v>
      </c>
      <c r="U175" t="s">
        <v>394</v>
      </c>
      <c r="V175" s="4" t="str">
        <f>"29928"</f>
        <v>29928</v>
      </c>
      <c r="W175" t="s">
        <v>120</v>
      </c>
      <c r="Y175" s="5">
        <v>18438428000</v>
      </c>
      <c r="AA175">
        <v>72111</v>
      </c>
      <c r="AB175" t="s">
        <v>2545</v>
      </c>
      <c r="AC175" t="s">
        <v>2546</v>
      </c>
      <c r="AE175" t="s">
        <v>2547</v>
      </c>
      <c r="AF175" t="s">
        <v>2544</v>
      </c>
      <c r="AH175" t="s">
        <v>408</v>
      </c>
      <c r="AI175" t="s">
        <v>394</v>
      </c>
      <c r="AJ175" s="4" t="str">
        <f>"29928"</f>
        <v>29928</v>
      </c>
      <c r="AK175" t="s">
        <v>120</v>
      </c>
      <c r="AM175" s="5">
        <v>18438428000</v>
      </c>
      <c r="AO175" t="s">
        <v>2548</v>
      </c>
      <c r="AP175" t="s">
        <v>256</v>
      </c>
      <c r="AQ175" t="s">
        <v>400</v>
      </c>
      <c r="AR175" t="s">
        <v>401</v>
      </c>
      <c r="AS175" t="s">
        <v>397</v>
      </c>
      <c r="AT175" t="s">
        <v>402</v>
      </c>
      <c r="AU175" t="s">
        <v>152</v>
      </c>
      <c r="AV175" t="s">
        <v>403</v>
      </c>
      <c r="AW175" t="s">
        <v>232</v>
      </c>
      <c r="AX175" s="4" t="str">
        <f>"75033"</f>
        <v>75033</v>
      </c>
      <c r="AY175" t="s">
        <v>120</v>
      </c>
      <c r="BA175" s="5">
        <v>19727789690</v>
      </c>
      <c r="BC175" t="s">
        <v>905</v>
      </c>
      <c r="BD175" t="s">
        <v>405</v>
      </c>
      <c r="BG175" t="s">
        <v>394</v>
      </c>
      <c r="BH175" s="1">
        <v>44895.791666666664</v>
      </c>
      <c r="BI175">
        <v>40</v>
      </c>
      <c r="BJ175">
        <v>8</v>
      </c>
      <c r="BK175">
        <v>0</v>
      </c>
      <c r="BL175">
        <v>0</v>
      </c>
      <c r="BM175">
        <v>8</v>
      </c>
      <c r="BN175">
        <v>8</v>
      </c>
      <c r="BO175">
        <v>8</v>
      </c>
      <c r="BP175">
        <v>8</v>
      </c>
      <c r="BQ175" t="str">
        <f>"7:00 AM"</f>
        <v>7:00 AM</v>
      </c>
      <c r="BR175" t="str">
        <f>"4:00 PM"</f>
        <v>4:00 PM</v>
      </c>
      <c r="BS175" t="s">
        <v>133</v>
      </c>
      <c r="BT175">
        <v>0</v>
      </c>
      <c r="BU175">
        <v>0</v>
      </c>
      <c r="BV175" t="s">
        <v>134</v>
      </c>
      <c r="BX175" s="2" t="s">
        <v>2549</v>
      </c>
      <c r="BY175" t="s">
        <v>2544</v>
      </c>
      <c r="CA175" t="s">
        <v>408</v>
      </c>
      <c r="CB175" t="s">
        <v>394</v>
      </c>
      <c r="CC175" s="4" t="str">
        <f>"29928"</f>
        <v>29928</v>
      </c>
      <c r="CD175" t="s">
        <v>409</v>
      </c>
      <c r="CE175" t="s">
        <v>410</v>
      </c>
      <c r="CF175" s="6">
        <v>15</v>
      </c>
      <c r="CH175" s="6">
        <v>22.5</v>
      </c>
      <c r="CJ175" t="s">
        <v>137</v>
      </c>
      <c r="CK175" t="s">
        <v>2550</v>
      </c>
      <c r="CL175" t="s">
        <v>2551</v>
      </c>
      <c r="CO175" t="s">
        <v>138</v>
      </c>
      <c r="CP175" t="s">
        <v>134</v>
      </c>
      <c r="CQ175" t="s">
        <v>114</v>
      </c>
      <c r="CR175" t="s">
        <v>114</v>
      </c>
      <c r="CS175" t="s">
        <v>114</v>
      </c>
      <c r="CT175" t="s">
        <v>114</v>
      </c>
      <c r="CU175" t="s">
        <v>114</v>
      </c>
      <c r="CV175" s="2" t="s">
        <v>2552</v>
      </c>
      <c r="CW175" s="5" t="str">
        <f>"+18438428000"</f>
        <v>+18438428000</v>
      </c>
      <c r="CX175" t="s">
        <v>138</v>
      </c>
      <c r="CY175" t="s">
        <v>1913</v>
      </c>
      <c r="CZ175" t="s">
        <v>139</v>
      </c>
      <c r="DA175" t="s">
        <v>134</v>
      </c>
      <c r="DB175" t="s">
        <v>114</v>
      </c>
      <c r="DC175" t="s">
        <v>114</v>
      </c>
      <c r="DD175" t="s">
        <v>134</v>
      </c>
    </row>
    <row r="176" spans="1:108" ht="15" customHeight="1" x14ac:dyDescent="0.25">
      <c r="A176" t="s">
        <v>13401</v>
      </c>
      <c r="B176" t="s">
        <v>165</v>
      </c>
      <c r="C176" s="1">
        <v>44896.00608136574</v>
      </c>
      <c r="D176" s="1">
        <v>44923</v>
      </c>
      <c r="E176" t="s">
        <v>134</v>
      </c>
      <c r="F176" t="s">
        <v>2269</v>
      </c>
      <c r="G176" t="str">
        <f>"35-9011.00"</f>
        <v>35-9011.00</v>
      </c>
      <c r="H176" t="s">
        <v>743</v>
      </c>
      <c r="I176">
        <v>6</v>
      </c>
      <c r="J176">
        <v>6</v>
      </c>
      <c r="K176" s="1">
        <v>44986</v>
      </c>
      <c r="L176" s="1">
        <v>45260</v>
      </c>
      <c r="M176" s="1">
        <v>44986</v>
      </c>
      <c r="N176" s="1">
        <v>45260</v>
      </c>
      <c r="O176" t="s">
        <v>117</v>
      </c>
      <c r="P176" t="s">
        <v>2542</v>
      </c>
      <c r="Q176" t="s">
        <v>2543</v>
      </c>
      <c r="R176" t="s">
        <v>2544</v>
      </c>
      <c r="T176" t="s">
        <v>408</v>
      </c>
      <c r="U176" t="s">
        <v>394</v>
      </c>
      <c r="V176" s="4" t="str">
        <f>"29928"</f>
        <v>29928</v>
      </c>
      <c r="W176" t="s">
        <v>120</v>
      </c>
      <c r="Y176" s="5">
        <v>18438428000</v>
      </c>
      <c r="AA176">
        <v>72111</v>
      </c>
      <c r="AB176" t="s">
        <v>2545</v>
      </c>
      <c r="AC176" t="s">
        <v>2546</v>
      </c>
      <c r="AE176" t="s">
        <v>2547</v>
      </c>
      <c r="AF176" t="s">
        <v>2544</v>
      </c>
      <c r="AH176" t="s">
        <v>408</v>
      </c>
      <c r="AI176" t="s">
        <v>394</v>
      </c>
      <c r="AJ176" s="4" t="str">
        <f>"29928"</f>
        <v>29928</v>
      </c>
      <c r="AK176" t="s">
        <v>120</v>
      </c>
      <c r="AM176" s="5">
        <v>18438428000</v>
      </c>
      <c r="AO176" t="s">
        <v>2548</v>
      </c>
      <c r="AP176" t="s">
        <v>256</v>
      </c>
      <c r="AQ176" t="s">
        <v>400</v>
      </c>
      <c r="AR176" t="s">
        <v>401</v>
      </c>
      <c r="AS176" t="s">
        <v>397</v>
      </c>
      <c r="AT176" t="s">
        <v>402</v>
      </c>
      <c r="AU176" t="s">
        <v>152</v>
      </c>
      <c r="AV176" t="s">
        <v>403</v>
      </c>
      <c r="AW176" t="s">
        <v>232</v>
      </c>
      <c r="AX176" s="4" t="str">
        <f>"75033"</f>
        <v>75033</v>
      </c>
      <c r="AY176" t="s">
        <v>120</v>
      </c>
      <c r="BA176" s="5">
        <v>19727789690</v>
      </c>
      <c r="BC176" t="s">
        <v>905</v>
      </c>
      <c r="BD176" t="s">
        <v>405</v>
      </c>
      <c r="BG176" t="s">
        <v>394</v>
      </c>
      <c r="BH176" s="1">
        <v>44895.791666666664</v>
      </c>
      <c r="BI176">
        <v>40</v>
      </c>
      <c r="BJ176">
        <v>8</v>
      </c>
      <c r="BK176">
        <v>0</v>
      </c>
      <c r="BL176">
        <v>0</v>
      </c>
      <c r="BM176">
        <v>8</v>
      </c>
      <c r="BN176">
        <v>8</v>
      </c>
      <c r="BO176">
        <v>8</v>
      </c>
      <c r="BP176">
        <v>8</v>
      </c>
      <c r="BQ176" t="str">
        <f>"8:00 AM"</f>
        <v>8:00 AM</v>
      </c>
      <c r="BR176" t="str">
        <f>"5:00 PM"</f>
        <v>5:00 PM</v>
      </c>
      <c r="BS176" t="s">
        <v>133</v>
      </c>
      <c r="BT176">
        <v>0</v>
      </c>
      <c r="BU176">
        <v>0</v>
      </c>
      <c r="BV176" t="s">
        <v>134</v>
      </c>
      <c r="BX176" s="2" t="s">
        <v>13402</v>
      </c>
      <c r="BY176" t="s">
        <v>2544</v>
      </c>
      <c r="CA176" t="s">
        <v>408</v>
      </c>
      <c r="CB176" t="s">
        <v>394</v>
      </c>
      <c r="CC176" s="4" t="str">
        <f>"29928"</f>
        <v>29928</v>
      </c>
      <c r="CD176" t="s">
        <v>409</v>
      </c>
      <c r="CE176" t="s">
        <v>410</v>
      </c>
      <c r="CF176" s="6">
        <v>11.5</v>
      </c>
      <c r="CH176" s="6">
        <v>17.25</v>
      </c>
      <c r="CJ176" t="s">
        <v>137</v>
      </c>
      <c r="CK176" t="s">
        <v>4437</v>
      </c>
      <c r="CL176" t="s">
        <v>13403</v>
      </c>
      <c r="CO176" t="s">
        <v>138</v>
      </c>
      <c r="CP176" t="s">
        <v>134</v>
      </c>
      <c r="CQ176" t="s">
        <v>114</v>
      </c>
      <c r="CR176" t="s">
        <v>114</v>
      </c>
      <c r="CS176" t="s">
        <v>114</v>
      </c>
      <c r="CT176" t="s">
        <v>114</v>
      </c>
      <c r="CU176" t="s">
        <v>114</v>
      </c>
      <c r="CV176" s="2" t="s">
        <v>2552</v>
      </c>
      <c r="CW176" s="5" t="str">
        <f>"+18438428000"</f>
        <v>+18438428000</v>
      </c>
      <c r="CX176" t="s">
        <v>138</v>
      </c>
      <c r="CY176" t="s">
        <v>1913</v>
      </c>
      <c r="CZ176" t="s">
        <v>139</v>
      </c>
      <c r="DA176" t="s">
        <v>134</v>
      </c>
      <c r="DB176" t="s">
        <v>114</v>
      </c>
      <c r="DC176" t="s">
        <v>114</v>
      </c>
      <c r="DD176" t="s">
        <v>134</v>
      </c>
    </row>
    <row r="177" spans="1:108" ht="15" customHeight="1" x14ac:dyDescent="0.25">
      <c r="A177" t="s">
        <v>1879</v>
      </c>
      <c r="B177" t="s">
        <v>165</v>
      </c>
      <c r="C177" s="1">
        <v>44896.005406249998</v>
      </c>
      <c r="D177" s="1">
        <v>44923</v>
      </c>
      <c r="E177" t="s">
        <v>134</v>
      </c>
      <c r="F177" t="s">
        <v>1219</v>
      </c>
      <c r="G177" t="str">
        <f>"37-3011.00"</f>
        <v>37-3011.00</v>
      </c>
      <c r="H177" t="s">
        <v>335</v>
      </c>
      <c r="I177">
        <v>7</v>
      </c>
      <c r="J177">
        <v>7</v>
      </c>
      <c r="K177" s="1">
        <v>44986</v>
      </c>
      <c r="L177" s="1">
        <v>45275</v>
      </c>
      <c r="M177" s="1">
        <v>44986</v>
      </c>
      <c r="N177" s="1">
        <v>45275</v>
      </c>
      <c r="O177" t="s">
        <v>199</v>
      </c>
      <c r="P177" t="s">
        <v>1880</v>
      </c>
      <c r="R177" t="s">
        <v>1881</v>
      </c>
      <c r="T177" t="s">
        <v>1882</v>
      </c>
      <c r="U177" t="s">
        <v>697</v>
      </c>
      <c r="V177" s="4" t="str">
        <f>"63049"</f>
        <v>63049</v>
      </c>
      <c r="W177" t="s">
        <v>120</v>
      </c>
      <c r="Y177" s="5">
        <v>13148563544</v>
      </c>
      <c r="AA177">
        <v>56173</v>
      </c>
      <c r="AB177" t="s">
        <v>1883</v>
      </c>
      <c r="AC177" t="s">
        <v>1884</v>
      </c>
      <c r="AE177" t="s">
        <v>700</v>
      </c>
      <c r="AF177" t="s">
        <v>1881</v>
      </c>
      <c r="AH177" t="s">
        <v>1882</v>
      </c>
      <c r="AI177" t="s">
        <v>697</v>
      </c>
      <c r="AJ177" s="4" t="str">
        <f>"63049"</f>
        <v>63049</v>
      </c>
      <c r="AK177" t="s">
        <v>120</v>
      </c>
      <c r="AM177" s="5">
        <v>13148563544</v>
      </c>
      <c r="AO177" t="s">
        <v>138</v>
      </c>
      <c r="AP177" t="s">
        <v>256</v>
      </c>
      <c r="AQ177" t="s">
        <v>1220</v>
      </c>
      <c r="AR177" t="s">
        <v>1221</v>
      </c>
      <c r="AT177" t="s">
        <v>1222</v>
      </c>
      <c r="AV177" t="s">
        <v>1223</v>
      </c>
      <c r="AW177" t="s">
        <v>848</v>
      </c>
      <c r="AX177" s="4" t="str">
        <f>"11590"</f>
        <v>11590</v>
      </c>
      <c r="AY177" t="s">
        <v>120</v>
      </c>
      <c r="BA177" s="5">
        <v>15163307168</v>
      </c>
      <c r="BC177" t="s">
        <v>1224</v>
      </c>
      <c r="BD177" t="s">
        <v>1225</v>
      </c>
      <c r="BG177" t="s">
        <v>697</v>
      </c>
      <c r="BH177" s="1">
        <v>44894.791666666664</v>
      </c>
      <c r="BI177">
        <v>40</v>
      </c>
      <c r="BJ177">
        <v>0</v>
      </c>
      <c r="BK177">
        <v>8</v>
      </c>
      <c r="BL177">
        <v>8</v>
      </c>
      <c r="BM177">
        <v>8</v>
      </c>
      <c r="BN177">
        <v>8</v>
      </c>
      <c r="BO177">
        <v>8</v>
      </c>
      <c r="BP177">
        <v>0</v>
      </c>
      <c r="BQ177" t="str">
        <f>"8:00 AM"</f>
        <v>8:00 AM</v>
      </c>
      <c r="BR177" t="str">
        <f>"4:00 PM"</f>
        <v>4:00 PM</v>
      </c>
      <c r="BS177" t="s">
        <v>133</v>
      </c>
      <c r="BT177">
        <v>0</v>
      </c>
      <c r="BU177">
        <v>0</v>
      </c>
      <c r="BV177" t="s">
        <v>134</v>
      </c>
      <c r="BX177" t="s">
        <v>133</v>
      </c>
      <c r="BY177" t="s">
        <v>1881</v>
      </c>
      <c r="CA177" t="s">
        <v>1882</v>
      </c>
      <c r="CB177" t="s">
        <v>697</v>
      </c>
      <c r="CC177" s="4" t="str">
        <f>"63049"</f>
        <v>63049</v>
      </c>
      <c r="CD177" t="s">
        <v>1387</v>
      </c>
      <c r="CE177" t="s">
        <v>713</v>
      </c>
      <c r="CF177" s="6">
        <v>16.96</v>
      </c>
      <c r="CG177" s="6">
        <v>16.96</v>
      </c>
      <c r="CH177" s="6">
        <v>25.44</v>
      </c>
      <c r="CI177" s="6">
        <v>25.44</v>
      </c>
      <c r="CJ177" t="s">
        <v>137</v>
      </c>
      <c r="CL177" t="s">
        <v>1885</v>
      </c>
      <c r="CO177" t="s">
        <v>138</v>
      </c>
      <c r="CP177" t="s">
        <v>114</v>
      </c>
      <c r="CQ177" t="s">
        <v>114</v>
      </c>
      <c r="CR177" t="s">
        <v>114</v>
      </c>
      <c r="CS177" t="s">
        <v>134</v>
      </c>
      <c r="CT177" t="s">
        <v>114</v>
      </c>
      <c r="CU177" t="s">
        <v>134</v>
      </c>
      <c r="CV177" t="s">
        <v>133</v>
      </c>
      <c r="CW177" s="5" t="str">
        <f>"+13148563544"</f>
        <v>+13148563544</v>
      </c>
      <c r="CX177" t="s">
        <v>1886</v>
      </c>
      <c r="CY177" t="s">
        <v>138</v>
      </c>
      <c r="CZ177" t="s">
        <v>139</v>
      </c>
      <c r="DA177" t="s">
        <v>134</v>
      </c>
      <c r="DB177" t="s">
        <v>134</v>
      </c>
      <c r="DC177" t="s">
        <v>114</v>
      </c>
      <c r="DD177" t="s">
        <v>134</v>
      </c>
    </row>
    <row r="178" spans="1:108" ht="15" customHeight="1" x14ac:dyDescent="0.25">
      <c r="A178" t="s">
        <v>10029</v>
      </c>
      <c r="B178" t="s">
        <v>165</v>
      </c>
      <c r="C178" s="1">
        <v>44896.004726736108</v>
      </c>
      <c r="D178" s="1">
        <v>44923</v>
      </c>
      <c r="E178" t="s">
        <v>134</v>
      </c>
      <c r="F178" t="s">
        <v>1331</v>
      </c>
      <c r="G178" t="str">
        <f>"35-2014.00"</f>
        <v>35-2014.00</v>
      </c>
      <c r="H178" t="s">
        <v>915</v>
      </c>
      <c r="I178">
        <v>15</v>
      </c>
      <c r="J178">
        <v>15</v>
      </c>
      <c r="K178" s="1">
        <v>44986</v>
      </c>
      <c r="L178" s="1">
        <v>45260</v>
      </c>
      <c r="M178" s="1">
        <v>44986</v>
      </c>
      <c r="N178" s="1">
        <v>45260</v>
      </c>
      <c r="O178" t="s">
        <v>117</v>
      </c>
      <c r="P178" t="s">
        <v>2542</v>
      </c>
      <c r="Q178" t="s">
        <v>2543</v>
      </c>
      <c r="R178" t="s">
        <v>2544</v>
      </c>
      <c r="T178" t="s">
        <v>408</v>
      </c>
      <c r="U178" t="s">
        <v>394</v>
      </c>
      <c r="V178" s="4" t="str">
        <f>"29928"</f>
        <v>29928</v>
      </c>
      <c r="W178" t="s">
        <v>120</v>
      </c>
      <c r="Y178" s="5">
        <v>18438428000</v>
      </c>
      <c r="AA178">
        <v>72111</v>
      </c>
      <c r="AB178" t="s">
        <v>2545</v>
      </c>
      <c r="AC178" t="s">
        <v>2546</v>
      </c>
      <c r="AE178" t="s">
        <v>2547</v>
      </c>
      <c r="AF178" t="s">
        <v>2544</v>
      </c>
      <c r="AH178" t="s">
        <v>408</v>
      </c>
      <c r="AI178" t="s">
        <v>394</v>
      </c>
      <c r="AJ178" s="4" t="str">
        <f>"29928"</f>
        <v>29928</v>
      </c>
      <c r="AK178" t="s">
        <v>120</v>
      </c>
      <c r="AM178" s="5">
        <v>18438428000</v>
      </c>
      <c r="AO178" t="s">
        <v>2548</v>
      </c>
      <c r="AP178" t="s">
        <v>256</v>
      </c>
      <c r="AQ178" t="s">
        <v>400</v>
      </c>
      <c r="AR178" t="s">
        <v>401</v>
      </c>
      <c r="AS178" t="s">
        <v>397</v>
      </c>
      <c r="AT178" t="s">
        <v>402</v>
      </c>
      <c r="AU178" t="s">
        <v>152</v>
      </c>
      <c r="AV178" t="s">
        <v>403</v>
      </c>
      <c r="AW178" t="s">
        <v>232</v>
      </c>
      <c r="AX178" s="4" t="str">
        <f>"75033"</f>
        <v>75033</v>
      </c>
      <c r="AY178" t="s">
        <v>120</v>
      </c>
      <c r="BA178" s="5">
        <v>19727789690</v>
      </c>
      <c r="BC178" t="s">
        <v>905</v>
      </c>
      <c r="BD178" t="s">
        <v>405</v>
      </c>
      <c r="BG178" t="s">
        <v>394</v>
      </c>
      <c r="BH178" s="1">
        <v>44895.791666666664</v>
      </c>
      <c r="BI178">
        <v>40</v>
      </c>
      <c r="BJ178">
        <v>8</v>
      </c>
      <c r="BK178">
        <v>0</v>
      </c>
      <c r="BL178">
        <v>0</v>
      </c>
      <c r="BM178">
        <v>8</v>
      </c>
      <c r="BN178">
        <v>8</v>
      </c>
      <c r="BO178">
        <v>8</v>
      </c>
      <c r="BP178">
        <v>8</v>
      </c>
      <c r="BQ178" t="str">
        <f>"6:00 AM"</f>
        <v>6:00 AM</v>
      </c>
      <c r="BR178" t="str">
        <f>"3:00 PM"</f>
        <v>3:00 PM</v>
      </c>
      <c r="BS178" t="s">
        <v>133</v>
      </c>
      <c r="BT178">
        <v>0</v>
      </c>
      <c r="BU178">
        <v>0</v>
      </c>
      <c r="BV178" t="s">
        <v>134</v>
      </c>
      <c r="BX178" s="2" t="s">
        <v>10030</v>
      </c>
      <c r="BY178" t="s">
        <v>2544</v>
      </c>
      <c r="CA178" t="s">
        <v>408</v>
      </c>
      <c r="CB178" t="s">
        <v>394</v>
      </c>
      <c r="CC178" s="4" t="str">
        <f>"29928"</f>
        <v>29928</v>
      </c>
      <c r="CD178" t="s">
        <v>409</v>
      </c>
      <c r="CE178" t="s">
        <v>410</v>
      </c>
      <c r="CF178" s="6">
        <v>15</v>
      </c>
      <c r="CH178" s="6">
        <v>22.5</v>
      </c>
      <c r="CJ178" t="s">
        <v>137</v>
      </c>
      <c r="CK178" t="s">
        <v>8075</v>
      </c>
      <c r="CL178" t="s">
        <v>10031</v>
      </c>
      <c r="CO178" t="s">
        <v>138</v>
      </c>
      <c r="CP178" t="s">
        <v>134</v>
      </c>
      <c r="CQ178" t="s">
        <v>114</v>
      </c>
      <c r="CR178" t="s">
        <v>114</v>
      </c>
      <c r="CS178" t="s">
        <v>114</v>
      </c>
      <c r="CT178" t="s">
        <v>114</v>
      </c>
      <c r="CU178" t="s">
        <v>114</v>
      </c>
      <c r="CV178" s="2" t="s">
        <v>10032</v>
      </c>
      <c r="CW178" s="5" t="str">
        <f>"+18438428000"</f>
        <v>+18438428000</v>
      </c>
      <c r="CX178" t="s">
        <v>138</v>
      </c>
      <c r="CY178" t="s">
        <v>1913</v>
      </c>
      <c r="CZ178" t="s">
        <v>139</v>
      </c>
      <c r="DA178" t="s">
        <v>134</v>
      </c>
      <c r="DB178" t="s">
        <v>114</v>
      </c>
      <c r="DC178" t="s">
        <v>114</v>
      </c>
      <c r="DD178" t="s">
        <v>134</v>
      </c>
    </row>
    <row r="179" spans="1:108" ht="15" customHeight="1" x14ac:dyDescent="0.25">
      <c r="A179" t="s">
        <v>10826</v>
      </c>
      <c r="B179" t="s">
        <v>165</v>
      </c>
      <c r="C179" s="1">
        <v>44896.003213310185</v>
      </c>
      <c r="D179" s="1">
        <v>44923</v>
      </c>
      <c r="E179" t="s">
        <v>134</v>
      </c>
      <c r="F179" t="s">
        <v>2529</v>
      </c>
      <c r="G179" t="str">
        <f t="shared" ref="G179:G185" si="9">"37-3011.00"</f>
        <v>37-3011.00</v>
      </c>
      <c r="H179" t="s">
        <v>335</v>
      </c>
      <c r="I179">
        <v>11</v>
      </c>
      <c r="J179">
        <v>11</v>
      </c>
      <c r="K179" s="1">
        <v>44986</v>
      </c>
      <c r="L179" s="1">
        <v>45290</v>
      </c>
      <c r="M179" s="1">
        <v>44986</v>
      </c>
      <c r="N179" s="1">
        <v>45290</v>
      </c>
      <c r="O179" t="s">
        <v>117</v>
      </c>
      <c r="P179" t="s">
        <v>10827</v>
      </c>
      <c r="R179" t="s">
        <v>10828</v>
      </c>
      <c r="T179" t="s">
        <v>2018</v>
      </c>
      <c r="U179" t="s">
        <v>1361</v>
      </c>
      <c r="V179" s="4" t="str">
        <f>"39056"</f>
        <v>39056</v>
      </c>
      <c r="W179" t="s">
        <v>120</v>
      </c>
      <c r="Y179" s="5">
        <v>16018139522</v>
      </c>
      <c r="AA179">
        <v>5617</v>
      </c>
      <c r="AB179" t="s">
        <v>10829</v>
      </c>
      <c r="AC179" t="s">
        <v>707</v>
      </c>
      <c r="AE179" t="s">
        <v>700</v>
      </c>
      <c r="AF179" t="s">
        <v>10830</v>
      </c>
      <c r="AH179" t="s">
        <v>2018</v>
      </c>
      <c r="AI179" t="s">
        <v>1361</v>
      </c>
      <c r="AJ179" s="4" t="str">
        <f>"39060"</f>
        <v>39060</v>
      </c>
      <c r="AK179" t="s">
        <v>120</v>
      </c>
      <c r="AM179" s="5">
        <v>16018139522</v>
      </c>
      <c r="AO179" t="s">
        <v>10831</v>
      </c>
      <c r="AP179" t="s">
        <v>256</v>
      </c>
      <c r="AQ179" t="s">
        <v>1615</v>
      </c>
      <c r="AR179" t="s">
        <v>1616</v>
      </c>
      <c r="AT179" t="s">
        <v>1617</v>
      </c>
      <c r="AV179" t="s">
        <v>1618</v>
      </c>
      <c r="AW179" t="s">
        <v>444</v>
      </c>
      <c r="AX179" s="4" t="str">
        <f>"93446"</f>
        <v>93446</v>
      </c>
      <c r="AY179" t="s">
        <v>120</v>
      </c>
      <c r="AZ179" t="s">
        <v>1619</v>
      </c>
      <c r="BA179" s="5">
        <v>13217042589</v>
      </c>
      <c r="BC179" t="s">
        <v>1620</v>
      </c>
      <c r="BD179" t="s">
        <v>1621</v>
      </c>
      <c r="BG179" t="s">
        <v>1361</v>
      </c>
      <c r="BH179" s="1">
        <v>44895.791666666664</v>
      </c>
      <c r="BI179">
        <v>40</v>
      </c>
      <c r="BJ179">
        <v>0</v>
      </c>
      <c r="BK179">
        <v>10</v>
      </c>
      <c r="BL179">
        <v>10</v>
      </c>
      <c r="BM179">
        <v>10</v>
      </c>
      <c r="BN179">
        <v>10</v>
      </c>
      <c r="BO179">
        <v>0</v>
      </c>
      <c r="BP179">
        <v>0</v>
      </c>
      <c r="BQ179" t="str">
        <f>"6:30 AM"</f>
        <v>6:30 AM</v>
      </c>
      <c r="BR179" t="str">
        <f>"5:00 PM"</f>
        <v>5:00 PM</v>
      </c>
      <c r="BS179" t="s">
        <v>133</v>
      </c>
      <c r="BT179">
        <v>0</v>
      </c>
      <c r="BU179">
        <v>3</v>
      </c>
      <c r="BV179" t="s">
        <v>134</v>
      </c>
      <c r="BX179" s="2" t="s">
        <v>10832</v>
      </c>
      <c r="BY179" t="s">
        <v>10833</v>
      </c>
      <c r="CA179" t="s">
        <v>1860</v>
      </c>
      <c r="CB179" t="s">
        <v>1361</v>
      </c>
      <c r="CC179" s="4" t="str">
        <f>"39056"</f>
        <v>39056</v>
      </c>
      <c r="CD179" t="s">
        <v>2674</v>
      </c>
      <c r="CE179" t="s">
        <v>2675</v>
      </c>
      <c r="CF179" s="6">
        <v>13.53</v>
      </c>
      <c r="CG179" s="6">
        <v>13.53</v>
      </c>
      <c r="CH179" s="6">
        <v>20.3</v>
      </c>
      <c r="CI179" s="6">
        <v>20.3</v>
      </c>
      <c r="CJ179" t="s">
        <v>137</v>
      </c>
      <c r="CK179" t="s">
        <v>1623</v>
      </c>
      <c r="CL179" t="s">
        <v>10834</v>
      </c>
      <c r="CO179" t="s">
        <v>138</v>
      </c>
      <c r="CP179" t="s">
        <v>114</v>
      </c>
      <c r="CQ179" t="s">
        <v>114</v>
      </c>
      <c r="CR179" t="s">
        <v>114</v>
      </c>
      <c r="CS179" t="s">
        <v>114</v>
      </c>
      <c r="CT179" t="s">
        <v>114</v>
      </c>
      <c r="CU179" t="s">
        <v>114</v>
      </c>
      <c r="CV179" t="s">
        <v>10835</v>
      </c>
      <c r="CW179" s="5" t="str">
        <f>"+16018139522"</f>
        <v>+16018139522</v>
      </c>
      <c r="CX179" t="s">
        <v>10831</v>
      </c>
      <c r="CY179" t="s">
        <v>138</v>
      </c>
      <c r="CZ179" t="s">
        <v>139</v>
      </c>
      <c r="DA179" t="s">
        <v>134</v>
      </c>
      <c r="DB179" t="s">
        <v>134</v>
      </c>
      <c r="DC179" t="s">
        <v>114</v>
      </c>
      <c r="DD179" t="s">
        <v>134</v>
      </c>
    </row>
    <row r="180" spans="1:108" ht="15" customHeight="1" x14ac:dyDescent="0.25">
      <c r="A180" t="s">
        <v>10015</v>
      </c>
      <c r="B180" t="s">
        <v>165</v>
      </c>
      <c r="C180" s="1">
        <v>44896.001603472221</v>
      </c>
      <c r="D180" s="1">
        <v>44923</v>
      </c>
      <c r="E180" t="s">
        <v>134</v>
      </c>
      <c r="F180" t="s">
        <v>1376</v>
      </c>
      <c r="G180" t="str">
        <f t="shared" si="9"/>
        <v>37-3011.00</v>
      </c>
      <c r="H180" t="s">
        <v>335</v>
      </c>
      <c r="I180">
        <v>5</v>
      </c>
      <c r="J180">
        <v>5</v>
      </c>
      <c r="K180" s="1">
        <v>44986</v>
      </c>
      <c r="L180" s="1">
        <v>45291</v>
      </c>
      <c r="M180" s="1">
        <v>44986</v>
      </c>
      <c r="N180" s="1">
        <v>45291</v>
      </c>
      <c r="O180" t="s">
        <v>199</v>
      </c>
      <c r="P180" t="s">
        <v>3991</v>
      </c>
      <c r="R180" t="s">
        <v>3992</v>
      </c>
      <c r="S180" t="s">
        <v>3993</v>
      </c>
      <c r="T180" t="s">
        <v>3994</v>
      </c>
      <c r="U180" t="s">
        <v>848</v>
      </c>
      <c r="V180" s="4" t="str">
        <f>"11946"</f>
        <v>11946</v>
      </c>
      <c r="W180" t="s">
        <v>120</v>
      </c>
      <c r="Y180" s="5">
        <v>16318714381</v>
      </c>
      <c r="AA180">
        <v>56173</v>
      </c>
      <c r="AB180" t="s">
        <v>3995</v>
      </c>
      <c r="AC180" t="s">
        <v>3996</v>
      </c>
      <c r="AE180" t="s">
        <v>342</v>
      </c>
      <c r="AF180" t="s">
        <v>3992</v>
      </c>
      <c r="AG180" t="s">
        <v>3993</v>
      </c>
      <c r="AH180" t="s">
        <v>3994</v>
      </c>
      <c r="AI180" t="s">
        <v>848</v>
      </c>
      <c r="AJ180" s="4" t="str">
        <f>"11946"</f>
        <v>11946</v>
      </c>
      <c r="AK180" t="s">
        <v>120</v>
      </c>
      <c r="AM180" s="5">
        <v>16318714381</v>
      </c>
      <c r="AO180" t="s">
        <v>138</v>
      </c>
      <c r="AP180" t="s">
        <v>256</v>
      </c>
      <c r="AQ180" t="s">
        <v>1393</v>
      </c>
      <c r="AR180" t="s">
        <v>1394</v>
      </c>
      <c r="AT180" t="s">
        <v>1395</v>
      </c>
      <c r="AV180" t="s">
        <v>1396</v>
      </c>
      <c r="AW180" t="s">
        <v>154</v>
      </c>
      <c r="AX180" s="4" t="str">
        <f>"34957"</f>
        <v>34957</v>
      </c>
      <c r="AY180" t="s">
        <v>120</v>
      </c>
      <c r="BA180" s="5">
        <v>17723344829</v>
      </c>
      <c r="BC180" t="s">
        <v>1397</v>
      </c>
      <c r="BD180" t="s">
        <v>1398</v>
      </c>
      <c r="BG180" t="s">
        <v>848</v>
      </c>
      <c r="BH180" s="1">
        <v>44924.791666666664</v>
      </c>
      <c r="BI180">
        <v>40</v>
      </c>
      <c r="BJ180">
        <v>0</v>
      </c>
      <c r="BK180">
        <v>8</v>
      </c>
      <c r="BL180">
        <v>8</v>
      </c>
      <c r="BM180">
        <v>8</v>
      </c>
      <c r="BN180">
        <v>8</v>
      </c>
      <c r="BO180">
        <v>8</v>
      </c>
      <c r="BP180">
        <v>0</v>
      </c>
      <c r="BQ180" t="str">
        <f>"8:30 AM"</f>
        <v>8:30 AM</v>
      </c>
      <c r="BR180" t="str">
        <f>"4:30 PM"</f>
        <v>4:30 PM</v>
      </c>
      <c r="BS180" t="s">
        <v>133</v>
      </c>
      <c r="BT180">
        <v>0</v>
      </c>
      <c r="BU180">
        <v>0</v>
      </c>
      <c r="BV180" t="s">
        <v>134</v>
      </c>
      <c r="BX180" t="s">
        <v>133</v>
      </c>
      <c r="BY180" t="s">
        <v>3993</v>
      </c>
      <c r="CA180" t="s">
        <v>3994</v>
      </c>
      <c r="CB180" t="s">
        <v>848</v>
      </c>
      <c r="CC180" s="4" t="str">
        <f>"11946"</f>
        <v>11946</v>
      </c>
      <c r="CD180" t="s">
        <v>1227</v>
      </c>
      <c r="CE180" t="s">
        <v>1009</v>
      </c>
      <c r="CF180" s="6">
        <v>19.940000000000001</v>
      </c>
      <c r="CG180" s="6">
        <v>19.940000000000001</v>
      </c>
      <c r="CH180" s="6">
        <v>29.91</v>
      </c>
      <c r="CI180" s="6">
        <v>29.91</v>
      </c>
      <c r="CJ180" t="s">
        <v>137</v>
      </c>
      <c r="CL180" t="s">
        <v>3997</v>
      </c>
      <c r="CO180" t="s">
        <v>138</v>
      </c>
      <c r="CP180" t="s">
        <v>114</v>
      </c>
      <c r="CQ180" t="s">
        <v>114</v>
      </c>
      <c r="CR180" t="s">
        <v>114</v>
      </c>
      <c r="CS180" t="s">
        <v>134</v>
      </c>
      <c r="CT180" t="s">
        <v>114</v>
      </c>
      <c r="CU180" t="s">
        <v>134</v>
      </c>
      <c r="CV180" t="s">
        <v>133</v>
      </c>
      <c r="CW180" s="5" t="str">
        <f>"+16318714381"</f>
        <v>+16318714381</v>
      </c>
      <c r="CX180" t="s">
        <v>138</v>
      </c>
      <c r="CY180" t="s">
        <v>3998</v>
      </c>
      <c r="CZ180" t="s">
        <v>139</v>
      </c>
      <c r="DA180" t="s">
        <v>134</v>
      </c>
      <c r="DB180" t="s">
        <v>134</v>
      </c>
      <c r="DC180" t="s">
        <v>114</v>
      </c>
      <c r="DD180" t="s">
        <v>134</v>
      </c>
    </row>
    <row r="181" spans="1:108" ht="15" customHeight="1" x14ac:dyDescent="0.25">
      <c r="A181" t="s">
        <v>15545</v>
      </c>
      <c r="B181" t="s">
        <v>165</v>
      </c>
      <c r="C181" s="1">
        <v>44896.001256018521</v>
      </c>
      <c r="D181" s="1">
        <v>44923</v>
      </c>
      <c r="E181" t="s">
        <v>134</v>
      </c>
      <c r="F181" t="s">
        <v>1376</v>
      </c>
      <c r="G181" t="str">
        <f t="shared" si="9"/>
        <v>37-3011.00</v>
      </c>
      <c r="H181" t="s">
        <v>335</v>
      </c>
      <c r="I181">
        <v>3</v>
      </c>
      <c r="J181">
        <v>3</v>
      </c>
      <c r="K181" s="1">
        <v>44986</v>
      </c>
      <c r="L181" s="1">
        <v>45275</v>
      </c>
      <c r="M181" s="1">
        <v>44986</v>
      </c>
      <c r="N181" s="1">
        <v>45275</v>
      </c>
      <c r="O181" t="s">
        <v>199</v>
      </c>
      <c r="P181" t="s">
        <v>10933</v>
      </c>
      <c r="R181" t="s">
        <v>10934</v>
      </c>
      <c r="T181" t="s">
        <v>8140</v>
      </c>
      <c r="U181" t="s">
        <v>848</v>
      </c>
      <c r="V181" s="4" t="str">
        <f>"11901"</f>
        <v>11901</v>
      </c>
      <c r="W181" t="s">
        <v>120</v>
      </c>
      <c r="Y181" s="5">
        <v>16319268588</v>
      </c>
      <c r="AA181">
        <v>56173</v>
      </c>
      <c r="AB181" t="s">
        <v>10935</v>
      </c>
      <c r="AC181" t="s">
        <v>4479</v>
      </c>
      <c r="AE181" t="s">
        <v>342</v>
      </c>
      <c r="AF181" t="s">
        <v>10934</v>
      </c>
      <c r="AH181" t="s">
        <v>8140</v>
      </c>
      <c r="AI181" t="s">
        <v>848</v>
      </c>
      <c r="AJ181" s="4" t="str">
        <f>"11901"</f>
        <v>11901</v>
      </c>
      <c r="AK181" t="s">
        <v>120</v>
      </c>
      <c r="AM181" s="5">
        <v>16319268588</v>
      </c>
      <c r="AO181" t="s">
        <v>138</v>
      </c>
      <c r="AP181" t="s">
        <v>256</v>
      </c>
      <c r="AQ181" t="s">
        <v>1393</v>
      </c>
      <c r="AR181" t="s">
        <v>1394</v>
      </c>
      <c r="AT181" t="s">
        <v>1395</v>
      </c>
      <c r="AV181" t="s">
        <v>1396</v>
      </c>
      <c r="AW181" t="s">
        <v>154</v>
      </c>
      <c r="AX181" s="4" t="str">
        <f>"34957"</f>
        <v>34957</v>
      </c>
      <c r="AY181" t="s">
        <v>120</v>
      </c>
      <c r="BA181" s="5">
        <v>17723344829</v>
      </c>
      <c r="BC181" t="s">
        <v>1397</v>
      </c>
      <c r="BD181" t="s">
        <v>1398</v>
      </c>
      <c r="BG181" t="s">
        <v>848</v>
      </c>
      <c r="BH181" s="1">
        <v>44894.791666666664</v>
      </c>
      <c r="BI181">
        <v>40</v>
      </c>
      <c r="BJ181">
        <v>0</v>
      </c>
      <c r="BK181">
        <v>8</v>
      </c>
      <c r="BL181">
        <v>8</v>
      </c>
      <c r="BM181">
        <v>8</v>
      </c>
      <c r="BN181">
        <v>8</v>
      </c>
      <c r="BO181">
        <v>8</v>
      </c>
      <c r="BP181">
        <v>0</v>
      </c>
      <c r="BQ181" t="str">
        <f>"8:00 AM"</f>
        <v>8:00 AM</v>
      </c>
      <c r="BR181" t="str">
        <f>"4:30 PM"</f>
        <v>4:30 PM</v>
      </c>
      <c r="BS181" t="s">
        <v>133</v>
      </c>
      <c r="BT181">
        <v>0</v>
      </c>
      <c r="BU181">
        <v>0</v>
      </c>
      <c r="BV181" t="s">
        <v>134</v>
      </c>
      <c r="BX181" t="s">
        <v>138</v>
      </c>
      <c r="BY181" t="s">
        <v>10936</v>
      </c>
      <c r="CA181" t="s">
        <v>5550</v>
      </c>
      <c r="CB181" t="s">
        <v>848</v>
      </c>
      <c r="CC181" s="4" t="str">
        <f>"11959"</f>
        <v>11959</v>
      </c>
      <c r="CD181" t="s">
        <v>1227</v>
      </c>
      <c r="CE181" t="s">
        <v>1009</v>
      </c>
      <c r="CF181" s="6">
        <v>19.940000000000001</v>
      </c>
      <c r="CG181" s="6">
        <v>19.940000000000001</v>
      </c>
      <c r="CH181" s="6">
        <v>29.91</v>
      </c>
      <c r="CI181" s="6">
        <v>29.91</v>
      </c>
      <c r="CJ181" t="s">
        <v>137</v>
      </c>
      <c r="CL181" t="s">
        <v>15546</v>
      </c>
      <c r="CO181" t="s">
        <v>138</v>
      </c>
      <c r="CP181" t="s">
        <v>114</v>
      </c>
      <c r="CQ181" t="s">
        <v>114</v>
      </c>
      <c r="CR181" t="s">
        <v>114</v>
      </c>
      <c r="CS181" t="s">
        <v>134</v>
      </c>
      <c r="CT181" t="s">
        <v>114</v>
      </c>
      <c r="CU181" t="s">
        <v>134</v>
      </c>
      <c r="CV181" t="s">
        <v>138</v>
      </c>
      <c r="CW181" s="5" t="str">
        <f>"+16319268588"</f>
        <v>+16319268588</v>
      </c>
      <c r="CX181" t="s">
        <v>10937</v>
      </c>
      <c r="CY181" t="s">
        <v>138</v>
      </c>
      <c r="CZ181" t="s">
        <v>139</v>
      </c>
      <c r="DA181" t="s">
        <v>134</v>
      </c>
      <c r="DB181" t="s">
        <v>134</v>
      </c>
      <c r="DC181" t="s">
        <v>114</v>
      </c>
      <c r="DD181" t="s">
        <v>134</v>
      </c>
    </row>
    <row r="182" spans="1:108" ht="15" customHeight="1" x14ac:dyDescent="0.25">
      <c r="A182" t="s">
        <v>14831</v>
      </c>
      <c r="B182" t="s">
        <v>165</v>
      </c>
      <c r="C182" s="1">
        <v>44896.001028240738</v>
      </c>
      <c r="D182" s="1">
        <v>44923</v>
      </c>
      <c r="E182" t="s">
        <v>134</v>
      </c>
      <c r="F182" t="s">
        <v>334</v>
      </c>
      <c r="G182" t="str">
        <f t="shared" si="9"/>
        <v>37-3011.00</v>
      </c>
      <c r="H182" t="s">
        <v>335</v>
      </c>
      <c r="I182">
        <v>75</v>
      </c>
      <c r="J182">
        <v>75</v>
      </c>
      <c r="K182" s="1">
        <v>44986</v>
      </c>
      <c r="L182" s="1">
        <v>45231</v>
      </c>
      <c r="M182" s="1">
        <v>44986</v>
      </c>
      <c r="N182" s="1">
        <v>45231</v>
      </c>
      <c r="O182" t="s">
        <v>117</v>
      </c>
      <c r="P182" t="s">
        <v>14832</v>
      </c>
      <c r="R182" t="s">
        <v>14833</v>
      </c>
      <c r="S182" t="s">
        <v>14834</v>
      </c>
      <c r="T182" t="s">
        <v>4031</v>
      </c>
      <c r="U182" t="s">
        <v>232</v>
      </c>
      <c r="V182" s="4" t="str">
        <f>"75056"</f>
        <v>75056</v>
      </c>
      <c r="W182" t="s">
        <v>120</v>
      </c>
      <c r="Y182" s="5">
        <v>13864376211</v>
      </c>
      <c r="AA182">
        <v>5617</v>
      </c>
      <c r="AB182" t="s">
        <v>942</v>
      </c>
      <c r="AC182" t="s">
        <v>943</v>
      </c>
      <c r="AE182" t="s">
        <v>944</v>
      </c>
      <c r="AF182" t="s">
        <v>14833</v>
      </c>
      <c r="AG182" t="s">
        <v>14834</v>
      </c>
      <c r="AH182" t="s">
        <v>4031</v>
      </c>
      <c r="AI182" t="s">
        <v>232</v>
      </c>
      <c r="AJ182" s="4" t="str">
        <f>"75056"</f>
        <v>75056</v>
      </c>
      <c r="AK182" t="s">
        <v>120</v>
      </c>
      <c r="AM182" s="5">
        <v>13864376211</v>
      </c>
      <c r="AO182" t="s">
        <v>945</v>
      </c>
      <c r="AP182" t="s">
        <v>256</v>
      </c>
      <c r="AQ182" t="s">
        <v>400</v>
      </c>
      <c r="AR182" t="s">
        <v>401</v>
      </c>
      <c r="AS182" t="s">
        <v>397</v>
      </c>
      <c r="AT182" t="s">
        <v>402</v>
      </c>
      <c r="AU182" t="s">
        <v>152</v>
      </c>
      <c r="AV182" t="s">
        <v>403</v>
      </c>
      <c r="AW182" t="s">
        <v>232</v>
      </c>
      <c r="AX182" s="4" t="str">
        <f>"75033"</f>
        <v>75033</v>
      </c>
      <c r="AY182" t="s">
        <v>120</v>
      </c>
      <c r="BA182" s="5">
        <v>19727789690</v>
      </c>
      <c r="BC182" t="s">
        <v>1503</v>
      </c>
      <c r="BD182" t="s">
        <v>405</v>
      </c>
      <c r="BG182" t="s">
        <v>232</v>
      </c>
      <c r="BH182" s="1">
        <v>44895.791666666664</v>
      </c>
      <c r="BI182">
        <v>40</v>
      </c>
      <c r="BJ182">
        <v>0</v>
      </c>
      <c r="BK182">
        <v>8</v>
      </c>
      <c r="BL182">
        <v>8</v>
      </c>
      <c r="BM182">
        <v>8</v>
      </c>
      <c r="BN182">
        <v>8</v>
      </c>
      <c r="BO182">
        <v>8</v>
      </c>
      <c r="BP182">
        <v>0</v>
      </c>
      <c r="BQ182" t="str">
        <f>"6:00 AM"</f>
        <v>6:00 AM</v>
      </c>
      <c r="BR182" t="str">
        <f>"2:45 PM"</f>
        <v>2:45 PM</v>
      </c>
      <c r="BS182" t="s">
        <v>133</v>
      </c>
      <c r="BT182">
        <v>0</v>
      </c>
      <c r="BU182">
        <v>0</v>
      </c>
      <c r="BV182" t="s">
        <v>134</v>
      </c>
      <c r="BX182" s="2" t="s">
        <v>14835</v>
      </c>
      <c r="BY182" t="s">
        <v>14833</v>
      </c>
      <c r="CA182" t="s">
        <v>4031</v>
      </c>
      <c r="CB182" t="s">
        <v>232</v>
      </c>
      <c r="CC182" s="4" t="str">
        <f>"75056"</f>
        <v>75056</v>
      </c>
      <c r="CD182" t="s">
        <v>1482</v>
      </c>
      <c r="CE182" t="s">
        <v>1528</v>
      </c>
      <c r="CF182" s="6">
        <v>16.3</v>
      </c>
      <c r="CG182" s="6">
        <v>16.3</v>
      </c>
      <c r="CH182" s="6">
        <v>24.45</v>
      </c>
      <c r="CI182" s="6">
        <v>24.45</v>
      </c>
      <c r="CJ182" t="s">
        <v>137</v>
      </c>
      <c r="CK182" t="s">
        <v>950</v>
      </c>
      <c r="CL182" t="s">
        <v>14836</v>
      </c>
      <c r="CO182" t="s">
        <v>138</v>
      </c>
      <c r="CP182" t="s">
        <v>114</v>
      </c>
      <c r="CQ182" t="s">
        <v>114</v>
      </c>
      <c r="CR182" t="s">
        <v>114</v>
      </c>
      <c r="CS182" t="s">
        <v>114</v>
      </c>
      <c r="CT182" t="s">
        <v>114</v>
      </c>
      <c r="CU182" t="s">
        <v>134</v>
      </c>
      <c r="CV182" t="s">
        <v>14837</v>
      </c>
      <c r="CW182" s="5" t="str">
        <f>"+13864376211"</f>
        <v>+13864376211</v>
      </c>
      <c r="CX182" t="s">
        <v>138</v>
      </c>
      <c r="CY182" t="s">
        <v>953</v>
      </c>
      <c r="CZ182" t="s">
        <v>139</v>
      </c>
      <c r="DA182" t="s">
        <v>134</v>
      </c>
      <c r="DB182" t="s">
        <v>114</v>
      </c>
      <c r="DC182" t="s">
        <v>114</v>
      </c>
      <c r="DD182" t="s">
        <v>134</v>
      </c>
    </row>
    <row r="183" spans="1:108" ht="15" customHeight="1" x14ac:dyDescent="0.25">
      <c r="A183" t="s">
        <v>16087</v>
      </c>
      <c r="B183" t="s">
        <v>165</v>
      </c>
      <c r="C183" s="1">
        <v>44896.000938310186</v>
      </c>
      <c r="D183" s="1">
        <v>44923</v>
      </c>
      <c r="E183" t="s">
        <v>134</v>
      </c>
      <c r="F183" t="s">
        <v>1376</v>
      </c>
      <c r="G183" t="str">
        <f t="shared" si="9"/>
        <v>37-3011.00</v>
      </c>
      <c r="H183" t="s">
        <v>335</v>
      </c>
      <c r="I183">
        <v>18</v>
      </c>
      <c r="J183">
        <v>18</v>
      </c>
      <c r="K183" s="1">
        <v>44986</v>
      </c>
      <c r="L183" s="1">
        <v>45291</v>
      </c>
      <c r="M183" s="1">
        <v>44986</v>
      </c>
      <c r="N183" s="1">
        <v>45291</v>
      </c>
      <c r="O183" t="s">
        <v>199</v>
      </c>
      <c r="P183" t="s">
        <v>5856</v>
      </c>
      <c r="R183" t="s">
        <v>5857</v>
      </c>
      <c r="T183" t="s">
        <v>5858</v>
      </c>
      <c r="U183" t="s">
        <v>848</v>
      </c>
      <c r="V183" s="4" t="str">
        <f>"11780"</f>
        <v>11780</v>
      </c>
      <c r="W183" t="s">
        <v>120</v>
      </c>
      <c r="Y183" s="5">
        <v>16314735064</v>
      </c>
      <c r="AA183">
        <v>56173</v>
      </c>
      <c r="AB183" t="s">
        <v>5859</v>
      </c>
      <c r="AC183" t="s">
        <v>2715</v>
      </c>
      <c r="AE183" t="s">
        <v>342</v>
      </c>
      <c r="AF183" t="s">
        <v>5857</v>
      </c>
      <c r="AH183" t="s">
        <v>5858</v>
      </c>
      <c r="AI183" t="s">
        <v>848</v>
      </c>
      <c r="AJ183" s="4" t="str">
        <f>"11780"</f>
        <v>11780</v>
      </c>
      <c r="AK183" t="s">
        <v>120</v>
      </c>
      <c r="AM183" s="5">
        <v>16314735064</v>
      </c>
      <c r="AO183" t="s">
        <v>138</v>
      </c>
      <c r="AP183" t="s">
        <v>256</v>
      </c>
      <c r="AQ183" t="s">
        <v>1393</v>
      </c>
      <c r="AR183" t="s">
        <v>1394</v>
      </c>
      <c r="AT183" t="s">
        <v>1395</v>
      </c>
      <c r="AV183" t="s">
        <v>1396</v>
      </c>
      <c r="AW183" t="s">
        <v>154</v>
      </c>
      <c r="AX183" s="4" t="str">
        <f>"34957"</f>
        <v>34957</v>
      </c>
      <c r="AY183" t="s">
        <v>120</v>
      </c>
      <c r="BA183" s="5">
        <v>17723344829</v>
      </c>
      <c r="BC183" t="s">
        <v>1397</v>
      </c>
      <c r="BD183" t="s">
        <v>1398</v>
      </c>
      <c r="BG183" t="s">
        <v>848</v>
      </c>
      <c r="BH183" s="1">
        <v>44894.791666666664</v>
      </c>
      <c r="BI183">
        <v>50</v>
      </c>
      <c r="BJ183">
        <v>0</v>
      </c>
      <c r="BK183">
        <v>9</v>
      </c>
      <c r="BL183">
        <v>9</v>
      </c>
      <c r="BM183">
        <v>9</v>
      </c>
      <c r="BN183">
        <v>9</v>
      </c>
      <c r="BO183">
        <v>9</v>
      </c>
      <c r="BP183">
        <v>5</v>
      </c>
      <c r="BQ183" t="str">
        <f>"7:00 AM"</f>
        <v>7:00 AM</v>
      </c>
      <c r="BR183" t="str">
        <f>"5:00 PM"</f>
        <v>5:00 PM</v>
      </c>
      <c r="BS183" t="s">
        <v>133</v>
      </c>
      <c r="BT183">
        <v>0</v>
      </c>
      <c r="BU183">
        <v>0</v>
      </c>
      <c r="BV183" t="s">
        <v>134</v>
      </c>
      <c r="BX183" t="s">
        <v>133</v>
      </c>
      <c r="BY183" t="s">
        <v>5857</v>
      </c>
      <c r="CA183" t="s">
        <v>5858</v>
      </c>
      <c r="CB183" t="s">
        <v>848</v>
      </c>
      <c r="CC183" s="4" t="str">
        <f>"11780"</f>
        <v>11780</v>
      </c>
      <c r="CD183" t="s">
        <v>1227</v>
      </c>
      <c r="CE183" t="s">
        <v>1009</v>
      </c>
      <c r="CF183" s="6">
        <v>19.940000000000001</v>
      </c>
      <c r="CG183" s="6">
        <v>22</v>
      </c>
      <c r="CH183" s="6">
        <v>29.91</v>
      </c>
      <c r="CI183" s="6">
        <v>33</v>
      </c>
      <c r="CJ183" t="s">
        <v>137</v>
      </c>
      <c r="CL183" t="s">
        <v>5860</v>
      </c>
      <c r="CO183" t="s">
        <v>138</v>
      </c>
      <c r="CP183" t="s">
        <v>114</v>
      </c>
      <c r="CQ183" t="s">
        <v>114</v>
      </c>
      <c r="CR183" t="s">
        <v>114</v>
      </c>
      <c r="CS183" t="s">
        <v>134</v>
      </c>
      <c r="CT183" t="s">
        <v>114</v>
      </c>
      <c r="CU183" t="s">
        <v>134</v>
      </c>
      <c r="CV183" t="s">
        <v>133</v>
      </c>
      <c r="CW183" s="5" t="str">
        <f>"+16314735064"</f>
        <v>+16314735064</v>
      </c>
      <c r="CX183" t="s">
        <v>138</v>
      </c>
      <c r="CY183" t="s">
        <v>5861</v>
      </c>
      <c r="CZ183" t="s">
        <v>139</v>
      </c>
      <c r="DA183" t="s">
        <v>134</v>
      </c>
      <c r="DB183" t="s">
        <v>134</v>
      </c>
      <c r="DC183" t="s">
        <v>114</v>
      </c>
      <c r="DD183" t="s">
        <v>134</v>
      </c>
    </row>
    <row r="184" spans="1:108" ht="15" customHeight="1" x14ac:dyDescent="0.25">
      <c r="A184" t="s">
        <v>16062</v>
      </c>
      <c r="B184" t="s">
        <v>165</v>
      </c>
      <c r="C184" s="1">
        <v>44896.000235763888</v>
      </c>
      <c r="D184" s="1">
        <v>44923</v>
      </c>
      <c r="E184" t="s">
        <v>134</v>
      </c>
      <c r="F184" t="s">
        <v>1376</v>
      </c>
      <c r="G184" t="str">
        <f t="shared" si="9"/>
        <v>37-3011.00</v>
      </c>
      <c r="H184" t="s">
        <v>335</v>
      </c>
      <c r="I184">
        <v>9</v>
      </c>
      <c r="J184">
        <v>9</v>
      </c>
      <c r="K184" s="1">
        <v>44986</v>
      </c>
      <c r="L184" s="1">
        <v>45291</v>
      </c>
      <c r="M184" s="1">
        <v>44986</v>
      </c>
      <c r="N184" s="1">
        <v>45291</v>
      </c>
      <c r="O184" t="s">
        <v>199</v>
      </c>
      <c r="P184" t="s">
        <v>16063</v>
      </c>
      <c r="R184" t="s">
        <v>16064</v>
      </c>
      <c r="S184" t="s">
        <v>16065</v>
      </c>
      <c r="T184" t="s">
        <v>9200</v>
      </c>
      <c r="U184" t="s">
        <v>848</v>
      </c>
      <c r="V184" s="4" t="str">
        <f>"11901"</f>
        <v>11901</v>
      </c>
      <c r="W184" t="s">
        <v>120</v>
      </c>
      <c r="Y184" s="5">
        <v>15169034038</v>
      </c>
      <c r="AA184">
        <v>56173</v>
      </c>
      <c r="AB184" t="s">
        <v>16066</v>
      </c>
      <c r="AC184" t="s">
        <v>2208</v>
      </c>
      <c r="AE184" t="s">
        <v>342</v>
      </c>
      <c r="AF184" t="s">
        <v>16064</v>
      </c>
      <c r="AG184" t="s">
        <v>16065</v>
      </c>
      <c r="AH184" t="s">
        <v>9200</v>
      </c>
      <c r="AI184" t="s">
        <v>848</v>
      </c>
      <c r="AJ184" s="4" t="str">
        <f>"11901"</f>
        <v>11901</v>
      </c>
      <c r="AK184" t="s">
        <v>120</v>
      </c>
      <c r="AM184" s="5">
        <v>15169034038</v>
      </c>
      <c r="AO184" t="s">
        <v>138</v>
      </c>
      <c r="AP184" t="s">
        <v>256</v>
      </c>
      <c r="AQ184" t="s">
        <v>1393</v>
      </c>
      <c r="AR184" t="s">
        <v>1394</v>
      </c>
      <c r="AT184" t="s">
        <v>1395</v>
      </c>
      <c r="AV184" t="s">
        <v>1396</v>
      </c>
      <c r="AW184" t="s">
        <v>154</v>
      </c>
      <c r="AX184" s="4" t="str">
        <f>"34957"</f>
        <v>34957</v>
      </c>
      <c r="AY184" t="s">
        <v>120</v>
      </c>
      <c r="BA184" s="5">
        <v>17723344829</v>
      </c>
      <c r="BC184" t="s">
        <v>1397</v>
      </c>
      <c r="BD184" t="s">
        <v>1398</v>
      </c>
      <c r="BG184" t="s">
        <v>848</v>
      </c>
      <c r="BH184" s="1">
        <v>44894.791666666664</v>
      </c>
      <c r="BI184">
        <v>35</v>
      </c>
      <c r="BJ184">
        <v>0</v>
      </c>
      <c r="BK184">
        <v>7</v>
      </c>
      <c r="BL184">
        <v>7</v>
      </c>
      <c r="BM184">
        <v>7</v>
      </c>
      <c r="BN184">
        <v>7</v>
      </c>
      <c r="BO184">
        <v>7</v>
      </c>
      <c r="BP184">
        <v>0</v>
      </c>
      <c r="BQ184" t="str">
        <f>"7:00 AM"</f>
        <v>7:00 AM</v>
      </c>
      <c r="BR184" t="str">
        <f>"7:00 PM"</f>
        <v>7:00 PM</v>
      </c>
      <c r="BS184" t="s">
        <v>133</v>
      </c>
      <c r="BT184">
        <v>0</v>
      </c>
      <c r="BU184">
        <v>0</v>
      </c>
      <c r="BV184" t="s">
        <v>134</v>
      </c>
      <c r="BX184" t="s">
        <v>133</v>
      </c>
      <c r="BY184" t="s">
        <v>16064</v>
      </c>
      <c r="CA184" t="s">
        <v>9200</v>
      </c>
      <c r="CB184" t="s">
        <v>848</v>
      </c>
      <c r="CC184" s="4" t="str">
        <f>"11901"</f>
        <v>11901</v>
      </c>
      <c r="CD184" t="s">
        <v>1227</v>
      </c>
      <c r="CE184" t="s">
        <v>1009</v>
      </c>
      <c r="CF184" s="6">
        <v>19.940000000000001</v>
      </c>
      <c r="CG184" s="6">
        <v>19.940000000000001</v>
      </c>
      <c r="CH184" s="6">
        <v>29.91</v>
      </c>
      <c r="CI184" s="6">
        <v>29.91</v>
      </c>
      <c r="CJ184" t="s">
        <v>137</v>
      </c>
      <c r="CL184" t="s">
        <v>16067</v>
      </c>
      <c r="CO184" t="s">
        <v>138</v>
      </c>
      <c r="CP184" t="s">
        <v>114</v>
      </c>
      <c r="CQ184" t="s">
        <v>114</v>
      </c>
      <c r="CR184" t="s">
        <v>114</v>
      </c>
      <c r="CS184" t="s">
        <v>134</v>
      </c>
      <c r="CT184" t="s">
        <v>114</v>
      </c>
      <c r="CU184" t="s">
        <v>114</v>
      </c>
      <c r="CV184" t="s">
        <v>16068</v>
      </c>
      <c r="CW184" s="5" t="str">
        <f>"+15169034038"</f>
        <v>+15169034038</v>
      </c>
      <c r="CX184" t="s">
        <v>138</v>
      </c>
      <c r="CY184" t="s">
        <v>16069</v>
      </c>
      <c r="CZ184" t="s">
        <v>139</v>
      </c>
      <c r="DA184" t="s">
        <v>134</v>
      </c>
      <c r="DB184" t="s">
        <v>134</v>
      </c>
      <c r="DC184" t="s">
        <v>114</v>
      </c>
      <c r="DD184" t="s">
        <v>134</v>
      </c>
    </row>
    <row r="185" spans="1:108" ht="15" customHeight="1" x14ac:dyDescent="0.25">
      <c r="A185" t="s">
        <v>3974</v>
      </c>
      <c r="B185" t="s">
        <v>165</v>
      </c>
      <c r="C185" s="1">
        <v>44896.000151157408</v>
      </c>
      <c r="D185" s="1">
        <v>44923</v>
      </c>
      <c r="E185" t="s">
        <v>134</v>
      </c>
      <c r="F185" t="s">
        <v>334</v>
      </c>
      <c r="G185" t="str">
        <f t="shared" si="9"/>
        <v>37-3011.00</v>
      </c>
      <c r="H185" t="s">
        <v>335</v>
      </c>
      <c r="I185">
        <v>100</v>
      </c>
      <c r="J185">
        <v>100</v>
      </c>
      <c r="K185" s="1">
        <v>44986</v>
      </c>
      <c r="L185" s="1">
        <v>45231</v>
      </c>
      <c r="M185" s="1">
        <v>44986</v>
      </c>
      <c r="N185" s="1">
        <v>45231</v>
      </c>
      <c r="O185" t="s">
        <v>117</v>
      </c>
      <c r="P185" t="s">
        <v>938</v>
      </c>
      <c r="R185" t="s">
        <v>3287</v>
      </c>
      <c r="T185" t="s">
        <v>1545</v>
      </c>
      <c r="U185" t="s">
        <v>232</v>
      </c>
      <c r="V185" s="4" t="str">
        <f>"77043"</f>
        <v>77043</v>
      </c>
      <c r="W185" t="s">
        <v>120</v>
      </c>
      <c r="Y185" s="5">
        <v>13864376211</v>
      </c>
      <c r="AA185">
        <v>56173</v>
      </c>
      <c r="AB185" t="s">
        <v>942</v>
      </c>
      <c r="AC185" t="s">
        <v>943</v>
      </c>
      <c r="AE185" t="s">
        <v>944</v>
      </c>
      <c r="AF185" t="s">
        <v>3288</v>
      </c>
      <c r="AH185" t="s">
        <v>1545</v>
      </c>
      <c r="AI185" t="s">
        <v>232</v>
      </c>
      <c r="AJ185" s="4" t="str">
        <f>"77043"</f>
        <v>77043</v>
      </c>
      <c r="AK185" t="s">
        <v>120</v>
      </c>
      <c r="AM185" s="5">
        <v>13864376211</v>
      </c>
      <c r="AO185" t="s">
        <v>945</v>
      </c>
      <c r="AP185" t="s">
        <v>256</v>
      </c>
      <c r="AQ185" t="s">
        <v>400</v>
      </c>
      <c r="AR185" t="s">
        <v>401</v>
      </c>
      <c r="AS185" t="s">
        <v>397</v>
      </c>
      <c r="AT185" t="s">
        <v>402</v>
      </c>
      <c r="AU185" t="s">
        <v>152</v>
      </c>
      <c r="AV185" t="s">
        <v>403</v>
      </c>
      <c r="AW185" t="s">
        <v>232</v>
      </c>
      <c r="AX185" s="4" t="str">
        <f>"75033"</f>
        <v>75033</v>
      </c>
      <c r="AY185" t="s">
        <v>120</v>
      </c>
      <c r="BA185" s="5">
        <v>19727789690</v>
      </c>
      <c r="BC185" t="s">
        <v>1503</v>
      </c>
      <c r="BD185" t="s">
        <v>405</v>
      </c>
      <c r="BG185" t="s">
        <v>232</v>
      </c>
      <c r="BH185" s="1">
        <v>44895.791666666664</v>
      </c>
      <c r="BI185">
        <v>40</v>
      </c>
      <c r="BJ185">
        <v>0</v>
      </c>
      <c r="BK185">
        <v>8</v>
      </c>
      <c r="BL185">
        <v>8</v>
      </c>
      <c r="BM185">
        <v>8</v>
      </c>
      <c r="BN185">
        <v>8</v>
      </c>
      <c r="BO185">
        <v>8</v>
      </c>
      <c r="BP185">
        <v>0</v>
      </c>
      <c r="BQ185" t="str">
        <f>"7:00 AM"</f>
        <v>7:00 AM</v>
      </c>
      <c r="BR185" t="str">
        <f>"4:00 PM"</f>
        <v>4:00 PM</v>
      </c>
      <c r="BS185" t="s">
        <v>133</v>
      </c>
      <c r="BT185">
        <v>0</v>
      </c>
      <c r="BU185">
        <v>0</v>
      </c>
      <c r="BV185" t="s">
        <v>134</v>
      </c>
      <c r="BX185" t="s">
        <v>947</v>
      </c>
      <c r="BY185" t="s">
        <v>3287</v>
      </c>
      <c r="CA185" t="s">
        <v>1545</v>
      </c>
      <c r="CB185" t="s">
        <v>232</v>
      </c>
      <c r="CC185" s="4" t="str">
        <f>"77043"</f>
        <v>77043</v>
      </c>
      <c r="CD185" t="s">
        <v>3290</v>
      </c>
      <c r="CE185" t="s">
        <v>873</v>
      </c>
      <c r="CF185" s="6">
        <v>15.56</v>
      </c>
      <c r="CH185" s="6">
        <v>23.34</v>
      </c>
      <c r="CJ185" t="s">
        <v>137</v>
      </c>
      <c r="CK185" t="s">
        <v>950</v>
      </c>
      <c r="CL185" t="s">
        <v>3291</v>
      </c>
      <c r="CO185" t="s">
        <v>138</v>
      </c>
      <c r="CP185" t="s">
        <v>114</v>
      </c>
      <c r="CQ185" t="s">
        <v>114</v>
      </c>
      <c r="CR185" t="s">
        <v>114</v>
      </c>
      <c r="CS185" t="s">
        <v>114</v>
      </c>
      <c r="CT185" t="s">
        <v>114</v>
      </c>
      <c r="CU185" t="s">
        <v>134</v>
      </c>
      <c r="CV185" s="2" t="s">
        <v>3975</v>
      </c>
      <c r="CW185" s="5" t="str">
        <f>"+13864376211"</f>
        <v>+13864376211</v>
      </c>
      <c r="CX185" t="s">
        <v>138</v>
      </c>
      <c r="CY185" t="s">
        <v>953</v>
      </c>
      <c r="CZ185" t="s">
        <v>139</v>
      </c>
      <c r="DA185" t="s">
        <v>134</v>
      </c>
      <c r="DB185" t="s">
        <v>114</v>
      </c>
      <c r="DC185" t="s">
        <v>114</v>
      </c>
      <c r="DD185" t="s">
        <v>134</v>
      </c>
    </row>
    <row r="186" spans="1:108" ht="15" customHeight="1" x14ac:dyDescent="0.25">
      <c r="A186" t="s">
        <v>16707</v>
      </c>
      <c r="B186" t="s">
        <v>165</v>
      </c>
      <c r="C186" s="1">
        <v>44895.62953784722</v>
      </c>
      <c r="D186" s="1">
        <v>44923</v>
      </c>
      <c r="E186" t="s">
        <v>134</v>
      </c>
      <c r="F186" t="s">
        <v>16708</v>
      </c>
      <c r="G186" t="str">
        <f>"53-4013.00"</f>
        <v>53-4013.00</v>
      </c>
      <c r="H186" t="s">
        <v>16709</v>
      </c>
      <c r="I186">
        <v>10</v>
      </c>
      <c r="J186">
        <v>10</v>
      </c>
      <c r="K186" s="1">
        <v>44970</v>
      </c>
      <c r="L186" s="1">
        <v>45077</v>
      </c>
      <c r="M186" s="1">
        <v>44970</v>
      </c>
      <c r="N186" s="1">
        <v>45077</v>
      </c>
      <c r="O186" t="s">
        <v>117</v>
      </c>
      <c r="P186" t="s">
        <v>5295</v>
      </c>
      <c r="R186" t="s">
        <v>5296</v>
      </c>
      <c r="T186" t="s">
        <v>5297</v>
      </c>
      <c r="U186" t="s">
        <v>1995</v>
      </c>
      <c r="V186" s="4" t="str">
        <f>"58075"</f>
        <v>58075</v>
      </c>
      <c r="W186" t="s">
        <v>120</v>
      </c>
      <c r="Y186" s="5">
        <v>17016717777</v>
      </c>
      <c r="AA186">
        <v>31134</v>
      </c>
      <c r="AB186" t="s">
        <v>5298</v>
      </c>
      <c r="AC186" t="s">
        <v>5299</v>
      </c>
      <c r="AE186" t="s">
        <v>5300</v>
      </c>
      <c r="AF186" t="s">
        <v>5296</v>
      </c>
      <c r="AH186" t="s">
        <v>5297</v>
      </c>
      <c r="AI186" t="s">
        <v>1995</v>
      </c>
      <c r="AJ186" s="4" t="str">
        <f>"58075"</f>
        <v>58075</v>
      </c>
      <c r="AK186" t="s">
        <v>120</v>
      </c>
      <c r="AM186" s="5">
        <v>17016711338</v>
      </c>
      <c r="AO186" t="s">
        <v>5301</v>
      </c>
      <c r="AP186" t="s">
        <v>256</v>
      </c>
      <c r="AQ186" t="s">
        <v>400</v>
      </c>
      <c r="AR186" t="s">
        <v>401</v>
      </c>
      <c r="AS186" t="s">
        <v>397</v>
      </c>
      <c r="AT186" t="s">
        <v>402</v>
      </c>
      <c r="AU186" t="s">
        <v>152</v>
      </c>
      <c r="AV186" t="s">
        <v>403</v>
      </c>
      <c r="AW186" t="s">
        <v>232</v>
      </c>
      <c r="AX186" s="4" t="str">
        <f>"75033"</f>
        <v>75033</v>
      </c>
      <c r="AY186" t="s">
        <v>120</v>
      </c>
      <c r="BA186" s="5">
        <v>19727789690</v>
      </c>
      <c r="BC186" t="s">
        <v>404</v>
      </c>
      <c r="BD186" t="s">
        <v>405</v>
      </c>
      <c r="BG186" t="s">
        <v>1995</v>
      </c>
      <c r="BH186" s="1">
        <v>44894.791666666664</v>
      </c>
      <c r="BI186">
        <v>40</v>
      </c>
      <c r="BJ186">
        <v>8</v>
      </c>
      <c r="BK186">
        <v>0</v>
      </c>
      <c r="BL186">
        <v>8</v>
      </c>
      <c r="BM186">
        <v>8</v>
      </c>
      <c r="BN186">
        <v>8</v>
      </c>
      <c r="BO186">
        <v>8</v>
      </c>
      <c r="BP186">
        <v>0</v>
      </c>
      <c r="BQ186" t="str">
        <f>"8:00 AM"</f>
        <v>8:00 AM</v>
      </c>
      <c r="BR186" t="str">
        <f>"4:00 PM"</f>
        <v>4:00 PM</v>
      </c>
      <c r="BS186" t="s">
        <v>133</v>
      </c>
      <c r="BT186">
        <v>0</v>
      </c>
      <c r="BU186">
        <v>0</v>
      </c>
      <c r="BV186" t="s">
        <v>134</v>
      </c>
      <c r="BX186" s="2" t="s">
        <v>16710</v>
      </c>
      <c r="BY186" t="s">
        <v>5296</v>
      </c>
      <c r="CA186" t="s">
        <v>5297</v>
      </c>
      <c r="CB186" t="s">
        <v>1995</v>
      </c>
      <c r="CC186" s="4" t="str">
        <f>"58075"</f>
        <v>58075</v>
      </c>
      <c r="CD186" t="s">
        <v>1522</v>
      </c>
      <c r="CE186" t="s">
        <v>2275</v>
      </c>
      <c r="CF186" s="6">
        <v>19.02</v>
      </c>
      <c r="CG186" s="6">
        <v>19.02</v>
      </c>
      <c r="CH186" s="6">
        <v>28.53</v>
      </c>
      <c r="CI186" s="6">
        <v>28.53</v>
      </c>
      <c r="CJ186" t="s">
        <v>137</v>
      </c>
      <c r="CK186" t="s">
        <v>950</v>
      </c>
      <c r="CL186" t="s">
        <v>16711</v>
      </c>
      <c r="CO186" t="s">
        <v>138</v>
      </c>
      <c r="CP186" t="s">
        <v>134</v>
      </c>
      <c r="CQ186" t="s">
        <v>114</v>
      </c>
      <c r="CR186" t="s">
        <v>114</v>
      </c>
      <c r="CS186" t="s">
        <v>114</v>
      </c>
      <c r="CT186" t="s">
        <v>114</v>
      </c>
      <c r="CU186" t="s">
        <v>114</v>
      </c>
      <c r="CV186" t="s">
        <v>5304</v>
      </c>
      <c r="CW186" s="5" t="str">
        <f>"+17016717777"</f>
        <v>+17016717777</v>
      </c>
      <c r="CX186" t="s">
        <v>138</v>
      </c>
      <c r="CY186" t="s">
        <v>5305</v>
      </c>
      <c r="CZ186" t="s">
        <v>139</v>
      </c>
      <c r="DA186" t="s">
        <v>134</v>
      </c>
      <c r="DB186" t="s">
        <v>134</v>
      </c>
      <c r="DC186" t="s">
        <v>114</v>
      </c>
      <c r="DD186" t="s">
        <v>134</v>
      </c>
    </row>
    <row r="187" spans="1:108" ht="15" customHeight="1" x14ac:dyDescent="0.25">
      <c r="A187" t="s">
        <v>16752</v>
      </c>
      <c r="B187" t="s">
        <v>165</v>
      </c>
      <c r="C187" s="1">
        <v>44894.742815393518</v>
      </c>
      <c r="D187" s="1">
        <v>44923</v>
      </c>
      <c r="E187" t="s">
        <v>134</v>
      </c>
      <c r="F187" t="s">
        <v>1315</v>
      </c>
      <c r="G187" t="str">
        <f>"39-3091.00"</f>
        <v>39-3091.00</v>
      </c>
      <c r="H187" t="s">
        <v>362</v>
      </c>
      <c r="I187">
        <v>25</v>
      </c>
      <c r="J187">
        <v>25</v>
      </c>
      <c r="K187" s="1">
        <v>44969</v>
      </c>
      <c r="L187" s="1">
        <v>45230</v>
      </c>
      <c r="M187" s="1">
        <v>44969</v>
      </c>
      <c r="N187" s="1">
        <v>45230</v>
      </c>
      <c r="O187" t="s">
        <v>199</v>
      </c>
      <c r="P187" t="s">
        <v>16753</v>
      </c>
      <c r="R187" t="s">
        <v>16754</v>
      </c>
      <c r="T187" t="s">
        <v>16755</v>
      </c>
      <c r="U187" t="s">
        <v>184</v>
      </c>
      <c r="V187" s="4" t="str">
        <f>"62061"</f>
        <v>62061</v>
      </c>
      <c r="W187" t="s">
        <v>120</v>
      </c>
      <c r="Y187" s="5">
        <v>16185419516</v>
      </c>
      <c r="Z187">
        <v>0</v>
      </c>
      <c r="AA187">
        <v>71119</v>
      </c>
      <c r="AB187" t="s">
        <v>4619</v>
      </c>
      <c r="AC187" t="s">
        <v>1469</v>
      </c>
      <c r="AD187" t="s">
        <v>3525</v>
      </c>
      <c r="AE187" t="s">
        <v>342</v>
      </c>
      <c r="AF187" t="s">
        <v>16754</v>
      </c>
      <c r="AH187" t="s">
        <v>16755</v>
      </c>
      <c r="AI187" t="s">
        <v>184</v>
      </c>
      <c r="AJ187" s="4" t="str">
        <f>"62061"</f>
        <v>62061</v>
      </c>
      <c r="AK187" t="s">
        <v>120</v>
      </c>
      <c r="AM187" s="5">
        <v>16185419517</v>
      </c>
      <c r="AN187">
        <v>0</v>
      </c>
      <c r="AO187" t="s">
        <v>16756</v>
      </c>
      <c r="AP187" t="s">
        <v>256</v>
      </c>
      <c r="AQ187" t="s">
        <v>535</v>
      </c>
      <c r="AR187" t="s">
        <v>536</v>
      </c>
      <c r="AS187" t="s">
        <v>537</v>
      </c>
      <c r="AT187" t="s">
        <v>538</v>
      </c>
      <c r="AU187" t="s">
        <v>539</v>
      </c>
      <c r="AV187" t="s">
        <v>540</v>
      </c>
      <c r="AW187" t="s">
        <v>232</v>
      </c>
      <c r="AX187" s="4" t="str">
        <f>"78550"</f>
        <v>78550</v>
      </c>
      <c r="AY187" t="s">
        <v>120</v>
      </c>
      <c r="AZ187" t="s">
        <v>541</v>
      </c>
      <c r="BA187" s="5">
        <v>19564408720</v>
      </c>
      <c r="BB187">
        <v>0</v>
      </c>
      <c r="BC187" t="s">
        <v>542</v>
      </c>
      <c r="BD187" t="s">
        <v>543</v>
      </c>
      <c r="BG187" t="s">
        <v>184</v>
      </c>
      <c r="BH187" s="1">
        <v>44893.791666666664</v>
      </c>
      <c r="BI187">
        <v>40</v>
      </c>
      <c r="BJ187">
        <v>8</v>
      </c>
      <c r="BK187">
        <v>0</v>
      </c>
      <c r="BL187">
        <v>0</v>
      </c>
      <c r="BM187">
        <v>8</v>
      </c>
      <c r="BN187">
        <v>8</v>
      </c>
      <c r="BO187">
        <v>8</v>
      </c>
      <c r="BP187">
        <v>8</v>
      </c>
      <c r="BQ187" t="str">
        <f>"1:00 PM"</f>
        <v>1:00 PM</v>
      </c>
      <c r="BR187" t="str">
        <f>"10:00 PM"</f>
        <v>10:00 PM</v>
      </c>
      <c r="BS187" t="s">
        <v>133</v>
      </c>
      <c r="BT187">
        <v>0</v>
      </c>
      <c r="BU187">
        <v>0</v>
      </c>
      <c r="BV187" t="s">
        <v>134</v>
      </c>
      <c r="BX187" t="s">
        <v>3921</v>
      </c>
      <c r="BY187" t="s">
        <v>16754</v>
      </c>
      <c r="CA187" t="s">
        <v>16755</v>
      </c>
      <c r="CB187" t="s">
        <v>184</v>
      </c>
      <c r="CC187" s="4" t="str">
        <f>"62061"</f>
        <v>62061</v>
      </c>
      <c r="CD187" t="s">
        <v>2258</v>
      </c>
      <c r="CE187" t="s">
        <v>713</v>
      </c>
      <c r="CF187" s="6">
        <v>9.15</v>
      </c>
      <c r="CG187" s="6">
        <v>13.45</v>
      </c>
      <c r="CH187" s="6">
        <v>0</v>
      </c>
      <c r="CI187" s="6">
        <v>0</v>
      </c>
      <c r="CJ187" t="s">
        <v>137</v>
      </c>
      <c r="CK187" t="s">
        <v>1328</v>
      </c>
      <c r="CL187" t="s">
        <v>16757</v>
      </c>
      <c r="CO187" t="s">
        <v>138</v>
      </c>
      <c r="CP187" t="s">
        <v>114</v>
      </c>
      <c r="CQ187" t="s">
        <v>114</v>
      </c>
      <c r="CR187" t="s">
        <v>134</v>
      </c>
      <c r="CS187" t="s">
        <v>114</v>
      </c>
      <c r="CT187" t="s">
        <v>114</v>
      </c>
      <c r="CU187" t="s">
        <v>114</v>
      </c>
      <c r="CV187" t="s">
        <v>1330</v>
      </c>
      <c r="CW187" s="5" t="str">
        <f>"+16185419516"</f>
        <v>+16185419516</v>
      </c>
      <c r="CX187" t="s">
        <v>16756</v>
      </c>
      <c r="CY187" t="s">
        <v>138</v>
      </c>
      <c r="CZ187" t="s">
        <v>139</v>
      </c>
      <c r="DA187" t="s">
        <v>134</v>
      </c>
      <c r="DB187" t="s">
        <v>114</v>
      </c>
      <c r="DC187" t="s">
        <v>114</v>
      </c>
      <c r="DD187" t="s">
        <v>134</v>
      </c>
    </row>
    <row r="188" spans="1:108" ht="15" customHeight="1" x14ac:dyDescent="0.25">
      <c r="A188" t="s">
        <v>14871</v>
      </c>
      <c r="B188" t="s">
        <v>165</v>
      </c>
      <c r="C188" s="1">
        <v>44886.431214236109</v>
      </c>
      <c r="D188" s="1">
        <v>44923</v>
      </c>
      <c r="E188" t="s">
        <v>134</v>
      </c>
      <c r="F188" t="s">
        <v>1344</v>
      </c>
      <c r="G188" t="str">
        <f>"37-3011.00"</f>
        <v>37-3011.00</v>
      </c>
      <c r="H188" t="s">
        <v>335</v>
      </c>
      <c r="I188">
        <v>4</v>
      </c>
      <c r="J188">
        <v>4</v>
      </c>
      <c r="K188" s="1">
        <v>44972</v>
      </c>
      <c r="L188" s="1">
        <v>45229</v>
      </c>
      <c r="M188" s="1">
        <v>44972</v>
      </c>
      <c r="N188" s="1">
        <v>45229</v>
      </c>
      <c r="O188" t="s">
        <v>199</v>
      </c>
      <c r="P188" t="s">
        <v>14872</v>
      </c>
      <c r="R188" t="s">
        <v>14873</v>
      </c>
      <c r="T188" t="s">
        <v>2257</v>
      </c>
      <c r="U188" t="s">
        <v>1750</v>
      </c>
      <c r="V188" s="4" t="str">
        <f>"68701"</f>
        <v>68701</v>
      </c>
      <c r="W188" t="s">
        <v>120</v>
      </c>
      <c r="Y188" s="5">
        <v>14023164272</v>
      </c>
      <c r="AA188">
        <v>5617</v>
      </c>
      <c r="AB188" t="s">
        <v>14874</v>
      </c>
      <c r="AC188" t="s">
        <v>1613</v>
      </c>
      <c r="AE188" t="s">
        <v>700</v>
      </c>
      <c r="AF188" t="s">
        <v>14873</v>
      </c>
      <c r="AH188" t="s">
        <v>2257</v>
      </c>
      <c r="AI188" t="s">
        <v>1750</v>
      </c>
      <c r="AJ188" s="4" t="str">
        <f>"68701"</f>
        <v>68701</v>
      </c>
      <c r="AK188" t="s">
        <v>120</v>
      </c>
      <c r="AM188" s="5">
        <v>14023164272</v>
      </c>
      <c r="AO188" t="s">
        <v>14875</v>
      </c>
      <c r="AP188" t="s">
        <v>122</v>
      </c>
      <c r="AQ188" t="s">
        <v>1250</v>
      </c>
      <c r="AR188" t="s">
        <v>1251</v>
      </c>
      <c r="AS188" t="s">
        <v>259</v>
      </c>
      <c r="AT188" t="s">
        <v>1252</v>
      </c>
      <c r="AV188" t="s">
        <v>1253</v>
      </c>
      <c r="AW188" t="s">
        <v>657</v>
      </c>
      <c r="AX188" s="4" t="str">
        <f>"37110"</f>
        <v>37110</v>
      </c>
      <c r="AY188" t="s">
        <v>120</v>
      </c>
      <c r="BA188" s="5">
        <v>19312747811</v>
      </c>
      <c r="BC188" t="s">
        <v>1254</v>
      </c>
      <c r="BD188" t="s">
        <v>1255</v>
      </c>
      <c r="BE188" t="s">
        <v>657</v>
      </c>
      <c r="BF188" t="s">
        <v>1256</v>
      </c>
      <c r="BG188" t="s">
        <v>1750</v>
      </c>
      <c r="BH188" s="1">
        <v>44909.791666666664</v>
      </c>
      <c r="BI188">
        <v>40</v>
      </c>
      <c r="BJ188">
        <v>0</v>
      </c>
      <c r="BK188">
        <v>8</v>
      </c>
      <c r="BL188">
        <v>8</v>
      </c>
      <c r="BM188">
        <v>8</v>
      </c>
      <c r="BN188">
        <v>8</v>
      </c>
      <c r="BO188">
        <v>8</v>
      </c>
      <c r="BP188">
        <v>0</v>
      </c>
      <c r="BQ188" t="str">
        <f>"7:00 AM"</f>
        <v>7:00 AM</v>
      </c>
      <c r="BR188" t="str">
        <f>"4:00 PM"</f>
        <v>4:00 PM</v>
      </c>
      <c r="BS188" t="s">
        <v>133</v>
      </c>
      <c r="BT188">
        <v>0</v>
      </c>
      <c r="BU188">
        <v>3</v>
      </c>
      <c r="BV188" t="s">
        <v>134</v>
      </c>
      <c r="BX188" s="2" t="s">
        <v>14876</v>
      </c>
      <c r="BY188" t="s">
        <v>14873</v>
      </c>
      <c r="CA188" t="s">
        <v>2257</v>
      </c>
      <c r="CB188" t="s">
        <v>1750</v>
      </c>
      <c r="CC188" s="4" t="str">
        <f>"67801"</f>
        <v>67801</v>
      </c>
      <c r="CD188" t="s">
        <v>14877</v>
      </c>
      <c r="CE188" t="s">
        <v>2259</v>
      </c>
      <c r="CF188" s="6">
        <v>14.69</v>
      </c>
      <c r="CH188" s="6">
        <v>22.04</v>
      </c>
      <c r="CJ188" t="s">
        <v>137</v>
      </c>
      <c r="CL188" t="s">
        <v>14878</v>
      </c>
      <c r="CO188" t="s">
        <v>138</v>
      </c>
      <c r="CP188" t="s">
        <v>114</v>
      </c>
      <c r="CQ188" t="s">
        <v>114</v>
      </c>
      <c r="CR188" t="s">
        <v>114</v>
      </c>
      <c r="CS188" t="s">
        <v>134</v>
      </c>
      <c r="CT188" t="s">
        <v>114</v>
      </c>
      <c r="CU188" t="s">
        <v>134</v>
      </c>
      <c r="CV188" t="s">
        <v>138</v>
      </c>
      <c r="CW188" s="5" t="str">
        <f>"+14023164272"</f>
        <v>+14023164272</v>
      </c>
      <c r="CX188" t="s">
        <v>14879</v>
      </c>
      <c r="CY188" t="s">
        <v>138</v>
      </c>
      <c r="CZ188" t="s">
        <v>139</v>
      </c>
      <c r="DA188" t="s">
        <v>134</v>
      </c>
      <c r="DB188" t="s">
        <v>134</v>
      </c>
      <c r="DC188" t="s">
        <v>114</v>
      </c>
      <c r="DD188" t="s">
        <v>134</v>
      </c>
    </row>
    <row r="189" spans="1:108" ht="15" customHeight="1" x14ac:dyDescent="0.25">
      <c r="A189" t="s">
        <v>2959</v>
      </c>
      <c r="B189" t="s">
        <v>165</v>
      </c>
      <c r="C189" s="1">
        <v>44886.424508912038</v>
      </c>
      <c r="D189" s="1">
        <v>44923</v>
      </c>
      <c r="E189" t="s">
        <v>134</v>
      </c>
      <c r="F189" t="s">
        <v>1296</v>
      </c>
      <c r="G189" t="str">
        <f>"37-3011.00"</f>
        <v>37-3011.00</v>
      </c>
      <c r="H189" t="s">
        <v>335</v>
      </c>
      <c r="I189">
        <v>10</v>
      </c>
      <c r="J189">
        <v>10</v>
      </c>
      <c r="K189" s="1">
        <v>44972</v>
      </c>
      <c r="L189" s="1">
        <v>45275</v>
      </c>
      <c r="M189" s="1">
        <v>44972</v>
      </c>
      <c r="N189" s="1">
        <v>45275</v>
      </c>
      <c r="O189" t="s">
        <v>199</v>
      </c>
      <c r="P189" t="s">
        <v>2960</v>
      </c>
      <c r="R189" t="s">
        <v>2961</v>
      </c>
      <c r="T189" t="s">
        <v>1833</v>
      </c>
      <c r="U189" t="s">
        <v>748</v>
      </c>
      <c r="V189" s="4" t="str">
        <f>"15108"</f>
        <v>15108</v>
      </c>
      <c r="W189" t="s">
        <v>120</v>
      </c>
      <c r="Y189" s="5">
        <v>14123312520</v>
      </c>
      <c r="AA189">
        <v>56173</v>
      </c>
      <c r="AB189" t="s">
        <v>2962</v>
      </c>
      <c r="AC189" t="s">
        <v>1659</v>
      </c>
      <c r="AD189" t="s">
        <v>1458</v>
      </c>
      <c r="AE189" t="s">
        <v>2963</v>
      </c>
      <c r="AF189" t="s">
        <v>2961</v>
      </c>
      <c r="AH189" t="s">
        <v>1833</v>
      </c>
      <c r="AI189" t="s">
        <v>748</v>
      </c>
      <c r="AJ189" s="4" t="str">
        <f>"15108"</f>
        <v>15108</v>
      </c>
      <c r="AK189" t="s">
        <v>120</v>
      </c>
      <c r="AM189" s="5">
        <v>14123312520</v>
      </c>
      <c r="AO189" t="s">
        <v>2964</v>
      </c>
      <c r="AP189" t="s">
        <v>256</v>
      </c>
      <c r="AQ189" t="s">
        <v>1731</v>
      </c>
      <c r="AR189" t="s">
        <v>1732</v>
      </c>
      <c r="AS189" t="s">
        <v>1733</v>
      </c>
      <c r="AT189" t="s">
        <v>1734</v>
      </c>
      <c r="AU189" t="s">
        <v>1735</v>
      </c>
      <c r="AV189" t="s">
        <v>1736</v>
      </c>
      <c r="AW189" t="s">
        <v>479</v>
      </c>
      <c r="AX189" s="4" t="str">
        <f>"24521"</f>
        <v>24521</v>
      </c>
      <c r="AY189" t="s">
        <v>120</v>
      </c>
      <c r="AZ189" t="s">
        <v>2965</v>
      </c>
      <c r="BA189" s="5">
        <v>14349460035</v>
      </c>
      <c r="BB189">
        <v>11</v>
      </c>
      <c r="BC189" t="s">
        <v>1737</v>
      </c>
      <c r="BD189" t="s">
        <v>1738</v>
      </c>
      <c r="BG189" t="s">
        <v>748</v>
      </c>
      <c r="BH189" s="1">
        <v>44880.791666666664</v>
      </c>
      <c r="BI189">
        <v>45</v>
      </c>
      <c r="BJ189">
        <v>0</v>
      </c>
      <c r="BK189">
        <v>8</v>
      </c>
      <c r="BL189">
        <v>8</v>
      </c>
      <c r="BM189">
        <v>8</v>
      </c>
      <c r="BN189">
        <v>8</v>
      </c>
      <c r="BO189">
        <v>8</v>
      </c>
      <c r="BP189">
        <v>5</v>
      </c>
      <c r="BQ189" t="str">
        <f>"8:30 AM"</f>
        <v>8:30 AM</v>
      </c>
      <c r="BR189" t="str">
        <f>"4:30 PM"</f>
        <v>4:30 PM</v>
      </c>
      <c r="BS189" t="s">
        <v>133</v>
      </c>
      <c r="BT189">
        <v>0</v>
      </c>
      <c r="BU189">
        <v>0</v>
      </c>
      <c r="BV189" t="s">
        <v>134</v>
      </c>
      <c r="BX189" s="2" t="s">
        <v>2966</v>
      </c>
      <c r="BY189" t="s">
        <v>2961</v>
      </c>
      <c r="CA189" t="s">
        <v>1833</v>
      </c>
      <c r="CB189" t="s">
        <v>748</v>
      </c>
      <c r="CC189" s="4" t="str">
        <f>"15108"</f>
        <v>15108</v>
      </c>
      <c r="CD189" t="s">
        <v>1475</v>
      </c>
      <c r="CE189" t="s">
        <v>1346</v>
      </c>
      <c r="CF189" s="6">
        <v>15.95</v>
      </c>
      <c r="CG189" s="6">
        <v>15.95</v>
      </c>
      <c r="CH189" s="6">
        <v>23.93</v>
      </c>
      <c r="CI189" s="6">
        <v>23.93</v>
      </c>
      <c r="CJ189" t="s">
        <v>137</v>
      </c>
      <c r="CK189" t="s">
        <v>2162</v>
      </c>
      <c r="CL189" t="s">
        <v>2967</v>
      </c>
      <c r="CO189" t="s">
        <v>138</v>
      </c>
      <c r="CP189" t="s">
        <v>114</v>
      </c>
      <c r="CQ189" t="s">
        <v>114</v>
      </c>
      <c r="CR189" t="s">
        <v>114</v>
      </c>
      <c r="CS189" t="s">
        <v>134</v>
      </c>
      <c r="CT189" t="s">
        <v>114</v>
      </c>
      <c r="CU189" t="s">
        <v>114</v>
      </c>
      <c r="CV189" t="s">
        <v>2968</v>
      </c>
      <c r="CW189" s="5" t="str">
        <f>"+14123312520"</f>
        <v>+14123312520</v>
      </c>
      <c r="CX189" t="s">
        <v>2964</v>
      </c>
      <c r="CY189" t="s">
        <v>138</v>
      </c>
      <c r="CZ189" t="s">
        <v>139</v>
      </c>
      <c r="DA189" t="s">
        <v>134</v>
      </c>
      <c r="DB189" t="s">
        <v>114</v>
      </c>
      <c r="DC189" t="s">
        <v>114</v>
      </c>
      <c r="DD189" t="s">
        <v>134</v>
      </c>
    </row>
    <row r="190" spans="1:108" ht="15" customHeight="1" x14ac:dyDescent="0.25">
      <c r="A190" t="s">
        <v>14091</v>
      </c>
      <c r="B190" t="s">
        <v>165</v>
      </c>
      <c r="C190" s="1">
        <v>44883.421962615743</v>
      </c>
      <c r="D190" s="1">
        <v>44923</v>
      </c>
      <c r="E190" t="s">
        <v>134</v>
      </c>
      <c r="F190" t="s">
        <v>1034</v>
      </c>
      <c r="G190" t="str">
        <f>"37-3011.00"</f>
        <v>37-3011.00</v>
      </c>
      <c r="H190" t="s">
        <v>335</v>
      </c>
      <c r="I190">
        <v>10</v>
      </c>
      <c r="J190">
        <v>10</v>
      </c>
      <c r="K190" s="1">
        <v>44972</v>
      </c>
      <c r="L190" s="1">
        <v>45275</v>
      </c>
      <c r="M190" s="1">
        <v>44972</v>
      </c>
      <c r="N190" s="1">
        <v>45275</v>
      </c>
      <c r="O190" t="s">
        <v>199</v>
      </c>
      <c r="P190" t="s">
        <v>14092</v>
      </c>
      <c r="R190" t="s">
        <v>14093</v>
      </c>
      <c r="S190" t="s">
        <v>14094</v>
      </c>
      <c r="T190" t="s">
        <v>14095</v>
      </c>
      <c r="U190" t="s">
        <v>119</v>
      </c>
      <c r="V190" s="4" t="str">
        <f>"28120"</f>
        <v>28120</v>
      </c>
      <c r="W190" t="s">
        <v>120</v>
      </c>
      <c r="Y190" s="5">
        <v>17048203022</v>
      </c>
      <c r="AA190">
        <v>5617</v>
      </c>
      <c r="AB190" t="s">
        <v>14096</v>
      </c>
      <c r="AC190" t="s">
        <v>146</v>
      </c>
      <c r="AD190" t="s">
        <v>4253</v>
      </c>
      <c r="AE190" t="s">
        <v>1835</v>
      </c>
      <c r="AF190" t="s">
        <v>14093</v>
      </c>
      <c r="AG190" t="s">
        <v>14094</v>
      </c>
      <c r="AH190" t="s">
        <v>14095</v>
      </c>
      <c r="AI190" t="s">
        <v>119</v>
      </c>
      <c r="AJ190" s="4" t="str">
        <f>"28120"</f>
        <v>28120</v>
      </c>
      <c r="AK190" t="s">
        <v>120</v>
      </c>
      <c r="AM190" s="5">
        <v>17048203022</v>
      </c>
      <c r="AO190" t="s">
        <v>14097</v>
      </c>
      <c r="AP190" t="s">
        <v>256</v>
      </c>
      <c r="AQ190" t="s">
        <v>1731</v>
      </c>
      <c r="AR190" t="s">
        <v>1732</v>
      </c>
      <c r="AS190" t="s">
        <v>1733</v>
      </c>
      <c r="AT190" t="s">
        <v>1734</v>
      </c>
      <c r="AU190" t="s">
        <v>1735</v>
      </c>
      <c r="AV190" t="s">
        <v>1736</v>
      </c>
      <c r="AW190" t="s">
        <v>479</v>
      </c>
      <c r="AX190" s="4" t="str">
        <f>"24521"</f>
        <v>24521</v>
      </c>
      <c r="AY190" t="s">
        <v>120</v>
      </c>
      <c r="BA190" s="5">
        <v>14349460035</v>
      </c>
      <c r="BB190">
        <v>11</v>
      </c>
      <c r="BC190" t="s">
        <v>1737</v>
      </c>
      <c r="BD190" t="s">
        <v>1738</v>
      </c>
      <c r="BG190" t="s">
        <v>119</v>
      </c>
      <c r="BH190" s="1">
        <v>44882.791666666664</v>
      </c>
      <c r="BI190">
        <v>40</v>
      </c>
      <c r="BJ190">
        <v>0</v>
      </c>
      <c r="BK190">
        <v>8</v>
      </c>
      <c r="BL190">
        <v>8</v>
      </c>
      <c r="BM190">
        <v>8</v>
      </c>
      <c r="BN190">
        <v>8</v>
      </c>
      <c r="BO190">
        <v>8</v>
      </c>
      <c r="BP190">
        <v>0</v>
      </c>
      <c r="BQ190" t="str">
        <f>"6:30 AM"</f>
        <v>6:30 AM</v>
      </c>
      <c r="BR190" t="str">
        <f>"3:00 PM"</f>
        <v>3:00 PM</v>
      </c>
      <c r="BS190" t="s">
        <v>133</v>
      </c>
      <c r="BT190">
        <v>0</v>
      </c>
      <c r="BU190">
        <v>0</v>
      </c>
      <c r="BV190" t="s">
        <v>134</v>
      </c>
      <c r="BX190" s="2" t="s">
        <v>14098</v>
      </c>
      <c r="BY190" t="s">
        <v>14099</v>
      </c>
      <c r="CA190" t="s">
        <v>14095</v>
      </c>
      <c r="CB190" t="s">
        <v>119</v>
      </c>
      <c r="CC190" s="4" t="str">
        <f>"28120"</f>
        <v>28120</v>
      </c>
      <c r="CD190" t="s">
        <v>3456</v>
      </c>
      <c r="CE190" t="s">
        <v>1404</v>
      </c>
      <c r="CF190" s="6">
        <v>16.5</v>
      </c>
      <c r="CG190" s="6">
        <v>16.5</v>
      </c>
      <c r="CH190" s="6">
        <v>24.75</v>
      </c>
      <c r="CI190" s="6">
        <v>24.75</v>
      </c>
      <c r="CJ190" t="s">
        <v>137</v>
      </c>
      <c r="CK190" t="s">
        <v>2162</v>
      </c>
      <c r="CL190" t="s">
        <v>14100</v>
      </c>
      <c r="CO190" t="s">
        <v>138</v>
      </c>
      <c r="CP190" t="s">
        <v>114</v>
      </c>
      <c r="CQ190" t="s">
        <v>114</v>
      </c>
      <c r="CR190" t="s">
        <v>114</v>
      </c>
      <c r="CS190" t="s">
        <v>134</v>
      </c>
      <c r="CT190" t="s">
        <v>114</v>
      </c>
      <c r="CU190" t="s">
        <v>134</v>
      </c>
      <c r="CV190" t="s">
        <v>14101</v>
      </c>
      <c r="CW190" s="5" t="str">
        <f>"+17048203022"</f>
        <v>+17048203022</v>
      </c>
      <c r="CX190" t="s">
        <v>14097</v>
      </c>
      <c r="CY190" t="s">
        <v>138</v>
      </c>
      <c r="CZ190" t="s">
        <v>139</v>
      </c>
      <c r="DA190" t="s">
        <v>134</v>
      </c>
      <c r="DB190" t="s">
        <v>114</v>
      </c>
      <c r="DC190" t="s">
        <v>114</v>
      </c>
      <c r="DD190" t="s">
        <v>134</v>
      </c>
    </row>
    <row r="191" spans="1:108" ht="15" customHeight="1" x14ac:dyDescent="0.25">
      <c r="A191" t="s">
        <v>13355</v>
      </c>
      <c r="B191" t="s">
        <v>165</v>
      </c>
      <c r="C191" s="1">
        <v>44880.831632175927</v>
      </c>
      <c r="D191" s="1">
        <v>44923</v>
      </c>
      <c r="E191" t="s">
        <v>134</v>
      </c>
      <c r="F191" t="s">
        <v>1296</v>
      </c>
      <c r="G191" t="str">
        <f>"37-3011.00"</f>
        <v>37-3011.00</v>
      </c>
      <c r="H191" t="s">
        <v>335</v>
      </c>
      <c r="I191">
        <v>10</v>
      </c>
      <c r="J191">
        <v>10</v>
      </c>
      <c r="K191" s="1">
        <v>44958</v>
      </c>
      <c r="L191" s="1">
        <v>45260</v>
      </c>
      <c r="M191" s="1">
        <v>44958</v>
      </c>
      <c r="N191" s="1">
        <v>45260</v>
      </c>
      <c r="O191" t="s">
        <v>199</v>
      </c>
      <c r="P191" t="s">
        <v>13356</v>
      </c>
      <c r="R191" t="s">
        <v>13357</v>
      </c>
      <c r="T191" t="s">
        <v>4597</v>
      </c>
      <c r="U191" t="s">
        <v>748</v>
      </c>
      <c r="V191" s="4" t="str">
        <f>"19352"</f>
        <v>19352</v>
      </c>
      <c r="W191" t="s">
        <v>120</v>
      </c>
      <c r="Y191" s="5">
        <v>16109969000</v>
      </c>
      <c r="AA191">
        <v>56173</v>
      </c>
      <c r="AB191" t="s">
        <v>1578</v>
      </c>
      <c r="AC191" t="s">
        <v>1973</v>
      </c>
      <c r="AE191" t="s">
        <v>342</v>
      </c>
      <c r="AF191" t="s">
        <v>13358</v>
      </c>
      <c r="AH191" t="s">
        <v>4597</v>
      </c>
      <c r="AI191" t="s">
        <v>748</v>
      </c>
      <c r="AJ191" s="4" t="str">
        <f>"19352"</f>
        <v>19352</v>
      </c>
      <c r="AK191" t="s">
        <v>120</v>
      </c>
      <c r="AM191" s="5">
        <v>16109969000</v>
      </c>
      <c r="AO191" t="s">
        <v>13359</v>
      </c>
      <c r="AP191" t="s">
        <v>122</v>
      </c>
      <c r="AQ191" t="s">
        <v>1303</v>
      </c>
      <c r="AR191" t="s">
        <v>1304</v>
      </c>
      <c r="AS191" t="s">
        <v>532</v>
      </c>
      <c r="AT191" t="s">
        <v>1305</v>
      </c>
      <c r="AV191" t="s">
        <v>1306</v>
      </c>
      <c r="AW191" t="s">
        <v>748</v>
      </c>
      <c r="AX191" s="4" t="str">
        <f>"19063"</f>
        <v>19063</v>
      </c>
      <c r="AY191" t="s">
        <v>120</v>
      </c>
      <c r="BA191" s="5">
        <v>16103585976</v>
      </c>
      <c r="BC191" t="s">
        <v>1307</v>
      </c>
      <c r="BD191" t="s">
        <v>1308</v>
      </c>
      <c r="BE191" t="s">
        <v>748</v>
      </c>
      <c r="BF191" t="s">
        <v>1309</v>
      </c>
      <c r="BG191" t="s">
        <v>748</v>
      </c>
      <c r="BH191" s="1">
        <v>44879.791666666664</v>
      </c>
      <c r="BI191">
        <v>50</v>
      </c>
      <c r="BJ191">
        <v>0</v>
      </c>
      <c r="BK191">
        <v>8</v>
      </c>
      <c r="BL191">
        <v>8</v>
      </c>
      <c r="BM191">
        <v>8</v>
      </c>
      <c r="BN191">
        <v>8</v>
      </c>
      <c r="BO191">
        <v>8</v>
      </c>
      <c r="BP191">
        <v>10</v>
      </c>
      <c r="BQ191" t="str">
        <f>"7:00 AM"</f>
        <v>7:00 AM</v>
      </c>
      <c r="BR191" t="str">
        <f>"3:30 PM"</f>
        <v>3:30 PM</v>
      </c>
      <c r="BS191" t="s">
        <v>133</v>
      </c>
      <c r="BT191">
        <v>0</v>
      </c>
      <c r="BU191">
        <v>0</v>
      </c>
      <c r="BV191" t="s">
        <v>134</v>
      </c>
      <c r="BX191" s="2" t="s">
        <v>1310</v>
      </c>
      <c r="BY191" t="s">
        <v>13357</v>
      </c>
      <c r="CA191" t="s">
        <v>4597</v>
      </c>
      <c r="CB191" t="s">
        <v>748</v>
      </c>
      <c r="CC191" s="4" t="str">
        <f>"19352"</f>
        <v>19352</v>
      </c>
      <c r="CD191" t="s">
        <v>1265</v>
      </c>
      <c r="CE191" t="s">
        <v>1266</v>
      </c>
      <c r="CF191" s="6">
        <v>17.82</v>
      </c>
      <c r="CG191" s="6">
        <v>17.82</v>
      </c>
      <c r="CH191" s="6">
        <v>26.73</v>
      </c>
      <c r="CI191" s="6">
        <v>26.73</v>
      </c>
      <c r="CJ191" t="s">
        <v>137</v>
      </c>
      <c r="CL191" t="s">
        <v>13360</v>
      </c>
      <c r="CO191" t="s">
        <v>138</v>
      </c>
      <c r="CP191" t="s">
        <v>114</v>
      </c>
      <c r="CQ191" t="s">
        <v>114</v>
      </c>
      <c r="CR191" t="s">
        <v>114</v>
      </c>
      <c r="CS191" t="s">
        <v>114</v>
      </c>
      <c r="CT191" t="s">
        <v>114</v>
      </c>
      <c r="CU191" t="s">
        <v>134</v>
      </c>
      <c r="CV191" t="s">
        <v>1313</v>
      </c>
      <c r="CW191" s="5" t="str">
        <f>"+16103459000"</f>
        <v>+16103459000</v>
      </c>
      <c r="CX191" t="s">
        <v>13359</v>
      </c>
      <c r="CY191" t="s">
        <v>138</v>
      </c>
      <c r="CZ191" t="s">
        <v>139</v>
      </c>
      <c r="DA191" t="s">
        <v>134</v>
      </c>
      <c r="DB191" t="s">
        <v>134</v>
      </c>
      <c r="DC191" t="s">
        <v>114</v>
      </c>
      <c r="DD191" t="s">
        <v>134</v>
      </c>
    </row>
    <row r="192" spans="1:108" ht="15" customHeight="1" x14ac:dyDescent="0.25">
      <c r="A192" t="s">
        <v>9065</v>
      </c>
      <c r="B192" t="s">
        <v>165</v>
      </c>
      <c r="C192" s="1">
        <v>44877.032614351854</v>
      </c>
      <c r="D192" s="1">
        <v>44923</v>
      </c>
      <c r="E192" t="s">
        <v>134</v>
      </c>
      <c r="F192" t="s">
        <v>361</v>
      </c>
      <c r="G192" t="str">
        <f>"35-3023.00"</f>
        <v>35-3023.00</v>
      </c>
      <c r="H192" t="s">
        <v>555</v>
      </c>
      <c r="I192">
        <v>8</v>
      </c>
      <c r="J192">
        <v>8</v>
      </c>
      <c r="K192" s="1">
        <v>44967</v>
      </c>
      <c r="L192" s="1">
        <v>45221</v>
      </c>
      <c r="M192" s="1">
        <v>44967</v>
      </c>
      <c r="N192" s="1">
        <v>45221</v>
      </c>
      <c r="O192" t="s">
        <v>199</v>
      </c>
      <c r="P192" t="s">
        <v>9066</v>
      </c>
      <c r="Q192" t="s">
        <v>9067</v>
      </c>
      <c r="R192" t="s">
        <v>9068</v>
      </c>
      <c r="S192" t="s">
        <v>9069</v>
      </c>
      <c r="T192" t="s">
        <v>1638</v>
      </c>
      <c r="U192" t="s">
        <v>232</v>
      </c>
      <c r="V192" s="4" t="str">
        <f>"75638"</f>
        <v>75638</v>
      </c>
      <c r="W192" t="s">
        <v>120</v>
      </c>
      <c r="Y192" s="5">
        <v>19034452499</v>
      </c>
      <c r="AA192">
        <v>7139</v>
      </c>
      <c r="AB192" t="s">
        <v>2892</v>
      </c>
      <c r="AC192" t="s">
        <v>4057</v>
      </c>
      <c r="AE192" t="s">
        <v>424</v>
      </c>
      <c r="AF192" t="s">
        <v>9068</v>
      </c>
      <c r="AG192" t="s">
        <v>9070</v>
      </c>
      <c r="AH192" t="s">
        <v>1638</v>
      </c>
      <c r="AI192" t="s">
        <v>232</v>
      </c>
      <c r="AJ192" s="4" t="str">
        <f>"75638"</f>
        <v>75638</v>
      </c>
      <c r="AK192" t="s">
        <v>120</v>
      </c>
      <c r="AM192" s="5">
        <v>19034452499</v>
      </c>
      <c r="AO192" t="s">
        <v>9071</v>
      </c>
      <c r="AP192" t="s">
        <v>256</v>
      </c>
      <c r="AQ192" t="s">
        <v>400</v>
      </c>
      <c r="AR192" t="s">
        <v>401</v>
      </c>
      <c r="AS192" t="s">
        <v>397</v>
      </c>
      <c r="AT192" t="s">
        <v>402</v>
      </c>
      <c r="AU192" t="s">
        <v>152</v>
      </c>
      <c r="AV192" t="s">
        <v>403</v>
      </c>
      <c r="AW192" t="s">
        <v>232</v>
      </c>
      <c r="AX192" s="4" t="str">
        <f>"75033"</f>
        <v>75033</v>
      </c>
      <c r="AY192" t="s">
        <v>120</v>
      </c>
      <c r="BA192" s="5">
        <v>19727789690</v>
      </c>
      <c r="BC192" t="s">
        <v>404</v>
      </c>
      <c r="BD192" t="s">
        <v>405</v>
      </c>
      <c r="BG192" t="s">
        <v>232</v>
      </c>
      <c r="BH192" s="1">
        <v>44876.791666666664</v>
      </c>
      <c r="BI192">
        <v>48</v>
      </c>
      <c r="BJ192">
        <v>8</v>
      </c>
      <c r="BK192">
        <v>0</v>
      </c>
      <c r="BL192">
        <v>8</v>
      </c>
      <c r="BM192">
        <v>8</v>
      </c>
      <c r="BN192">
        <v>8</v>
      </c>
      <c r="BO192">
        <v>8</v>
      </c>
      <c r="BP192">
        <v>8</v>
      </c>
      <c r="BQ192" t="str">
        <f>"10:00 AM"</f>
        <v>10:00 AM</v>
      </c>
      <c r="BR192" t="str">
        <f>"7:00 PM"</f>
        <v>7:00 PM</v>
      </c>
      <c r="BS192" t="s">
        <v>133</v>
      </c>
      <c r="BT192">
        <v>0</v>
      </c>
      <c r="BU192">
        <v>0</v>
      </c>
      <c r="BV192" t="s">
        <v>134</v>
      </c>
      <c r="BX192" s="2" t="s">
        <v>9072</v>
      </c>
      <c r="BY192" t="s">
        <v>9068</v>
      </c>
      <c r="CA192" t="s">
        <v>1638</v>
      </c>
      <c r="CB192" t="s">
        <v>232</v>
      </c>
      <c r="CC192" s="4" t="str">
        <f>"75638"</f>
        <v>75638</v>
      </c>
      <c r="CD192" t="s">
        <v>1084</v>
      </c>
      <c r="CE192" t="s">
        <v>1085</v>
      </c>
      <c r="CF192" s="6">
        <v>9.59</v>
      </c>
      <c r="CG192" s="6">
        <v>13.99</v>
      </c>
      <c r="CH192" s="6">
        <v>14.39</v>
      </c>
      <c r="CI192" s="6">
        <v>20.99</v>
      </c>
      <c r="CJ192" t="s">
        <v>137</v>
      </c>
      <c r="CK192" t="s">
        <v>593</v>
      </c>
      <c r="CL192" t="s">
        <v>9073</v>
      </c>
      <c r="CO192" t="s">
        <v>138</v>
      </c>
      <c r="CP192" t="s">
        <v>114</v>
      </c>
      <c r="CQ192" t="s">
        <v>114</v>
      </c>
      <c r="CR192" t="s">
        <v>114</v>
      </c>
      <c r="CS192" t="s">
        <v>114</v>
      </c>
      <c r="CT192" t="s">
        <v>114</v>
      </c>
      <c r="CU192" t="s">
        <v>114</v>
      </c>
      <c r="CV192" t="s">
        <v>5101</v>
      </c>
      <c r="CW192" s="5" t="str">
        <f>"+19034452499"</f>
        <v>+19034452499</v>
      </c>
      <c r="CX192" t="s">
        <v>138</v>
      </c>
      <c r="CY192" t="s">
        <v>953</v>
      </c>
      <c r="CZ192" t="s">
        <v>139</v>
      </c>
      <c r="DA192" t="s">
        <v>134</v>
      </c>
      <c r="DB192" t="s">
        <v>114</v>
      </c>
      <c r="DC192" t="s">
        <v>114</v>
      </c>
      <c r="DD192" t="s">
        <v>134</v>
      </c>
    </row>
    <row r="193" spans="1:113" ht="15" customHeight="1" x14ac:dyDescent="0.25">
      <c r="A193" t="s">
        <v>12492</v>
      </c>
      <c r="B193" t="s">
        <v>165</v>
      </c>
      <c r="C193" s="1">
        <v>44896.802064120369</v>
      </c>
      <c r="D193" s="1">
        <v>44922</v>
      </c>
      <c r="E193" t="s">
        <v>134</v>
      </c>
      <c r="F193" t="s">
        <v>4571</v>
      </c>
      <c r="G193" t="str">
        <f>"37-3011.00"</f>
        <v>37-3011.00</v>
      </c>
      <c r="H193" t="s">
        <v>335</v>
      </c>
      <c r="I193">
        <v>50</v>
      </c>
      <c r="J193">
        <v>50</v>
      </c>
      <c r="K193" s="1">
        <v>44986</v>
      </c>
      <c r="L193" s="1">
        <v>45261</v>
      </c>
      <c r="M193" s="1">
        <v>44986</v>
      </c>
      <c r="N193" s="1">
        <v>45261</v>
      </c>
      <c r="O193" t="s">
        <v>117</v>
      </c>
      <c r="P193" t="s">
        <v>4572</v>
      </c>
      <c r="R193" t="s">
        <v>4573</v>
      </c>
      <c r="T193" t="s">
        <v>4574</v>
      </c>
      <c r="U193" t="s">
        <v>119</v>
      </c>
      <c r="V193" s="4" t="str">
        <f>"28079"</f>
        <v>28079</v>
      </c>
      <c r="W193" t="s">
        <v>120</v>
      </c>
      <c r="Y193" s="5">
        <v>17048212407</v>
      </c>
      <c r="AA193">
        <v>56173</v>
      </c>
      <c r="AB193" t="s">
        <v>4575</v>
      </c>
      <c r="AC193" t="s">
        <v>4576</v>
      </c>
      <c r="AE193" t="s">
        <v>1710</v>
      </c>
      <c r="AF193" t="s">
        <v>4573</v>
      </c>
      <c r="AH193" t="s">
        <v>4574</v>
      </c>
      <c r="AI193" t="s">
        <v>119</v>
      </c>
      <c r="AJ193" s="4" t="str">
        <f>"28079"</f>
        <v>28079</v>
      </c>
      <c r="AK193" t="s">
        <v>120</v>
      </c>
      <c r="AM193" s="5">
        <v>17048212407</v>
      </c>
      <c r="AO193" t="s">
        <v>4577</v>
      </c>
      <c r="AP193" t="s">
        <v>256</v>
      </c>
      <c r="AQ193" t="s">
        <v>1439</v>
      </c>
      <c r="AR193" t="s">
        <v>1440</v>
      </c>
      <c r="AT193" t="s">
        <v>1422</v>
      </c>
      <c r="AU193" t="s">
        <v>347</v>
      </c>
      <c r="AV193" t="s">
        <v>1441</v>
      </c>
      <c r="AW193" t="s">
        <v>349</v>
      </c>
      <c r="AX193" s="4" t="str">
        <f>"83814"</f>
        <v>83814</v>
      </c>
      <c r="AY193" t="s">
        <v>120</v>
      </c>
      <c r="BA193" s="5">
        <v>12087772654</v>
      </c>
      <c r="BC193" t="s">
        <v>1442</v>
      </c>
      <c r="BD193" t="s">
        <v>351</v>
      </c>
      <c r="BG193" t="s">
        <v>119</v>
      </c>
      <c r="BH193" s="1">
        <v>44875.791666666664</v>
      </c>
      <c r="BI193">
        <v>40</v>
      </c>
      <c r="BJ193">
        <v>0</v>
      </c>
      <c r="BK193">
        <v>8</v>
      </c>
      <c r="BL193">
        <v>8</v>
      </c>
      <c r="BM193">
        <v>8</v>
      </c>
      <c r="BN193">
        <v>8</v>
      </c>
      <c r="BO193">
        <v>8</v>
      </c>
      <c r="BP193">
        <v>0</v>
      </c>
      <c r="BQ193" t="str">
        <f>"7:00 AM"</f>
        <v>7:00 AM</v>
      </c>
      <c r="BR193" t="str">
        <f>"5:00 PM"</f>
        <v>5:00 PM</v>
      </c>
      <c r="BS193" t="s">
        <v>133</v>
      </c>
      <c r="BT193">
        <v>0</v>
      </c>
      <c r="BU193">
        <v>0</v>
      </c>
      <c r="BV193" t="s">
        <v>134</v>
      </c>
      <c r="BX193" s="2" t="s">
        <v>4578</v>
      </c>
      <c r="BY193" t="s">
        <v>7028</v>
      </c>
      <c r="CA193" t="s">
        <v>2567</v>
      </c>
      <c r="CB193" t="s">
        <v>119</v>
      </c>
      <c r="CC193" s="4" t="str">
        <f>"27617"</f>
        <v>27617</v>
      </c>
      <c r="CD193" t="s">
        <v>2391</v>
      </c>
      <c r="CE193" t="s">
        <v>2392</v>
      </c>
      <c r="CF193" s="6">
        <v>16.45</v>
      </c>
      <c r="CG193" s="6">
        <v>17.5</v>
      </c>
      <c r="CH193" s="6">
        <v>24.68</v>
      </c>
      <c r="CI193" s="6">
        <v>26.25</v>
      </c>
      <c r="CJ193" t="s">
        <v>137</v>
      </c>
      <c r="CK193" t="s">
        <v>356</v>
      </c>
      <c r="CL193" t="s">
        <v>12493</v>
      </c>
      <c r="CO193" t="s">
        <v>138</v>
      </c>
      <c r="CP193" t="s">
        <v>114</v>
      </c>
      <c r="CQ193" t="s">
        <v>114</v>
      </c>
      <c r="CR193" t="s">
        <v>114</v>
      </c>
      <c r="CS193" t="s">
        <v>114</v>
      </c>
      <c r="CT193" t="s">
        <v>114</v>
      </c>
      <c r="CU193" t="s">
        <v>114</v>
      </c>
      <c r="CV193" t="s">
        <v>4580</v>
      </c>
      <c r="CW193" s="5" t="str">
        <f>"+17048212407"</f>
        <v>+17048212407</v>
      </c>
      <c r="CX193" t="s">
        <v>4577</v>
      </c>
      <c r="CY193" t="s">
        <v>138</v>
      </c>
      <c r="CZ193" t="s">
        <v>139</v>
      </c>
      <c r="DA193" t="s">
        <v>134</v>
      </c>
      <c r="DB193" t="s">
        <v>114</v>
      </c>
      <c r="DC193" t="s">
        <v>114</v>
      </c>
      <c r="DD193" t="s">
        <v>134</v>
      </c>
    </row>
    <row r="194" spans="1:113" ht="15" customHeight="1" x14ac:dyDescent="0.25">
      <c r="A194" t="s">
        <v>11692</v>
      </c>
      <c r="B194" t="s">
        <v>165</v>
      </c>
      <c r="C194" s="1">
        <v>44896.788719097225</v>
      </c>
      <c r="D194" s="1">
        <v>44922</v>
      </c>
      <c r="E194" t="s">
        <v>134</v>
      </c>
      <c r="F194" t="s">
        <v>1445</v>
      </c>
      <c r="G194" t="str">
        <f>"37-3011.00"</f>
        <v>37-3011.00</v>
      </c>
      <c r="H194" t="s">
        <v>335</v>
      </c>
      <c r="I194">
        <v>35</v>
      </c>
      <c r="J194">
        <v>35</v>
      </c>
      <c r="K194" s="1">
        <v>44986</v>
      </c>
      <c r="L194" s="1">
        <v>45260</v>
      </c>
      <c r="M194" s="1">
        <v>44986</v>
      </c>
      <c r="N194" s="1">
        <v>45260</v>
      </c>
      <c r="O194" t="s">
        <v>199</v>
      </c>
      <c r="P194" t="s">
        <v>8390</v>
      </c>
      <c r="Q194" t="s">
        <v>8391</v>
      </c>
      <c r="R194" t="s">
        <v>8392</v>
      </c>
      <c r="T194" t="s">
        <v>8393</v>
      </c>
      <c r="U194" t="s">
        <v>1411</v>
      </c>
      <c r="V194" s="4" t="str">
        <f>"43068"</f>
        <v>43068</v>
      </c>
      <c r="W194" t="s">
        <v>120</v>
      </c>
      <c r="Y194" s="5">
        <v>16147597033</v>
      </c>
      <c r="AA194">
        <v>5617</v>
      </c>
      <c r="AB194" t="s">
        <v>1289</v>
      </c>
      <c r="AC194" t="s">
        <v>8394</v>
      </c>
      <c r="AE194" t="s">
        <v>9902</v>
      </c>
      <c r="AF194" t="s">
        <v>8392</v>
      </c>
      <c r="AH194" t="s">
        <v>8393</v>
      </c>
      <c r="AI194" t="s">
        <v>1411</v>
      </c>
      <c r="AJ194" s="4" t="str">
        <f>"43068"</f>
        <v>43068</v>
      </c>
      <c r="AK194" t="s">
        <v>120</v>
      </c>
      <c r="AM194" s="5">
        <v>16147597033</v>
      </c>
      <c r="AO194" t="s">
        <v>945</v>
      </c>
      <c r="AP194" t="s">
        <v>256</v>
      </c>
      <c r="AQ194" t="s">
        <v>1447</v>
      </c>
      <c r="AR194" t="s">
        <v>1448</v>
      </c>
      <c r="AS194" t="s">
        <v>1449</v>
      </c>
      <c r="AT194" t="s">
        <v>1450</v>
      </c>
      <c r="AV194" t="s">
        <v>1451</v>
      </c>
      <c r="AW194" t="s">
        <v>232</v>
      </c>
      <c r="AX194" s="4" t="str">
        <f>"78640"</f>
        <v>78640</v>
      </c>
      <c r="AY194" t="s">
        <v>120</v>
      </c>
      <c r="BA194" s="5">
        <v>15127405256</v>
      </c>
      <c r="BC194" t="s">
        <v>1452</v>
      </c>
      <c r="BD194" t="s">
        <v>1453</v>
      </c>
      <c r="BG194" t="s">
        <v>1411</v>
      </c>
      <c r="BH194" s="1">
        <v>44894.791666666664</v>
      </c>
      <c r="BI194">
        <v>40</v>
      </c>
      <c r="BJ194">
        <v>0</v>
      </c>
      <c r="BK194">
        <v>8</v>
      </c>
      <c r="BL194">
        <v>8</v>
      </c>
      <c r="BM194">
        <v>8</v>
      </c>
      <c r="BN194">
        <v>8</v>
      </c>
      <c r="BO194">
        <v>8</v>
      </c>
      <c r="BP194">
        <v>0</v>
      </c>
      <c r="BQ194" t="str">
        <f>"8:00 AM"</f>
        <v>8:00 AM</v>
      </c>
      <c r="BR194" t="str">
        <f>"4:00 PM"</f>
        <v>4:00 PM</v>
      </c>
      <c r="BS194" t="s">
        <v>133</v>
      </c>
      <c r="BT194">
        <v>0</v>
      </c>
      <c r="BU194">
        <v>0</v>
      </c>
      <c r="BV194" t="s">
        <v>134</v>
      </c>
      <c r="BX194" t="s">
        <v>138</v>
      </c>
      <c r="BY194" t="s">
        <v>8392</v>
      </c>
      <c r="CA194" t="s">
        <v>8393</v>
      </c>
      <c r="CB194" t="s">
        <v>1411</v>
      </c>
      <c r="CC194" s="4" t="str">
        <f>"43068"</f>
        <v>43068</v>
      </c>
      <c r="CD194" t="s">
        <v>1679</v>
      </c>
      <c r="CE194" t="s">
        <v>2876</v>
      </c>
      <c r="CF194" s="6">
        <v>16.61</v>
      </c>
      <c r="CG194" s="6">
        <v>20</v>
      </c>
      <c r="CH194" s="6">
        <v>24.91</v>
      </c>
      <c r="CI194" s="6">
        <v>30</v>
      </c>
      <c r="CJ194" t="s">
        <v>137</v>
      </c>
      <c r="CL194" t="s">
        <v>8397</v>
      </c>
      <c r="CO194" t="s">
        <v>138</v>
      </c>
      <c r="CP194" t="s">
        <v>114</v>
      </c>
      <c r="CQ194" t="s">
        <v>114</v>
      </c>
      <c r="CR194" t="s">
        <v>114</v>
      </c>
      <c r="CS194" t="s">
        <v>134</v>
      </c>
      <c r="CT194" t="s">
        <v>114</v>
      </c>
      <c r="CU194" t="s">
        <v>134</v>
      </c>
      <c r="CV194" t="s">
        <v>1456</v>
      </c>
      <c r="CW194" s="5" t="str">
        <f>"+16142332851"</f>
        <v>+16142332851</v>
      </c>
      <c r="CX194" t="s">
        <v>138</v>
      </c>
      <c r="CY194" t="s">
        <v>9903</v>
      </c>
      <c r="CZ194" t="s">
        <v>139</v>
      </c>
      <c r="DA194" t="s">
        <v>134</v>
      </c>
      <c r="DB194" t="s">
        <v>134</v>
      </c>
      <c r="DC194" t="s">
        <v>114</v>
      </c>
      <c r="DD194" t="s">
        <v>134</v>
      </c>
    </row>
    <row r="195" spans="1:113" ht="15" customHeight="1" x14ac:dyDescent="0.25">
      <c r="A195" t="s">
        <v>14180</v>
      </c>
      <c r="B195" t="s">
        <v>165</v>
      </c>
      <c r="C195" s="1">
        <v>44896.782388194442</v>
      </c>
      <c r="D195" s="1">
        <v>44922</v>
      </c>
      <c r="E195" t="s">
        <v>134</v>
      </c>
      <c r="F195" t="s">
        <v>4571</v>
      </c>
      <c r="G195" t="str">
        <f>"37-3011.00"</f>
        <v>37-3011.00</v>
      </c>
      <c r="H195" t="s">
        <v>335</v>
      </c>
      <c r="I195">
        <v>50</v>
      </c>
      <c r="J195">
        <v>50</v>
      </c>
      <c r="K195" s="1">
        <v>44986</v>
      </c>
      <c r="L195" s="1">
        <v>45261</v>
      </c>
      <c r="M195" s="1">
        <v>44986</v>
      </c>
      <c r="N195" s="1">
        <v>45261</v>
      </c>
      <c r="O195" t="s">
        <v>117</v>
      </c>
      <c r="P195" t="s">
        <v>4572</v>
      </c>
      <c r="R195" t="s">
        <v>4573</v>
      </c>
      <c r="T195" t="s">
        <v>4574</v>
      </c>
      <c r="U195" t="s">
        <v>119</v>
      </c>
      <c r="V195" s="4" t="str">
        <f>"28079"</f>
        <v>28079</v>
      </c>
      <c r="W195" t="s">
        <v>120</v>
      </c>
      <c r="Y195" s="5">
        <v>17048212407</v>
      </c>
      <c r="AA195">
        <v>56173</v>
      </c>
      <c r="AB195" t="s">
        <v>4575</v>
      </c>
      <c r="AC195" t="s">
        <v>4576</v>
      </c>
      <c r="AE195" t="s">
        <v>1710</v>
      </c>
      <c r="AF195" t="s">
        <v>4573</v>
      </c>
      <c r="AH195" t="s">
        <v>4574</v>
      </c>
      <c r="AI195" t="s">
        <v>119</v>
      </c>
      <c r="AJ195" s="4" t="str">
        <f>"28079"</f>
        <v>28079</v>
      </c>
      <c r="AK195" t="s">
        <v>120</v>
      </c>
      <c r="AM195" s="5">
        <v>17048212407</v>
      </c>
      <c r="AO195" t="s">
        <v>4577</v>
      </c>
      <c r="AP195" t="s">
        <v>256</v>
      </c>
      <c r="AQ195" t="s">
        <v>1439</v>
      </c>
      <c r="AR195" t="s">
        <v>1440</v>
      </c>
      <c r="AT195" t="s">
        <v>1422</v>
      </c>
      <c r="AU195" t="s">
        <v>347</v>
      </c>
      <c r="AV195" t="s">
        <v>1441</v>
      </c>
      <c r="AW195" t="s">
        <v>349</v>
      </c>
      <c r="AX195" s="4" t="str">
        <f>"83814"</f>
        <v>83814</v>
      </c>
      <c r="AY195" t="s">
        <v>120</v>
      </c>
      <c r="BA195" s="5">
        <v>12087772654</v>
      </c>
      <c r="BC195" t="s">
        <v>1442</v>
      </c>
      <c r="BD195" t="s">
        <v>351</v>
      </c>
      <c r="BG195" t="s">
        <v>119</v>
      </c>
      <c r="BH195" s="1">
        <v>44894.791666666664</v>
      </c>
      <c r="BI195">
        <v>40</v>
      </c>
      <c r="BJ195">
        <v>0</v>
      </c>
      <c r="BK195">
        <v>8</v>
      </c>
      <c r="BL195">
        <v>8</v>
      </c>
      <c r="BM195">
        <v>8</v>
      </c>
      <c r="BN195">
        <v>8</v>
      </c>
      <c r="BO195">
        <v>8</v>
      </c>
      <c r="BP195">
        <v>0</v>
      </c>
      <c r="BQ195" t="str">
        <f>"7:30 AM"</f>
        <v>7:30 AM</v>
      </c>
      <c r="BR195" t="str">
        <f>"5:30 PM"</f>
        <v>5:30 PM</v>
      </c>
      <c r="BS195" t="s">
        <v>133</v>
      </c>
      <c r="BT195">
        <v>0</v>
      </c>
      <c r="BU195">
        <v>0</v>
      </c>
      <c r="BV195" t="s">
        <v>134</v>
      </c>
      <c r="BX195" s="2" t="s">
        <v>4578</v>
      </c>
      <c r="BY195" t="s">
        <v>4579</v>
      </c>
      <c r="CA195" t="s">
        <v>4574</v>
      </c>
      <c r="CB195" t="s">
        <v>119</v>
      </c>
      <c r="CC195" s="4" t="str">
        <f>"28079"</f>
        <v>28079</v>
      </c>
      <c r="CD195" t="s">
        <v>1643</v>
      </c>
      <c r="CE195" t="s">
        <v>1404</v>
      </c>
      <c r="CF195" s="6">
        <v>16.5</v>
      </c>
      <c r="CG195" s="6">
        <v>17.5</v>
      </c>
      <c r="CH195" s="6">
        <v>24.75</v>
      </c>
      <c r="CI195" s="6">
        <v>26.25</v>
      </c>
      <c r="CJ195" t="s">
        <v>137</v>
      </c>
      <c r="CK195" t="s">
        <v>356</v>
      </c>
      <c r="CL195" t="s">
        <v>14181</v>
      </c>
      <c r="CO195" t="s">
        <v>138</v>
      </c>
      <c r="CP195" t="s">
        <v>114</v>
      </c>
      <c r="CQ195" t="s">
        <v>114</v>
      </c>
      <c r="CR195" t="s">
        <v>114</v>
      </c>
      <c r="CS195" t="s">
        <v>114</v>
      </c>
      <c r="CT195" t="s">
        <v>114</v>
      </c>
      <c r="CU195" t="s">
        <v>114</v>
      </c>
      <c r="CV195" t="s">
        <v>4580</v>
      </c>
      <c r="CW195" s="5" t="str">
        <f>"+17048212407"</f>
        <v>+17048212407</v>
      </c>
      <c r="CX195" t="s">
        <v>4577</v>
      </c>
      <c r="CY195" t="s">
        <v>138</v>
      </c>
      <c r="CZ195" t="s">
        <v>139</v>
      </c>
      <c r="DA195" t="s">
        <v>134</v>
      </c>
      <c r="DB195" t="s">
        <v>114</v>
      </c>
      <c r="DC195" t="s">
        <v>114</v>
      </c>
      <c r="DD195" t="s">
        <v>134</v>
      </c>
    </row>
    <row r="196" spans="1:113" ht="15" customHeight="1" x14ac:dyDescent="0.25">
      <c r="A196" t="s">
        <v>11716</v>
      </c>
      <c r="B196" t="s">
        <v>165</v>
      </c>
      <c r="C196" s="1">
        <v>44896.654021180555</v>
      </c>
      <c r="D196" s="1">
        <v>44922</v>
      </c>
      <c r="E196" t="s">
        <v>134</v>
      </c>
      <c r="F196" t="s">
        <v>1662</v>
      </c>
      <c r="G196" t="str">
        <f>"37-3011.00"</f>
        <v>37-3011.00</v>
      </c>
      <c r="H196" t="s">
        <v>335</v>
      </c>
      <c r="I196">
        <v>20</v>
      </c>
      <c r="J196">
        <v>20</v>
      </c>
      <c r="K196" s="1">
        <v>44986</v>
      </c>
      <c r="L196" s="1">
        <v>45250</v>
      </c>
      <c r="M196" s="1">
        <v>44986</v>
      </c>
      <c r="N196" s="1">
        <v>45250</v>
      </c>
      <c r="O196" t="s">
        <v>117</v>
      </c>
      <c r="P196" t="s">
        <v>11717</v>
      </c>
      <c r="R196" t="s">
        <v>11718</v>
      </c>
      <c r="S196" t="s">
        <v>11719</v>
      </c>
      <c r="T196" t="s">
        <v>2831</v>
      </c>
      <c r="U196" t="s">
        <v>479</v>
      </c>
      <c r="V196" s="4" t="str">
        <f>"22003"</f>
        <v>22003</v>
      </c>
      <c r="W196" t="s">
        <v>120</v>
      </c>
      <c r="X196" t="s">
        <v>138</v>
      </c>
      <c r="Y196" s="5">
        <v>17038460944</v>
      </c>
      <c r="AA196">
        <v>561730</v>
      </c>
      <c r="AB196" t="s">
        <v>11720</v>
      </c>
      <c r="AC196" t="s">
        <v>9222</v>
      </c>
      <c r="AD196" t="s">
        <v>138</v>
      </c>
      <c r="AE196" t="s">
        <v>342</v>
      </c>
      <c r="AF196" t="s">
        <v>11718</v>
      </c>
      <c r="AG196" t="s">
        <v>11719</v>
      </c>
      <c r="AH196" t="s">
        <v>2831</v>
      </c>
      <c r="AI196" t="s">
        <v>479</v>
      </c>
      <c r="AJ196" s="4" t="str">
        <f>"22003"</f>
        <v>22003</v>
      </c>
      <c r="AK196" t="s">
        <v>120</v>
      </c>
      <c r="AM196" s="5">
        <v>17038460944</v>
      </c>
      <c r="AO196" t="s">
        <v>11721</v>
      </c>
      <c r="AP196" t="s">
        <v>256</v>
      </c>
      <c r="AQ196" t="s">
        <v>4312</v>
      </c>
      <c r="AR196" t="s">
        <v>4313</v>
      </c>
      <c r="AS196" t="s">
        <v>4044</v>
      </c>
      <c r="AT196" t="s">
        <v>1284</v>
      </c>
      <c r="AU196" t="s">
        <v>138</v>
      </c>
      <c r="AV196" t="s">
        <v>1285</v>
      </c>
      <c r="AW196" t="s">
        <v>232</v>
      </c>
      <c r="AX196" s="4" t="str">
        <f>"77414"</f>
        <v>77414</v>
      </c>
      <c r="AY196" t="s">
        <v>120</v>
      </c>
      <c r="BA196" s="5">
        <v>19793187277</v>
      </c>
      <c r="BC196" t="s">
        <v>4314</v>
      </c>
      <c r="BD196" t="s">
        <v>1287</v>
      </c>
      <c r="BG196" t="s">
        <v>339</v>
      </c>
      <c r="BH196" s="1">
        <v>44895.791666666664</v>
      </c>
      <c r="BI196">
        <v>40</v>
      </c>
      <c r="BJ196">
        <v>0</v>
      </c>
      <c r="BK196">
        <v>8</v>
      </c>
      <c r="BL196">
        <v>8</v>
      </c>
      <c r="BM196">
        <v>8</v>
      </c>
      <c r="BN196">
        <v>8</v>
      </c>
      <c r="BO196">
        <v>8</v>
      </c>
      <c r="BP196">
        <v>0</v>
      </c>
      <c r="BQ196" t="str">
        <f>"7:00 AM"</f>
        <v>7:00 AM</v>
      </c>
      <c r="BR196" t="str">
        <f>"4:00 PM"</f>
        <v>4:00 PM</v>
      </c>
      <c r="BS196" t="s">
        <v>133</v>
      </c>
      <c r="BT196">
        <v>0</v>
      </c>
      <c r="BU196">
        <v>0</v>
      </c>
      <c r="BV196" t="s">
        <v>134</v>
      </c>
      <c r="BX196" s="2" t="s">
        <v>11722</v>
      </c>
      <c r="BY196" t="s">
        <v>11723</v>
      </c>
      <c r="BZ196" t="s">
        <v>138</v>
      </c>
      <c r="CA196" t="s">
        <v>8576</v>
      </c>
      <c r="CB196" t="s">
        <v>339</v>
      </c>
      <c r="CC196" s="4" t="str">
        <f>"20833"</f>
        <v>20833</v>
      </c>
      <c r="CD196" t="s">
        <v>2007</v>
      </c>
      <c r="CE196" t="s">
        <v>355</v>
      </c>
      <c r="CF196" s="6">
        <v>18.36</v>
      </c>
      <c r="CG196" s="6">
        <v>19.75</v>
      </c>
      <c r="CH196" s="6">
        <v>27.54</v>
      </c>
      <c r="CI196" s="6">
        <v>29.63</v>
      </c>
      <c r="CJ196" t="s">
        <v>137</v>
      </c>
      <c r="CK196" t="s">
        <v>11724</v>
      </c>
      <c r="CL196" t="s">
        <v>11725</v>
      </c>
      <c r="CO196" t="s">
        <v>138</v>
      </c>
      <c r="CP196" t="s">
        <v>114</v>
      </c>
      <c r="CQ196" t="s">
        <v>114</v>
      </c>
      <c r="CR196" t="s">
        <v>114</v>
      </c>
      <c r="CS196" t="s">
        <v>114</v>
      </c>
      <c r="CT196" t="s">
        <v>114</v>
      </c>
      <c r="CU196" t="s">
        <v>114</v>
      </c>
      <c r="CV196" t="s">
        <v>7038</v>
      </c>
      <c r="CW196" s="5" t="str">
        <f>"+17038460944"</f>
        <v>+17038460944</v>
      </c>
      <c r="CX196" t="s">
        <v>11726</v>
      </c>
      <c r="CY196" t="s">
        <v>138</v>
      </c>
      <c r="CZ196" t="s">
        <v>139</v>
      </c>
      <c r="DA196" t="s">
        <v>134</v>
      </c>
      <c r="DB196" t="s">
        <v>134</v>
      </c>
      <c r="DC196" t="s">
        <v>114</v>
      </c>
      <c r="DD196" t="s">
        <v>134</v>
      </c>
    </row>
    <row r="197" spans="1:113" ht="15" customHeight="1" x14ac:dyDescent="0.25">
      <c r="A197" t="s">
        <v>6105</v>
      </c>
      <c r="B197" t="s">
        <v>165</v>
      </c>
      <c r="C197" s="1">
        <v>44896.618422685184</v>
      </c>
      <c r="D197" s="1">
        <v>44922</v>
      </c>
      <c r="E197" t="s">
        <v>134</v>
      </c>
      <c r="F197" t="s">
        <v>334</v>
      </c>
      <c r="G197" t="str">
        <f>"37-3011.00"</f>
        <v>37-3011.00</v>
      </c>
      <c r="H197" t="s">
        <v>335</v>
      </c>
      <c r="I197">
        <v>50</v>
      </c>
      <c r="J197">
        <v>50</v>
      </c>
      <c r="K197" s="1">
        <v>44986</v>
      </c>
      <c r="L197" s="1">
        <v>45261</v>
      </c>
      <c r="M197" s="1">
        <v>44986</v>
      </c>
      <c r="N197" s="1">
        <v>45261</v>
      </c>
      <c r="O197" t="s">
        <v>117</v>
      </c>
      <c r="P197" t="s">
        <v>6106</v>
      </c>
      <c r="Q197" t="s">
        <v>6107</v>
      </c>
      <c r="R197" t="s">
        <v>6108</v>
      </c>
      <c r="T197" t="s">
        <v>6109</v>
      </c>
      <c r="U197" t="s">
        <v>119</v>
      </c>
      <c r="V197" s="4" t="str">
        <f>"28081"</f>
        <v>28081</v>
      </c>
      <c r="W197" t="s">
        <v>120</v>
      </c>
      <c r="Y197" s="5">
        <v>17049323348</v>
      </c>
      <c r="AA197">
        <v>56173</v>
      </c>
      <c r="AB197" t="s">
        <v>942</v>
      </c>
      <c r="AC197" t="s">
        <v>1663</v>
      </c>
      <c r="AE197" t="s">
        <v>977</v>
      </c>
      <c r="AF197" t="s">
        <v>6108</v>
      </c>
      <c r="AH197" t="s">
        <v>6109</v>
      </c>
      <c r="AI197" t="s">
        <v>119</v>
      </c>
      <c r="AJ197" s="4" t="str">
        <f>"28081"</f>
        <v>28081</v>
      </c>
      <c r="AK197" t="s">
        <v>120</v>
      </c>
      <c r="AM197" s="5">
        <v>17049323348</v>
      </c>
      <c r="AO197" t="s">
        <v>6110</v>
      </c>
      <c r="AP197" t="s">
        <v>256</v>
      </c>
      <c r="AQ197" t="s">
        <v>475</v>
      </c>
      <c r="AR197" t="s">
        <v>476</v>
      </c>
      <c r="AT197" t="s">
        <v>477</v>
      </c>
      <c r="AV197" t="s">
        <v>478</v>
      </c>
      <c r="AW197" t="s">
        <v>479</v>
      </c>
      <c r="AX197" s="4" t="str">
        <f>"22903"</f>
        <v>22903</v>
      </c>
      <c r="AY197" t="s">
        <v>120</v>
      </c>
      <c r="BA197" s="5">
        <v>14342634300</v>
      </c>
      <c r="BC197" t="s">
        <v>1549</v>
      </c>
      <c r="BD197" t="s">
        <v>481</v>
      </c>
      <c r="BG197" t="s">
        <v>119</v>
      </c>
      <c r="BH197" s="1">
        <v>44895.791666666664</v>
      </c>
      <c r="BI197">
        <v>40</v>
      </c>
      <c r="BJ197">
        <v>0</v>
      </c>
      <c r="BK197">
        <v>8</v>
      </c>
      <c r="BL197">
        <v>8</v>
      </c>
      <c r="BM197">
        <v>8</v>
      </c>
      <c r="BN197">
        <v>8</v>
      </c>
      <c r="BO197">
        <v>8</v>
      </c>
      <c r="BP197">
        <v>0</v>
      </c>
      <c r="BQ197" t="str">
        <f>"7:00 AM"</f>
        <v>7:00 AM</v>
      </c>
      <c r="BR197" t="str">
        <f>"4:00 PM"</f>
        <v>4:00 PM</v>
      </c>
      <c r="BS197" t="s">
        <v>133</v>
      </c>
      <c r="BT197">
        <v>0</v>
      </c>
      <c r="BU197">
        <v>3</v>
      </c>
      <c r="BV197" t="s">
        <v>134</v>
      </c>
      <c r="BX197" s="2" t="s">
        <v>6111</v>
      </c>
      <c r="BY197" t="s">
        <v>6112</v>
      </c>
      <c r="CA197" t="s">
        <v>6109</v>
      </c>
      <c r="CB197" t="s">
        <v>119</v>
      </c>
      <c r="CC197" s="4" t="str">
        <f>"28081"</f>
        <v>28081</v>
      </c>
      <c r="CD197" t="s">
        <v>6113</v>
      </c>
      <c r="CE197" t="s">
        <v>1404</v>
      </c>
      <c r="CF197" s="6">
        <v>16.5</v>
      </c>
      <c r="CH197" s="6">
        <v>24.75</v>
      </c>
      <c r="CJ197" t="s">
        <v>137</v>
      </c>
      <c r="CK197" t="s">
        <v>487</v>
      </c>
      <c r="CL197" t="s">
        <v>6114</v>
      </c>
      <c r="CO197" t="s">
        <v>138</v>
      </c>
      <c r="CP197" t="s">
        <v>114</v>
      </c>
      <c r="CQ197" t="s">
        <v>134</v>
      </c>
      <c r="CR197" t="s">
        <v>114</v>
      </c>
      <c r="CS197" t="s">
        <v>134</v>
      </c>
      <c r="CT197" t="s">
        <v>114</v>
      </c>
      <c r="CU197" t="s">
        <v>114</v>
      </c>
      <c r="CV197" t="s">
        <v>6115</v>
      </c>
      <c r="CW197" s="5" t="str">
        <f>"N/A"</f>
        <v>N/A</v>
      </c>
      <c r="CX197" t="s">
        <v>6110</v>
      </c>
      <c r="CY197" t="s">
        <v>2142</v>
      </c>
      <c r="CZ197" t="s">
        <v>139</v>
      </c>
      <c r="DA197" t="s">
        <v>134</v>
      </c>
      <c r="DB197" t="s">
        <v>114</v>
      </c>
      <c r="DC197" t="s">
        <v>114</v>
      </c>
      <c r="DD197" t="s">
        <v>134</v>
      </c>
      <c r="DE197" t="s">
        <v>1551</v>
      </c>
      <c r="DF197" t="s">
        <v>1377</v>
      </c>
      <c r="DH197" t="s">
        <v>481</v>
      </c>
      <c r="DI197" t="s">
        <v>1549</v>
      </c>
    </row>
    <row r="198" spans="1:113" ht="15" customHeight="1" x14ac:dyDescent="0.25">
      <c r="A198" t="s">
        <v>16671</v>
      </c>
      <c r="B198" t="s">
        <v>165</v>
      </c>
      <c r="C198" s="1">
        <v>44896.581915393515</v>
      </c>
      <c r="D198" s="1">
        <v>44922</v>
      </c>
      <c r="E198" t="s">
        <v>134</v>
      </c>
      <c r="F198" t="s">
        <v>16672</v>
      </c>
      <c r="G198" t="str">
        <f>"51-3023.00"</f>
        <v>51-3023.00</v>
      </c>
      <c r="H198" t="s">
        <v>3713</v>
      </c>
      <c r="I198">
        <v>20</v>
      </c>
      <c r="J198">
        <v>20</v>
      </c>
      <c r="K198" s="1">
        <v>44986</v>
      </c>
      <c r="L198" s="1">
        <v>45171</v>
      </c>
      <c r="M198" s="1">
        <v>44986</v>
      </c>
      <c r="N198" s="1">
        <v>45171</v>
      </c>
      <c r="O198" t="s">
        <v>117</v>
      </c>
      <c r="P198" t="s">
        <v>16673</v>
      </c>
      <c r="R198" t="s">
        <v>16674</v>
      </c>
      <c r="T198" t="s">
        <v>16675</v>
      </c>
      <c r="U198" t="s">
        <v>1147</v>
      </c>
      <c r="V198" s="4" t="str">
        <f>"54208"</f>
        <v>54208</v>
      </c>
      <c r="W198" t="s">
        <v>120</v>
      </c>
      <c r="Y198" s="5">
        <v>19208635559</v>
      </c>
      <c r="AA198">
        <v>311612</v>
      </c>
      <c r="AB198" t="s">
        <v>6011</v>
      </c>
      <c r="AC198" t="s">
        <v>754</v>
      </c>
      <c r="AE198" t="s">
        <v>8030</v>
      </c>
      <c r="AF198" t="s">
        <v>16674</v>
      </c>
      <c r="AH198" t="s">
        <v>16675</v>
      </c>
      <c r="AI198" t="s">
        <v>1147</v>
      </c>
      <c r="AJ198" s="4" t="str">
        <f>"54208"</f>
        <v>54208</v>
      </c>
      <c r="AK198" t="s">
        <v>120</v>
      </c>
      <c r="AM198" s="5">
        <v>19208635559</v>
      </c>
      <c r="AO198" t="s">
        <v>16676</v>
      </c>
      <c r="AP198" t="s">
        <v>256</v>
      </c>
      <c r="AQ198" t="s">
        <v>400</v>
      </c>
      <c r="AR198" t="s">
        <v>401</v>
      </c>
      <c r="AS198" t="s">
        <v>397</v>
      </c>
      <c r="AT198" t="s">
        <v>402</v>
      </c>
      <c r="AU198" t="s">
        <v>152</v>
      </c>
      <c r="AV198" t="s">
        <v>403</v>
      </c>
      <c r="AW198" t="s">
        <v>232</v>
      </c>
      <c r="AX198" s="4" t="str">
        <f>"75033"</f>
        <v>75033</v>
      </c>
      <c r="AY198" t="s">
        <v>120</v>
      </c>
      <c r="BA198" s="5">
        <v>19727789690</v>
      </c>
      <c r="BC198" t="s">
        <v>1534</v>
      </c>
      <c r="BD198" t="s">
        <v>405</v>
      </c>
      <c r="BG198" t="s">
        <v>1147</v>
      </c>
      <c r="BH198" s="1">
        <v>44895.791666666664</v>
      </c>
      <c r="BI198">
        <v>48</v>
      </c>
      <c r="BJ198">
        <v>8</v>
      </c>
      <c r="BK198">
        <v>0</v>
      </c>
      <c r="BL198">
        <v>8</v>
      </c>
      <c r="BM198">
        <v>8</v>
      </c>
      <c r="BN198">
        <v>8</v>
      </c>
      <c r="BO198">
        <v>8</v>
      </c>
      <c r="BP198">
        <v>8</v>
      </c>
      <c r="BQ198" t="str">
        <f>"2:30 PM"</f>
        <v>2:30 PM</v>
      </c>
      <c r="BR198" t="str">
        <f>"10:30 PM"</f>
        <v>10:30 PM</v>
      </c>
      <c r="BS198" t="s">
        <v>133</v>
      </c>
      <c r="BT198">
        <v>0</v>
      </c>
      <c r="BU198">
        <v>0</v>
      </c>
      <c r="BV198" t="s">
        <v>134</v>
      </c>
      <c r="BX198" s="2" t="s">
        <v>16677</v>
      </c>
      <c r="BY198" t="s">
        <v>16674</v>
      </c>
      <c r="CA198" t="s">
        <v>16675</v>
      </c>
      <c r="CB198" t="s">
        <v>1147</v>
      </c>
      <c r="CC198" s="4" t="str">
        <f>"54208"</f>
        <v>54208</v>
      </c>
      <c r="CD198" t="s">
        <v>2065</v>
      </c>
      <c r="CE198" t="s">
        <v>2181</v>
      </c>
      <c r="CF198" s="6">
        <v>18</v>
      </c>
      <c r="CG198" s="6">
        <v>18</v>
      </c>
      <c r="CH198" s="6">
        <v>27</v>
      </c>
      <c r="CI198" s="6">
        <v>27</v>
      </c>
      <c r="CJ198" t="s">
        <v>137</v>
      </c>
      <c r="CK198" t="s">
        <v>950</v>
      </c>
      <c r="CL198" t="s">
        <v>16678</v>
      </c>
      <c r="CO198" t="s">
        <v>138</v>
      </c>
      <c r="CP198" t="s">
        <v>114</v>
      </c>
      <c r="CQ198" t="s">
        <v>114</v>
      </c>
      <c r="CR198" t="s">
        <v>114</v>
      </c>
      <c r="CS198" t="s">
        <v>114</v>
      </c>
      <c r="CT198" t="s">
        <v>114</v>
      </c>
      <c r="CU198" t="s">
        <v>114</v>
      </c>
      <c r="CV198" s="2" t="s">
        <v>16679</v>
      </c>
      <c r="CW198" s="5" t="str">
        <f>"+19208635559"</f>
        <v>+19208635559</v>
      </c>
      <c r="CX198" t="s">
        <v>138</v>
      </c>
      <c r="CY198" t="s">
        <v>16680</v>
      </c>
      <c r="CZ198" t="s">
        <v>139</v>
      </c>
      <c r="DA198" t="s">
        <v>134</v>
      </c>
      <c r="DB198" t="s">
        <v>134</v>
      </c>
      <c r="DC198" t="s">
        <v>114</v>
      </c>
      <c r="DD198" t="s">
        <v>134</v>
      </c>
    </row>
    <row r="199" spans="1:113" ht="15" customHeight="1" x14ac:dyDescent="0.25">
      <c r="A199" t="s">
        <v>16717</v>
      </c>
      <c r="B199" t="s">
        <v>165</v>
      </c>
      <c r="C199" s="1">
        <v>44896.57921087963</v>
      </c>
      <c r="D199" s="1">
        <v>44922</v>
      </c>
      <c r="E199" t="s">
        <v>134</v>
      </c>
      <c r="F199" t="s">
        <v>334</v>
      </c>
      <c r="G199" t="str">
        <f>"37-3011.00"</f>
        <v>37-3011.00</v>
      </c>
      <c r="H199" t="s">
        <v>335</v>
      </c>
      <c r="I199">
        <v>6</v>
      </c>
      <c r="J199">
        <v>6</v>
      </c>
      <c r="K199" s="1">
        <v>44986</v>
      </c>
      <c r="L199" s="1">
        <v>45231</v>
      </c>
      <c r="M199" s="1">
        <v>44986</v>
      </c>
      <c r="N199" s="1">
        <v>45231</v>
      </c>
      <c r="O199" t="s">
        <v>199</v>
      </c>
      <c r="P199" t="s">
        <v>9028</v>
      </c>
      <c r="R199" t="s">
        <v>9029</v>
      </c>
      <c r="T199" t="s">
        <v>9030</v>
      </c>
      <c r="U199" t="s">
        <v>349</v>
      </c>
      <c r="V199" s="4" t="str">
        <f>"83854"</f>
        <v>83854</v>
      </c>
      <c r="W199" t="s">
        <v>120</v>
      </c>
      <c r="Y199" s="5">
        <v>12085001660</v>
      </c>
      <c r="AA199">
        <v>56173</v>
      </c>
      <c r="AB199" t="s">
        <v>9031</v>
      </c>
      <c r="AC199" t="s">
        <v>1412</v>
      </c>
      <c r="AE199" t="s">
        <v>424</v>
      </c>
      <c r="AF199" t="s">
        <v>9029</v>
      </c>
      <c r="AH199" t="s">
        <v>9030</v>
      </c>
      <c r="AI199" t="s">
        <v>349</v>
      </c>
      <c r="AJ199" s="4" t="str">
        <f>"83854"</f>
        <v>83854</v>
      </c>
      <c r="AK199" t="s">
        <v>120</v>
      </c>
      <c r="AM199" s="5">
        <v>12085001660</v>
      </c>
      <c r="AO199" t="s">
        <v>9032</v>
      </c>
      <c r="AP199" t="s">
        <v>256</v>
      </c>
      <c r="AQ199" t="s">
        <v>1420</v>
      </c>
      <c r="AR199" t="s">
        <v>1421</v>
      </c>
      <c r="AT199" t="s">
        <v>1422</v>
      </c>
      <c r="AU199" t="s">
        <v>347</v>
      </c>
      <c r="AV199" t="s">
        <v>828</v>
      </c>
      <c r="AW199" t="s">
        <v>349</v>
      </c>
      <c r="AX199" s="4" t="str">
        <f>"83814"</f>
        <v>83814</v>
      </c>
      <c r="AY199" t="s">
        <v>120</v>
      </c>
      <c r="BA199" s="5">
        <v>12087772654</v>
      </c>
      <c r="BC199" t="s">
        <v>1423</v>
      </c>
      <c r="BD199" t="s">
        <v>351</v>
      </c>
      <c r="BG199" t="s">
        <v>349</v>
      </c>
      <c r="BH199" s="1">
        <v>44895.791666666664</v>
      </c>
      <c r="BI199">
        <v>40</v>
      </c>
      <c r="BJ199">
        <v>0</v>
      </c>
      <c r="BK199">
        <v>8</v>
      </c>
      <c r="BL199">
        <v>8</v>
      </c>
      <c r="BM199">
        <v>8</v>
      </c>
      <c r="BN199">
        <v>8</v>
      </c>
      <c r="BO199">
        <v>8</v>
      </c>
      <c r="BP199">
        <v>0</v>
      </c>
      <c r="BQ199" t="str">
        <f>"8:00 AM"</f>
        <v>8:00 AM</v>
      </c>
      <c r="BR199" t="str">
        <f>"5:00 PM"</f>
        <v>5:00 PM</v>
      </c>
      <c r="BS199" t="s">
        <v>133</v>
      </c>
      <c r="BT199">
        <v>0</v>
      </c>
      <c r="BU199">
        <v>0</v>
      </c>
      <c r="BV199" t="s">
        <v>134</v>
      </c>
      <c r="BX199" t="s">
        <v>9033</v>
      </c>
      <c r="BY199" t="s">
        <v>9034</v>
      </c>
      <c r="CA199" t="s">
        <v>9030</v>
      </c>
      <c r="CB199" t="s">
        <v>349</v>
      </c>
      <c r="CC199" s="4" t="str">
        <f>"83854"</f>
        <v>83854</v>
      </c>
      <c r="CD199" t="s">
        <v>1454</v>
      </c>
      <c r="CE199" t="s">
        <v>1455</v>
      </c>
      <c r="CF199" s="6">
        <v>16.12</v>
      </c>
      <c r="CG199" s="6">
        <v>20</v>
      </c>
      <c r="CH199" s="6">
        <v>24.18</v>
      </c>
      <c r="CI199" s="6">
        <v>30</v>
      </c>
      <c r="CJ199" t="s">
        <v>137</v>
      </c>
      <c r="CK199" t="s">
        <v>356</v>
      </c>
      <c r="CL199" t="s">
        <v>9035</v>
      </c>
      <c r="CO199" t="s">
        <v>138</v>
      </c>
      <c r="CP199" t="s">
        <v>114</v>
      </c>
      <c r="CQ199" t="s">
        <v>114</v>
      </c>
      <c r="CR199" t="s">
        <v>114</v>
      </c>
      <c r="CS199" t="s">
        <v>114</v>
      </c>
      <c r="CT199" t="s">
        <v>114</v>
      </c>
      <c r="CU199" t="s">
        <v>114</v>
      </c>
      <c r="CV199" t="s">
        <v>9036</v>
      </c>
      <c r="CW199" s="5" t="str">
        <f>"+12085001660"</f>
        <v>+12085001660</v>
      </c>
      <c r="CX199" t="s">
        <v>9032</v>
      </c>
      <c r="CY199" t="s">
        <v>138</v>
      </c>
      <c r="CZ199" t="s">
        <v>139</v>
      </c>
      <c r="DA199" t="s">
        <v>134</v>
      </c>
      <c r="DB199" t="s">
        <v>114</v>
      </c>
      <c r="DC199" t="s">
        <v>114</v>
      </c>
      <c r="DD199" t="s">
        <v>134</v>
      </c>
    </row>
    <row r="200" spans="1:113" ht="15" customHeight="1" x14ac:dyDescent="0.25">
      <c r="A200" t="s">
        <v>9998</v>
      </c>
      <c r="B200" t="s">
        <v>165</v>
      </c>
      <c r="C200" s="1">
        <v>44896.578114699078</v>
      </c>
      <c r="D200" s="1">
        <v>44922</v>
      </c>
      <c r="E200" t="s">
        <v>114</v>
      </c>
      <c r="F200" t="s">
        <v>334</v>
      </c>
      <c r="G200" t="str">
        <f>"37-3011.00"</f>
        <v>37-3011.00</v>
      </c>
      <c r="H200" t="s">
        <v>335</v>
      </c>
      <c r="I200">
        <v>10</v>
      </c>
      <c r="J200">
        <v>10</v>
      </c>
      <c r="K200" s="1">
        <v>44986</v>
      </c>
      <c r="L200" s="1">
        <v>45275</v>
      </c>
      <c r="M200" s="1">
        <v>44986</v>
      </c>
      <c r="N200" s="1">
        <v>45275</v>
      </c>
      <c r="O200" t="s">
        <v>199</v>
      </c>
      <c r="P200" t="s">
        <v>9999</v>
      </c>
      <c r="R200" t="s">
        <v>10000</v>
      </c>
      <c r="T200" t="s">
        <v>1629</v>
      </c>
      <c r="U200" t="s">
        <v>697</v>
      </c>
      <c r="V200" s="4" t="str">
        <f>"63131"</f>
        <v>63131</v>
      </c>
      <c r="W200" t="s">
        <v>120</v>
      </c>
      <c r="Y200" s="5">
        <v>13148723203</v>
      </c>
      <c r="AA200">
        <v>56173</v>
      </c>
      <c r="AB200" t="s">
        <v>10001</v>
      </c>
      <c r="AC200" t="s">
        <v>121</v>
      </c>
      <c r="AE200" t="s">
        <v>2261</v>
      </c>
      <c r="AF200" t="s">
        <v>10000</v>
      </c>
      <c r="AH200" t="s">
        <v>1629</v>
      </c>
      <c r="AI200" t="s">
        <v>697</v>
      </c>
      <c r="AJ200" s="4" t="str">
        <f>"63131"</f>
        <v>63131</v>
      </c>
      <c r="AK200" t="s">
        <v>120</v>
      </c>
      <c r="AM200" s="5">
        <v>13148723203</v>
      </c>
      <c r="AO200" t="s">
        <v>10002</v>
      </c>
      <c r="AP200" t="s">
        <v>256</v>
      </c>
      <c r="AQ200" t="s">
        <v>344</v>
      </c>
      <c r="AR200" t="s">
        <v>345</v>
      </c>
      <c r="AT200" t="s">
        <v>346</v>
      </c>
      <c r="AU200" t="s">
        <v>347</v>
      </c>
      <c r="AV200" t="s">
        <v>348</v>
      </c>
      <c r="AW200" t="s">
        <v>349</v>
      </c>
      <c r="AX200" s="4" t="str">
        <f>"83814"</f>
        <v>83814</v>
      </c>
      <c r="AY200" t="s">
        <v>120</v>
      </c>
      <c r="BA200" s="5">
        <v>12087772654</v>
      </c>
      <c r="BC200" t="s">
        <v>350</v>
      </c>
      <c r="BD200" t="s">
        <v>351</v>
      </c>
      <c r="BG200" t="s">
        <v>697</v>
      </c>
      <c r="BH200" s="1">
        <v>44885.791666666664</v>
      </c>
      <c r="BI200">
        <v>40</v>
      </c>
      <c r="BJ200">
        <v>0</v>
      </c>
      <c r="BK200">
        <v>8</v>
      </c>
      <c r="BL200">
        <v>8</v>
      </c>
      <c r="BM200">
        <v>8</v>
      </c>
      <c r="BN200">
        <v>8</v>
      </c>
      <c r="BO200">
        <v>8</v>
      </c>
      <c r="BP200">
        <v>0</v>
      </c>
      <c r="BQ200" t="str">
        <f>"7:30 AM"</f>
        <v>7:30 AM</v>
      </c>
      <c r="BR200" t="str">
        <f>"5:30 PM"</f>
        <v>5:30 PM</v>
      </c>
      <c r="BS200" t="s">
        <v>133</v>
      </c>
      <c r="BT200">
        <v>0</v>
      </c>
      <c r="BU200">
        <v>0</v>
      </c>
      <c r="BV200" t="s">
        <v>134</v>
      </c>
      <c r="BX200" s="2" t="s">
        <v>1836</v>
      </c>
      <c r="BY200" t="s">
        <v>10003</v>
      </c>
      <c r="CA200" t="s">
        <v>1629</v>
      </c>
      <c r="CB200" t="s">
        <v>697</v>
      </c>
      <c r="CC200" s="4" t="str">
        <f>"63131"</f>
        <v>63131</v>
      </c>
      <c r="CD200" t="s">
        <v>712</v>
      </c>
      <c r="CE200" t="s">
        <v>713</v>
      </c>
      <c r="CF200" s="6">
        <v>16.96</v>
      </c>
      <c r="CG200" s="6">
        <v>19.5</v>
      </c>
      <c r="CH200" s="6">
        <v>25.44</v>
      </c>
      <c r="CI200" s="6">
        <v>29.25</v>
      </c>
      <c r="CJ200" t="s">
        <v>137</v>
      </c>
      <c r="CK200" t="s">
        <v>356</v>
      </c>
      <c r="CL200" t="s">
        <v>10004</v>
      </c>
      <c r="CO200" t="s">
        <v>138</v>
      </c>
      <c r="CP200" t="s">
        <v>114</v>
      </c>
      <c r="CQ200" t="s">
        <v>114</v>
      </c>
      <c r="CR200" t="s">
        <v>114</v>
      </c>
      <c r="CS200" t="s">
        <v>114</v>
      </c>
      <c r="CT200" t="s">
        <v>114</v>
      </c>
      <c r="CU200" t="s">
        <v>114</v>
      </c>
      <c r="CV200" t="s">
        <v>10005</v>
      </c>
      <c r="CW200" s="5" t="str">
        <f>"+13148723203"</f>
        <v>+13148723203</v>
      </c>
      <c r="CX200" t="s">
        <v>10006</v>
      </c>
      <c r="CY200" t="s">
        <v>138</v>
      </c>
      <c r="CZ200" t="s">
        <v>139</v>
      </c>
      <c r="DA200" t="s">
        <v>134</v>
      </c>
      <c r="DB200" t="s">
        <v>134</v>
      </c>
      <c r="DC200" t="s">
        <v>114</v>
      </c>
      <c r="DD200" t="s">
        <v>134</v>
      </c>
    </row>
    <row r="201" spans="1:113" ht="15" customHeight="1" x14ac:dyDescent="0.25">
      <c r="A201" t="s">
        <v>5984</v>
      </c>
      <c r="B201" t="s">
        <v>165</v>
      </c>
      <c r="C201" s="1">
        <v>44896.568079166667</v>
      </c>
      <c r="D201" s="1">
        <v>44922</v>
      </c>
      <c r="E201" t="s">
        <v>134</v>
      </c>
      <c r="F201" t="s">
        <v>5985</v>
      </c>
      <c r="G201" t="str">
        <f>"35-3023.00"</f>
        <v>35-3023.00</v>
      </c>
      <c r="H201" t="s">
        <v>555</v>
      </c>
      <c r="I201">
        <v>4</v>
      </c>
      <c r="J201">
        <v>4</v>
      </c>
      <c r="K201" s="1">
        <v>44986</v>
      </c>
      <c r="L201" s="1">
        <v>45207</v>
      </c>
      <c r="M201" s="1">
        <v>44986</v>
      </c>
      <c r="N201" s="1">
        <v>45207</v>
      </c>
      <c r="O201" t="s">
        <v>117</v>
      </c>
      <c r="P201" t="s">
        <v>5986</v>
      </c>
      <c r="Q201" t="s">
        <v>5987</v>
      </c>
      <c r="R201" t="s">
        <v>5988</v>
      </c>
      <c r="T201" t="s">
        <v>5989</v>
      </c>
      <c r="U201" t="s">
        <v>203</v>
      </c>
      <c r="V201" s="4" t="str">
        <f>"36542"</f>
        <v>36542</v>
      </c>
      <c r="W201" t="s">
        <v>120</v>
      </c>
      <c r="Y201" s="5">
        <v>12512243221</v>
      </c>
      <c r="AA201">
        <v>72111</v>
      </c>
      <c r="AB201" t="s">
        <v>2211</v>
      </c>
      <c r="AC201" t="s">
        <v>4631</v>
      </c>
      <c r="AE201" t="s">
        <v>2426</v>
      </c>
      <c r="AF201" t="s">
        <v>5988</v>
      </c>
      <c r="AH201" t="s">
        <v>5990</v>
      </c>
      <c r="AI201" t="s">
        <v>203</v>
      </c>
      <c r="AJ201" s="4" t="str">
        <f>"36542"</f>
        <v>36542</v>
      </c>
      <c r="AK201" t="s">
        <v>120</v>
      </c>
      <c r="AM201" s="5">
        <v>12512243221</v>
      </c>
      <c r="AO201" t="s">
        <v>5991</v>
      </c>
      <c r="AP201" t="s">
        <v>256</v>
      </c>
      <c r="AQ201" t="s">
        <v>400</v>
      </c>
      <c r="AR201" t="s">
        <v>401</v>
      </c>
      <c r="AS201" t="s">
        <v>397</v>
      </c>
      <c r="AT201" t="s">
        <v>402</v>
      </c>
      <c r="AU201" t="s">
        <v>152</v>
      </c>
      <c r="AV201" t="s">
        <v>403</v>
      </c>
      <c r="AW201" t="s">
        <v>232</v>
      </c>
      <c r="AX201" s="4" t="str">
        <f>"75033"</f>
        <v>75033</v>
      </c>
      <c r="AY201" t="s">
        <v>120</v>
      </c>
      <c r="BA201" s="5">
        <v>19727789690</v>
      </c>
      <c r="BC201" t="s">
        <v>5992</v>
      </c>
      <c r="BD201" t="s">
        <v>405</v>
      </c>
      <c r="BG201" t="s">
        <v>203</v>
      </c>
      <c r="BH201" s="1">
        <v>44895.791666666664</v>
      </c>
      <c r="BI201">
        <v>35</v>
      </c>
      <c r="BJ201">
        <v>7</v>
      </c>
      <c r="BK201">
        <v>0</v>
      </c>
      <c r="BL201">
        <v>0</v>
      </c>
      <c r="BM201">
        <v>7</v>
      </c>
      <c r="BN201">
        <v>7</v>
      </c>
      <c r="BO201">
        <v>7</v>
      </c>
      <c r="BP201">
        <v>7</v>
      </c>
      <c r="BQ201" t="str">
        <f>"9:30 AM"</f>
        <v>9:30 AM</v>
      </c>
      <c r="BR201" t="str">
        <f>"4:30 PM"</f>
        <v>4:30 PM</v>
      </c>
      <c r="BS201" t="s">
        <v>133</v>
      </c>
      <c r="BT201">
        <v>0</v>
      </c>
      <c r="BU201">
        <v>0</v>
      </c>
      <c r="BV201" t="s">
        <v>134</v>
      </c>
      <c r="BX201" s="2" t="s">
        <v>5993</v>
      </c>
      <c r="BY201" t="s">
        <v>5988</v>
      </c>
      <c r="CA201" t="s">
        <v>5994</v>
      </c>
      <c r="CB201" t="s">
        <v>203</v>
      </c>
      <c r="CC201" s="4" t="str">
        <f>"36542"</f>
        <v>36542</v>
      </c>
      <c r="CD201" t="s">
        <v>2330</v>
      </c>
      <c r="CE201" t="s">
        <v>2726</v>
      </c>
      <c r="CF201" s="6">
        <v>14</v>
      </c>
      <c r="CH201" s="6">
        <v>21</v>
      </c>
      <c r="CJ201" t="s">
        <v>137</v>
      </c>
      <c r="CK201" t="s">
        <v>909</v>
      </c>
      <c r="CL201" t="s">
        <v>5995</v>
      </c>
      <c r="CO201" t="s">
        <v>138</v>
      </c>
      <c r="CP201" t="s">
        <v>114</v>
      </c>
      <c r="CQ201" t="s">
        <v>114</v>
      </c>
      <c r="CR201" t="s">
        <v>114</v>
      </c>
      <c r="CS201" t="s">
        <v>114</v>
      </c>
      <c r="CT201" t="s">
        <v>114</v>
      </c>
      <c r="CU201" t="s">
        <v>114</v>
      </c>
      <c r="CV201" s="2" t="s">
        <v>5996</v>
      </c>
      <c r="CW201" s="5" t="str">
        <f>"+12512243221"</f>
        <v>+12512243221</v>
      </c>
      <c r="CX201" t="s">
        <v>138</v>
      </c>
      <c r="CY201" t="s">
        <v>5997</v>
      </c>
      <c r="CZ201" t="s">
        <v>139</v>
      </c>
      <c r="DA201" t="s">
        <v>134</v>
      </c>
      <c r="DB201" t="s">
        <v>134</v>
      </c>
      <c r="DC201" t="s">
        <v>114</v>
      </c>
      <c r="DD201" t="s">
        <v>134</v>
      </c>
    </row>
    <row r="202" spans="1:113" ht="15" customHeight="1" x14ac:dyDescent="0.25">
      <c r="A202" t="s">
        <v>15541</v>
      </c>
      <c r="B202" t="s">
        <v>165</v>
      </c>
      <c r="C202" s="1">
        <v>44896.56630810185</v>
      </c>
      <c r="D202" s="1">
        <v>44922</v>
      </c>
      <c r="E202" t="s">
        <v>134</v>
      </c>
      <c r="F202" t="s">
        <v>15542</v>
      </c>
      <c r="G202" t="str">
        <f>"35-3031.00"</f>
        <v>35-3031.00</v>
      </c>
      <c r="H202" t="s">
        <v>389</v>
      </c>
      <c r="I202">
        <v>10</v>
      </c>
      <c r="J202">
        <v>10</v>
      </c>
      <c r="K202" s="1">
        <v>44986</v>
      </c>
      <c r="L202" s="1">
        <v>45207</v>
      </c>
      <c r="M202" s="1">
        <v>44986</v>
      </c>
      <c r="N202" s="1">
        <v>45207</v>
      </c>
      <c r="O202" t="s">
        <v>117</v>
      </c>
      <c r="P202" t="s">
        <v>5986</v>
      </c>
      <c r="Q202" t="s">
        <v>5987</v>
      </c>
      <c r="R202" t="s">
        <v>5988</v>
      </c>
      <c r="T202" t="s">
        <v>5989</v>
      </c>
      <c r="U202" t="s">
        <v>203</v>
      </c>
      <c r="V202" s="4" t="str">
        <f>"36542"</f>
        <v>36542</v>
      </c>
      <c r="W202" t="s">
        <v>120</v>
      </c>
      <c r="Y202" s="5">
        <v>12512243221</v>
      </c>
      <c r="AA202">
        <v>72111</v>
      </c>
      <c r="AB202" t="s">
        <v>2211</v>
      </c>
      <c r="AC202" t="s">
        <v>4631</v>
      </c>
      <c r="AE202" t="s">
        <v>2426</v>
      </c>
      <c r="AF202" t="s">
        <v>5988</v>
      </c>
      <c r="AH202" t="s">
        <v>5990</v>
      </c>
      <c r="AI202" t="s">
        <v>203</v>
      </c>
      <c r="AJ202" s="4" t="str">
        <f>"36542"</f>
        <v>36542</v>
      </c>
      <c r="AK202" t="s">
        <v>120</v>
      </c>
      <c r="AM202" s="5">
        <v>12512243221</v>
      </c>
      <c r="AO202" t="s">
        <v>5991</v>
      </c>
      <c r="AP202" t="s">
        <v>256</v>
      </c>
      <c r="AQ202" t="s">
        <v>400</v>
      </c>
      <c r="AR202" t="s">
        <v>401</v>
      </c>
      <c r="AS202" t="s">
        <v>397</v>
      </c>
      <c r="AT202" t="s">
        <v>402</v>
      </c>
      <c r="AU202" t="s">
        <v>152</v>
      </c>
      <c r="AV202" t="s">
        <v>403</v>
      </c>
      <c r="AW202" t="s">
        <v>232</v>
      </c>
      <c r="AX202" s="4" t="str">
        <f>"75033"</f>
        <v>75033</v>
      </c>
      <c r="AY202" t="s">
        <v>120</v>
      </c>
      <c r="BA202" s="5">
        <v>19727789690</v>
      </c>
      <c r="BC202" t="s">
        <v>5992</v>
      </c>
      <c r="BD202" t="s">
        <v>405</v>
      </c>
      <c r="BG202" t="s">
        <v>203</v>
      </c>
      <c r="BH202" s="1">
        <v>44895.791666666664</v>
      </c>
      <c r="BI202">
        <v>35</v>
      </c>
      <c r="BJ202">
        <v>7</v>
      </c>
      <c r="BK202">
        <v>0</v>
      </c>
      <c r="BL202">
        <v>0</v>
      </c>
      <c r="BM202">
        <v>7</v>
      </c>
      <c r="BN202">
        <v>7</v>
      </c>
      <c r="BO202">
        <v>7</v>
      </c>
      <c r="BP202">
        <v>7</v>
      </c>
      <c r="BQ202" t="str">
        <f>"10:00 AM"</f>
        <v>10:00 AM</v>
      </c>
      <c r="BR202" t="str">
        <f>"5:00 PM"</f>
        <v>5:00 PM</v>
      </c>
      <c r="BS202" t="s">
        <v>133</v>
      </c>
      <c r="BT202">
        <v>0</v>
      </c>
      <c r="BU202">
        <v>0</v>
      </c>
      <c r="BV202" t="s">
        <v>134</v>
      </c>
      <c r="BX202" s="2" t="s">
        <v>15543</v>
      </c>
      <c r="BY202" t="s">
        <v>5988</v>
      </c>
      <c r="CA202" t="s">
        <v>5994</v>
      </c>
      <c r="CB202" t="s">
        <v>203</v>
      </c>
      <c r="CC202" s="4" t="str">
        <f>"36542"</f>
        <v>36542</v>
      </c>
      <c r="CD202" t="s">
        <v>2330</v>
      </c>
      <c r="CE202" t="s">
        <v>2726</v>
      </c>
      <c r="CF202" s="6">
        <v>14</v>
      </c>
      <c r="CH202" s="6">
        <v>21</v>
      </c>
      <c r="CJ202" t="s">
        <v>137</v>
      </c>
      <c r="CK202" t="s">
        <v>909</v>
      </c>
      <c r="CL202" t="s">
        <v>15544</v>
      </c>
      <c r="CO202" t="s">
        <v>138</v>
      </c>
      <c r="CP202" t="s">
        <v>114</v>
      </c>
      <c r="CQ202" t="s">
        <v>114</v>
      </c>
      <c r="CR202" t="s">
        <v>114</v>
      </c>
      <c r="CS202" t="s">
        <v>114</v>
      </c>
      <c r="CT202" t="s">
        <v>114</v>
      </c>
      <c r="CU202" t="s">
        <v>114</v>
      </c>
      <c r="CV202" s="2" t="s">
        <v>5996</v>
      </c>
      <c r="CW202" s="5" t="str">
        <f>"+12512243221"</f>
        <v>+12512243221</v>
      </c>
      <c r="CX202" t="s">
        <v>138</v>
      </c>
      <c r="CY202" t="s">
        <v>5997</v>
      </c>
      <c r="CZ202" t="s">
        <v>139</v>
      </c>
      <c r="DA202" t="s">
        <v>134</v>
      </c>
      <c r="DB202" t="s">
        <v>134</v>
      </c>
      <c r="DC202" t="s">
        <v>114</v>
      </c>
      <c r="DD202" t="s">
        <v>134</v>
      </c>
    </row>
    <row r="203" spans="1:113" ht="15" customHeight="1" x14ac:dyDescent="0.25">
      <c r="A203" t="s">
        <v>11687</v>
      </c>
      <c r="B203" t="s">
        <v>165</v>
      </c>
      <c r="C203" s="1">
        <v>44896.563995138888</v>
      </c>
      <c r="D203" s="1">
        <v>44922</v>
      </c>
      <c r="E203" t="s">
        <v>134</v>
      </c>
      <c r="F203" t="s">
        <v>115</v>
      </c>
      <c r="G203" t="str">
        <f>"37-2012.00"</f>
        <v>37-2012.00</v>
      </c>
      <c r="H203" t="s">
        <v>116</v>
      </c>
      <c r="I203">
        <v>10</v>
      </c>
      <c r="J203">
        <v>10</v>
      </c>
      <c r="K203" s="1">
        <v>44986</v>
      </c>
      <c r="L203" s="1">
        <v>45207</v>
      </c>
      <c r="M203" s="1">
        <v>44986</v>
      </c>
      <c r="N203" s="1">
        <v>45207</v>
      </c>
      <c r="O203" t="s">
        <v>117</v>
      </c>
      <c r="P203" t="s">
        <v>5986</v>
      </c>
      <c r="Q203" t="s">
        <v>5987</v>
      </c>
      <c r="R203" t="s">
        <v>5988</v>
      </c>
      <c r="T203" t="s">
        <v>5989</v>
      </c>
      <c r="U203" t="s">
        <v>203</v>
      </c>
      <c r="V203" s="4" t="str">
        <f>"36542"</f>
        <v>36542</v>
      </c>
      <c r="W203" t="s">
        <v>120</v>
      </c>
      <c r="Y203" s="5">
        <v>12512243221</v>
      </c>
      <c r="AA203">
        <v>72111</v>
      </c>
      <c r="AB203" t="s">
        <v>2211</v>
      </c>
      <c r="AC203" t="s">
        <v>4631</v>
      </c>
      <c r="AE203" t="s">
        <v>2426</v>
      </c>
      <c r="AF203" t="s">
        <v>5988</v>
      </c>
      <c r="AH203" t="s">
        <v>5990</v>
      </c>
      <c r="AI203" t="s">
        <v>203</v>
      </c>
      <c r="AJ203" s="4" t="str">
        <f>"36542"</f>
        <v>36542</v>
      </c>
      <c r="AK203" t="s">
        <v>120</v>
      </c>
      <c r="AM203" s="5">
        <v>12512243221</v>
      </c>
      <c r="AO203" t="s">
        <v>5991</v>
      </c>
      <c r="AP203" t="s">
        <v>256</v>
      </c>
      <c r="AQ203" t="s">
        <v>400</v>
      </c>
      <c r="AR203" t="s">
        <v>401</v>
      </c>
      <c r="AS203" t="s">
        <v>397</v>
      </c>
      <c r="AT203" t="s">
        <v>402</v>
      </c>
      <c r="AU203" t="s">
        <v>152</v>
      </c>
      <c r="AV203" t="s">
        <v>403</v>
      </c>
      <c r="AW203" t="s">
        <v>232</v>
      </c>
      <c r="AX203" s="4" t="str">
        <f>"75033"</f>
        <v>75033</v>
      </c>
      <c r="AY203" t="s">
        <v>120</v>
      </c>
      <c r="BA203" s="5">
        <v>19727789690</v>
      </c>
      <c r="BC203" t="s">
        <v>5992</v>
      </c>
      <c r="BD203" t="s">
        <v>405</v>
      </c>
      <c r="BG203" t="s">
        <v>203</v>
      </c>
      <c r="BH203" s="1">
        <v>44895.791666666664</v>
      </c>
      <c r="BI203">
        <v>40</v>
      </c>
      <c r="BJ203">
        <v>8</v>
      </c>
      <c r="BK203">
        <v>0</v>
      </c>
      <c r="BL203">
        <v>0</v>
      </c>
      <c r="BM203">
        <v>8</v>
      </c>
      <c r="BN203">
        <v>8</v>
      </c>
      <c r="BO203">
        <v>8</v>
      </c>
      <c r="BP203">
        <v>8</v>
      </c>
      <c r="BQ203" t="str">
        <f>"8:00 AM"</f>
        <v>8:00 AM</v>
      </c>
      <c r="BR203" t="str">
        <f>"4:30 PM"</f>
        <v>4:30 PM</v>
      </c>
      <c r="BS203" t="s">
        <v>133</v>
      </c>
      <c r="BT203">
        <v>0</v>
      </c>
      <c r="BU203">
        <v>0</v>
      </c>
      <c r="BV203" t="s">
        <v>134</v>
      </c>
      <c r="BX203" s="2" t="s">
        <v>11688</v>
      </c>
      <c r="BY203" t="s">
        <v>5988</v>
      </c>
      <c r="CA203" t="s">
        <v>5994</v>
      </c>
      <c r="CB203" t="s">
        <v>203</v>
      </c>
      <c r="CC203" s="4" t="str">
        <f>"36542"</f>
        <v>36542</v>
      </c>
      <c r="CD203" t="s">
        <v>2330</v>
      </c>
      <c r="CE203" t="s">
        <v>2726</v>
      </c>
      <c r="CF203" s="6">
        <v>14</v>
      </c>
      <c r="CH203" s="6">
        <v>21</v>
      </c>
      <c r="CJ203" t="s">
        <v>137</v>
      </c>
      <c r="CK203" t="s">
        <v>909</v>
      </c>
      <c r="CL203" t="s">
        <v>11689</v>
      </c>
      <c r="CO203" t="s">
        <v>138</v>
      </c>
      <c r="CP203" t="s">
        <v>114</v>
      </c>
      <c r="CQ203" t="s">
        <v>114</v>
      </c>
      <c r="CR203" t="s">
        <v>114</v>
      </c>
      <c r="CS203" t="s">
        <v>114</v>
      </c>
      <c r="CT203" t="s">
        <v>114</v>
      </c>
      <c r="CU203" t="s">
        <v>114</v>
      </c>
      <c r="CV203" s="2" t="s">
        <v>5996</v>
      </c>
      <c r="CW203" s="5" t="str">
        <f>"+12512243221"</f>
        <v>+12512243221</v>
      </c>
      <c r="CX203" t="s">
        <v>138</v>
      </c>
      <c r="CY203" t="s">
        <v>5997</v>
      </c>
      <c r="CZ203" t="s">
        <v>139</v>
      </c>
      <c r="DA203" t="s">
        <v>134</v>
      </c>
      <c r="DB203" t="s">
        <v>134</v>
      </c>
      <c r="DC203" t="s">
        <v>114</v>
      </c>
      <c r="DD203" t="s">
        <v>134</v>
      </c>
    </row>
    <row r="204" spans="1:113" ht="15" customHeight="1" x14ac:dyDescent="0.25">
      <c r="A204" t="s">
        <v>13456</v>
      </c>
      <c r="B204" t="s">
        <v>165</v>
      </c>
      <c r="C204" s="1">
        <v>44896.560998611109</v>
      </c>
      <c r="D204" s="1">
        <v>44922</v>
      </c>
      <c r="E204" t="s">
        <v>134</v>
      </c>
      <c r="F204" t="s">
        <v>2068</v>
      </c>
      <c r="G204" t="str">
        <f>"35-9021.00"</f>
        <v>35-9021.00</v>
      </c>
      <c r="H204" t="s">
        <v>1910</v>
      </c>
      <c r="I204">
        <v>3</v>
      </c>
      <c r="J204">
        <v>3</v>
      </c>
      <c r="K204" s="1">
        <v>44986</v>
      </c>
      <c r="L204" s="1">
        <v>45207</v>
      </c>
      <c r="M204" s="1">
        <v>44986</v>
      </c>
      <c r="N204" s="1">
        <v>45207</v>
      </c>
      <c r="O204" t="s">
        <v>117</v>
      </c>
      <c r="P204" t="s">
        <v>10098</v>
      </c>
      <c r="Q204" t="s">
        <v>5987</v>
      </c>
      <c r="R204" t="s">
        <v>5988</v>
      </c>
      <c r="T204" t="s">
        <v>5989</v>
      </c>
      <c r="U204" t="s">
        <v>203</v>
      </c>
      <c r="V204" s="4" t="str">
        <f>"36542"</f>
        <v>36542</v>
      </c>
      <c r="W204" t="s">
        <v>120</v>
      </c>
      <c r="Y204" s="5">
        <v>12512243221</v>
      </c>
      <c r="AA204">
        <v>72111</v>
      </c>
      <c r="AB204" t="s">
        <v>2211</v>
      </c>
      <c r="AC204" t="s">
        <v>4631</v>
      </c>
      <c r="AE204" t="s">
        <v>1915</v>
      </c>
      <c r="AF204" t="s">
        <v>5988</v>
      </c>
      <c r="AH204" t="s">
        <v>5989</v>
      </c>
      <c r="AI204" t="s">
        <v>203</v>
      </c>
      <c r="AJ204" s="4" t="str">
        <f>"36542"</f>
        <v>36542</v>
      </c>
      <c r="AK204" t="s">
        <v>120</v>
      </c>
      <c r="AM204" s="5">
        <v>12512243221</v>
      </c>
      <c r="AO204" t="s">
        <v>5991</v>
      </c>
      <c r="AP204" t="s">
        <v>256</v>
      </c>
      <c r="AQ204" t="s">
        <v>400</v>
      </c>
      <c r="AR204" t="s">
        <v>401</v>
      </c>
      <c r="AS204" t="s">
        <v>397</v>
      </c>
      <c r="AT204" t="s">
        <v>402</v>
      </c>
      <c r="AU204" t="s">
        <v>152</v>
      </c>
      <c r="AV204" t="s">
        <v>403</v>
      </c>
      <c r="AW204" t="s">
        <v>232</v>
      </c>
      <c r="AX204" s="4" t="str">
        <f>"75033"</f>
        <v>75033</v>
      </c>
      <c r="AY204" t="s">
        <v>120</v>
      </c>
      <c r="BA204" s="5">
        <v>19727789690</v>
      </c>
      <c r="BC204" t="s">
        <v>1503</v>
      </c>
      <c r="BD204" t="s">
        <v>405</v>
      </c>
      <c r="BG204" t="s">
        <v>203</v>
      </c>
      <c r="BH204" s="1">
        <v>44895.791666666664</v>
      </c>
      <c r="BI204">
        <v>40</v>
      </c>
      <c r="BJ204">
        <v>8</v>
      </c>
      <c r="BK204">
        <v>0</v>
      </c>
      <c r="BL204">
        <v>0</v>
      </c>
      <c r="BM204">
        <v>8</v>
      </c>
      <c r="BN204">
        <v>8</v>
      </c>
      <c r="BO204">
        <v>8</v>
      </c>
      <c r="BP204">
        <v>8</v>
      </c>
      <c r="BQ204" t="str">
        <f>"10:00 AM"</f>
        <v>10:00 AM</v>
      </c>
      <c r="BR204" t="str">
        <f>"6:30 PM"</f>
        <v>6:30 PM</v>
      </c>
      <c r="BS204" t="s">
        <v>133</v>
      </c>
      <c r="BT204">
        <v>0</v>
      </c>
      <c r="BU204">
        <v>0</v>
      </c>
      <c r="BV204" t="s">
        <v>134</v>
      </c>
      <c r="BX204" s="2" t="s">
        <v>13457</v>
      </c>
      <c r="BY204" t="s">
        <v>5988</v>
      </c>
      <c r="CA204" t="s">
        <v>5989</v>
      </c>
      <c r="CB204" t="s">
        <v>203</v>
      </c>
      <c r="CC204" s="4" t="str">
        <f>"36542"</f>
        <v>36542</v>
      </c>
      <c r="CD204" t="s">
        <v>2330</v>
      </c>
      <c r="CE204" t="s">
        <v>2726</v>
      </c>
      <c r="CF204" s="6">
        <v>14</v>
      </c>
      <c r="CH204" s="6">
        <v>21</v>
      </c>
      <c r="CJ204" t="s">
        <v>137</v>
      </c>
      <c r="CK204" t="s">
        <v>909</v>
      </c>
      <c r="CL204" t="s">
        <v>13458</v>
      </c>
      <c r="CO204" t="s">
        <v>138</v>
      </c>
      <c r="CP204" t="s">
        <v>114</v>
      </c>
      <c r="CQ204" t="s">
        <v>114</v>
      </c>
      <c r="CR204" t="s">
        <v>114</v>
      </c>
      <c r="CS204" t="s">
        <v>114</v>
      </c>
      <c r="CT204" t="s">
        <v>114</v>
      </c>
      <c r="CU204" t="s">
        <v>114</v>
      </c>
      <c r="CV204" s="2" t="s">
        <v>10010</v>
      </c>
      <c r="CW204" s="5" t="str">
        <f>"+12512243221"</f>
        <v>+12512243221</v>
      </c>
      <c r="CX204" t="s">
        <v>138</v>
      </c>
      <c r="CY204" t="s">
        <v>5997</v>
      </c>
      <c r="CZ204" t="s">
        <v>139</v>
      </c>
      <c r="DA204" t="s">
        <v>134</v>
      </c>
      <c r="DB204" t="s">
        <v>134</v>
      </c>
      <c r="DC204" t="s">
        <v>114</v>
      </c>
      <c r="DD204" t="s">
        <v>134</v>
      </c>
    </row>
    <row r="205" spans="1:113" ht="15" customHeight="1" x14ac:dyDescent="0.25">
      <c r="A205" t="s">
        <v>15567</v>
      </c>
      <c r="B205" t="s">
        <v>165</v>
      </c>
      <c r="C205" s="1">
        <v>44896.559907870367</v>
      </c>
      <c r="D205" s="1">
        <v>44922</v>
      </c>
      <c r="E205" t="s">
        <v>134</v>
      </c>
      <c r="F205" t="s">
        <v>1662</v>
      </c>
      <c r="G205" t="str">
        <f>"37-3011.00"</f>
        <v>37-3011.00</v>
      </c>
      <c r="H205" t="s">
        <v>335</v>
      </c>
      <c r="I205">
        <v>67</v>
      </c>
      <c r="J205">
        <v>67</v>
      </c>
      <c r="K205" s="1">
        <v>44986</v>
      </c>
      <c r="L205" s="1">
        <v>45247</v>
      </c>
      <c r="M205" s="1">
        <v>44986</v>
      </c>
      <c r="N205" s="1">
        <v>45247</v>
      </c>
      <c r="O205" t="s">
        <v>117</v>
      </c>
      <c r="P205" t="s">
        <v>15568</v>
      </c>
      <c r="R205" t="s">
        <v>15569</v>
      </c>
      <c r="S205" t="s">
        <v>3966</v>
      </c>
      <c r="T205" t="s">
        <v>4254</v>
      </c>
      <c r="U205" t="s">
        <v>530</v>
      </c>
      <c r="V205" s="4" t="str">
        <f>"85249"</f>
        <v>85249</v>
      </c>
      <c r="W205" t="s">
        <v>120</v>
      </c>
      <c r="Y205" s="5">
        <v>14807825296</v>
      </c>
      <c r="AA205">
        <v>56173</v>
      </c>
      <c r="AB205" t="s">
        <v>942</v>
      </c>
      <c r="AC205" t="s">
        <v>943</v>
      </c>
      <c r="AE205" t="s">
        <v>3968</v>
      </c>
      <c r="AF205" t="s">
        <v>15569</v>
      </c>
      <c r="AG205" t="s">
        <v>4636</v>
      </c>
      <c r="AH205" t="s">
        <v>4254</v>
      </c>
      <c r="AI205" t="s">
        <v>530</v>
      </c>
      <c r="AJ205" s="4" t="str">
        <f>"85249"</f>
        <v>85249</v>
      </c>
      <c r="AK205" t="s">
        <v>120</v>
      </c>
      <c r="AM205" s="5">
        <v>14807825296</v>
      </c>
      <c r="AO205" t="s">
        <v>945</v>
      </c>
      <c r="AP205" t="s">
        <v>256</v>
      </c>
      <c r="AQ205" t="s">
        <v>475</v>
      </c>
      <c r="AR205" t="s">
        <v>476</v>
      </c>
      <c r="AT205" t="s">
        <v>477</v>
      </c>
      <c r="AV205" t="s">
        <v>478</v>
      </c>
      <c r="AW205" t="s">
        <v>479</v>
      </c>
      <c r="AX205" s="4" t="str">
        <f>"22903"</f>
        <v>22903</v>
      </c>
      <c r="AY205" t="s">
        <v>120</v>
      </c>
      <c r="BA205" s="5">
        <v>14342634300</v>
      </c>
      <c r="BC205" t="s">
        <v>480</v>
      </c>
      <c r="BD205" t="s">
        <v>481</v>
      </c>
      <c r="BG205" t="s">
        <v>530</v>
      </c>
      <c r="BH205" s="1">
        <v>44895.791666666664</v>
      </c>
      <c r="BI205">
        <v>40</v>
      </c>
      <c r="BJ205">
        <v>0</v>
      </c>
      <c r="BK205">
        <v>8</v>
      </c>
      <c r="BL205">
        <v>8</v>
      </c>
      <c r="BM205">
        <v>8</v>
      </c>
      <c r="BN205">
        <v>8</v>
      </c>
      <c r="BO205">
        <v>8</v>
      </c>
      <c r="BP205">
        <v>0</v>
      </c>
      <c r="BQ205" t="str">
        <f>"5:00 AM"</f>
        <v>5:00 AM</v>
      </c>
      <c r="BR205" t="str">
        <f>"1:30 PM"</f>
        <v>1:30 PM</v>
      </c>
      <c r="BS205" t="s">
        <v>133</v>
      </c>
      <c r="BT205">
        <v>0</v>
      </c>
      <c r="BU205">
        <v>0</v>
      </c>
      <c r="BV205" t="s">
        <v>134</v>
      </c>
      <c r="BX205" s="2" t="s">
        <v>3969</v>
      </c>
      <c r="BY205" t="s">
        <v>15569</v>
      </c>
      <c r="CA205" t="s">
        <v>4254</v>
      </c>
      <c r="CB205" t="s">
        <v>530</v>
      </c>
      <c r="CC205" s="4" t="str">
        <f>"85249"</f>
        <v>85249</v>
      </c>
      <c r="CD205" t="s">
        <v>592</v>
      </c>
      <c r="CE205" t="s">
        <v>548</v>
      </c>
      <c r="CF205" s="6">
        <v>16.57</v>
      </c>
      <c r="CH205" s="6">
        <v>24.86</v>
      </c>
      <c r="CJ205" t="s">
        <v>137</v>
      </c>
      <c r="CK205" t="s">
        <v>487</v>
      </c>
      <c r="CL205" t="s">
        <v>15570</v>
      </c>
      <c r="CO205" t="s">
        <v>138</v>
      </c>
      <c r="CP205" t="s">
        <v>114</v>
      </c>
      <c r="CQ205" t="s">
        <v>114</v>
      </c>
      <c r="CR205" t="s">
        <v>114</v>
      </c>
      <c r="CS205" t="s">
        <v>114</v>
      </c>
      <c r="CT205" t="s">
        <v>114</v>
      </c>
      <c r="CU205" t="s">
        <v>114</v>
      </c>
      <c r="CV205" t="s">
        <v>15571</v>
      </c>
      <c r="CW205" s="5" t="str">
        <f>"+14807825296"</f>
        <v>+14807825296</v>
      </c>
      <c r="CX205" t="s">
        <v>138</v>
      </c>
      <c r="CY205" t="s">
        <v>596</v>
      </c>
      <c r="CZ205" t="s">
        <v>139</v>
      </c>
      <c r="DA205" t="s">
        <v>134</v>
      </c>
      <c r="DB205" t="s">
        <v>114</v>
      </c>
      <c r="DC205" t="s">
        <v>114</v>
      </c>
      <c r="DD205" t="s">
        <v>134</v>
      </c>
      <c r="DE205" t="s">
        <v>492</v>
      </c>
      <c r="DF205" t="s">
        <v>493</v>
      </c>
      <c r="DH205" t="s">
        <v>481</v>
      </c>
      <c r="DI205" t="s">
        <v>480</v>
      </c>
    </row>
    <row r="206" spans="1:113" ht="15" customHeight="1" x14ac:dyDescent="0.25">
      <c r="A206" t="s">
        <v>10096</v>
      </c>
      <c r="B206" t="s">
        <v>165</v>
      </c>
      <c r="C206" s="1">
        <v>44896.559324305555</v>
      </c>
      <c r="D206" s="1">
        <v>44922</v>
      </c>
      <c r="E206" t="s">
        <v>134</v>
      </c>
      <c r="F206" t="s">
        <v>10097</v>
      </c>
      <c r="G206" t="str">
        <f>"37-2011.00"</f>
        <v>37-2011.00</v>
      </c>
      <c r="H206" t="s">
        <v>672</v>
      </c>
      <c r="I206">
        <v>7</v>
      </c>
      <c r="J206">
        <v>7</v>
      </c>
      <c r="K206" s="1">
        <v>44986</v>
      </c>
      <c r="L206" s="1">
        <v>45207</v>
      </c>
      <c r="M206" s="1">
        <v>44986</v>
      </c>
      <c r="N206" s="1">
        <v>45207</v>
      </c>
      <c r="O206" t="s">
        <v>117</v>
      </c>
      <c r="P206" t="s">
        <v>10098</v>
      </c>
      <c r="Q206" t="s">
        <v>5987</v>
      </c>
      <c r="R206" t="s">
        <v>5988</v>
      </c>
      <c r="T206" t="s">
        <v>5989</v>
      </c>
      <c r="U206" t="s">
        <v>203</v>
      </c>
      <c r="V206" s="4" t="str">
        <f>"36542"</f>
        <v>36542</v>
      </c>
      <c r="W206" t="s">
        <v>120</v>
      </c>
      <c r="Y206" s="5">
        <v>12512243221</v>
      </c>
      <c r="AA206">
        <v>72111</v>
      </c>
      <c r="AB206" t="s">
        <v>2211</v>
      </c>
      <c r="AC206" t="s">
        <v>4631</v>
      </c>
      <c r="AE206" t="s">
        <v>1915</v>
      </c>
      <c r="AF206" t="s">
        <v>5988</v>
      </c>
      <c r="AH206" t="s">
        <v>5989</v>
      </c>
      <c r="AI206" t="s">
        <v>203</v>
      </c>
      <c r="AJ206" s="4" t="str">
        <f>"36542"</f>
        <v>36542</v>
      </c>
      <c r="AK206" t="s">
        <v>120</v>
      </c>
      <c r="AM206" s="5">
        <v>12512243221</v>
      </c>
      <c r="AO206" t="s">
        <v>5991</v>
      </c>
      <c r="AP206" t="s">
        <v>256</v>
      </c>
      <c r="AQ206" t="s">
        <v>400</v>
      </c>
      <c r="AR206" t="s">
        <v>401</v>
      </c>
      <c r="AS206" t="s">
        <v>397</v>
      </c>
      <c r="AT206" t="s">
        <v>402</v>
      </c>
      <c r="AU206" t="s">
        <v>152</v>
      </c>
      <c r="AV206" t="s">
        <v>403</v>
      </c>
      <c r="AW206" t="s">
        <v>232</v>
      </c>
      <c r="AX206" s="4" t="str">
        <f>"75033"</f>
        <v>75033</v>
      </c>
      <c r="AY206" t="s">
        <v>120</v>
      </c>
      <c r="BA206" s="5">
        <v>19727789690</v>
      </c>
      <c r="BC206" t="s">
        <v>1503</v>
      </c>
      <c r="BD206" t="s">
        <v>405</v>
      </c>
      <c r="BG206" t="s">
        <v>203</v>
      </c>
      <c r="BH206" s="1">
        <v>44895.791666666664</v>
      </c>
      <c r="BI206">
        <v>40</v>
      </c>
      <c r="BJ206">
        <v>8</v>
      </c>
      <c r="BK206">
        <v>0</v>
      </c>
      <c r="BL206">
        <v>0</v>
      </c>
      <c r="BM206">
        <v>8</v>
      </c>
      <c r="BN206">
        <v>8</v>
      </c>
      <c r="BO206">
        <v>8</v>
      </c>
      <c r="BP206">
        <v>8</v>
      </c>
      <c r="BQ206" t="str">
        <f>"10:00 AM"</f>
        <v>10:00 AM</v>
      </c>
      <c r="BR206" t="str">
        <f>"6:30 PM"</f>
        <v>6:30 PM</v>
      </c>
      <c r="BS206" t="s">
        <v>133</v>
      </c>
      <c r="BT206">
        <v>0</v>
      </c>
      <c r="BU206">
        <v>0</v>
      </c>
      <c r="BV206" t="s">
        <v>134</v>
      </c>
      <c r="BX206" s="2" t="s">
        <v>10099</v>
      </c>
      <c r="BY206" t="s">
        <v>5988</v>
      </c>
      <c r="CA206" t="s">
        <v>5989</v>
      </c>
      <c r="CB206" t="s">
        <v>203</v>
      </c>
      <c r="CC206" s="4" t="str">
        <f>"36542"</f>
        <v>36542</v>
      </c>
      <c r="CD206" t="s">
        <v>2330</v>
      </c>
      <c r="CE206" t="s">
        <v>2726</v>
      </c>
      <c r="CF206" s="6">
        <v>14</v>
      </c>
      <c r="CH206" s="6">
        <v>21</v>
      </c>
      <c r="CJ206" t="s">
        <v>137</v>
      </c>
      <c r="CK206" t="s">
        <v>909</v>
      </c>
      <c r="CL206" t="s">
        <v>10100</v>
      </c>
      <c r="CO206" t="s">
        <v>138</v>
      </c>
      <c r="CP206" t="s">
        <v>114</v>
      </c>
      <c r="CQ206" t="s">
        <v>114</v>
      </c>
      <c r="CR206" t="s">
        <v>114</v>
      </c>
      <c r="CS206" t="s">
        <v>114</v>
      </c>
      <c r="CT206" t="s">
        <v>114</v>
      </c>
      <c r="CU206" t="s">
        <v>114</v>
      </c>
      <c r="CV206" s="2" t="s">
        <v>5996</v>
      </c>
      <c r="CW206" s="5" t="str">
        <f>"+12512243221"</f>
        <v>+12512243221</v>
      </c>
      <c r="CX206" t="s">
        <v>138</v>
      </c>
      <c r="CY206" t="s">
        <v>5997</v>
      </c>
      <c r="CZ206" t="s">
        <v>139</v>
      </c>
      <c r="DA206" t="s">
        <v>134</v>
      </c>
      <c r="DB206" t="s">
        <v>134</v>
      </c>
      <c r="DC206" t="s">
        <v>114</v>
      </c>
      <c r="DD206" t="s">
        <v>134</v>
      </c>
    </row>
    <row r="207" spans="1:113" ht="15" customHeight="1" x14ac:dyDescent="0.25">
      <c r="A207" t="s">
        <v>5762</v>
      </c>
      <c r="B207" t="s">
        <v>165</v>
      </c>
      <c r="C207" s="1">
        <v>44896.556179629632</v>
      </c>
      <c r="D207" s="1">
        <v>44922</v>
      </c>
      <c r="E207" t="s">
        <v>134</v>
      </c>
      <c r="F207" t="s">
        <v>1662</v>
      </c>
      <c r="G207" t="str">
        <f>"37-3011.00"</f>
        <v>37-3011.00</v>
      </c>
      <c r="H207" t="s">
        <v>335</v>
      </c>
      <c r="I207">
        <v>12</v>
      </c>
      <c r="J207">
        <v>12</v>
      </c>
      <c r="K207" s="1">
        <v>44986</v>
      </c>
      <c r="L207" s="1">
        <v>45230</v>
      </c>
      <c r="M207" s="1">
        <v>44986</v>
      </c>
      <c r="N207" s="1">
        <v>45230</v>
      </c>
      <c r="O207" t="s">
        <v>117</v>
      </c>
      <c r="P207" t="s">
        <v>5763</v>
      </c>
      <c r="R207" t="s">
        <v>5764</v>
      </c>
      <c r="S207" t="s">
        <v>3966</v>
      </c>
      <c r="T207" t="s">
        <v>4387</v>
      </c>
      <c r="U207" t="s">
        <v>988</v>
      </c>
      <c r="V207" s="4" t="str">
        <f>"89106"</f>
        <v>89106</v>
      </c>
      <c r="W207" t="s">
        <v>120</v>
      </c>
      <c r="Y207" s="5">
        <v>17022514235</v>
      </c>
      <c r="AA207">
        <v>56173</v>
      </c>
      <c r="AB207" t="s">
        <v>942</v>
      </c>
      <c r="AC207" t="s">
        <v>943</v>
      </c>
      <c r="AE207" t="s">
        <v>3968</v>
      </c>
      <c r="AF207" t="s">
        <v>5764</v>
      </c>
      <c r="AG207" t="s">
        <v>4636</v>
      </c>
      <c r="AH207" t="s">
        <v>4387</v>
      </c>
      <c r="AI207" t="s">
        <v>988</v>
      </c>
      <c r="AJ207" s="4" t="str">
        <f>"89106"</f>
        <v>89106</v>
      </c>
      <c r="AK207" t="s">
        <v>120</v>
      </c>
      <c r="AM207" s="5">
        <v>17022514235</v>
      </c>
      <c r="AO207" t="s">
        <v>945</v>
      </c>
      <c r="AP207" t="s">
        <v>256</v>
      </c>
      <c r="AQ207" t="s">
        <v>475</v>
      </c>
      <c r="AR207" t="s">
        <v>476</v>
      </c>
      <c r="AT207" t="s">
        <v>477</v>
      </c>
      <c r="AV207" t="s">
        <v>478</v>
      </c>
      <c r="AW207" t="s">
        <v>479</v>
      </c>
      <c r="AX207" s="4" t="str">
        <f>"22903"</f>
        <v>22903</v>
      </c>
      <c r="AY207" t="s">
        <v>120</v>
      </c>
      <c r="BA207" s="5">
        <v>14342634300</v>
      </c>
      <c r="BC207" t="s">
        <v>480</v>
      </c>
      <c r="BD207" t="s">
        <v>481</v>
      </c>
      <c r="BG207" t="s">
        <v>988</v>
      </c>
      <c r="BH207" s="1">
        <v>44895.791666666664</v>
      </c>
      <c r="BI207">
        <v>40</v>
      </c>
      <c r="BJ207">
        <v>0</v>
      </c>
      <c r="BK207">
        <v>8</v>
      </c>
      <c r="BL207">
        <v>8</v>
      </c>
      <c r="BM207">
        <v>8</v>
      </c>
      <c r="BN207">
        <v>8</v>
      </c>
      <c r="BO207">
        <v>8</v>
      </c>
      <c r="BP207">
        <v>0</v>
      </c>
      <c r="BQ207" t="str">
        <f>"5:00 AM"</f>
        <v>5:00 AM</v>
      </c>
      <c r="BR207" t="str">
        <f>"1:30 PM"</f>
        <v>1:30 PM</v>
      </c>
      <c r="BS207" t="s">
        <v>133</v>
      </c>
      <c r="BT207">
        <v>0</v>
      </c>
      <c r="BU207">
        <v>0</v>
      </c>
      <c r="BV207" t="s">
        <v>134</v>
      </c>
      <c r="BX207" s="2" t="s">
        <v>5765</v>
      </c>
      <c r="BY207" t="s">
        <v>5764</v>
      </c>
      <c r="CA207" t="s">
        <v>4387</v>
      </c>
      <c r="CB207" t="s">
        <v>988</v>
      </c>
      <c r="CC207" s="4" t="str">
        <f>"89106"</f>
        <v>89106</v>
      </c>
      <c r="CD207" t="s">
        <v>2493</v>
      </c>
      <c r="CE207" t="s">
        <v>4388</v>
      </c>
      <c r="CF207" s="6">
        <v>16.399999999999999</v>
      </c>
      <c r="CH207" s="6">
        <v>24.6</v>
      </c>
      <c r="CJ207" t="s">
        <v>137</v>
      </c>
      <c r="CK207" t="s">
        <v>487</v>
      </c>
      <c r="CL207" t="s">
        <v>5766</v>
      </c>
      <c r="CO207" t="s">
        <v>138</v>
      </c>
      <c r="CP207" t="s">
        <v>114</v>
      </c>
      <c r="CQ207" t="s">
        <v>114</v>
      </c>
      <c r="CR207" t="s">
        <v>114</v>
      </c>
      <c r="CS207" t="s">
        <v>114</v>
      </c>
      <c r="CT207" t="s">
        <v>114</v>
      </c>
      <c r="CU207" t="s">
        <v>114</v>
      </c>
      <c r="CV207" t="s">
        <v>5767</v>
      </c>
      <c r="CW207" s="5" t="str">
        <f>"+17022514235"</f>
        <v>+17022514235</v>
      </c>
      <c r="CX207" t="s">
        <v>138</v>
      </c>
      <c r="CY207" t="s">
        <v>5768</v>
      </c>
      <c r="CZ207" t="s">
        <v>139</v>
      </c>
      <c r="DA207" t="s">
        <v>134</v>
      </c>
      <c r="DB207" t="s">
        <v>114</v>
      </c>
      <c r="DC207" t="s">
        <v>114</v>
      </c>
      <c r="DD207" t="s">
        <v>134</v>
      </c>
      <c r="DE207" t="s">
        <v>492</v>
      </c>
      <c r="DF207" t="s">
        <v>493</v>
      </c>
      <c r="DH207" t="s">
        <v>481</v>
      </c>
      <c r="DI207" t="s">
        <v>480</v>
      </c>
    </row>
    <row r="208" spans="1:113" ht="15" customHeight="1" x14ac:dyDescent="0.25">
      <c r="A208" t="s">
        <v>14118</v>
      </c>
      <c r="B208" t="s">
        <v>165</v>
      </c>
      <c r="C208" s="1">
        <v>44896.546317129629</v>
      </c>
      <c r="D208" s="1">
        <v>44922</v>
      </c>
      <c r="E208" t="s">
        <v>134</v>
      </c>
      <c r="F208" t="s">
        <v>1662</v>
      </c>
      <c r="G208" t="str">
        <f>"37-3011.00"</f>
        <v>37-3011.00</v>
      </c>
      <c r="H208" t="s">
        <v>335</v>
      </c>
      <c r="I208">
        <v>18</v>
      </c>
      <c r="J208">
        <v>18</v>
      </c>
      <c r="K208" s="1">
        <v>44986</v>
      </c>
      <c r="L208" s="1">
        <v>45230</v>
      </c>
      <c r="M208" s="1">
        <v>44986</v>
      </c>
      <c r="N208" s="1">
        <v>45230</v>
      </c>
      <c r="O208" t="s">
        <v>117</v>
      </c>
      <c r="P208" t="s">
        <v>14119</v>
      </c>
      <c r="R208" t="s">
        <v>14120</v>
      </c>
      <c r="S208" t="s">
        <v>3966</v>
      </c>
      <c r="T208" t="s">
        <v>14121</v>
      </c>
      <c r="U208" t="s">
        <v>154</v>
      </c>
      <c r="V208" s="4" t="str">
        <f>"34203"</f>
        <v>34203</v>
      </c>
      <c r="W208" t="s">
        <v>120</v>
      </c>
      <c r="Y208" s="5">
        <v>19412518080</v>
      </c>
      <c r="AA208">
        <v>56173</v>
      </c>
      <c r="AB208" t="s">
        <v>942</v>
      </c>
      <c r="AC208" t="s">
        <v>943</v>
      </c>
      <c r="AE208" t="s">
        <v>3968</v>
      </c>
      <c r="AF208" t="s">
        <v>14120</v>
      </c>
      <c r="AG208" t="s">
        <v>3966</v>
      </c>
      <c r="AH208" t="s">
        <v>14121</v>
      </c>
      <c r="AI208" t="s">
        <v>154</v>
      </c>
      <c r="AJ208" s="4" t="str">
        <f>"34203"</f>
        <v>34203</v>
      </c>
      <c r="AK208" t="s">
        <v>120</v>
      </c>
      <c r="AM208" s="5">
        <v>19412518080</v>
      </c>
      <c r="AO208" t="s">
        <v>945</v>
      </c>
      <c r="AP208" t="s">
        <v>256</v>
      </c>
      <c r="AQ208" t="s">
        <v>475</v>
      </c>
      <c r="AR208" t="s">
        <v>476</v>
      </c>
      <c r="AT208" t="s">
        <v>477</v>
      </c>
      <c r="AV208" t="s">
        <v>478</v>
      </c>
      <c r="AW208" t="s">
        <v>479</v>
      </c>
      <c r="AX208" s="4" t="str">
        <f>"22903"</f>
        <v>22903</v>
      </c>
      <c r="AY208" t="s">
        <v>120</v>
      </c>
      <c r="BA208" s="5">
        <v>14342634300</v>
      </c>
      <c r="BC208" t="s">
        <v>480</v>
      </c>
      <c r="BD208" t="s">
        <v>481</v>
      </c>
      <c r="BG208" t="s">
        <v>154</v>
      </c>
      <c r="BH208" s="1">
        <v>44895.791666666664</v>
      </c>
      <c r="BI208">
        <v>40</v>
      </c>
      <c r="BJ208">
        <v>0</v>
      </c>
      <c r="BK208">
        <v>8</v>
      </c>
      <c r="BL208">
        <v>8</v>
      </c>
      <c r="BM208">
        <v>8</v>
      </c>
      <c r="BN208">
        <v>8</v>
      </c>
      <c r="BO208">
        <v>8</v>
      </c>
      <c r="BP208">
        <v>0</v>
      </c>
      <c r="BQ208" t="str">
        <f>"7:00 AM"</f>
        <v>7:00 AM</v>
      </c>
      <c r="BR208" t="str">
        <f>"4:00 PM"</f>
        <v>4:00 PM</v>
      </c>
      <c r="BS208" t="s">
        <v>133</v>
      </c>
      <c r="BT208">
        <v>0</v>
      </c>
      <c r="BU208">
        <v>0</v>
      </c>
      <c r="BV208" t="s">
        <v>134</v>
      </c>
      <c r="BX208" s="2" t="s">
        <v>5765</v>
      </c>
      <c r="BY208" t="s">
        <v>14120</v>
      </c>
      <c r="CA208" t="s">
        <v>14121</v>
      </c>
      <c r="CB208" t="s">
        <v>154</v>
      </c>
      <c r="CC208" s="4" t="str">
        <f>"34203"</f>
        <v>34203</v>
      </c>
      <c r="CD208" t="s">
        <v>8229</v>
      </c>
      <c r="CE208" t="s">
        <v>3944</v>
      </c>
      <c r="CF208" s="6">
        <v>15.84</v>
      </c>
      <c r="CH208" s="6">
        <v>23.76</v>
      </c>
      <c r="CJ208" t="s">
        <v>137</v>
      </c>
      <c r="CK208" t="s">
        <v>487</v>
      </c>
      <c r="CL208" t="s">
        <v>14122</v>
      </c>
      <c r="CO208" t="s">
        <v>138</v>
      </c>
      <c r="CP208" t="s">
        <v>114</v>
      </c>
      <c r="CQ208" t="s">
        <v>114</v>
      </c>
      <c r="CR208" t="s">
        <v>114</v>
      </c>
      <c r="CS208" t="s">
        <v>114</v>
      </c>
      <c r="CT208" t="s">
        <v>114</v>
      </c>
      <c r="CU208" t="s">
        <v>114</v>
      </c>
      <c r="CV208" t="s">
        <v>14123</v>
      </c>
      <c r="CW208" s="5" t="str">
        <f>"+19412518080"</f>
        <v>+19412518080</v>
      </c>
      <c r="CX208" t="s">
        <v>138</v>
      </c>
      <c r="CY208" t="s">
        <v>1274</v>
      </c>
      <c r="CZ208" t="s">
        <v>139</v>
      </c>
      <c r="DA208" t="s">
        <v>134</v>
      </c>
      <c r="DB208" t="s">
        <v>114</v>
      </c>
      <c r="DC208" t="s">
        <v>114</v>
      </c>
      <c r="DD208" t="s">
        <v>134</v>
      </c>
      <c r="DE208" t="s">
        <v>492</v>
      </c>
      <c r="DF208" t="s">
        <v>493</v>
      </c>
      <c r="DH208" t="s">
        <v>481</v>
      </c>
      <c r="DI208" t="s">
        <v>480</v>
      </c>
    </row>
    <row r="209" spans="1:113" ht="15" customHeight="1" x14ac:dyDescent="0.25">
      <c r="A209" t="s">
        <v>3963</v>
      </c>
      <c r="B209" t="s">
        <v>165</v>
      </c>
      <c r="C209" s="1">
        <v>44896.536371643517</v>
      </c>
      <c r="D209" s="1">
        <v>44922</v>
      </c>
      <c r="E209" t="s">
        <v>134</v>
      </c>
      <c r="F209" t="s">
        <v>334</v>
      </c>
      <c r="G209" t="str">
        <f>"37-3011.00"</f>
        <v>37-3011.00</v>
      </c>
      <c r="H209" t="s">
        <v>335</v>
      </c>
      <c r="I209">
        <v>28</v>
      </c>
      <c r="J209">
        <v>28</v>
      </c>
      <c r="K209" s="1">
        <v>44986</v>
      </c>
      <c r="L209" s="1">
        <v>45212</v>
      </c>
      <c r="M209" s="1">
        <v>44986</v>
      </c>
      <c r="N209" s="1">
        <v>45212</v>
      </c>
      <c r="O209" t="s">
        <v>117</v>
      </c>
      <c r="P209" t="s">
        <v>3964</v>
      </c>
      <c r="R209" t="s">
        <v>3965</v>
      </c>
      <c r="S209" t="s">
        <v>3966</v>
      </c>
      <c r="T209" t="s">
        <v>3967</v>
      </c>
      <c r="U209" t="s">
        <v>154</v>
      </c>
      <c r="V209" s="4" t="str">
        <f>"34953"</f>
        <v>34953</v>
      </c>
      <c r="W209" t="s">
        <v>120</v>
      </c>
      <c r="Y209" s="5">
        <v>17722004571</v>
      </c>
      <c r="AA209">
        <v>56173</v>
      </c>
      <c r="AB209" t="s">
        <v>942</v>
      </c>
      <c r="AC209" t="s">
        <v>943</v>
      </c>
      <c r="AE209" t="s">
        <v>3968</v>
      </c>
      <c r="AF209" t="s">
        <v>3965</v>
      </c>
      <c r="AG209" t="s">
        <v>3966</v>
      </c>
      <c r="AH209" t="s">
        <v>3967</v>
      </c>
      <c r="AI209" t="s">
        <v>154</v>
      </c>
      <c r="AJ209" s="4" t="str">
        <f>"34953"</f>
        <v>34953</v>
      </c>
      <c r="AK209" t="s">
        <v>120</v>
      </c>
      <c r="AM209" s="5">
        <v>17722004571</v>
      </c>
      <c r="AO209" t="s">
        <v>945</v>
      </c>
      <c r="AP209" t="s">
        <v>256</v>
      </c>
      <c r="AQ209" t="s">
        <v>475</v>
      </c>
      <c r="AR209" t="s">
        <v>476</v>
      </c>
      <c r="AT209" t="s">
        <v>477</v>
      </c>
      <c r="AV209" t="s">
        <v>478</v>
      </c>
      <c r="AW209" t="s">
        <v>479</v>
      </c>
      <c r="AX209" s="4" t="str">
        <f>"22903"</f>
        <v>22903</v>
      </c>
      <c r="AY209" t="s">
        <v>120</v>
      </c>
      <c r="BA209" s="5">
        <v>14342634300</v>
      </c>
      <c r="BC209" t="s">
        <v>480</v>
      </c>
      <c r="BD209" t="s">
        <v>481</v>
      </c>
      <c r="BG209" t="s">
        <v>154</v>
      </c>
      <c r="BH209" s="1">
        <v>44895.791666666664</v>
      </c>
      <c r="BI209">
        <v>40</v>
      </c>
      <c r="BJ209">
        <v>0</v>
      </c>
      <c r="BK209">
        <v>8</v>
      </c>
      <c r="BL209">
        <v>8</v>
      </c>
      <c r="BM209">
        <v>8</v>
      </c>
      <c r="BN209">
        <v>8</v>
      </c>
      <c r="BO209">
        <v>8</v>
      </c>
      <c r="BP209">
        <v>0</v>
      </c>
      <c r="BQ209" t="str">
        <f>"7:00 AM"</f>
        <v>7:00 AM</v>
      </c>
      <c r="BR209" t="str">
        <f>"4:00 PM"</f>
        <v>4:00 PM</v>
      </c>
      <c r="BS209" t="s">
        <v>133</v>
      </c>
      <c r="BT209">
        <v>0</v>
      </c>
      <c r="BU209">
        <v>0</v>
      </c>
      <c r="BV209" t="s">
        <v>134</v>
      </c>
      <c r="BX209" s="2" t="s">
        <v>3969</v>
      </c>
      <c r="BY209" t="s">
        <v>3965</v>
      </c>
      <c r="CA209" t="s">
        <v>3967</v>
      </c>
      <c r="CB209" t="s">
        <v>154</v>
      </c>
      <c r="CC209" s="4" t="str">
        <f>"34953"</f>
        <v>34953</v>
      </c>
      <c r="CD209" t="s">
        <v>3970</v>
      </c>
      <c r="CE209" t="s">
        <v>3971</v>
      </c>
      <c r="CF209" s="6">
        <v>15.19</v>
      </c>
      <c r="CH209" s="6">
        <v>22.79</v>
      </c>
      <c r="CJ209" t="s">
        <v>137</v>
      </c>
      <c r="CK209" t="s">
        <v>487</v>
      </c>
      <c r="CL209" t="s">
        <v>3972</v>
      </c>
      <c r="CO209" t="s">
        <v>138</v>
      </c>
      <c r="CP209" t="s">
        <v>114</v>
      </c>
      <c r="CQ209" t="s">
        <v>114</v>
      </c>
      <c r="CR209" t="s">
        <v>114</v>
      </c>
      <c r="CS209" t="s">
        <v>114</v>
      </c>
      <c r="CT209" t="s">
        <v>114</v>
      </c>
      <c r="CU209" t="s">
        <v>114</v>
      </c>
      <c r="CV209" t="s">
        <v>3973</v>
      </c>
      <c r="CW209" s="5" t="str">
        <f>"+17722004571"</f>
        <v>+17722004571</v>
      </c>
      <c r="CX209" t="s">
        <v>138</v>
      </c>
      <c r="CY209" t="s">
        <v>1274</v>
      </c>
      <c r="CZ209" t="s">
        <v>139</v>
      </c>
      <c r="DA209" t="s">
        <v>134</v>
      </c>
      <c r="DB209" t="s">
        <v>114</v>
      </c>
      <c r="DC209" t="s">
        <v>114</v>
      </c>
      <c r="DD209" t="s">
        <v>134</v>
      </c>
      <c r="DE209" t="s">
        <v>492</v>
      </c>
      <c r="DF209" t="s">
        <v>493</v>
      </c>
      <c r="DH209" t="s">
        <v>481</v>
      </c>
      <c r="DI209" t="s">
        <v>480</v>
      </c>
    </row>
    <row r="210" spans="1:113" ht="15" customHeight="1" x14ac:dyDescent="0.25">
      <c r="A210" t="s">
        <v>14026</v>
      </c>
      <c r="B210" t="s">
        <v>165</v>
      </c>
      <c r="C210" s="1">
        <v>44896.532124189813</v>
      </c>
      <c r="D210" s="1">
        <v>44922</v>
      </c>
      <c r="E210" t="s">
        <v>134</v>
      </c>
      <c r="F210" t="s">
        <v>334</v>
      </c>
      <c r="G210" t="str">
        <f>"37-3011.00"</f>
        <v>37-3011.00</v>
      </c>
      <c r="H210" t="s">
        <v>335</v>
      </c>
      <c r="I210">
        <v>9</v>
      </c>
      <c r="J210">
        <v>9</v>
      </c>
      <c r="K210" s="1">
        <v>44986</v>
      </c>
      <c r="L210" s="1">
        <v>45230</v>
      </c>
      <c r="M210" s="1">
        <v>44986</v>
      </c>
      <c r="N210" s="1">
        <v>45230</v>
      </c>
      <c r="O210" t="s">
        <v>117</v>
      </c>
      <c r="P210" t="s">
        <v>14027</v>
      </c>
      <c r="R210" t="s">
        <v>14028</v>
      </c>
      <c r="S210" t="s">
        <v>3966</v>
      </c>
      <c r="T210" t="s">
        <v>14029</v>
      </c>
      <c r="U210" t="s">
        <v>154</v>
      </c>
      <c r="V210" s="4" t="str">
        <f>"32110"</f>
        <v>32110</v>
      </c>
      <c r="W210" t="s">
        <v>120</v>
      </c>
      <c r="Y210" s="5">
        <v>13864376211</v>
      </c>
      <c r="AA210">
        <v>56173</v>
      </c>
      <c r="AB210" t="s">
        <v>942</v>
      </c>
      <c r="AC210" t="s">
        <v>943</v>
      </c>
      <c r="AE210" t="s">
        <v>3968</v>
      </c>
      <c r="AF210" t="s">
        <v>14028</v>
      </c>
      <c r="AG210" t="s">
        <v>3966</v>
      </c>
      <c r="AH210" t="s">
        <v>14029</v>
      </c>
      <c r="AI210" t="s">
        <v>154</v>
      </c>
      <c r="AJ210" s="4" t="str">
        <f>"32110"</f>
        <v>32110</v>
      </c>
      <c r="AK210" t="s">
        <v>120</v>
      </c>
      <c r="AM210" s="5">
        <v>13864376211</v>
      </c>
      <c r="AO210" t="s">
        <v>945</v>
      </c>
      <c r="AP210" t="s">
        <v>256</v>
      </c>
      <c r="AQ210" t="s">
        <v>475</v>
      </c>
      <c r="AR210" t="s">
        <v>476</v>
      </c>
      <c r="AT210" t="s">
        <v>477</v>
      </c>
      <c r="AV210" t="s">
        <v>478</v>
      </c>
      <c r="AW210" t="s">
        <v>479</v>
      </c>
      <c r="AX210" s="4" t="str">
        <f>"22903"</f>
        <v>22903</v>
      </c>
      <c r="AY210" t="s">
        <v>120</v>
      </c>
      <c r="BA210" s="5">
        <v>14342634300</v>
      </c>
      <c r="BC210" t="s">
        <v>480</v>
      </c>
      <c r="BD210" t="s">
        <v>481</v>
      </c>
      <c r="BG210" t="s">
        <v>154</v>
      </c>
      <c r="BH210" s="1">
        <v>44895.791666666664</v>
      </c>
      <c r="BI210">
        <v>40</v>
      </c>
      <c r="BJ210">
        <v>0</v>
      </c>
      <c r="BK210">
        <v>8</v>
      </c>
      <c r="BL210">
        <v>8</v>
      </c>
      <c r="BM210">
        <v>8</v>
      </c>
      <c r="BN210">
        <v>8</v>
      </c>
      <c r="BO210">
        <v>8</v>
      </c>
      <c r="BP210">
        <v>0</v>
      </c>
      <c r="BQ210" t="str">
        <f>"7:00 AM"</f>
        <v>7:00 AM</v>
      </c>
      <c r="BR210" t="str">
        <f>"4:00 PM"</f>
        <v>4:00 PM</v>
      </c>
      <c r="BS210" t="s">
        <v>133</v>
      </c>
      <c r="BT210">
        <v>0</v>
      </c>
      <c r="BU210">
        <v>0</v>
      </c>
      <c r="BV210" t="s">
        <v>134</v>
      </c>
      <c r="BX210" s="2" t="s">
        <v>5765</v>
      </c>
      <c r="BY210" t="s">
        <v>14028</v>
      </c>
      <c r="CA210" t="s">
        <v>14029</v>
      </c>
      <c r="CB210" t="s">
        <v>154</v>
      </c>
      <c r="CC210" s="4" t="str">
        <f>"32110"</f>
        <v>32110</v>
      </c>
      <c r="CD210" t="s">
        <v>14030</v>
      </c>
      <c r="CE210" t="s">
        <v>10132</v>
      </c>
      <c r="CF210" s="6">
        <v>15.29</v>
      </c>
      <c r="CH210" s="6">
        <v>22.94</v>
      </c>
      <c r="CJ210" t="s">
        <v>137</v>
      </c>
      <c r="CK210" t="s">
        <v>487</v>
      </c>
      <c r="CL210" t="s">
        <v>14031</v>
      </c>
      <c r="CO210" t="s">
        <v>138</v>
      </c>
      <c r="CP210" t="s">
        <v>114</v>
      </c>
      <c r="CQ210" t="s">
        <v>114</v>
      </c>
      <c r="CR210" t="s">
        <v>114</v>
      </c>
      <c r="CS210" t="s">
        <v>114</v>
      </c>
      <c r="CT210" t="s">
        <v>114</v>
      </c>
      <c r="CU210" t="s">
        <v>114</v>
      </c>
      <c r="CV210" t="s">
        <v>14032</v>
      </c>
      <c r="CW210" s="5" t="str">
        <f>"+13864376211"</f>
        <v>+13864376211</v>
      </c>
      <c r="CX210" t="s">
        <v>138</v>
      </c>
      <c r="CY210" t="s">
        <v>1274</v>
      </c>
      <c r="CZ210" t="s">
        <v>139</v>
      </c>
      <c r="DA210" t="s">
        <v>134</v>
      </c>
      <c r="DB210" t="s">
        <v>114</v>
      </c>
      <c r="DC210" t="s">
        <v>114</v>
      </c>
      <c r="DD210" t="s">
        <v>134</v>
      </c>
      <c r="DE210" t="s">
        <v>492</v>
      </c>
      <c r="DF210" t="s">
        <v>493</v>
      </c>
      <c r="DH210" t="s">
        <v>481</v>
      </c>
      <c r="DI210" t="s">
        <v>480</v>
      </c>
    </row>
    <row r="211" spans="1:113" ht="15" customHeight="1" x14ac:dyDescent="0.25">
      <c r="A211" t="s">
        <v>7985</v>
      </c>
      <c r="B211" t="s">
        <v>165</v>
      </c>
      <c r="C211" s="1">
        <v>44896.531173263887</v>
      </c>
      <c r="D211" s="1">
        <v>44922</v>
      </c>
      <c r="E211" t="s">
        <v>134</v>
      </c>
      <c r="F211" t="s">
        <v>334</v>
      </c>
      <c r="G211" t="str">
        <f>"37-3011.00"</f>
        <v>37-3011.00</v>
      </c>
      <c r="H211" t="s">
        <v>335</v>
      </c>
      <c r="I211">
        <v>5</v>
      </c>
      <c r="J211">
        <v>5</v>
      </c>
      <c r="K211" s="1">
        <v>44986</v>
      </c>
      <c r="L211" s="1">
        <v>45230</v>
      </c>
      <c r="M211" s="1">
        <v>44986</v>
      </c>
      <c r="N211" s="1">
        <v>45230</v>
      </c>
      <c r="O211" t="s">
        <v>117</v>
      </c>
      <c r="P211" t="s">
        <v>7986</v>
      </c>
      <c r="R211" t="s">
        <v>7987</v>
      </c>
      <c r="T211" t="s">
        <v>7988</v>
      </c>
      <c r="U211" t="s">
        <v>748</v>
      </c>
      <c r="V211" s="4" t="str">
        <f>"18944"</f>
        <v>18944</v>
      </c>
      <c r="W211" t="s">
        <v>120</v>
      </c>
      <c r="Y211" s="5">
        <v>12156691200</v>
      </c>
      <c r="AA211">
        <v>56173</v>
      </c>
      <c r="AB211" t="s">
        <v>7989</v>
      </c>
      <c r="AC211" t="s">
        <v>146</v>
      </c>
      <c r="AE211" t="s">
        <v>424</v>
      </c>
      <c r="AF211" t="s">
        <v>7987</v>
      </c>
      <c r="AH211" t="s">
        <v>7988</v>
      </c>
      <c r="AI211" t="s">
        <v>748</v>
      </c>
      <c r="AJ211" s="4" t="str">
        <f>"18944"</f>
        <v>18944</v>
      </c>
      <c r="AK211" t="s">
        <v>120</v>
      </c>
      <c r="AM211" s="5">
        <v>12156691200</v>
      </c>
      <c r="AO211" t="s">
        <v>7990</v>
      </c>
      <c r="AP211" t="s">
        <v>256</v>
      </c>
      <c r="AQ211" t="s">
        <v>885</v>
      </c>
      <c r="AR211" t="s">
        <v>886</v>
      </c>
      <c r="AT211" t="s">
        <v>887</v>
      </c>
      <c r="AV211" t="s">
        <v>888</v>
      </c>
      <c r="AW211" t="s">
        <v>232</v>
      </c>
      <c r="AX211" s="4" t="str">
        <f>"75098"</f>
        <v>75098</v>
      </c>
      <c r="AY211" t="s">
        <v>120</v>
      </c>
      <c r="BA211" s="5">
        <v>19724424244</v>
      </c>
      <c r="BC211" t="s">
        <v>889</v>
      </c>
      <c r="BD211" t="s">
        <v>1264</v>
      </c>
      <c r="BG211" t="s">
        <v>748</v>
      </c>
      <c r="BH211" s="1">
        <v>44895.791666666664</v>
      </c>
      <c r="BI211">
        <v>40</v>
      </c>
      <c r="BJ211">
        <v>0</v>
      </c>
      <c r="BK211">
        <v>8</v>
      </c>
      <c r="BL211">
        <v>8</v>
      </c>
      <c r="BM211">
        <v>8</v>
      </c>
      <c r="BN211">
        <v>8</v>
      </c>
      <c r="BO211">
        <v>8</v>
      </c>
      <c r="BP211">
        <v>0</v>
      </c>
      <c r="BQ211" t="str">
        <f>"8:00 AM"</f>
        <v>8:00 AM</v>
      </c>
      <c r="BR211" t="str">
        <f>"4:00 PM"</f>
        <v>4:00 PM</v>
      </c>
      <c r="BS211" t="s">
        <v>133</v>
      </c>
      <c r="BT211">
        <v>0</v>
      </c>
      <c r="BU211">
        <v>0</v>
      </c>
      <c r="BV211" t="s">
        <v>134</v>
      </c>
      <c r="BX211" s="2" t="s">
        <v>4623</v>
      </c>
      <c r="BY211" t="s">
        <v>7987</v>
      </c>
      <c r="CA211" t="s">
        <v>7988</v>
      </c>
      <c r="CB211" t="s">
        <v>748</v>
      </c>
      <c r="CC211" s="4" t="str">
        <f>"18944"</f>
        <v>18944</v>
      </c>
      <c r="CD211" t="s">
        <v>1533</v>
      </c>
      <c r="CE211" t="s">
        <v>1266</v>
      </c>
      <c r="CF211" s="6">
        <v>17.82</v>
      </c>
      <c r="CG211" s="6">
        <v>19</v>
      </c>
      <c r="CH211" s="6">
        <v>26.73</v>
      </c>
      <c r="CI211" s="6">
        <v>28.5</v>
      </c>
      <c r="CJ211" t="s">
        <v>137</v>
      </c>
      <c r="CL211" t="s">
        <v>7991</v>
      </c>
      <c r="CO211" t="s">
        <v>138</v>
      </c>
      <c r="CP211" t="s">
        <v>114</v>
      </c>
      <c r="CQ211" t="s">
        <v>114</v>
      </c>
      <c r="CR211" t="s">
        <v>114</v>
      </c>
      <c r="CS211" t="s">
        <v>114</v>
      </c>
      <c r="CT211" t="s">
        <v>114</v>
      </c>
      <c r="CU211" t="s">
        <v>114</v>
      </c>
      <c r="CV211" t="s">
        <v>7992</v>
      </c>
      <c r="CW211" s="5" t="str">
        <f>"+12156691200"</f>
        <v>+12156691200</v>
      </c>
      <c r="CX211" t="s">
        <v>138</v>
      </c>
      <c r="CY211" t="s">
        <v>1269</v>
      </c>
      <c r="CZ211" t="s">
        <v>139</v>
      </c>
      <c r="DA211" t="s">
        <v>134</v>
      </c>
      <c r="DB211" t="s">
        <v>134</v>
      </c>
      <c r="DC211" t="s">
        <v>114</v>
      </c>
      <c r="DD211" t="s">
        <v>134</v>
      </c>
    </row>
    <row r="212" spans="1:113" ht="15" customHeight="1" x14ac:dyDescent="0.25">
      <c r="A212" t="s">
        <v>9019</v>
      </c>
      <c r="B212" t="s">
        <v>165</v>
      </c>
      <c r="C212" s="1">
        <v>44896.515695833332</v>
      </c>
      <c r="D212" s="1">
        <v>44922</v>
      </c>
      <c r="E212" t="s">
        <v>134</v>
      </c>
      <c r="F212" t="s">
        <v>1994</v>
      </c>
      <c r="G212" t="str">
        <f>"47-2061.00"</f>
        <v>47-2061.00</v>
      </c>
      <c r="H212" t="s">
        <v>1625</v>
      </c>
      <c r="I212">
        <v>8</v>
      </c>
      <c r="J212">
        <v>8</v>
      </c>
      <c r="K212" s="1">
        <v>44986</v>
      </c>
      <c r="L212" s="1">
        <v>45261</v>
      </c>
      <c r="M212" s="1">
        <v>44986</v>
      </c>
      <c r="N212" s="1">
        <v>45261</v>
      </c>
      <c r="O212" t="s">
        <v>117</v>
      </c>
      <c r="P212" t="s">
        <v>9020</v>
      </c>
      <c r="R212" t="s">
        <v>9021</v>
      </c>
      <c r="T212" t="s">
        <v>4767</v>
      </c>
      <c r="U212" t="s">
        <v>232</v>
      </c>
      <c r="V212" s="4" t="str">
        <f>"75117"</f>
        <v>75117</v>
      </c>
      <c r="W212" t="s">
        <v>120</v>
      </c>
      <c r="Y212" s="5">
        <v>19038964454</v>
      </c>
      <c r="AA212">
        <v>23811</v>
      </c>
      <c r="AB212" t="s">
        <v>4575</v>
      </c>
      <c r="AC212" t="s">
        <v>1435</v>
      </c>
      <c r="AE212" t="s">
        <v>2623</v>
      </c>
      <c r="AF212" t="s">
        <v>9021</v>
      </c>
      <c r="AH212" t="s">
        <v>4767</v>
      </c>
      <c r="AI212" t="s">
        <v>232</v>
      </c>
      <c r="AJ212" s="4" t="str">
        <f>"75117"</f>
        <v>75117</v>
      </c>
      <c r="AK212" t="s">
        <v>120</v>
      </c>
      <c r="AM212" s="5">
        <v>19038964454</v>
      </c>
      <c r="AO212" t="s">
        <v>4768</v>
      </c>
      <c r="AP212" t="s">
        <v>256</v>
      </c>
      <c r="AQ212" t="s">
        <v>885</v>
      </c>
      <c r="AR212" t="s">
        <v>886</v>
      </c>
      <c r="AT212" t="s">
        <v>887</v>
      </c>
      <c r="AV212" t="s">
        <v>888</v>
      </c>
      <c r="AW212" t="s">
        <v>232</v>
      </c>
      <c r="AX212" s="4" t="str">
        <f>"75098"</f>
        <v>75098</v>
      </c>
      <c r="AY212" t="s">
        <v>120</v>
      </c>
      <c r="BA212" s="5">
        <v>19724424244</v>
      </c>
      <c r="BC212" t="s">
        <v>889</v>
      </c>
      <c r="BD212" t="s">
        <v>1264</v>
      </c>
      <c r="BG212" t="s">
        <v>232</v>
      </c>
      <c r="BH212" s="1">
        <v>44895.791666666664</v>
      </c>
      <c r="BI212">
        <v>40</v>
      </c>
      <c r="BJ212">
        <v>0</v>
      </c>
      <c r="BK212">
        <v>8</v>
      </c>
      <c r="BL212">
        <v>8</v>
      </c>
      <c r="BM212">
        <v>8</v>
      </c>
      <c r="BN212">
        <v>8</v>
      </c>
      <c r="BO212">
        <v>8</v>
      </c>
      <c r="BP212">
        <v>0</v>
      </c>
      <c r="BQ212" t="str">
        <f>"6:00 AM"</f>
        <v>6:00 AM</v>
      </c>
      <c r="BR212" t="str">
        <f>"5:00 PM"</f>
        <v>5:00 PM</v>
      </c>
      <c r="BS212" t="s">
        <v>133</v>
      </c>
      <c r="BT212">
        <v>0</v>
      </c>
      <c r="BU212">
        <v>0</v>
      </c>
      <c r="BV212" t="s">
        <v>134</v>
      </c>
      <c r="BX212" s="2" t="s">
        <v>2039</v>
      </c>
      <c r="BY212" t="s">
        <v>9021</v>
      </c>
      <c r="CA212" t="s">
        <v>4767</v>
      </c>
      <c r="CB212" t="s">
        <v>232</v>
      </c>
      <c r="CC212" s="4" t="str">
        <f>"75117"</f>
        <v>75117</v>
      </c>
      <c r="CD212" t="s">
        <v>4769</v>
      </c>
      <c r="CE212" t="s">
        <v>1085</v>
      </c>
      <c r="CF212" s="6">
        <v>15.8</v>
      </c>
      <c r="CG212" s="6">
        <v>19.39</v>
      </c>
      <c r="CH212" s="6">
        <v>23.7</v>
      </c>
      <c r="CI212" s="6">
        <v>29.09</v>
      </c>
      <c r="CJ212" t="s">
        <v>137</v>
      </c>
      <c r="CL212" t="s">
        <v>9022</v>
      </c>
      <c r="CO212" t="s">
        <v>138</v>
      </c>
      <c r="CP212" t="s">
        <v>114</v>
      </c>
      <c r="CQ212" t="s">
        <v>114</v>
      </c>
      <c r="CR212" t="s">
        <v>114</v>
      </c>
      <c r="CS212" t="s">
        <v>114</v>
      </c>
      <c r="CT212" t="s">
        <v>114</v>
      </c>
      <c r="CU212" t="s">
        <v>114</v>
      </c>
      <c r="CV212" t="s">
        <v>7992</v>
      </c>
      <c r="CW212" s="5" t="str">
        <f>"+19038964454"</f>
        <v>+19038964454</v>
      </c>
      <c r="CX212" t="s">
        <v>138</v>
      </c>
      <c r="CY212" t="s">
        <v>2072</v>
      </c>
      <c r="CZ212" t="s">
        <v>139</v>
      </c>
      <c r="DA212" t="s">
        <v>134</v>
      </c>
      <c r="DB212" t="s">
        <v>134</v>
      </c>
      <c r="DC212" t="s">
        <v>114</v>
      </c>
      <c r="DD212" t="s">
        <v>134</v>
      </c>
    </row>
    <row r="213" spans="1:113" ht="15" customHeight="1" x14ac:dyDescent="0.25">
      <c r="A213" t="s">
        <v>15539</v>
      </c>
      <c r="B213" t="s">
        <v>165</v>
      </c>
      <c r="C213" s="1">
        <v>44896.512534490743</v>
      </c>
      <c r="D213" s="1">
        <v>44922</v>
      </c>
      <c r="E213" t="s">
        <v>134</v>
      </c>
      <c r="F213" t="s">
        <v>334</v>
      </c>
      <c r="G213" t="str">
        <f t="shared" ref="G213:G238" si="10">"37-3011.00"</f>
        <v>37-3011.00</v>
      </c>
      <c r="H213" t="s">
        <v>335</v>
      </c>
      <c r="I213">
        <v>20</v>
      </c>
      <c r="J213">
        <v>20</v>
      </c>
      <c r="K213" s="1">
        <v>44986</v>
      </c>
      <c r="L213" s="1">
        <v>45291</v>
      </c>
      <c r="M213" s="1">
        <v>44986</v>
      </c>
      <c r="N213" s="1">
        <v>45291</v>
      </c>
      <c r="O213" t="s">
        <v>117</v>
      </c>
      <c r="P213" t="s">
        <v>14130</v>
      </c>
      <c r="R213" t="s">
        <v>14131</v>
      </c>
      <c r="S213" t="s">
        <v>138</v>
      </c>
      <c r="T213" t="s">
        <v>1306</v>
      </c>
      <c r="U213" t="s">
        <v>748</v>
      </c>
      <c r="V213" s="4" t="str">
        <f>"19063"</f>
        <v>19063</v>
      </c>
      <c r="W213" t="s">
        <v>120</v>
      </c>
      <c r="X213" t="s">
        <v>138</v>
      </c>
      <c r="Y213" s="5">
        <v>16103617832</v>
      </c>
      <c r="AA213">
        <v>561730</v>
      </c>
      <c r="AB213" t="s">
        <v>14132</v>
      </c>
      <c r="AC213" t="s">
        <v>14133</v>
      </c>
      <c r="AD213" t="s">
        <v>138</v>
      </c>
      <c r="AE213" t="s">
        <v>342</v>
      </c>
      <c r="AF213" t="s">
        <v>14131</v>
      </c>
      <c r="AG213" t="s">
        <v>138</v>
      </c>
      <c r="AH213" t="s">
        <v>1306</v>
      </c>
      <c r="AI213" t="s">
        <v>748</v>
      </c>
      <c r="AJ213" s="4" t="str">
        <f>"19063"</f>
        <v>19063</v>
      </c>
      <c r="AK213" t="s">
        <v>120</v>
      </c>
      <c r="AM213" s="5">
        <v>16103617832</v>
      </c>
      <c r="AO213" t="s">
        <v>14134</v>
      </c>
      <c r="AP213" t="s">
        <v>256</v>
      </c>
      <c r="AQ213" t="s">
        <v>4312</v>
      </c>
      <c r="AR213" t="s">
        <v>4313</v>
      </c>
      <c r="AS213" t="s">
        <v>4044</v>
      </c>
      <c r="AT213" t="s">
        <v>1284</v>
      </c>
      <c r="AU213" t="s">
        <v>138</v>
      </c>
      <c r="AV213" t="s">
        <v>1285</v>
      </c>
      <c r="AW213" t="s">
        <v>232</v>
      </c>
      <c r="AX213" s="4" t="str">
        <f>"77414"</f>
        <v>77414</v>
      </c>
      <c r="AY213" t="s">
        <v>120</v>
      </c>
      <c r="BA213" s="5">
        <v>19793187277</v>
      </c>
      <c r="BC213" t="s">
        <v>4314</v>
      </c>
      <c r="BD213" t="s">
        <v>1287</v>
      </c>
      <c r="BG213" t="s">
        <v>748</v>
      </c>
      <c r="BH213" s="1">
        <v>44895.791666666664</v>
      </c>
      <c r="BI213">
        <v>40</v>
      </c>
      <c r="BJ213">
        <v>0</v>
      </c>
      <c r="BK213">
        <v>8</v>
      </c>
      <c r="BL213">
        <v>8</v>
      </c>
      <c r="BM213">
        <v>8</v>
      </c>
      <c r="BN213">
        <v>8</v>
      </c>
      <c r="BO213">
        <v>8</v>
      </c>
      <c r="BP213">
        <v>0</v>
      </c>
      <c r="BQ213" t="str">
        <f>"7:00 AM"</f>
        <v>7:00 AM</v>
      </c>
      <c r="BR213" t="str">
        <f>"4:00 PM"</f>
        <v>4:00 PM</v>
      </c>
      <c r="BS213" t="s">
        <v>133</v>
      </c>
      <c r="BT213">
        <v>0</v>
      </c>
      <c r="BU213">
        <v>0</v>
      </c>
      <c r="BV213" t="s">
        <v>134</v>
      </c>
      <c r="BX213" s="2" t="s">
        <v>14135</v>
      </c>
      <c r="BY213" t="s">
        <v>14131</v>
      </c>
      <c r="BZ213" t="s">
        <v>138</v>
      </c>
      <c r="CA213" t="s">
        <v>1306</v>
      </c>
      <c r="CB213" t="s">
        <v>748</v>
      </c>
      <c r="CC213" s="4" t="str">
        <f>"19063"</f>
        <v>19063</v>
      </c>
      <c r="CD213" t="s">
        <v>1311</v>
      </c>
      <c r="CE213" t="s">
        <v>1266</v>
      </c>
      <c r="CF213" s="6">
        <v>17.82</v>
      </c>
      <c r="CG213" s="6">
        <v>21</v>
      </c>
      <c r="CH213" s="6">
        <v>26.73</v>
      </c>
      <c r="CI213" s="6">
        <v>31.5</v>
      </c>
      <c r="CJ213" t="s">
        <v>137</v>
      </c>
      <c r="CK213" t="s">
        <v>4317</v>
      </c>
      <c r="CL213" t="s">
        <v>14136</v>
      </c>
      <c r="CO213" t="s">
        <v>138</v>
      </c>
      <c r="CP213" t="s">
        <v>114</v>
      </c>
      <c r="CQ213" t="s">
        <v>114</v>
      </c>
      <c r="CR213" t="s">
        <v>114</v>
      </c>
      <c r="CS213" t="s">
        <v>114</v>
      </c>
      <c r="CT213" t="s">
        <v>114</v>
      </c>
      <c r="CU213" t="s">
        <v>134</v>
      </c>
      <c r="CV213" t="s">
        <v>2056</v>
      </c>
      <c r="CW213" s="5" t="str">
        <f>"+16103617832"</f>
        <v>+16103617832</v>
      </c>
      <c r="CX213" t="s">
        <v>14137</v>
      </c>
      <c r="CY213" t="s">
        <v>138</v>
      </c>
      <c r="CZ213" t="s">
        <v>139</v>
      </c>
      <c r="DA213" t="s">
        <v>134</v>
      </c>
      <c r="DB213" t="s">
        <v>134</v>
      </c>
      <c r="DC213" t="s">
        <v>114</v>
      </c>
      <c r="DD213" t="s">
        <v>134</v>
      </c>
    </row>
    <row r="214" spans="1:113" ht="15" customHeight="1" x14ac:dyDescent="0.25">
      <c r="A214" t="s">
        <v>5610</v>
      </c>
      <c r="B214" t="s">
        <v>165</v>
      </c>
      <c r="C214" s="1">
        <v>44896.511725925928</v>
      </c>
      <c r="D214" s="1">
        <v>44922</v>
      </c>
      <c r="E214" t="s">
        <v>134</v>
      </c>
      <c r="F214" t="s">
        <v>334</v>
      </c>
      <c r="G214" t="str">
        <f t="shared" si="10"/>
        <v>37-3011.00</v>
      </c>
      <c r="H214" t="s">
        <v>335</v>
      </c>
      <c r="I214">
        <v>15</v>
      </c>
      <c r="J214">
        <v>15</v>
      </c>
      <c r="K214" s="1">
        <v>44986</v>
      </c>
      <c r="L214" s="1">
        <v>45260</v>
      </c>
      <c r="M214" s="1">
        <v>44986</v>
      </c>
      <c r="N214" s="1">
        <v>45260</v>
      </c>
      <c r="O214" t="s">
        <v>199</v>
      </c>
      <c r="P214" t="s">
        <v>5611</v>
      </c>
      <c r="R214" t="s">
        <v>5612</v>
      </c>
      <c r="S214" t="s">
        <v>1808</v>
      </c>
      <c r="T214" t="s">
        <v>2922</v>
      </c>
      <c r="U214" t="s">
        <v>339</v>
      </c>
      <c r="V214" s="4" t="str">
        <f>"21921"</f>
        <v>21921</v>
      </c>
      <c r="W214" t="s">
        <v>120</v>
      </c>
      <c r="Y214" s="5">
        <v>14103920880</v>
      </c>
      <c r="AA214">
        <v>56173</v>
      </c>
      <c r="AB214" t="s">
        <v>5613</v>
      </c>
      <c r="AC214" t="s">
        <v>4278</v>
      </c>
      <c r="AE214" t="s">
        <v>1710</v>
      </c>
      <c r="AF214" t="s">
        <v>5612</v>
      </c>
      <c r="AG214" t="s">
        <v>1808</v>
      </c>
      <c r="AH214" t="s">
        <v>2922</v>
      </c>
      <c r="AI214" t="s">
        <v>339</v>
      </c>
      <c r="AJ214" s="4" t="str">
        <f>"21921"</f>
        <v>21921</v>
      </c>
      <c r="AK214" t="s">
        <v>120</v>
      </c>
      <c r="AM214" s="5">
        <v>14103920880</v>
      </c>
      <c r="AO214" t="s">
        <v>5614</v>
      </c>
      <c r="AP214" t="s">
        <v>256</v>
      </c>
      <c r="AQ214" t="s">
        <v>2115</v>
      </c>
      <c r="AR214" t="s">
        <v>2116</v>
      </c>
      <c r="AT214" t="s">
        <v>1930</v>
      </c>
      <c r="AU214" t="s">
        <v>1931</v>
      </c>
      <c r="AV214" t="s">
        <v>1932</v>
      </c>
      <c r="AW214" t="s">
        <v>349</v>
      </c>
      <c r="AX214" s="4" t="str">
        <f>"83814"</f>
        <v>83814</v>
      </c>
      <c r="AY214" t="s">
        <v>120</v>
      </c>
      <c r="BA214" s="5">
        <v>12087772654</v>
      </c>
      <c r="BC214" t="s">
        <v>2117</v>
      </c>
      <c r="BD214" t="s">
        <v>351</v>
      </c>
      <c r="BG214" t="s">
        <v>339</v>
      </c>
      <c r="BH214" s="1">
        <v>44895.791666666664</v>
      </c>
      <c r="BI214">
        <v>40</v>
      </c>
      <c r="BJ214">
        <v>0</v>
      </c>
      <c r="BK214">
        <v>8</v>
      </c>
      <c r="BL214">
        <v>8</v>
      </c>
      <c r="BM214">
        <v>8</v>
      </c>
      <c r="BN214">
        <v>8</v>
      </c>
      <c r="BO214">
        <v>8</v>
      </c>
      <c r="BP214">
        <v>0</v>
      </c>
      <c r="BQ214" t="str">
        <f>"6:00 AM"</f>
        <v>6:00 AM</v>
      </c>
      <c r="BR214" t="str">
        <f>"3:00 PM"</f>
        <v>3:00 PM</v>
      </c>
      <c r="BS214" t="s">
        <v>133</v>
      </c>
      <c r="BT214">
        <v>0</v>
      </c>
      <c r="BU214">
        <v>0</v>
      </c>
      <c r="BV214" t="s">
        <v>134</v>
      </c>
      <c r="BX214" s="2" t="s">
        <v>2209</v>
      </c>
      <c r="BY214" t="s">
        <v>5615</v>
      </c>
      <c r="BZ214" t="s">
        <v>1808</v>
      </c>
      <c r="CA214" t="s">
        <v>2922</v>
      </c>
      <c r="CB214" t="s">
        <v>339</v>
      </c>
      <c r="CC214" s="4" t="str">
        <f>"21921"</f>
        <v>21921</v>
      </c>
      <c r="CD214" t="s">
        <v>2923</v>
      </c>
      <c r="CE214" t="s">
        <v>1266</v>
      </c>
      <c r="CF214" s="6">
        <v>17.82</v>
      </c>
      <c r="CH214" s="6">
        <v>26.73</v>
      </c>
      <c r="CJ214" t="s">
        <v>137</v>
      </c>
      <c r="CK214" t="s">
        <v>138</v>
      </c>
      <c r="CL214" t="s">
        <v>5616</v>
      </c>
      <c r="CO214" t="s">
        <v>138</v>
      </c>
      <c r="CP214" t="s">
        <v>114</v>
      </c>
      <c r="CQ214" t="s">
        <v>114</v>
      </c>
      <c r="CR214" t="s">
        <v>114</v>
      </c>
      <c r="CS214" t="s">
        <v>114</v>
      </c>
      <c r="CT214" t="s">
        <v>114</v>
      </c>
      <c r="CU214" t="s">
        <v>134</v>
      </c>
      <c r="CV214" t="s">
        <v>358</v>
      </c>
      <c r="CW214" s="5" t="str">
        <f>"+14103920880"</f>
        <v>+14103920880</v>
      </c>
      <c r="CX214" t="s">
        <v>5617</v>
      </c>
      <c r="CY214" t="s">
        <v>138</v>
      </c>
      <c r="CZ214" t="s">
        <v>139</v>
      </c>
      <c r="DA214" t="s">
        <v>134</v>
      </c>
      <c r="DB214" t="s">
        <v>134</v>
      </c>
      <c r="DC214" t="s">
        <v>114</v>
      </c>
      <c r="DD214" t="s">
        <v>134</v>
      </c>
    </row>
    <row r="215" spans="1:113" ht="15" customHeight="1" x14ac:dyDescent="0.25">
      <c r="A215" t="s">
        <v>8132</v>
      </c>
      <c r="B215" t="s">
        <v>165</v>
      </c>
      <c r="C215" s="1">
        <v>44896.508689236114</v>
      </c>
      <c r="D215" s="1">
        <v>44922</v>
      </c>
      <c r="E215" t="s">
        <v>134</v>
      </c>
      <c r="F215" t="s">
        <v>334</v>
      </c>
      <c r="G215" t="str">
        <f t="shared" si="10"/>
        <v>37-3011.00</v>
      </c>
      <c r="H215" t="s">
        <v>335</v>
      </c>
      <c r="I215">
        <v>123</v>
      </c>
      <c r="J215">
        <v>123</v>
      </c>
      <c r="K215" s="1">
        <v>44986</v>
      </c>
      <c r="L215" s="1">
        <v>45260</v>
      </c>
      <c r="M215" s="1">
        <v>44986</v>
      </c>
      <c r="N215" s="1">
        <v>45260</v>
      </c>
      <c r="O215" t="s">
        <v>117</v>
      </c>
      <c r="P215" t="s">
        <v>8133</v>
      </c>
      <c r="R215" t="s">
        <v>8134</v>
      </c>
      <c r="S215" t="s">
        <v>138</v>
      </c>
      <c r="T215" t="s">
        <v>8135</v>
      </c>
      <c r="U215" t="s">
        <v>748</v>
      </c>
      <c r="V215" s="4" t="str">
        <f>"18940"</f>
        <v>18940</v>
      </c>
      <c r="W215" t="s">
        <v>120</v>
      </c>
      <c r="X215" t="s">
        <v>138</v>
      </c>
      <c r="Y215" s="5">
        <v>12155987334</v>
      </c>
      <c r="AA215">
        <v>561730</v>
      </c>
      <c r="AB215" t="s">
        <v>4159</v>
      </c>
      <c r="AC215" t="s">
        <v>8136</v>
      </c>
      <c r="AD215" t="s">
        <v>259</v>
      </c>
      <c r="AE215" t="s">
        <v>342</v>
      </c>
      <c r="AF215" t="s">
        <v>8134</v>
      </c>
      <c r="AG215" t="s">
        <v>138</v>
      </c>
      <c r="AH215" t="s">
        <v>8135</v>
      </c>
      <c r="AI215" t="s">
        <v>748</v>
      </c>
      <c r="AJ215" s="4" t="str">
        <f>"18940"</f>
        <v>18940</v>
      </c>
      <c r="AK215" t="s">
        <v>120</v>
      </c>
      <c r="AM215" s="5">
        <v>12155987334</v>
      </c>
      <c r="AO215" t="s">
        <v>8137</v>
      </c>
      <c r="AP215" t="s">
        <v>256</v>
      </c>
      <c r="AQ215" t="s">
        <v>4312</v>
      </c>
      <c r="AR215" t="s">
        <v>4313</v>
      </c>
      <c r="AS215" t="s">
        <v>4044</v>
      </c>
      <c r="AT215" t="s">
        <v>1284</v>
      </c>
      <c r="AU215" t="s">
        <v>138</v>
      </c>
      <c r="AV215" t="s">
        <v>1285</v>
      </c>
      <c r="AW215" t="s">
        <v>232</v>
      </c>
      <c r="AX215" s="4" t="str">
        <f>"77414"</f>
        <v>77414</v>
      </c>
      <c r="AY215" t="s">
        <v>120</v>
      </c>
      <c r="BA215" s="5">
        <v>19793187277</v>
      </c>
      <c r="BC215" t="s">
        <v>4314</v>
      </c>
      <c r="BD215" t="s">
        <v>1287</v>
      </c>
      <c r="BG215" t="s">
        <v>748</v>
      </c>
      <c r="BH215" s="1">
        <v>44895.791666666664</v>
      </c>
      <c r="BI215">
        <v>40</v>
      </c>
      <c r="BJ215">
        <v>0</v>
      </c>
      <c r="BK215">
        <v>10</v>
      </c>
      <c r="BL215">
        <v>10</v>
      </c>
      <c r="BM215">
        <v>10</v>
      </c>
      <c r="BN215">
        <v>10</v>
      </c>
      <c r="BO215">
        <v>0</v>
      </c>
      <c r="BP215">
        <v>0</v>
      </c>
      <c r="BQ215" t="str">
        <f>"6:30 AM"</f>
        <v>6:30 AM</v>
      </c>
      <c r="BR215" t="str">
        <f>"4:30 PM"</f>
        <v>4:30 PM</v>
      </c>
      <c r="BS215" t="s">
        <v>133</v>
      </c>
      <c r="BT215">
        <v>0</v>
      </c>
      <c r="BU215">
        <v>0</v>
      </c>
      <c r="BV215" t="s">
        <v>134</v>
      </c>
      <c r="BX215" s="2" t="s">
        <v>8138</v>
      </c>
      <c r="BY215" t="s">
        <v>8134</v>
      </c>
      <c r="BZ215" t="s">
        <v>138</v>
      </c>
      <c r="CA215" t="s">
        <v>8135</v>
      </c>
      <c r="CB215" t="s">
        <v>748</v>
      </c>
      <c r="CC215" s="4" t="str">
        <f>"18940"</f>
        <v>18940</v>
      </c>
      <c r="CD215" t="s">
        <v>1533</v>
      </c>
      <c r="CE215" t="s">
        <v>1266</v>
      </c>
      <c r="CF215" s="6">
        <v>17.82</v>
      </c>
      <c r="CG215" s="6">
        <v>21</v>
      </c>
      <c r="CH215" s="6">
        <v>26.73</v>
      </c>
      <c r="CI215" s="6">
        <v>31.5</v>
      </c>
      <c r="CJ215" t="s">
        <v>137</v>
      </c>
      <c r="CK215" t="s">
        <v>4317</v>
      </c>
      <c r="CL215" t="s">
        <v>8139</v>
      </c>
      <c r="CO215" t="s">
        <v>138</v>
      </c>
      <c r="CP215" t="s">
        <v>114</v>
      </c>
      <c r="CQ215" t="s">
        <v>114</v>
      </c>
      <c r="CR215" t="s">
        <v>114</v>
      </c>
      <c r="CS215" t="s">
        <v>114</v>
      </c>
      <c r="CT215" t="s">
        <v>114</v>
      </c>
      <c r="CU215" t="s">
        <v>134</v>
      </c>
      <c r="CV215" t="s">
        <v>1356</v>
      </c>
      <c r="CW215" s="5" t="str">
        <f>"+12155987334"</f>
        <v>+12155987334</v>
      </c>
      <c r="CX215" t="s">
        <v>8137</v>
      </c>
      <c r="CY215" t="s">
        <v>138</v>
      </c>
      <c r="CZ215" t="s">
        <v>139</v>
      </c>
      <c r="DA215" t="s">
        <v>134</v>
      </c>
      <c r="DB215" t="s">
        <v>134</v>
      </c>
      <c r="DC215" t="s">
        <v>114</v>
      </c>
      <c r="DD215" t="s">
        <v>134</v>
      </c>
    </row>
    <row r="216" spans="1:113" ht="15" customHeight="1" x14ac:dyDescent="0.25">
      <c r="A216" t="s">
        <v>13389</v>
      </c>
      <c r="B216" t="s">
        <v>165</v>
      </c>
      <c r="C216" s="1">
        <v>44896.505825694447</v>
      </c>
      <c r="D216" s="1">
        <v>44922</v>
      </c>
      <c r="E216" t="s">
        <v>134</v>
      </c>
      <c r="F216" t="s">
        <v>334</v>
      </c>
      <c r="G216" t="str">
        <f t="shared" si="10"/>
        <v>37-3011.00</v>
      </c>
      <c r="H216" t="s">
        <v>335</v>
      </c>
      <c r="I216">
        <v>8</v>
      </c>
      <c r="J216">
        <v>8</v>
      </c>
      <c r="K216" s="1">
        <v>44986</v>
      </c>
      <c r="L216" s="1">
        <v>45260</v>
      </c>
      <c r="M216" s="1">
        <v>44986</v>
      </c>
      <c r="N216" s="1">
        <v>45260</v>
      </c>
      <c r="O216" t="s">
        <v>117</v>
      </c>
      <c r="P216" t="s">
        <v>13390</v>
      </c>
      <c r="R216" t="s">
        <v>13391</v>
      </c>
      <c r="S216" t="s">
        <v>138</v>
      </c>
      <c r="T216" t="s">
        <v>12507</v>
      </c>
      <c r="U216" t="s">
        <v>631</v>
      </c>
      <c r="V216" s="4" t="str">
        <f>"73099"</f>
        <v>73099</v>
      </c>
      <c r="W216" t="s">
        <v>120</v>
      </c>
      <c r="X216" t="s">
        <v>138</v>
      </c>
      <c r="Y216" s="5">
        <v>14058224888</v>
      </c>
      <c r="AA216">
        <v>561730</v>
      </c>
      <c r="AB216" t="s">
        <v>1751</v>
      </c>
      <c r="AC216" t="s">
        <v>13392</v>
      </c>
      <c r="AD216" t="s">
        <v>138</v>
      </c>
      <c r="AE216" t="s">
        <v>342</v>
      </c>
      <c r="AF216" t="s">
        <v>13393</v>
      </c>
      <c r="AG216" t="s">
        <v>138</v>
      </c>
      <c r="AH216" t="s">
        <v>12507</v>
      </c>
      <c r="AI216" t="s">
        <v>631</v>
      </c>
      <c r="AJ216" s="4" t="str">
        <f>"73099"</f>
        <v>73099</v>
      </c>
      <c r="AK216" t="s">
        <v>120</v>
      </c>
      <c r="AM216" s="5">
        <v>14058224888</v>
      </c>
      <c r="AO216" t="s">
        <v>13394</v>
      </c>
      <c r="AP216" t="s">
        <v>256</v>
      </c>
      <c r="AQ216" t="s">
        <v>4312</v>
      </c>
      <c r="AR216" t="s">
        <v>4313</v>
      </c>
      <c r="AS216" t="s">
        <v>4044</v>
      </c>
      <c r="AT216" t="s">
        <v>1284</v>
      </c>
      <c r="AU216" t="s">
        <v>138</v>
      </c>
      <c r="AV216" t="s">
        <v>1285</v>
      </c>
      <c r="AW216" t="s">
        <v>232</v>
      </c>
      <c r="AX216" s="4" t="str">
        <f>"77414"</f>
        <v>77414</v>
      </c>
      <c r="AY216" t="s">
        <v>120</v>
      </c>
      <c r="BA216" s="5">
        <v>19793187277</v>
      </c>
      <c r="BC216" t="s">
        <v>4314</v>
      </c>
      <c r="BD216" t="s">
        <v>1287</v>
      </c>
      <c r="BG216" t="s">
        <v>631</v>
      </c>
      <c r="BH216" s="1">
        <v>44894.791666666664</v>
      </c>
      <c r="BI216">
        <v>40</v>
      </c>
      <c r="BJ216">
        <v>0</v>
      </c>
      <c r="BK216">
        <v>8</v>
      </c>
      <c r="BL216">
        <v>8</v>
      </c>
      <c r="BM216">
        <v>8</v>
      </c>
      <c r="BN216">
        <v>8</v>
      </c>
      <c r="BO216">
        <v>8</v>
      </c>
      <c r="BP216">
        <v>0</v>
      </c>
      <c r="BQ216" t="str">
        <f t="shared" ref="BQ216:BQ222" si="11">"7:00 AM"</f>
        <v>7:00 AM</v>
      </c>
      <c r="BR216" t="str">
        <f>"4:00 PM"</f>
        <v>4:00 PM</v>
      </c>
      <c r="BS216" t="s">
        <v>133</v>
      </c>
      <c r="BT216">
        <v>0</v>
      </c>
      <c r="BU216">
        <v>0</v>
      </c>
      <c r="BV216" t="s">
        <v>134</v>
      </c>
      <c r="BX216" s="2" t="s">
        <v>13395</v>
      </c>
      <c r="BY216" t="s">
        <v>13391</v>
      </c>
      <c r="BZ216" t="s">
        <v>138</v>
      </c>
      <c r="CA216" t="s">
        <v>12507</v>
      </c>
      <c r="CB216" t="s">
        <v>631</v>
      </c>
      <c r="CC216" s="4" t="str">
        <f>"73099"</f>
        <v>73099</v>
      </c>
      <c r="CD216" t="s">
        <v>7790</v>
      </c>
      <c r="CE216" t="s">
        <v>2926</v>
      </c>
      <c r="CF216" s="6">
        <v>15.35</v>
      </c>
      <c r="CH216" s="6">
        <v>23.03</v>
      </c>
      <c r="CJ216" t="s">
        <v>137</v>
      </c>
      <c r="CK216" t="s">
        <v>9169</v>
      </c>
      <c r="CL216" t="s">
        <v>13396</v>
      </c>
      <c r="CO216" t="s">
        <v>138</v>
      </c>
      <c r="CP216" t="s">
        <v>114</v>
      </c>
      <c r="CQ216" t="s">
        <v>114</v>
      </c>
      <c r="CR216" t="s">
        <v>114</v>
      </c>
      <c r="CS216" t="s">
        <v>114</v>
      </c>
      <c r="CT216" t="s">
        <v>114</v>
      </c>
      <c r="CU216" t="s">
        <v>134</v>
      </c>
      <c r="CV216" t="s">
        <v>2056</v>
      </c>
      <c r="CW216" s="5" t="str">
        <f>"+14058224888"</f>
        <v>+14058224888</v>
      </c>
      <c r="CX216" t="s">
        <v>13394</v>
      </c>
      <c r="CY216" t="s">
        <v>138</v>
      </c>
      <c r="CZ216" t="s">
        <v>139</v>
      </c>
      <c r="DA216" t="s">
        <v>134</v>
      </c>
      <c r="DB216" t="s">
        <v>134</v>
      </c>
      <c r="DC216" t="s">
        <v>114</v>
      </c>
      <c r="DD216" t="s">
        <v>134</v>
      </c>
    </row>
    <row r="217" spans="1:113" ht="15" customHeight="1" x14ac:dyDescent="0.25">
      <c r="A217" t="s">
        <v>14925</v>
      </c>
      <c r="B217" t="s">
        <v>165</v>
      </c>
      <c r="C217" s="1">
        <v>44896.503117824075</v>
      </c>
      <c r="D217" s="1">
        <v>44922</v>
      </c>
      <c r="E217" t="s">
        <v>134</v>
      </c>
      <c r="F217" t="s">
        <v>1662</v>
      </c>
      <c r="G217" t="str">
        <f t="shared" si="10"/>
        <v>37-3011.00</v>
      </c>
      <c r="H217" t="s">
        <v>335</v>
      </c>
      <c r="I217">
        <v>80</v>
      </c>
      <c r="J217">
        <v>80</v>
      </c>
      <c r="K217" s="1">
        <v>44986</v>
      </c>
      <c r="L217" s="1">
        <v>45230</v>
      </c>
      <c r="M217" s="1">
        <v>44986</v>
      </c>
      <c r="N217" s="1">
        <v>45230</v>
      </c>
      <c r="O217" t="s">
        <v>117</v>
      </c>
      <c r="P217" t="s">
        <v>14926</v>
      </c>
      <c r="R217" t="s">
        <v>14927</v>
      </c>
      <c r="S217" t="s">
        <v>3966</v>
      </c>
      <c r="T217" t="s">
        <v>3156</v>
      </c>
      <c r="U217" t="s">
        <v>154</v>
      </c>
      <c r="V217" s="4" t="str">
        <f>"34758"</f>
        <v>34758</v>
      </c>
      <c r="W217" t="s">
        <v>120</v>
      </c>
      <c r="Y217" s="5">
        <v>14073960529</v>
      </c>
      <c r="AA217">
        <v>56173</v>
      </c>
      <c r="AB217" t="s">
        <v>942</v>
      </c>
      <c r="AC217" t="s">
        <v>943</v>
      </c>
      <c r="AE217" t="s">
        <v>3968</v>
      </c>
      <c r="AF217" t="s">
        <v>14927</v>
      </c>
      <c r="AG217" t="s">
        <v>3966</v>
      </c>
      <c r="AH217" t="s">
        <v>3156</v>
      </c>
      <c r="AI217" t="s">
        <v>154</v>
      </c>
      <c r="AJ217" s="4" t="str">
        <f>"34758"</f>
        <v>34758</v>
      </c>
      <c r="AK217" t="s">
        <v>120</v>
      </c>
      <c r="AM217" s="5">
        <v>14073960529</v>
      </c>
      <c r="AO217" t="s">
        <v>945</v>
      </c>
      <c r="AP217" t="s">
        <v>256</v>
      </c>
      <c r="AQ217" t="s">
        <v>475</v>
      </c>
      <c r="AR217" t="s">
        <v>476</v>
      </c>
      <c r="AT217" t="s">
        <v>477</v>
      </c>
      <c r="AV217" t="s">
        <v>478</v>
      </c>
      <c r="AW217" t="s">
        <v>479</v>
      </c>
      <c r="AX217" s="4" t="str">
        <f>"22903"</f>
        <v>22903</v>
      </c>
      <c r="AY217" t="s">
        <v>120</v>
      </c>
      <c r="BA217" s="5">
        <v>14342634300</v>
      </c>
      <c r="BC217" t="s">
        <v>480</v>
      </c>
      <c r="BD217" t="s">
        <v>481</v>
      </c>
      <c r="BG217" t="s">
        <v>154</v>
      </c>
      <c r="BH217" s="1">
        <v>44895.791666666664</v>
      </c>
      <c r="BI217">
        <v>40</v>
      </c>
      <c r="BJ217">
        <v>0</v>
      </c>
      <c r="BK217">
        <v>8</v>
      </c>
      <c r="BL217">
        <v>8</v>
      </c>
      <c r="BM217">
        <v>8</v>
      </c>
      <c r="BN217">
        <v>8</v>
      </c>
      <c r="BO217">
        <v>8</v>
      </c>
      <c r="BP217">
        <v>0</v>
      </c>
      <c r="BQ217" t="str">
        <f t="shared" si="11"/>
        <v>7:00 AM</v>
      </c>
      <c r="BR217" t="str">
        <f>"4:00 PM"</f>
        <v>4:00 PM</v>
      </c>
      <c r="BS217" t="s">
        <v>133</v>
      </c>
      <c r="BT217">
        <v>0</v>
      </c>
      <c r="BU217">
        <v>0</v>
      </c>
      <c r="BV217" t="s">
        <v>134</v>
      </c>
      <c r="BX217" s="2" t="s">
        <v>14928</v>
      </c>
      <c r="BY217" t="s">
        <v>14929</v>
      </c>
      <c r="CA217" t="s">
        <v>3156</v>
      </c>
      <c r="CB217" t="s">
        <v>154</v>
      </c>
      <c r="CC217" s="4" t="str">
        <f>"34758"</f>
        <v>34758</v>
      </c>
      <c r="CD217" t="s">
        <v>3158</v>
      </c>
      <c r="CE217" t="s">
        <v>3159</v>
      </c>
      <c r="CF217" s="6">
        <v>15.2</v>
      </c>
      <c r="CH217" s="6">
        <v>22.8</v>
      </c>
      <c r="CJ217" t="s">
        <v>137</v>
      </c>
      <c r="CK217" t="s">
        <v>487</v>
      </c>
      <c r="CL217" t="s">
        <v>14930</v>
      </c>
      <c r="CO217" t="s">
        <v>138</v>
      </c>
      <c r="CP217" t="s">
        <v>114</v>
      </c>
      <c r="CQ217" t="s">
        <v>114</v>
      </c>
      <c r="CR217" t="s">
        <v>114</v>
      </c>
      <c r="CS217" t="s">
        <v>114</v>
      </c>
      <c r="CT217" t="s">
        <v>114</v>
      </c>
      <c r="CU217" t="s">
        <v>114</v>
      </c>
      <c r="CV217" t="s">
        <v>14931</v>
      </c>
      <c r="CW217" s="5" t="str">
        <f>"+14073960529"</f>
        <v>+14073960529</v>
      </c>
      <c r="CX217" t="s">
        <v>138</v>
      </c>
      <c r="CY217" t="s">
        <v>1274</v>
      </c>
      <c r="CZ217" t="s">
        <v>139</v>
      </c>
      <c r="DA217" t="s">
        <v>134</v>
      </c>
      <c r="DB217" t="s">
        <v>114</v>
      </c>
      <c r="DC217" t="s">
        <v>114</v>
      </c>
      <c r="DD217" t="s">
        <v>134</v>
      </c>
      <c r="DE217" t="s">
        <v>492</v>
      </c>
      <c r="DF217" t="s">
        <v>493</v>
      </c>
      <c r="DH217" t="s">
        <v>481</v>
      </c>
      <c r="DI217" t="s">
        <v>480</v>
      </c>
    </row>
    <row r="218" spans="1:113" ht="15" customHeight="1" x14ac:dyDescent="0.25">
      <c r="A218" t="s">
        <v>12504</v>
      </c>
      <c r="B218" t="s">
        <v>165</v>
      </c>
      <c r="C218" s="1">
        <v>44896.500372106479</v>
      </c>
      <c r="D218" s="1">
        <v>44922</v>
      </c>
      <c r="E218" t="s">
        <v>134</v>
      </c>
      <c r="F218" t="s">
        <v>334</v>
      </c>
      <c r="G218" t="str">
        <f t="shared" si="10"/>
        <v>37-3011.00</v>
      </c>
      <c r="H218" t="s">
        <v>335</v>
      </c>
      <c r="I218">
        <v>8</v>
      </c>
      <c r="J218">
        <v>8</v>
      </c>
      <c r="K218" s="1">
        <v>44986</v>
      </c>
      <c r="L218" s="1">
        <v>45260</v>
      </c>
      <c r="M218" s="1">
        <v>44986</v>
      </c>
      <c r="N218" s="1">
        <v>45260</v>
      </c>
      <c r="O218" t="s">
        <v>117</v>
      </c>
      <c r="P218" t="s">
        <v>12505</v>
      </c>
      <c r="R218" t="s">
        <v>12506</v>
      </c>
      <c r="S218" t="s">
        <v>138</v>
      </c>
      <c r="T218" t="s">
        <v>12507</v>
      </c>
      <c r="U218" t="s">
        <v>631</v>
      </c>
      <c r="V218" s="4" t="str">
        <f>"73099"</f>
        <v>73099</v>
      </c>
      <c r="W218" t="s">
        <v>120</v>
      </c>
      <c r="X218" t="s">
        <v>138</v>
      </c>
      <c r="Y218" s="5">
        <v>14053266013</v>
      </c>
      <c r="AA218">
        <v>561730</v>
      </c>
      <c r="AB218" t="s">
        <v>1751</v>
      </c>
      <c r="AC218" t="s">
        <v>12508</v>
      </c>
      <c r="AD218" t="s">
        <v>138</v>
      </c>
      <c r="AE218" t="s">
        <v>342</v>
      </c>
      <c r="AF218" t="s">
        <v>12506</v>
      </c>
      <c r="AG218" t="s">
        <v>138</v>
      </c>
      <c r="AH218" t="s">
        <v>12507</v>
      </c>
      <c r="AI218" t="s">
        <v>631</v>
      </c>
      <c r="AJ218" s="4" t="str">
        <f>"73099"</f>
        <v>73099</v>
      </c>
      <c r="AK218" t="s">
        <v>120</v>
      </c>
      <c r="AM218" s="5">
        <v>14053266013</v>
      </c>
      <c r="AO218" t="s">
        <v>12509</v>
      </c>
      <c r="AP218" t="s">
        <v>256</v>
      </c>
      <c r="AQ218" t="s">
        <v>4312</v>
      </c>
      <c r="AR218" t="s">
        <v>4313</v>
      </c>
      <c r="AS218" t="s">
        <v>4044</v>
      </c>
      <c r="AT218" t="s">
        <v>1284</v>
      </c>
      <c r="AU218" t="s">
        <v>138</v>
      </c>
      <c r="AV218" t="s">
        <v>1285</v>
      </c>
      <c r="AW218" t="s">
        <v>232</v>
      </c>
      <c r="AX218" s="4" t="str">
        <f t="shared" ref="AX218:AX228" si="12">"77414"</f>
        <v>77414</v>
      </c>
      <c r="AY218" t="s">
        <v>120</v>
      </c>
      <c r="BA218" s="5">
        <v>19793187277</v>
      </c>
      <c r="BC218" t="s">
        <v>4314</v>
      </c>
      <c r="BD218" t="s">
        <v>1287</v>
      </c>
      <c r="BG218" t="s">
        <v>631</v>
      </c>
      <c r="BH218" s="1">
        <v>44894.791666666664</v>
      </c>
      <c r="BI218">
        <v>40</v>
      </c>
      <c r="BJ218">
        <v>0</v>
      </c>
      <c r="BK218">
        <v>8</v>
      </c>
      <c r="BL218">
        <v>8</v>
      </c>
      <c r="BM218">
        <v>8</v>
      </c>
      <c r="BN218">
        <v>8</v>
      </c>
      <c r="BO218">
        <v>8</v>
      </c>
      <c r="BP218">
        <v>0</v>
      </c>
      <c r="BQ218" t="str">
        <f t="shared" si="11"/>
        <v>7:00 AM</v>
      </c>
      <c r="BR218" t="str">
        <f>"4:00 PM"</f>
        <v>4:00 PM</v>
      </c>
      <c r="BS218" t="s">
        <v>133</v>
      </c>
      <c r="BT218">
        <v>0</v>
      </c>
      <c r="BU218">
        <v>0</v>
      </c>
      <c r="BV218" t="s">
        <v>134</v>
      </c>
      <c r="BX218" s="2" t="s">
        <v>12510</v>
      </c>
      <c r="BY218" t="s">
        <v>12506</v>
      </c>
      <c r="BZ218" t="s">
        <v>138</v>
      </c>
      <c r="CA218" t="s">
        <v>12507</v>
      </c>
      <c r="CB218" t="s">
        <v>631</v>
      </c>
      <c r="CC218" s="4" t="str">
        <f>"73099"</f>
        <v>73099</v>
      </c>
      <c r="CD218" t="s">
        <v>7790</v>
      </c>
      <c r="CE218" t="s">
        <v>2926</v>
      </c>
      <c r="CF218" s="6">
        <v>15.35</v>
      </c>
      <c r="CH218" s="6">
        <v>23.03</v>
      </c>
      <c r="CJ218" t="s">
        <v>137</v>
      </c>
      <c r="CK218" t="s">
        <v>5645</v>
      </c>
      <c r="CL218" t="s">
        <v>12511</v>
      </c>
      <c r="CO218" t="s">
        <v>138</v>
      </c>
      <c r="CP218" t="s">
        <v>114</v>
      </c>
      <c r="CQ218" t="s">
        <v>114</v>
      </c>
      <c r="CR218" t="s">
        <v>114</v>
      </c>
      <c r="CS218" t="s">
        <v>114</v>
      </c>
      <c r="CT218" t="s">
        <v>114</v>
      </c>
      <c r="CU218" t="s">
        <v>134</v>
      </c>
      <c r="CV218" t="s">
        <v>2056</v>
      </c>
      <c r="CW218" s="5" t="str">
        <f>"+14053266013"</f>
        <v>+14053266013</v>
      </c>
      <c r="CX218" t="s">
        <v>12509</v>
      </c>
      <c r="CY218" t="s">
        <v>138</v>
      </c>
      <c r="CZ218" t="s">
        <v>139</v>
      </c>
      <c r="DA218" t="s">
        <v>134</v>
      </c>
      <c r="DB218" t="s">
        <v>134</v>
      </c>
      <c r="DC218" t="s">
        <v>114</v>
      </c>
      <c r="DD218" t="s">
        <v>134</v>
      </c>
    </row>
    <row r="219" spans="1:113" ht="15" customHeight="1" x14ac:dyDescent="0.25">
      <c r="A219" t="s">
        <v>14148</v>
      </c>
      <c r="B219" t="s">
        <v>165</v>
      </c>
      <c r="C219" s="1">
        <v>44896.496465856479</v>
      </c>
      <c r="D219" s="1">
        <v>44922</v>
      </c>
      <c r="E219" t="s">
        <v>134</v>
      </c>
      <c r="F219" t="s">
        <v>334</v>
      </c>
      <c r="G219" t="str">
        <f t="shared" si="10"/>
        <v>37-3011.00</v>
      </c>
      <c r="H219" t="s">
        <v>335</v>
      </c>
      <c r="I219">
        <v>7</v>
      </c>
      <c r="J219">
        <v>7</v>
      </c>
      <c r="K219" s="1">
        <v>44986</v>
      </c>
      <c r="L219" s="1">
        <v>45260</v>
      </c>
      <c r="M219" s="1">
        <v>44986</v>
      </c>
      <c r="N219" s="1">
        <v>45260</v>
      </c>
      <c r="O219" t="s">
        <v>117</v>
      </c>
      <c r="P219" t="s">
        <v>14149</v>
      </c>
      <c r="R219" t="s">
        <v>14150</v>
      </c>
      <c r="S219" t="s">
        <v>138</v>
      </c>
      <c r="T219" t="s">
        <v>7077</v>
      </c>
      <c r="U219" t="s">
        <v>181</v>
      </c>
      <c r="V219" s="4" t="str">
        <f>"80022"</f>
        <v>80022</v>
      </c>
      <c r="W219" t="s">
        <v>120</v>
      </c>
      <c r="X219" t="s">
        <v>138</v>
      </c>
      <c r="Y219" s="5">
        <v>17206853000</v>
      </c>
      <c r="AA219">
        <v>561730</v>
      </c>
      <c r="AB219" t="s">
        <v>14151</v>
      </c>
      <c r="AC219" t="s">
        <v>14152</v>
      </c>
      <c r="AD219" t="s">
        <v>2026</v>
      </c>
      <c r="AE219" t="s">
        <v>342</v>
      </c>
      <c r="AF219" t="s">
        <v>14150</v>
      </c>
      <c r="AG219" t="s">
        <v>138</v>
      </c>
      <c r="AH219" t="s">
        <v>7077</v>
      </c>
      <c r="AI219" t="s">
        <v>181</v>
      </c>
      <c r="AJ219" s="4" t="str">
        <f>"80022"</f>
        <v>80022</v>
      </c>
      <c r="AK219" t="s">
        <v>120</v>
      </c>
      <c r="AM219" s="5">
        <v>17206853000</v>
      </c>
      <c r="AO219" t="s">
        <v>14153</v>
      </c>
      <c r="AP219" t="s">
        <v>256</v>
      </c>
      <c r="AQ219" t="s">
        <v>4312</v>
      </c>
      <c r="AR219" t="s">
        <v>4313</v>
      </c>
      <c r="AS219" t="s">
        <v>4044</v>
      </c>
      <c r="AT219" t="s">
        <v>1284</v>
      </c>
      <c r="AU219" t="s">
        <v>138</v>
      </c>
      <c r="AV219" t="s">
        <v>1285</v>
      </c>
      <c r="AW219" t="s">
        <v>232</v>
      </c>
      <c r="AX219" s="4" t="str">
        <f t="shared" si="12"/>
        <v>77414</v>
      </c>
      <c r="AY219" t="s">
        <v>120</v>
      </c>
      <c r="BA219" s="5">
        <v>19793187277</v>
      </c>
      <c r="BC219" t="s">
        <v>4314</v>
      </c>
      <c r="BD219" t="s">
        <v>1287</v>
      </c>
      <c r="BG219" t="s">
        <v>181</v>
      </c>
      <c r="BH219" s="1">
        <v>44894.791666666664</v>
      </c>
      <c r="BI219">
        <v>40</v>
      </c>
      <c r="BJ219">
        <v>0</v>
      </c>
      <c r="BK219">
        <v>8</v>
      </c>
      <c r="BL219">
        <v>8</v>
      </c>
      <c r="BM219">
        <v>8</v>
      </c>
      <c r="BN219">
        <v>8</v>
      </c>
      <c r="BO219">
        <v>8</v>
      </c>
      <c r="BP219">
        <v>0</v>
      </c>
      <c r="BQ219" t="str">
        <f t="shared" si="11"/>
        <v>7:00 AM</v>
      </c>
      <c r="BR219" t="str">
        <f>"4:00 PM"</f>
        <v>4:00 PM</v>
      </c>
      <c r="BS219" t="s">
        <v>133</v>
      </c>
      <c r="BT219">
        <v>0</v>
      </c>
      <c r="BU219">
        <v>3</v>
      </c>
      <c r="BV219" t="s">
        <v>134</v>
      </c>
      <c r="BX219" s="2" t="s">
        <v>14154</v>
      </c>
      <c r="BY219" t="s">
        <v>14150</v>
      </c>
      <c r="BZ219" t="s">
        <v>138</v>
      </c>
      <c r="CA219" t="s">
        <v>7077</v>
      </c>
      <c r="CB219" t="s">
        <v>181</v>
      </c>
      <c r="CC219" s="4" t="str">
        <f>"80022"</f>
        <v>80022</v>
      </c>
      <c r="CD219" t="s">
        <v>1163</v>
      </c>
      <c r="CE219" t="s">
        <v>1610</v>
      </c>
      <c r="CF219" s="6">
        <v>19.22</v>
      </c>
      <c r="CG219" s="6">
        <v>20</v>
      </c>
      <c r="CH219" s="6">
        <v>28.83</v>
      </c>
      <c r="CI219" s="6">
        <v>30</v>
      </c>
      <c r="CJ219" t="s">
        <v>137</v>
      </c>
      <c r="CK219" t="s">
        <v>14155</v>
      </c>
      <c r="CL219" t="s">
        <v>14156</v>
      </c>
      <c r="CO219" t="s">
        <v>138</v>
      </c>
      <c r="CP219" t="s">
        <v>114</v>
      </c>
      <c r="CQ219" t="s">
        <v>114</v>
      </c>
      <c r="CR219" t="s">
        <v>114</v>
      </c>
      <c r="CS219" t="s">
        <v>134</v>
      </c>
      <c r="CT219" t="s">
        <v>114</v>
      </c>
      <c r="CU219" t="s">
        <v>134</v>
      </c>
      <c r="CV219" t="s">
        <v>2462</v>
      </c>
      <c r="CW219" s="5" t="str">
        <f>"+17206853000"</f>
        <v>+17206853000</v>
      </c>
      <c r="CX219" t="s">
        <v>14153</v>
      </c>
      <c r="CY219" t="s">
        <v>138</v>
      </c>
      <c r="CZ219" t="s">
        <v>139</v>
      </c>
      <c r="DA219" t="s">
        <v>134</v>
      </c>
      <c r="DB219" t="s">
        <v>134</v>
      </c>
      <c r="DC219" t="s">
        <v>114</v>
      </c>
      <c r="DD219" t="s">
        <v>134</v>
      </c>
    </row>
    <row r="220" spans="1:113" ht="15" customHeight="1" x14ac:dyDescent="0.25">
      <c r="A220" t="s">
        <v>16046</v>
      </c>
      <c r="B220" t="s">
        <v>165</v>
      </c>
      <c r="C220" s="1">
        <v>44896.491731944443</v>
      </c>
      <c r="D220" s="1">
        <v>44922</v>
      </c>
      <c r="E220" t="s">
        <v>134</v>
      </c>
      <c r="F220" t="s">
        <v>334</v>
      </c>
      <c r="G220" t="str">
        <f t="shared" si="10"/>
        <v>37-3011.00</v>
      </c>
      <c r="H220" t="s">
        <v>335</v>
      </c>
      <c r="I220">
        <v>23</v>
      </c>
      <c r="J220">
        <v>23</v>
      </c>
      <c r="K220" s="1">
        <v>44986</v>
      </c>
      <c r="L220" s="1">
        <v>45275</v>
      </c>
      <c r="M220" s="1">
        <v>44986</v>
      </c>
      <c r="N220" s="1">
        <v>45275</v>
      </c>
      <c r="O220" t="s">
        <v>117</v>
      </c>
      <c r="P220" t="s">
        <v>7031</v>
      </c>
      <c r="Q220" t="s">
        <v>7032</v>
      </c>
      <c r="R220" t="s">
        <v>7033</v>
      </c>
      <c r="S220" t="s">
        <v>138</v>
      </c>
      <c r="T220" t="s">
        <v>1425</v>
      </c>
      <c r="U220" t="s">
        <v>848</v>
      </c>
      <c r="V220" s="4" t="str">
        <f>"14564"</f>
        <v>14564</v>
      </c>
      <c r="W220" t="s">
        <v>120</v>
      </c>
      <c r="X220" t="s">
        <v>138</v>
      </c>
      <c r="Y220" s="5">
        <v>15852480452</v>
      </c>
      <c r="AA220">
        <v>561730</v>
      </c>
      <c r="AB220" t="s">
        <v>7034</v>
      </c>
      <c r="AC220" t="s">
        <v>501</v>
      </c>
      <c r="AD220" t="s">
        <v>2795</v>
      </c>
      <c r="AE220" t="s">
        <v>342</v>
      </c>
      <c r="AF220" t="s">
        <v>7033</v>
      </c>
      <c r="AG220" t="s">
        <v>138</v>
      </c>
      <c r="AH220" t="s">
        <v>1425</v>
      </c>
      <c r="AI220" t="s">
        <v>848</v>
      </c>
      <c r="AJ220" s="4" t="str">
        <f>"14564"</f>
        <v>14564</v>
      </c>
      <c r="AK220" t="s">
        <v>120</v>
      </c>
      <c r="AM220" s="5">
        <v>15852480452</v>
      </c>
      <c r="AO220" t="s">
        <v>7035</v>
      </c>
      <c r="AP220" t="s">
        <v>256</v>
      </c>
      <c r="AQ220" t="s">
        <v>4312</v>
      </c>
      <c r="AR220" t="s">
        <v>4313</v>
      </c>
      <c r="AS220" t="s">
        <v>4044</v>
      </c>
      <c r="AT220" t="s">
        <v>1284</v>
      </c>
      <c r="AU220" t="s">
        <v>138</v>
      </c>
      <c r="AV220" t="s">
        <v>1285</v>
      </c>
      <c r="AW220" t="s">
        <v>232</v>
      </c>
      <c r="AX220" s="4" t="str">
        <f t="shared" si="12"/>
        <v>77414</v>
      </c>
      <c r="AY220" t="s">
        <v>120</v>
      </c>
      <c r="BA220" s="5">
        <v>19793187277</v>
      </c>
      <c r="BC220" t="s">
        <v>4314</v>
      </c>
      <c r="BD220" t="s">
        <v>1287</v>
      </c>
      <c r="BG220" t="s">
        <v>848</v>
      </c>
      <c r="BH220" s="1">
        <v>44894.791666666664</v>
      </c>
      <c r="BI220">
        <v>40</v>
      </c>
      <c r="BJ220">
        <v>0</v>
      </c>
      <c r="BK220">
        <v>8</v>
      </c>
      <c r="BL220">
        <v>8</v>
      </c>
      <c r="BM220">
        <v>8</v>
      </c>
      <c r="BN220">
        <v>8</v>
      </c>
      <c r="BO220">
        <v>8</v>
      </c>
      <c r="BP220">
        <v>0</v>
      </c>
      <c r="BQ220" t="str">
        <f t="shared" si="11"/>
        <v>7:00 AM</v>
      </c>
      <c r="BR220" t="str">
        <f>"4:30 PM"</f>
        <v>4:30 PM</v>
      </c>
      <c r="BS220" t="s">
        <v>133</v>
      </c>
      <c r="BT220">
        <v>0</v>
      </c>
      <c r="BU220">
        <v>0</v>
      </c>
      <c r="BV220" t="s">
        <v>134</v>
      </c>
      <c r="BX220" s="2" t="s">
        <v>16047</v>
      </c>
      <c r="BY220" t="s">
        <v>7033</v>
      </c>
      <c r="BZ220" t="s">
        <v>138</v>
      </c>
      <c r="CA220" t="s">
        <v>1425</v>
      </c>
      <c r="CB220" t="s">
        <v>848</v>
      </c>
      <c r="CC220" s="4" t="str">
        <f>"14564"</f>
        <v>14564</v>
      </c>
      <c r="CD220" t="s">
        <v>7036</v>
      </c>
      <c r="CE220" t="s">
        <v>4536</v>
      </c>
      <c r="CF220" s="6">
        <v>17.440000000000001</v>
      </c>
      <c r="CG220" s="6">
        <v>17.5</v>
      </c>
      <c r="CH220" s="6">
        <v>26.16</v>
      </c>
      <c r="CI220" s="6">
        <v>26.25</v>
      </c>
      <c r="CJ220" t="s">
        <v>137</v>
      </c>
      <c r="CK220" t="s">
        <v>6849</v>
      </c>
      <c r="CL220" t="s">
        <v>7037</v>
      </c>
      <c r="CO220" t="s">
        <v>138</v>
      </c>
      <c r="CP220" t="s">
        <v>114</v>
      </c>
      <c r="CQ220" t="s">
        <v>114</v>
      </c>
      <c r="CR220" t="s">
        <v>114</v>
      </c>
      <c r="CS220" t="s">
        <v>114</v>
      </c>
      <c r="CT220" t="s">
        <v>114</v>
      </c>
      <c r="CU220" t="s">
        <v>114</v>
      </c>
      <c r="CV220" t="s">
        <v>7038</v>
      </c>
      <c r="CW220" s="5" t="str">
        <f>"+15852480452"</f>
        <v>+15852480452</v>
      </c>
      <c r="CX220" t="s">
        <v>7039</v>
      </c>
      <c r="CY220" t="s">
        <v>138</v>
      </c>
      <c r="CZ220" t="s">
        <v>139</v>
      </c>
      <c r="DA220" t="s">
        <v>134</v>
      </c>
      <c r="DB220" t="s">
        <v>134</v>
      </c>
      <c r="DC220" t="s">
        <v>114</v>
      </c>
      <c r="DD220" t="s">
        <v>134</v>
      </c>
    </row>
    <row r="221" spans="1:113" ht="15" customHeight="1" x14ac:dyDescent="0.25">
      <c r="A221" t="s">
        <v>16151</v>
      </c>
      <c r="B221" t="s">
        <v>165</v>
      </c>
      <c r="C221" s="1">
        <v>44896.488637499999</v>
      </c>
      <c r="D221" s="1">
        <v>44922</v>
      </c>
      <c r="E221" t="s">
        <v>134</v>
      </c>
      <c r="F221" t="s">
        <v>334</v>
      </c>
      <c r="G221" t="str">
        <f t="shared" si="10"/>
        <v>37-3011.00</v>
      </c>
      <c r="H221" t="s">
        <v>335</v>
      </c>
      <c r="I221">
        <v>30</v>
      </c>
      <c r="J221">
        <v>30</v>
      </c>
      <c r="K221" s="1">
        <v>44986</v>
      </c>
      <c r="L221" s="1">
        <v>45260</v>
      </c>
      <c r="M221" s="1">
        <v>44986</v>
      </c>
      <c r="N221" s="1">
        <v>45260</v>
      </c>
      <c r="O221" t="s">
        <v>117</v>
      </c>
      <c r="P221" t="s">
        <v>16107</v>
      </c>
      <c r="R221" t="s">
        <v>16108</v>
      </c>
      <c r="S221" t="s">
        <v>138</v>
      </c>
      <c r="T221" t="s">
        <v>16109</v>
      </c>
      <c r="U221" t="s">
        <v>1003</v>
      </c>
      <c r="V221" s="4" t="str">
        <f>"08525"</f>
        <v>08525</v>
      </c>
      <c r="W221" t="s">
        <v>120</v>
      </c>
      <c r="X221" t="s">
        <v>138</v>
      </c>
      <c r="Y221" s="5">
        <v>16094660666</v>
      </c>
      <c r="AA221">
        <v>561730</v>
      </c>
      <c r="AB221" t="s">
        <v>10952</v>
      </c>
      <c r="AC221" t="s">
        <v>4545</v>
      </c>
      <c r="AD221" t="s">
        <v>1905</v>
      </c>
      <c r="AE221" t="s">
        <v>1526</v>
      </c>
      <c r="AF221" t="s">
        <v>16108</v>
      </c>
      <c r="AG221" t="s">
        <v>138</v>
      </c>
      <c r="AH221" t="s">
        <v>16109</v>
      </c>
      <c r="AI221" t="s">
        <v>1003</v>
      </c>
      <c r="AJ221" s="4" t="str">
        <f>"08525"</f>
        <v>08525</v>
      </c>
      <c r="AK221" t="s">
        <v>120</v>
      </c>
      <c r="AM221" s="5">
        <v>16094660666</v>
      </c>
      <c r="AO221" t="s">
        <v>10953</v>
      </c>
      <c r="AP221" t="s">
        <v>256</v>
      </c>
      <c r="AQ221" t="s">
        <v>4312</v>
      </c>
      <c r="AR221" t="s">
        <v>4313</v>
      </c>
      <c r="AS221" t="s">
        <v>4044</v>
      </c>
      <c r="AT221" t="s">
        <v>1284</v>
      </c>
      <c r="AU221" t="s">
        <v>138</v>
      </c>
      <c r="AV221" t="s">
        <v>1285</v>
      </c>
      <c r="AW221" t="s">
        <v>232</v>
      </c>
      <c r="AX221" s="4" t="str">
        <f t="shared" si="12"/>
        <v>77414</v>
      </c>
      <c r="AY221" t="s">
        <v>120</v>
      </c>
      <c r="BA221" s="5">
        <v>19793187277</v>
      </c>
      <c r="BC221" t="s">
        <v>4314</v>
      </c>
      <c r="BD221" t="s">
        <v>1287</v>
      </c>
      <c r="BG221" t="s">
        <v>1003</v>
      </c>
      <c r="BH221" s="1">
        <v>44894.791666666664</v>
      </c>
      <c r="BI221">
        <v>40</v>
      </c>
      <c r="BJ221">
        <v>0</v>
      </c>
      <c r="BK221">
        <v>8</v>
      </c>
      <c r="BL221">
        <v>8</v>
      </c>
      <c r="BM221">
        <v>8</v>
      </c>
      <c r="BN221">
        <v>8</v>
      </c>
      <c r="BO221">
        <v>8</v>
      </c>
      <c r="BP221">
        <v>0</v>
      </c>
      <c r="BQ221" t="str">
        <f t="shared" si="11"/>
        <v>7:00 AM</v>
      </c>
      <c r="BR221" t="str">
        <f>"4:00 PM"</f>
        <v>4:00 PM</v>
      </c>
      <c r="BS221" t="s">
        <v>133</v>
      </c>
      <c r="BT221">
        <v>0</v>
      </c>
      <c r="BU221">
        <v>0</v>
      </c>
      <c r="BV221" t="s">
        <v>134</v>
      </c>
      <c r="BX221" s="2" t="s">
        <v>16152</v>
      </c>
      <c r="BY221" t="s">
        <v>16108</v>
      </c>
      <c r="BZ221" t="s">
        <v>138</v>
      </c>
      <c r="CA221" t="s">
        <v>16109</v>
      </c>
      <c r="CB221" t="s">
        <v>1003</v>
      </c>
      <c r="CC221" s="4" t="str">
        <f>"08525"</f>
        <v>08525</v>
      </c>
      <c r="CD221" t="s">
        <v>2664</v>
      </c>
      <c r="CE221" t="s">
        <v>1009</v>
      </c>
      <c r="CF221" s="6">
        <v>19.940000000000001</v>
      </c>
      <c r="CG221" s="6">
        <v>20</v>
      </c>
      <c r="CH221" s="6">
        <v>29.91</v>
      </c>
      <c r="CI221" s="6">
        <v>30</v>
      </c>
      <c r="CJ221" t="s">
        <v>137</v>
      </c>
      <c r="CK221" t="s">
        <v>9197</v>
      </c>
      <c r="CL221" t="s">
        <v>16110</v>
      </c>
      <c r="CO221" t="s">
        <v>138</v>
      </c>
      <c r="CP221" t="s">
        <v>114</v>
      </c>
      <c r="CQ221" t="s">
        <v>114</v>
      </c>
      <c r="CR221" t="s">
        <v>114</v>
      </c>
      <c r="CS221" t="s">
        <v>114</v>
      </c>
      <c r="CT221" t="s">
        <v>114</v>
      </c>
      <c r="CU221" t="s">
        <v>134</v>
      </c>
      <c r="CV221" t="s">
        <v>2360</v>
      </c>
      <c r="CW221" s="5" t="str">
        <f>"+16094660666"</f>
        <v>+16094660666</v>
      </c>
      <c r="CX221" t="s">
        <v>10953</v>
      </c>
      <c r="CY221" t="s">
        <v>138</v>
      </c>
      <c r="CZ221" t="s">
        <v>139</v>
      </c>
      <c r="DA221" t="s">
        <v>134</v>
      </c>
      <c r="DB221" t="s">
        <v>134</v>
      </c>
      <c r="DC221" t="s">
        <v>114</v>
      </c>
      <c r="DD221" t="s">
        <v>134</v>
      </c>
    </row>
    <row r="222" spans="1:113" ht="15" customHeight="1" x14ac:dyDescent="0.25">
      <c r="A222" t="s">
        <v>10949</v>
      </c>
      <c r="B222" t="s">
        <v>165</v>
      </c>
      <c r="C222" s="1">
        <v>44896.484762037035</v>
      </c>
      <c r="D222" s="1">
        <v>44922</v>
      </c>
      <c r="E222" t="s">
        <v>134</v>
      </c>
      <c r="F222" t="s">
        <v>334</v>
      </c>
      <c r="G222" t="str">
        <f t="shared" si="10"/>
        <v>37-3011.00</v>
      </c>
      <c r="H222" t="s">
        <v>335</v>
      </c>
      <c r="I222">
        <v>150</v>
      </c>
      <c r="J222">
        <v>150</v>
      </c>
      <c r="K222" s="1">
        <v>44986</v>
      </c>
      <c r="L222" s="1">
        <v>45260</v>
      </c>
      <c r="M222" s="1">
        <v>44986</v>
      </c>
      <c r="N222" s="1">
        <v>45260</v>
      </c>
      <c r="O222" t="s">
        <v>117</v>
      </c>
      <c r="P222" t="s">
        <v>10950</v>
      </c>
      <c r="R222" t="s">
        <v>10951</v>
      </c>
      <c r="S222" t="s">
        <v>138</v>
      </c>
      <c r="T222" t="s">
        <v>10939</v>
      </c>
      <c r="U222" t="s">
        <v>748</v>
      </c>
      <c r="V222" s="4" t="str">
        <f>"19462"</f>
        <v>19462</v>
      </c>
      <c r="W222" t="s">
        <v>120</v>
      </c>
      <c r="X222" t="s">
        <v>138</v>
      </c>
      <c r="Y222" s="5">
        <v>16108285488</v>
      </c>
      <c r="AA222">
        <v>561730</v>
      </c>
      <c r="AB222" t="s">
        <v>10952</v>
      </c>
      <c r="AC222" t="s">
        <v>4545</v>
      </c>
      <c r="AD222" t="s">
        <v>1905</v>
      </c>
      <c r="AE222" t="s">
        <v>1526</v>
      </c>
      <c r="AF222" t="s">
        <v>10951</v>
      </c>
      <c r="AG222" t="s">
        <v>138</v>
      </c>
      <c r="AH222" t="s">
        <v>10939</v>
      </c>
      <c r="AI222" t="s">
        <v>748</v>
      </c>
      <c r="AJ222" s="4" t="str">
        <f>"19462"</f>
        <v>19462</v>
      </c>
      <c r="AK222" t="s">
        <v>120</v>
      </c>
      <c r="AM222" s="5">
        <v>16108285488</v>
      </c>
      <c r="AO222" t="s">
        <v>10953</v>
      </c>
      <c r="AP222" t="s">
        <v>256</v>
      </c>
      <c r="AQ222" t="s">
        <v>4312</v>
      </c>
      <c r="AR222" t="s">
        <v>4313</v>
      </c>
      <c r="AS222" t="s">
        <v>4044</v>
      </c>
      <c r="AT222" t="s">
        <v>1284</v>
      </c>
      <c r="AU222" t="s">
        <v>138</v>
      </c>
      <c r="AV222" t="s">
        <v>1285</v>
      </c>
      <c r="AW222" t="s">
        <v>232</v>
      </c>
      <c r="AX222" s="4" t="str">
        <f t="shared" si="12"/>
        <v>77414</v>
      </c>
      <c r="AY222" t="s">
        <v>120</v>
      </c>
      <c r="BA222" s="5">
        <v>19793187277</v>
      </c>
      <c r="BC222" t="s">
        <v>4314</v>
      </c>
      <c r="BD222" t="s">
        <v>1287</v>
      </c>
      <c r="BG222" t="s">
        <v>748</v>
      </c>
      <c r="BH222" s="1">
        <v>44895.791666666664</v>
      </c>
      <c r="BI222">
        <v>40</v>
      </c>
      <c r="BJ222">
        <v>0</v>
      </c>
      <c r="BK222">
        <v>8</v>
      </c>
      <c r="BL222">
        <v>8</v>
      </c>
      <c r="BM222">
        <v>8</v>
      </c>
      <c r="BN222">
        <v>8</v>
      </c>
      <c r="BO222">
        <v>8</v>
      </c>
      <c r="BP222">
        <v>0</v>
      </c>
      <c r="BQ222" t="str">
        <f t="shared" si="11"/>
        <v>7:00 AM</v>
      </c>
      <c r="BR222" t="str">
        <f>"4:00 PM"</f>
        <v>4:00 PM</v>
      </c>
      <c r="BS222" t="s">
        <v>133</v>
      </c>
      <c r="BT222">
        <v>0</v>
      </c>
      <c r="BU222">
        <v>0</v>
      </c>
      <c r="BV222" t="s">
        <v>134</v>
      </c>
      <c r="BX222" s="2" t="s">
        <v>10954</v>
      </c>
      <c r="BY222" t="s">
        <v>10955</v>
      </c>
      <c r="BZ222" t="s">
        <v>138</v>
      </c>
      <c r="CA222" t="s">
        <v>10939</v>
      </c>
      <c r="CB222" t="s">
        <v>748</v>
      </c>
      <c r="CC222" s="4" t="str">
        <f>"19462"</f>
        <v>19462</v>
      </c>
      <c r="CD222" t="s">
        <v>2007</v>
      </c>
      <c r="CE222" t="s">
        <v>1266</v>
      </c>
      <c r="CF222" s="6">
        <v>17.82</v>
      </c>
      <c r="CG222" s="6">
        <v>20</v>
      </c>
      <c r="CH222" s="6">
        <v>26.73</v>
      </c>
      <c r="CI222" s="6">
        <v>30</v>
      </c>
      <c r="CJ222" t="s">
        <v>137</v>
      </c>
      <c r="CK222" t="s">
        <v>9197</v>
      </c>
      <c r="CL222" t="s">
        <v>10956</v>
      </c>
      <c r="CO222" t="s">
        <v>138</v>
      </c>
      <c r="CP222" t="s">
        <v>114</v>
      </c>
      <c r="CQ222" t="s">
        <v>114</v>
      </c>
      <c r="CR222" t="s">
        <v>114</v>
      </c>
      <c r="CS222" t="s">
        <v>114</v>
      </c>
      <c r="CT222" t="s">
        <v>114</v>
      </c>
      <c r="CU222" t="s">
        <v>134</v>
      </c>
      <c r="CV222" t="s">
        <v>2360</v>
      </c>
      <c r="CW222" s="5" t="str">
        <f>"+16108285488"</f>
        <v>+16108285488</v>
      </c>
      <c r="CX222" t="s">
        <v>10953</v>
      </c>
      <c r="CY222" t="s">
        <v>138</v>
      </c>
      <c r="CZ222" t="s">
        <v>139</v>
      </c>
      <c r="DA222" t="s">
        <v>134</v>
      </c>
      <c r="DB222" t="s">
        <v>134</v>
      </c>
      <c r="DC222" t="s">
        <v>114</v>
      </c>
      <c r="DD222" t="s">
        <v>134</v>
      </c>
    </row>
    <row r="223" spans="1:113" ht="15" customHeight="1" x14ac:dyDescent="0.25">
      <c r="A223" t="s">
        <v>11008</v>
      </c>
      <c r="B223" t="s">
        <v>165</v>
      </c>
      <c r="C223" s="1">
        <v>44896.466159490737</v>
      </c>
      <c r="D223" s="1">
        <v>44922</v>
      </c>
      <c r="E223" t="s">
        <v>134</v>
      </c>
      <c r="F223" t="s">
        <v>334</v>
      </c>
      <c r="G223" t="str">
        <f t="shared" si="10"/>
        <v>37-3011.00</v>
      </c>
      <c r="H223" t="s">
        <v>335</v>
      </c>
      <c r="I223">
        <v>14</v>
      </c>
      <c r="J223">
        <v>14</v>
      </c>
      <c r="K223" s="1">
        <v>44986</v>
      </c>
      <c r="L223" s="1">
        <v>45275</v>
      </c>
      <c r="M223" s="1">
        <v>44986</v>
      </c>
      <c r="N223" s="1">
        <v>45275</v>
      </c>
      <c r="O223" t="s">
        <v>117</v>
      </c>
      <c r="P223" t="s">
        <v>11009</v>
      </c>
      <c r="R223" t="s">
        <v>11010</v>
      </c>
      <c r="S223" t="s">
        <v>11011</v>
      </c>
      <c r="T223" t="s">
        <v>4410</v>
      </c>
      <c r="U223" t="s">
        <v>1349</v>
      </c>
      <c r="V223" s="4" t="str">
        <f>"72223"</f>
        <v>72223</v>
      </c>
      <c r="W223" t="s">
        <v>120</v>
      </c>
      <c r="X223" t="s">
        <v>138</v>
      </c>
      <c r="Y223" s="5">
        <v>15018212069</v>
      </c>
      <c r="AA223">
        <v>561730</v>
      </c>
      <c r="AB223" t="s">
        <v>4301</v>
      </c>
      <c r="AC223" t="s">
        <v>536</v>
      </c>
      <c r="AD223" t="s">
        <v>138</v>
      </c>
      <c r="AE223" t="s">
        <v>342</v>
      </c>
      <c r="AF223" t="s">
        <v>11010</v>
      </c>
      <c r="AG223" t="s">
        <v>11011</v>
      </c>
      <c r="AH223" t="s">
        <v>4410</v>
      </c>
      <c r="AI223" t="s">
        <v>1349</v>
      </c>
      <c r="AJ223" s="4" t="str">
        <f>"72223"</f>
        <v>72223</v>
      </c>
      <c r="AK223" t="s">
        <v>120</v>
      </c>
      <c r="AM223" s="5">
        <v>15018212069</v>
      </c>
      <c r="AO223" t="s">
        <v>11012</v>
      </c>
      <c r="AP223" t="s">
        <v>256</v>
      </c>
      <c r="AQ223" t="s">
        <v>2351</v>
      </c>
      <c r="AR223" t="s">
        <v>1353</v>
      </c>
      <c r="AS223" t="s">
        <v>259</v>
      </c>
      <c r="AT223" t="s">
        <v>2352</v>
      </c>
      <c r="AU223" t="s">
        <v>138</v>
      </c>
      <c r="AV223" t="s">
        <v>1285</v>
      </c>
      <c r="AW223" t="s">
        <v>232</v>
      </c>
      <c r="AX223" s="4" t="str">
        <f t="shared" si="12"/>
        <v>77414</v>
      </c>
      <c r="AY223" t="s">
        <v>120</v>
      </c>
      <c r="BA223" s="5">
        <v>19793187283</v>
      </c>
      <c r="BC223" t="s">
        <v>2353</v>
      </c>
      <c r="BD223" t="s">
        <v>1287</v>
      </c>
      <c r="BG223" t="s">
        <v>1349</v>
      </c>
      <c r="BH223" s="1">
        <v>44895.791666666664</v>
      </c>
      <c r="BI223">
        <v>40</v>
      </c>
      <c r="BJ223">
        <v>0</v>
      </c>
      <c r="BK223">
        <v>8</v>
      </c>
      <c r="BL223">
        <v>8</v>
      </c>
      <c r="BM223">
        <v>8</v>
      </c>
      <c r="BN223">
        <v>8</v>
      </c>
      <c r="BO223">
        <v>8</v>
      </c>
      <c r="BP223">
        <v>0</v>
      </c>
      <c r="BQ223" t="str">
        <f>"8:00 AM"</f>
        <v>8:00 AM</v>
      </c>
      <c r="BR223" t="str">
        <f>"5:00 PM"</f>
        <v>5:00 PM</v>
      </c>
      <c r="BS223" t="s">
        <v>133</v>
      </c>
      <c r="BT223">
        <v>0</v>
      </c>
      <c r="BU223">
        <v>0</v>
      </c>
      <c r="BV223" t="s">
        <v>134</v>
      </c>
      <c r="BX223" s="2" t="s">
        <v>11013</v>
      </c>
      <c r="BY223" t="s">
        <v>11010</v>
      </c>
      <c r="BZ223" t="s">
        <v>138</v>
      </c>
      <c r="CA223" t="s">
        <v>4410</v>
      </c>
      <c r="CB223" t="s">
        <v>1349</v>
      </c>
      <c r="CC223" s="4" t="str">
        <f>"72223"</f>
        <v>72223</v>
      </c>
      <c r="CD223" t="s">
        <v>4412</v>
      </c>
      <c r="CE223" t="s">
        <v>4413</v>
      </c>
      <c r="CF223" s="6">
        <v>14.33</v>
      </c>
      <c r="CG223" s="6">
        <v>18.5</v>
      </c>
      <c r="CH223" s="6">
        <v>21.5</v>
      </c>
      <c r="CI223" s="6">
        <v>27.75</v>
      </c>
      <c r="CJ223" t="s">
        <v>137</v>
      </c>
      <c r="CK223" t="s">
        <v>5197</v>
      </c>
      <c r="CL223" t="s">
        <v>11014</v>
      </c>
      <c r="CO223" t="s">
        <v>138</v>
      </c>
      <c r="CP223" t="s">
        <v>114</v>
      </c>
      <c r="CQ223" t="s">
        <v>114</v>
      </c>
      <c r="CR223" t="s">
        <v>114</v>
      </c>
      <c r="CS223" t="s">
        <v>114</v>
      </c>
      <c r="CT223" t="s">
        <v>114</v>
      </c>
      <c r="CU223" t="s">
        <v>134</v>
      </c>
      <c r="CV223" t="s">
        <v>2056</v>
      </c>
      <c r="CW223" s="5" t="str">
        <f>"+15017077723"</f>
        <v>+15017077723</v>
      </c>
      <c r="CX223" t="s">
        <v>11012</v>
      </c>
      <c r="CY223" t="s">
        <v>138</v>
      </c>
      <c r="CZ223" t="s">
        <v>139</v>
      </c>
      <c r="DA223" t="s">
        <v>134</v>
      </c>
      <c r="DB223" t="s">
        <v>134</v>
      </c>
      <c r="DC223" t="s">
        <v>114</v>
      </c>
      <c r="DD223" t="s">
        <v>134</v>
      </c>
    </row>
    <row r="224" spans="1:113" ht="15" customHeight="1" x14ac:dyDescent="0.25">
      <c r="A224" t="s">
        <v>2516</v>
      </c>
      <c r="B224" t="s">
        <v>165</v>
      </c>
      <c r="C224" s="1">
        <v>44896.451430092595</v>
      </c>
      <c r="D224" s="1">
        <v>44922</v>
      </c>
      <c r="E224" t="s">
        <v>134</v>
      </c>
      <c r="F224" t="s">
        <v>334</v>
      </c>
      <c r="G224" t="str">
        <f t="shared" si="10"/>
        <v>37-3011.00</v>
      </c>
      <c r="H224" t="s">
        <v>335</v>
      </c>
      <c r="I224">
        <v>6</v>
      </c>
      <c r="J224">
        <v>6</v>
      </c>
      <c r="K224" s="1">
        <v>44986</v>
      </c>
      <c r="L224" s="1">
        <v>45261</v>
      </c>
      <c r="M224" s="1">
        <v>44986</v>
      </c>
      <c r="N224" s="1">
        <v>45261</v>
      </c>
      <c r="O224" t="s">
        <v>199</v>
      </c>
      <c r="P224" t="s">
        <v>2517</v>
      </c>
      <c r="R224" t="s">
        <v>2518</v>
      </c>
      <c r="S224" t="s">
        <v>2519</v>
      </c>
      <c r="T224" t="s">
        <v>2520</v>
      </c>
      <c r="U224" t="s">
        <v>657</v>
      </c>
      <c r="V224" s="4" t="str">
        <f>"37663"</f>
        <v>37663</v>
      </c>
      <c r="W224" t="s">
        <v>120</v>
      </c>
      <c r="X224" t="s">
        <v>138</v>
      </c>
      <c r="Y224" s="5">
        <v>14232392699</v>
      </c>
      <c r="AA224">
        <v>561730</v>
      </c>
      <c r="AB224" t="s">
        <v>2521</v>
      </c>
      <c r="AC224" t="s">
        <v>1702</v>
      </c>
      <c r="AD224" t="s">
        <v>138</v>
      </c>
      <c r="AE224" t="s">
        <v>424</v>
      </c>
      <c r="AF224" t="s">
        <v>2518</v>
      </c>
      <c r="AG224" t="s">
        <v>2519</v>
      </c>
      <c r="AH224" t="s">
        <v>2520</v>
      </c>
      <c r="AI224" t="s">
        <v>657</v>
      </c>
      <c r="AJ224" s="4" t="str">
        <f>"37663"</f>
        <v>37663</v>
      </c>
      <c r="AK224" t="s">
        <v>120</v>
      </c>
      <c r="AM224" s="5">
        <v>14232392699</v>
      </c>
      <c r="AO224" t="s">
        <v>2522</v>
      </c>
      <c r="AP224" t="s">
        <v>256</v>
      </c>
      <c r="AQ224" t="s">
        <v>2351</v>
      </c>
      <c r="AR224" t="s">
        <v>1353</v>
      </c>
      <c r="AS224" t="s">
        <v>259</v>
      </c>
      <c r="AT224" t="s">
        <v>2352</v>
      </c>
      <c r="AU224" t="s">
        <v>138</v>
      </c>
      <c r="AV224" t="s">
        <v>1285</v>
      </c>
      <c r="AW224" t="s">
        <v>232</v>
      </c>
      <c r="AX224" s="4" t="str">
        <f t="shared" si="12"/>
        <v>77414</v>
      </c>
      <c r="AY224" t="s">
        <v>120</v>
      </c>
      <c r="BA224" s="5">
        <v>19793187283</v>
      </c>
      <c r="BC224" t="s">
        <v>2353</v>
      </c>
      <c r="BD224" t="s">
        <v>1287</v>
      </c>
      <c r="BG224" t="s">
        <v>657</v>
      </c>
      <c r="BH224" s="1">
        <v>44895.791666666664</v>
      </c>
      <c r="BI224">
        <v>40</v>
      </c>
      <c r="BJ224">
        <v>0</v>
      </c>
      <c r="BK224">
        <v>8</v>
      </c>
      <c r="BL224">
        <v>8</v>
      </c>
      <c r="BM224">
        <v>8</v>
      </c>
      <c r="BN224">
        <v>8</v>
      </c>
      <c r="BO224">
        <v>8</v>
      </c>
      <c r="BP224">
        <v>0</v>
      </c>
      <c r="BQ224" t="str">
        <f>"7:30 AM"</f>
        <v>7:30 AM</v>
      </c>
      <c r="BR224" t="str">
        <f>"4:30 PM"</f>
        <v>4:30 PM</v>
      </c>
      <c r="BS224" t="s">
        <v>133</v>
      </c>
      <c r="BT224">
        <v>0</v>
      </c>
      <c r="BU224">
        <v>0</v>
      </c>
      <c r="BV224" t="s">
        <v>134</v>
      </c>
      <c r="BX224" s="2" t="s">
        <v>2523</v>
      </c>
      <c r="BY224" t="s">
        <v>2518</v>
      </c>
      <c r="BZ224" t="s">
        <v>138</v>
      </c>
      <c r="CA224" t="s">
        <v>2520</v>
      </c>
      <c r="CB224" t="s">
        <v>657</v>
      </c>
      <c r="CC224" s="4" t="str">
        <f>"37663"</f>
        <v>37663</v>
      </c>
      <c r="CD224" t="s">
        <v>2524</v>
      </c>
      <c r="CE224" t="s">
        <v>2525</v>
      </c>
      <c r="CF224" s="6">
        <v>14.71</v>
      </c>
      <c r="CG224" s="6">
        <v>15</v>
      </c>
      <c r="CH224" s="6">
        <v>22.07</v>
      </c>
      <c r="CI224" s="6">
        <v>22.5</v>
      </c>
      <c r="CJ224" t="s">
        <v>137</v>
      </c>
      <c r="CK224" t="s">
        <v>2526</v>
      </c>
      <c r="CL224" t="s">
        <v>2527</v>
      </c>
      <c r="CO224" t="s">
        <v>138</v>
      </c>
      <c r="CP224" t="s">
        <v>114</v>
      </c>
      <c r="CQ224" t="s">
        <v>114</v>
      </c>
      <c r="CR224" t="s">
        <v>114</v>
      </c>
      <c r="CS224" t="s">
        <v>114</v>
      </c>
      <c r="CT224" t="s">
        <v>114</v>
      </c>
      <c r="CU224" t="s">
        <v>134</v>
      </c>
      <c r="CV224" t="s">
        <v>2056</v>
      </c>
      <c r="CW224" s="5" t="str">
        <f>"+14232392699"</f>
        <v>+14232392699</v>
      </c>
      <c r="CX224" t="s">
        <v>2522</v>
      </c>
      <c r="CY224" t="s">
        <v>138</v>
      </c>
      <c r="CZ224" t="s">
        <v>139</v>
      </c>
      <c r="DA224" t="s">
        <v>134</v>
      </c>
      <c r="DB224" t="s">
        <v>134</v>
      </c>
      <c r="DC224" t="s">
        <v>114</v>
      </c>
      <c r="DD224" t="s">
        <v>134</v>
      </c>
    </row>
    <row r="225" spans="1:113" ht="15" customHeight="1" x14ac:dyDescent="0.25">
      <c r="A225" t="s">
        <v>5830</v>
      </c>
      <c r="B225" t="s">
        <v>165</v>
      </c>
      <c r="C225" s="1">
        <v>44896.450608333333</v>
      </c>
      <c r="D225" s="1">
        <v>44922</v>
      </c>
      <c r="E225" t="s">
        <v>134</v>
      </c>
      <c r="F225" t="s">
        <v>334</v>
      </c>
      <c r="G225" t="str">
        <f t="shared" si="10"/>
        <v>37-3011.00</v>
      </c>
      <c r="H225" t="s">
        <v>335</v>
      </c>
      <c r="I225">
        <v>2</v>
      </c>
      <c r="J225">
        <v>2</v>
      </c>
      <c r="K225" s="1">
        <v>44986</v>
      </c>
      <c r="L225" s="1">
        <v>45275</v>
      </c>
      <c r="M225" s="1">
        <v>44986</v>
      </c>
      <c r="N225" s="1">
        <v>45275</v>
      </c>
      <c r="O225" t="s">
        <v>199</v>
      </c>
      <c r="P225" t="s">
        <v>5831</v>
      </c>
      <c r="R225" t="s">
        <v>5832</v>
      </c>
      <c r="S225" t="s">
        <v>5833</v>
      </c>
      <c r="T225" t="s">
        <v>5834</v>
      </c>
      <c r="U225" t="s">
        <v>1003</v>
      </c>
      <c r="V225" s="4" t="str">
        <f>"07641"</f>
        <v>07641</v>
      </c>
      <c r="W225" t="s">
        <v>120</v>
      </c>
      <c r="X225" t="s">
        <v>138</v>
      </c>
      <c r="Y225" s="5">
        <v>12013878497</v>
      </c>
      <c r="AA225">
        <v>561730</v>
      </c>
      <c r="AB225" t="s">
        <v>5835</v>
      </c>
      <c r="AC225" t="s">
        <v>755</v>
      </c>
      <c r="AD225" t="s">
        <v>138</v>
      </c>
      <c r="AE225" t="s">
        <v>342</v>
      </c>
      <c r="AF225" t="s">
        <v>5832</v>
      </c>
      <c r="AG225" t="s">
        <v>5833</v>
      </c>
      <c r="AH225" t="s">
        <v>5834</v>
      </c>
      <c r="AI225" t="s">
        <v>1003</v>
      </c>
      <c r="AJ225" s="4" t="str">
        <f>"07641"</f>
        <v>07641</v>
      </c>
      <c r="AK225" t="s">
        <v>120</v>
      </c>
      <c r="AM225" s="5">
        <v>12013878497</v>
      </c>
      <c r="AO225" t="s">
        <v>5836</v>
      </c>
      <c r="AP225" t="s">
        <v>256</v>
      </c>
      <c r="AQ225" t="s">
        <v>2351</v>
      </c>
      <c r="AR225" t="s">
        <v>1353</v>
      </c>
      <c r="AS225" t="s">
        <v>259</v>
      </c>
      <c r="AT225" t="s">
        <v>2352</v>
      </c>
      <c r="AU225" t="s">
        <v>138</v>
      </c>
      <c r="AV225" t="s">
        <v>1285</v>
      </c>
      <c r="AW225" t="s">
        <v>232</v>
      </c>
      <c r="AX225" s="4" t="str">
        <f t="shared" si="12"/>
        <v>77414</v>
      </c>
      <c r="AY225" t="s">
        <v>120</v>
      </c>
      <c r="BA225" s="5">
        <v>19793187283</v>
      </c>
      <c r="BC225" t="s">
        <v>2353</v>
      </c>
      <c r="BD225" t="s">
        <v>1287</v>
      </c>
      <c r="BG225" t="s">
        <v>1003</v>
      </c>
      <c r="BH225" s="1">
        <v>44895.791666666664</v>
      </c>
      <c r="BI225">
        <v>40</v>
      </c>
      <c r="BJ225">
        <v>0</v>
      </c>
      <c r="BK225">
        <v>8</v>
      </c>
      <c r="BL225">
        <v>8</v>
      </c>
      <c r="BM225">
        <v>8</v>
      </c>
      <c r="BN225">
        <v>8</v>
      </c>
      <c r="BO225">
        <v>8</v>
      </c>
      <c r="BP225">
        <v>0</v>
      </c>
      <c r="BQ225" t="str">
        <f>"7:30 AM"</f>
        <v>7:30 AM</v>
      </c>
      <c r="BR225" t="str">
        <f>"4:30 PM"</f>
        <v>4:30 PM</v>
      </c>
      <c r="BS225" t="s">
        <v>133</v>
      </c>
      <c r="BT225">
        <v>0</v>
      </c>
      <c r="BU225">
        <v>0</v>
      </c>
      <c r="BV225" t="s">
        <v>134</v>
      </c>
      <c r="BX225" s="2" t="s">
        <v>5837</v>
      </c>
      <c r="BY225" t="s">
        <v>5838</v>
      </c>
      <c r="BZ225" t="s">
        <v>138</v>
      </c>
      <c r="CA225" t="s">
        <v>5839</v>
      </c>
      <c r="CB225" t="s">
        <v>1003</v>
      </c>
      <c r="CC225" s="4" t="str">
        <f>"07670"</f>
        <v>07670</v>
      </c>
      <c r="CD225" t="s">
        <v>2415</v>
      </c>
      <c r="CE225" t="s">
        <v>1009</v>
      </c>
      <c r="CF225" s="6">
        <v>19.940000000000001</v>
      </c>
      <c r="CH225" s="6">
        <v>29.91</v>
      </c>
      <c r="CJ225" t="s">
        <v>137</v>
      </c>
      <c r="CK225" t="s">
        <v>5840</v>
      </c>
      <c r="CL225" t="s">
        <v>5841</v>
      </c>
      <c r="CO225" t="s">
        <v>138</v>
      </c>
      <c r="CP225" t="s">
        <v>114</v>
      </c>
      <c r="CQ225" t="s">
        <v>114</v>
      </c>
      <c r="CR225" t="s">
        <v>114</v>
      </c>
      <c r="CS225" t="s">
        <v>114</v>
      </c>
      <c r="CT225" t="s">
        <v>114</v>
      </c>
      <c r="CU225" t="s">
        <v>134</v>
      </c>
      <c r="CV225" t="s">
        <v>2056</v>
      </c>
      <c r="CW225" s="5" t="str">
        <f>"+12013878497"</f>
        <v>+12013878497</v>
      </c>
      <c r="CX225" t="s">
        <v>5836</v>
      </c>
      <c r="CY225" t="s">
        <v>138</v>
      </c>
      <c r="CZ225" t="s">
        <v>139</v>
      </c>
      <c r="DA225" t="s">
        <v>134</v>
      </c>
      <c r="DB225" t="s">
        <v>134</v>
      </c>
      <c r="DC225" t="s">
        <v>114</v>
      </c>
      <c r="DD225" t="s">
        <v>134</v>
      </c>
    </row>
    <row r="226" spans="1:113" ht="15" customHeight="1" x14ac:dyDescent="0.25">
      <c r="A226" t="s">
        <v>8050</v>
      </c>
      <c r="B226" t="s">
        <v>165</v>
      </c>
      <c r="C226" s="1">
        <v>44896.449552314814</v>
      </c>
      <c r="D226" s="1">
        <v>44922</v>
      </c>
      <c r="E226" t="s">
        <v>134</v>
      </c>
      <c r="F226" t="s">
        <v>2342</v>
      </c>
      <c r="G226" t="str">
        <f t="shared" si="10"/>
        <v>37-3011.00</v>
      </c>
      <c r="H226" t="s">
        <v>335</v>
      </c>
      <c r="I226">
        <v>6</v>
      </c>
      <c r="J226">
        <v>6</v>
      </c>
      <c r="K226" s="1">
        <v>44986</v>
      </c>
      <c r="L226" s="1">
        <v>45231</v>
      </c>
      <c r="M226" s="1">
        <v>44986</v>
      </c>
      <c r="N226" s="1">
        <v>45231</v>
      </c>
      <c r="O226" t="s">
        <v>117</v>
      </c>
      <c r="P226" t="s">
        <v>2343</v>
      </c>
      <c r="Q226" t="s">
        <v>2344</v>
      </c>
      <c r="R226" t="s">
        <v>2345</v>
      </c>
      <c r="S226" t="s">
        <v>2346</v>
      </c>
      <c r="T226" t="s">
        <v>2347</v>
      </c>
      <c r="U226" t="s">
        <v>154</v>
      </c>
      <c r="V226" s="4" t="str">
        <f>"32578"</f>
        <v>32578</v>
      </c>
      <c r="W226" t="s">
        <v>120</v>
      </c>
      <c r="X226" t="s">
        <v>138</v>
      </c>
      <c r="Y226" s="5">
        <v>18502796384</v>
      </c>
      <c r="AA226">
        <v>561730</v>
      </c>
      <c r="AB226" t="s">
        <v>2348</v>
      </c>
      <c r="AC226" t="s">
        <v>146</v>
      </c>
      <c r="AD226" t="s">
        <v>2349</v>
      </c>
      <c r="AE226" t="s">
        <v>1835</v>
      </c>
      <c r="AF226" t="s">
        <v>2345</v>
      </c>
      <c r="AG226" t="s">
        <v>2346</v>
      </c>
      <c r="AH226" t="s">
        <v>2347</v>
      </c>
      <c r="AI226" t="s">
        <v>154</v>
      </c>
      <c r="AJ226" s="4" t="str">
        <f>"32578"</f>
        <v>32578</v>
      </c>
      <c r="AK226" t="s">
        <v>120</v>
      </c>
      <c r="AM226" s="5">
        <v>18502796384</v>
      </c>
      <c r="AO226" t="s">
        <v>2350</v>
      </c>
      <c r="AP226" t="s">
        <v>256</v>
      </c>
      <c r="AQ226" t="s">
        <v>2351</v>
      </c>
      <c r="AR226" t="s">
        <v>1353</v>
      </c>
      <c r="AS226" t="s">
        <v>259</v>
      </c>
      <c r="AT226" t="s">
        <v>2352</v>
      </c>
      <c r="AU226" t="s">
        <v>138</v>
      </c>
      <c r="AV226" t="s">
        <v>1285</v>
      </c>
      <c r="AW226" t="s">
        <v>232</v>
      </c>
      <c r="AX226" s="4" t="str">
        <f t="shared" si="12"/>
        <v>77414</v>
      </c>
      <c r="AY226" t="s">
        <v>120</v>
      </c>
      <c r="BA226" s="5">
        <v>19793187283</v>
      </c>
      <c r="BC226" t="s">
        <v>2353</v>
      </c>
      <c r="BD226" t="s">
        <v>1287</v>
      </c>
      <c r="BG226" t="s">
        <v>154</v>
      </c>
      <c r="BH226" s="1">
        <v>44895.791666666664</v>
      </c>
      <c r="BI226">
        <v>40</v>
      </c>
      <c r="BJ226">
        <v>0</v>
      </c>
      <c r="BK226">
        <v>10</v>
      </c>
      <c r="BL226">
        <v>10</v>
      </c>
      <c r="BM226">
        <v>10</v>
      </c>
      <c r="BN226">
        <v>10</v>
      </c>
      <c r="BO226">
        <v>0</v>
      </c>
      <c r="BP226">
        <v>0</v>
      </c>
      <c r="BQ226" t="str">
        <f>"7:00 AM"</f>
        <v>7:00 AM</v>
      </c>
      <c r="BR226" t="str">
        <f>"5:30 PM"</f>
        <v>5:30 PM</v>
      </c>
      <c r="BS226" t="s">
        <v>133</v>
      </c>
      <c r="BT226">
        <v>0</v>
      </c>
      <c r="BU226">
        <v>0</v>
      </c>
      <c r="BV226" t="s">
        <v>134</v>
      </c>
      <c r="BX226" s="2" t="s">
        <v>8051</v>
      </c>
      <c r="BY226" t="s">
        <v>2354</v>
      </c>
      <c r="BZ226" t="s">
        <v>138</v>
      </c>
      <c r="CA226" t="s">
        <v>2347</v>
      </c>
      <c r="CB226" t="s">
        <v>154</v>
      </c>
      <c r="CC226" s="4" t="str">
        <f>"32578"</f>
        <v>32578</v>
      </c>
      <c r="CD226" t="s">
        <v>2355</v>
      </c>
      <c r="CE226" t="s">
        <v>2356</v>
      </c>
      <c r="CF226" s="6">
        <v>15.46</v>
      </c>
      <c r="CG226" s="6">
        <v>18</v>
      </c>
      <c r="CH226" s="6">
        <v>23.19</v>
      </c>
      <c r="CI226" s="6">
        <v>27</v>
      </c>
      <c r="CJ226" t="s">
        <v>137</v>
      </c>
      <c r="CK226" t="s">
        <v>2357</v>
      </c>
      <c r="CL226" t="s">
        <v>2358</v>
      </c>
      <c r="CO226" t="s">
        <v>138</v>
      </c>
      <c r="CP226" t="s">
        <v>114</v>
      </c>
      <c r="CQ226" t="s">
        <v>114</v>
      </c>
      <c r="CR226" t="s">
        <v>114</v>
      </c>
      <c r="CS226" t="s">
        <v>114</v>
      </c>
      <c r="CT226" t="s">
        <v>114</v>
      </c>
      <c r="CU226" t="s">
        <v>134</v>
      </c>
      <c r="CV226" t="s">
        <v>2056</v>
      </c>
      <c r="CW226" s="5" t="str">
        <f>"+18502796384"</f>
        <v>+18502796384</v>
      </c>
      <c r="CX226" t="s">
        <v>2359</v>
      </c>
      <c r="CY226" t="s">
        <v>138</v>
      </c>
      <c r="CZ226" t="s">
        <v>139</v>
      </c>
      <c r="DA226" t="s">
        <v>134</v>
      </c>
      <c r="DB226" t="s">
        <v>134</v>
      </c>
      <c r="DC226" t="s">
        <v>114</v>
      </c>
      <c r="DD226" t="s">
        <v>134</v>
      </c>
    </row>
    <row r="227" spans="1:113" ht="15" customHeight="1" x14ac:dyDescent="0.25">
      <c r="A227" t="s">
        <v>13410</v>
      </c>
      <c r="B227" t="s">
        <v>165</v>
      </c>
      <c r="C227" s="1">
        <v>44896.448705555558</v>
      </c>
      <c r="D227" s="1">
        <v>44922</v>
      </c>
      <c r="E227" t="s">
        <v>134</v>
      </c>
      <c r="F227" t="s">
        <v>13411</v>
      </c>
      <c r="G227" t="str">
        <f t="shared" si="10"/>
        <v>37-3011.00</v>
      </c>
      <c r="H227" t="s">
        <v>335</v>
      </c>
      <c r="I227">
        <v>5</v>
      </c>
      <c r="J227">
        <v>5</v>
      </c>
      <c r="K227" s="1">
        <v>44986</v>
      </c>
      <c r="L227" s="1">
        <v>45200</v>
      </c>
      <c r="M227" s="1">
        <v>44986</v>
      </c>
      <c r="N227" s="1">
        <v>45200</v>
      </c>
      <c r="O227" t="s">
        <v>199</v>
      </c>
      <c r="P227" t="s">
        <v>13412</v>
      </c>
      <c r="R227" t="s">
        <v>13413</v>
      </c>
      <c r="S227" t="s">
        <v>138</v>
      </c>
      <c r="T227" t="s">
        <v>6936</v>
      </c>
      <c r="U227" t="s">
        <v>420</v>
      </c>
      <c r="V227" s="4" t="str">
        <f>"84088"</f>
        <v>84088</v>
      </c>
      <c r="W227" t="s">
        <v>120</v>
      </c>
      <c r="X227" t="s">
        <v>138</v>
      </c>
      <c r="Y227" s="5">
        <v>18015625496</v>
      </c>
      <c r="AA227">
        <v>444220</v>
      </c>
      <c r="AB227" t="s">
        <v>13414</v>
      </c>
      <c r="AC227" t="s">
        <v>1568</v>
      </c>
      <c r="AD227" t="s">
        <v>138</v>
      </c>
      <c r="AE227" t="s">
        <v>252</v>
      </c>
      <c r="AF227" t="s">
        <v>13413</v>
      </c>
      <c r="AG227" t="s">
        <v>138</v>
      </c>
      <c r="AH227" t="s">
        <v>6936</v>
      </c>
      <c r="AI227" t="s">
        <v>420</v>
      </c>
      <c r="AJ227" s="4" t="str">
        <f>"84088"</f>
        <v>84088</v>
      </c>
      <c r="AK227" t="s">
        <v>120</v>
      </c>
      <c r="AM227" s="5">
        <v>18015625496</v>
      </c>
      <c r="AO227" t="s">
        <v>13415</v>
      </c>
      <c r="AP227" t="s">
        <v>256</v>
      </c>
      <c r="AQ227" t="s">
        <v>2351</v>
      </c>
      <c r="AR227" t="s">
        <v>1353</v>
      </c>
      <c r="AS227" t="s">
        <v>259</v>
      </c>
      <c r="AT227" t="s">
        <v>2352</v>
      </c>
      <c r="AU227" t="s">
        <v>138</v>
      </c>
      <c r="AV227" t="s">
        <v>1285</v>
      </c>
      <c r="AW227" t="s">
        <v>232</v>
      </c>
      <c r="AX227" s="4" t="str">
        <f t="shared" si="12"/>
        <v>77414</v>
      </c>
      <c r="AY227" t="s">
        <v>120</v>
      </c>
      <c r="BA227" s="5">
        <v>19793187283</v>
      </c>
      <c r="BC227" t="s">
        <v>2353</v>
      </c>
      <c r="BD227" t="s">
        <v>1287</v>
      </c>
      <c r="BG227" t="s">
        <v>420</v>
      </c>
      <c r="BH227" s="1">
        <v>44895.791666666664</v>
      </c>
      <c r="BI227">
        <v>40</v>
      </c>
      <c r="BJ227">
        <v>0</v>
      </c>
      <c r="BK227">
        <v>8</v>
      </c>
      <c r="BL227">
        <v>8</v>
      </c>
      <c r="BM227">
        <v>8</v>
      </c>
      <c r="BN227">
        <v>8</v>
      </c>
      <c r="BO227">
        <v>8</v>
      </c>
      <c r="BP227">
        <v>0</v>
      </c>
      <c r="BQ227" t="str">
        <f>"8:00 AM"</f>
        <v>8:00 AM</v>
      </c>
      <c r="BR227" t="str">
        <f>"4:30 PM"</f>
        <v>4:30 PM</v>
      </c>
      <c r="BS227" t="s">
        <v>133</v>
      </c>
      <c r="BT227">
        <v>0</v>
      </c>
      <c r="BU227">
        <v>0</v>
      </c>
      <c r="BV227" t="s">
        <v>134</v>
      </c>
      <c r="BX227" s="2" t="s">
        <v>13416</v>
      </c>
      <c r="BY227" t="s">
        <v>13417</v>
      </c>
      <c r="BZ227" t="s">
        <v>138</v>
      </c>
      <c r="CA227" t="s">
        <v>6936</v>
      </c>
      <c r="CB227" t="s">
        <v>420</v>
      </c>
      <c r="CC227" s="4" t="str">
        <f>"84088"</f>
        <v>84088</v>
      </c>
      <c r="CD227" t="s">
        <v>688</v>
      </c>
      <c r="CE227" t="s">
        <v>689</v>
      </c>
      <c r="CF227" s="6">
        <v>17.25</v>
      </c>
      <c r="CH227" s="6">
        <v>25.88</v>
      </c>
      <c r="CJ227" t="s">
        <v>137</v>
      </c>
      <c r="CK227" t="s">
        <v>2386</v>
      </c>
      <c r="CL227" t="s">
        <v>13418</v>
      </c>
      <c r="CO227" t="s">
        <v>138</v>
      </c>
      <c r="CP227" t="s">
        <v>114</v>
      </c>
      <c r="CQ227" t="s">
        <v>114</v>
      </c>
      <c r="CR227" t="s">
        <v>114</v>
      </c>
      <c r="CS227" t="s">
        <v>114</v>
      </c>
      <c r="CT227" t="s">
        <v>114</v>
      </c>
      <c r="CU227" t="s">
        <v>134</v>
      </c>
      <c r="CV227" t="s">
        <v>2056</v>
      </c>
      <c r="CW227" s="5" t="str">
        <f>"+18015625496"</f>
        <v>+18015625496</v>
      </c>
      <c r="CX227" t="s">
        <v>13415</v>
      </c>
      <c r="CY227" t="s">
        <v>138</v>
      </c>
      <c r="CZ227" t="s">
        <v>139</v>
      </c>
      <c r="DA227" t="s">
        <v>134</v>
      </c>
      <c r="DB227" t="s">
        <v>134</v>
      </c>
      <c r="DC227" t="s">
        <v>114</v>
      </c>
      <c r="DD227" t="s">
        <v>134</v>
      </c>
    </row>
    <row r="228" spans="1:113" ht="15" customHeight="1" x14ac:dyDescent="0.25">
      <c r="A228" t="s">
        <v>16088</v>
      </c>
      <c r="B228" t="s">
        <v>165</v>
      </c>
      <c r="C228" s="1">
        <v>44896.446673958337</v>
      </c>
      <c r="D228" s="1">
        <v>44922</v>
      </c>
      <c r="E228" t="s">
        <v>134</v>
      </c>
      <c r="F228" t="s">
        <v>2342</v>
      </c>
      <c r="G228" t="str">
        <f t="shared" si="10"/>
        <v>37-3011.00</v>
      </c>
      <c r="H228" t="s">
        <v>335</v>
      </c>
      <c r="I228">
        <v>7</v>
      </c>
      <c r="J228">
        <v>7</v>
      </c>
      <c r="K228" s="1">
        <v>44986</v>
      </c>
      <c r="L228" s="1">
        <v>45259</v>
      </c>
      <c r="M228" s="1">
        <v>44986</v>
      </c>
      <c r="N228" s="1">
        <v>45259</v>
      </c>
      <c r="O228" t="s">
        <v>117</v>
      </c>
      <c r="P228" t="s">
        <v>16089</v>
      </c>
      <c r="R228" t="s">
        <v>16090</v>
      </c>
      <c r="S228" t="s">
        <v>16091</v>
      </c>
      <c r="T228" t="s">
        <v>16092</v>
      </c>
      <c r="U228" t="s">
        <v>339</v>
      </c>
      <c r="V228" s="4" t="str">
        <f>"21778"</f>
        <v>21778</v>
      </c>
      <c r="W228" t="s">
        <v>120</v>
      </c>
      <c r="X228" t="s">
        <v>138</v>
      </c>
      <c r="Y228" s="5">
        <v>13012712832</v>
      </c>
      <c r="AA228">
        <v>561730</v>
      </c>
      <c r="AB228" t="s">
        <v>2511</v>
      </c>
      <c r="AC228" t="s">
        <v>5938</v>
      </c>
      <c r="AD228" t="s">
        <v>138</v>
      </c>
      <c r="AE228" t="s">
        <v>2138</v>
      </c>
      <c r="AF228" t="s">
        <v>16090</v>
      </c>
      <c r="AG228" t="s">
        <v>16091</v>
      </c>
      <c r="AH228" t="s">
        <v>16092</v>
      </c>
      <c r="AI228" t="s">
        <v>339</v>
      </c>
      <c r="AJ228" s="4" t="str">
        <f>"21778"</f>
        <v>21778</v>
      </c>
      <c r="AK228" t="s">
        <v>120</v>
      </c>
      <c r="AM228" s="5">
        <v>13012712832</v>
      </c>
      <c r="AO228" t="s">
        <v>16093</v>
      </c>
      <c r="AP228" t="s">
        <v>256</v>
      </c>
      <c r="AQ228" t="s">
        <v>2351</v>
      </c>
      <c r="AR228" t="s">
        <v>1353</v>
      </c>
      <c r="AS228" t="s">
        <v>259</v>
      </c>
      <c r="AT228" t="s">
        <v>2352</v>
      </c>
      <c r="AU228" t="s">
        <v>138</v>
      </c>
      <c r="AV228" t="s">
        <v>1285</v>
      </c>
      <c r="AW228" t="s">
        <v>232</v>
      </c>
      <c r="AX228" s="4" t="str">
        <f t="shared" si="12"/>
        <v>77414</v>
      </c>
      <c r="AY228" t="s">
        <v>120</v>
      </c>
      <c r="BA228" s="5">
        <v>19793187283</v>
      </c>
      <c r="BC228" t="s">
        <v>2353</v>
      </c>
      <c r="BD228" t="s">
        <v>1287</v>
      </c>
      <c r="BG228" t="s">
        <v>339</v>
      </c>
      <c r="BH228" s="1">
        <v>44895.791666666664</v>
      </c>
      <c r="BI228">
        <v>40</v>
      </c>
      <c r="BJ228">
        <v>0</v>
      </c>
      <c r="BK228">
        <v>8</v>
      </c>
      <c r="BL228">
        <v>8</v>
      </c>
      <c r="BM228">
        <v>8</v>
      </c>
      <c r="BN228">
        <v>8</v>
      </c>
      <c r="BO228">
        <v>8</v>
      </c>
      <c r="BP228">
        <v>0</v>
      </c>
      <c r="BQ228" t="str">
        <f>"7:00 AM"</f>
        <v>7:00 AM</v>
      </c>
      <c r="BR228" t="str">
        <f>"4:00 PM"</f>
        <v>4:00 PM</v>
      </c>
      <c r="BS228" t="s">
        <v>133</v>
      </c>
      <c r="BT228">
        <v>0</v>
      </c>
      <c r="BU228">
        <v>0</v>
      </c>
      <c r="BV228" t="s">
        <v>134</v>
      </c>
      <c r="BX228" s="2" t="s">
        <v>16094</v>
      </c>
      <c r="BY228" t="s">
        <v>16090</v>
      </c>
      <c r="BZ228" t="s">
        <v>138</v>
      </c>
      <c r="CA228" t="s">
        <v>16092</v>
      </c>
      <c r="CB228" t="s">
        <v>339</v>
      </c>
      <c r="CC228" s="4" t="str">
        <f>"21778"</f>
        <v>21778</v>
      </c>
      <c r="CD228" t="s">
        <v>354</v>
      </c>
      <c r="CE228" t="s">
        <v>355</v>
      </c>
      <c r="CF228" s="6">
        <v>18.36</v>
      </c>
      <c r="CH228" s="6">
        <v>27.54</v>
      </c>
      <c r="CJ228" t="s">
        <v>137</v>
      </c>
      <c r="CK228" t="s">
        <v>5645</v>
      </c>
      <c r="CL228" t="s">
        <v>16095</v>
      </c>
      <c r="CO228" t="s">
        <v>138</v>
      </c>
      <c r="CP228" t="s">
        <v>114</v>
      </c>
      <c r="CQ228" t="s">
        <v>114</v>
      </c>
      <c r="CR228" t="s">
        <v>114</v>
      </c>
      <c r="CS228" t="s">
        <v>114</v>
      </c>
      <c r="CT228" t="s">
        <v>114</v>
      </c>
      <c r="CU228" t="s">
        <v>114</v>
      </c>
      <c r="CV228" t="s">
        <v>16096</v>
      </c>
      <c r="CW228" s="5" t="str">
        <f>"+13012712832"</f>
        <v>+13012712832</v>
      </c>
      <c r="CX228" t="s">
        <v>16093</v>
      </c>
      <c r="CY228" t="s">
        <v>138</v>
      </c>
      <c r="CZ228" t="s">
        <v>139</v>
      </c>
      <c r="DA228" t="s">
        <v>134</v>
      </c>
      <c r="DB228" t="s">
        <v>134</v>
      </c>
      <c r="DC228" t="s">
        <v>114</v>
      </c>
      <c r="DD228" t="s">
        <v>134</v>
      </c>
    </row>
    <row r="229" spans="1:113" ht="15" customHeight="1" x14ac:dyDescent="0.25">
      <c r="A229" t="s">
        <v>9112</v>
      </c>
      <c r="B229" t="s">
        <v>165</v>
      </c>
      <c r="C229" s="1">
        <v>44896.446033217595</v>
      </c>
      <c r="D229" s="1">
        <v>44922</v>
      </c>
      <c r="E229" t="s">
        <v>134</v>
      </c>
      <c r="F229" t="s">
        <v>2320</v>
      </c>
      <c r="G229" t="str">
        <f t="shared" si="10"/>
        <v>37-3011.00</v>
      </c>
      <c r="H229" t="s">
        <v>335</v>
      </c>
      <c r="I229">
        <v>30</v>
      </c>
      <c r="J229">
        <v>30</v>
      </c>
      <c r="K229" s="1">
        <v>44986</v>
      </c>
      <c r="L229" s="1">
        <v>45261</v>
      </c>
      <c r="M229" s="1">
        <v>44986</v>
      </c>
      <c r="N229" s="1">
        <v>45261</v>
      </c>
      <c r="O229" t="s">
        <v>199</v>
      </c>
      <c r="P229" t="s">
        <v>9113</v>
      </c>
      <c r="R229" t="s">
        <v>9114</v>
      </c>
      <c r="T229" t="s">
        <v>4668</v>
      </c>
      <c r="U229" t="s">
        <v>2371</v>
      </c>
      <c r="V229" s="4" t="str">
        <f>"47006"</f>
        <v>47006</v>
      </c>
      <c r="W229" t="s">
        <v>120</v>
      </c>
      <c r="Y229" s="5">
        <v>18129330205</v>
      </c>
      <c r="AA229">
        <v>23899</v>
      </c>
      <c r="AB229" t="s">
        <v>9115</v>
      </c>
      <c r="AC229" t="s">
        <v>7174</v>
      </c>
      <c r="AD229" t="s">
        <v>1869</v>
      </c>
      <c r="AE229" t="s">
        <v>2623</v>
      </c>
      <c r="AF229" t="s">
        <v>9114</v>
      </c>
      <c r="AH229" t="s">
        <v>4668</v>
      </c>
      <c r="AI229" t="s">
        <v>2371</v>
      </c>
      <c r="AJ229" s="4" t="str">
        <f>"47006"</f>
        <v>47006</v>
      </c>
      <c r="AK229" t="s">
        <v>120</v>
      </c>
      <c r="AM229" s="5">
        <v>18129330205</v>
      </c>
      <c r="AO229" t="s">
        <v>9116</v>
      </c>
      <c r="AX229" s="4" t="str">
        <f>""</f>
        <v/>
      </c>
      <c r="BG229" t="s">
        <v>2371</v>
      </c>
      <c r="BH229" s="1">
        <v>44895.791666666664</v>
      </c>
      <c r="BI229">
        <v>54</v>
      </c>
      <c r="BJ229">
        <v>0</v>
      </c>
      <c r="BK229">
        <v>10</v>
      </c>
      <c r="BL229">
        <v>10</v>
      </c>
      <c r="BM229">
        <v>10</v>
      </c>
      <c r="BN229">
        <v>10</v>
      </c>
      <c r="BO229">
        <v>10</v>
      </c>
      <c r="BP229">
        <v>4</v>
      </c>
      <c r="BQ229" t="str">
        <f>"7:00 AM"</f>
        <v>7:00 AM</v>
      </c>
      <c r="BR229" t="str">
        <f>"6:00 PM"</f>
        <v>6:00 PM</v>
      </c>
      <c r="BS229" t="s">
        <v>133</v>
      </c>
      <c r="BT229">
        <v>0</v>
      </c>
      <c r="BU229">
        <v>0</v>
      </c>
      <c r="BV229" t="s">
        <v>134</v>
      </c>
      <c r="BX229" t="s">
        <v>133</v>
      </c>
      <c r="BY229" t="s">
        <v>9114</v>
      </c>
      <c r="CA229" t="s">
        <v>4668</v>
      </c>
      <c r="CB229" t="s">
        <v>2371</v>
      </c>
      <c r="CC229" s="4" t="str">
        <f>"47006"</f>
        <v>47006</v>
      </c>
      <c r="CD229" t="s">
        <v>1679</v>
      </c>
      <c r="CE229" t="s">
        <v>6958</v>
      </c>
      <c r="CF229" s="6">
        <v>17</v>
      </c>
      <c r="CG229" s="6">
        <v>18</v>
      </c>
      <c r="CH229" s="6">
        <v>25.5</v>
      </c>
      <c r="CI229" s="6">
        <v>27</v>
      </c>
      <c r="CJ229" t="s">
        <v>137</v>
      </c>
      <c r="CK229" t="s">
        <v>133</v>
      </c>
      <c r="CL229" t="s">
        <v>9117</v>
      </c>
      <c r="CO229" t="s">
        <v>138</v>
      </c>
      <c r="CP229" t="s">
        <v>114</v>
      </c>
      <c r="CQ229" t="s">
        <v>114</v>
      </c>
      <c r="CR229" t="s">
        <v>114</v>
      </c>
      <c r="CS229" t="s">
        <v>114</v>
      </c>
      <c r="CT229" t="s">
        <v>114</v>
      </c>
      <c r="CU229" t="s">
        <v>114</v>
      </c>
      <c r="CV229" t="s">
        <v>9118</v>
      </c>
      <c r="CW229" s="5" t="str">
        <f>"+18129330205"</f>
        <v>+18129330205</v>
      </c>
      <c r="CX229" t="s">
        <v>9116</v>
      </c>
      <c r="CY229" t="s">
        <v>138</v>
      </c>
      <c r="CZ229" t="s">
        <v>139</v>
      </c>
      <c r="DA229" t="s">
        <v>134</v>
      </c>
      <c r="DB229" t="s">
        <v>134</v>
      </c>
      <c r="DC229" t="s">
        <v>114</v>
      </c>
      <c r="DD229" t="s">
        <v>134</v>
      </c>
    </row>
    <row r="230" spans="1:113" ht="15" customHeight="1" x14ac:dyDescent="0.25">
      <c r="A230" t="s">
        <v>5637</v>
      </c>
      <c r="B230" t="s">
        <v>165</v>
      </c>
      <c r="C230" s="1">
        <v>44896.440060185188</v>
      </c>
      <c r="D230" s="1">
        <v>44922</v>
      </c>
      <c r="E230" t="s">
        <v>134</v>
      </c>
      <c r="F230" t="s">
        <v>334</v>
      </c>
      <c r="G230" t="str">
        <f t="shared" si="10"/>
        <v>37-3011.00</v>
      </c>
      <c r="H230" t="s">
        <v>335</v>
      </c>
      <c r="I230">
        <v>9</v>
      </c>
      <c r="J230">
        <v>9</v>
      </c>
      <c r="K230" s="1">
        <v>44986</v>
      </c>
      <c r="L230" s="1">
        <v>45291</v>
      </c>
      <c r="M230" s="1">
        <v>44986</v>
      </c>
      <c r="N230" s="1">
        <v>45291</v>
      </c>
      <c r="O230" t="s">
        <v>117</v>
      </c>
      <c r="P230" t="s">
        <v>5638</v>
      </c>
      <c r="R230" t="s">
        <v>5639</v>
      </c>
      <c r="S230" t="s">
        <v>5640</v>
      </c>
      <c r="T230" t="s">
        <v>4371</v>
      </c>
      <c r="U230" t="s">
        <v>1003</v>
      </c>
      <c r="V230" s="4" t="str">
        <f>"07624"</f>
        <v>07624</v>
      </c>
      <c r="W230" t="s">
        <v>120</v>
      </c>
      <c r="X230" t="s">
        <v>138</v>
      </c>
      <c r="Y230" s="5">
        <v>12017680002</v>
      </c>
      <c r="AA230">
        <v>561730</v>
      </c>
      <c r="AB230" t="s">
        <v>4569</v>
      </c>
      <c r="AC230" t="s">
        <v>3565</v>
      </c>
      <c r="AD230" t="s">
        <v>2149</v>
      </c>
      <c r="AE230" t="s">
        <v>2138</v>
      </c>
      <c r="AF230" t="s">
        <v>5639</v>
      </c>
      <c r="AG230" t="s">
        <v>5640</v>
      </c>
      <c r="AH230" t="s">
        <v>4371</v>
      </c>
      <c r="AI230" t="s">
        <v>1003</v>
      </c>
      <c r="AJ230" s="4" t="str">
        <f>"07624"</f>
        <v>07624</v>
      </c>
      <c r="AK230" t="s">
        <v>120</v>
      </c>
      <c r="AM230" s="5">
        <v>12017680002</v>
      </c>
      <c r="AO230" t="s">
        <v>5641</v>
      </c>
      <c r="AP230" t="s">
        <v>256</v>
      </c>
      <c r="AQ230" t="s">
        <v>2351</v>
      </c>
      <c r="AR230" t="s">
        <v>1353</v>
      </c>
      <c r="AS230" t="s">
        <v>259</v>
      </c>
      <c r="AT230" t="s">
        <v>2352</v>
      </c>
      <c r="AU230" t="s">
        <v>138</v>
      </c>
      <c r="AV230" t="s">
        <v>1285</v>
      </c>
      <c r="AW230" t="s">
        <v>232</v>
      </c>
      <c r="AX230" s="4" t="str">
        <f>"77414"</f>
        <v>77414</v>
      </c>
      <c r="AY230" t="s">
        <v>120</v>
      </c>
      <c r="BA230" s="5">
        <v>19793187283</v>
      </c>
      <c r="BC230" t="s">
        <v>2353</v>
      </c>
      <c r="BD230" t="s">
        <v>1287</v>
      </c>
      <c r="BG230" t="s">
        <v>1003</v>
      </c>
      <c r="BH230" s="1">
        <v>44895.791666666664</v>
      </c>
      <c r="BI230">
        <v>40</v>
      </c>
      <c r="BJ230">
        <v>0</v>
      </c>
      <c r="BK230">
        <v>8</v>
      </c>
      <c r="BL230">
        <v>8</v>
      </c>
      <c r="BM230">
        <v>8</v>
      </c>
      <c r="BN230">
        <v>8</v>
      </c>
      <c r="BO230">
        <v>8</v>
      </c>
      <c r="BP230">
        <v>0</v>
      </c>
      <c r="BQ230" t="str">
        <f>"7:30 AM"</f>
        <v>7:30 AM</v>
      </c>
      <c r="BR230" t="str">
        <f>"4:30 PM"</f>
        <v>4:30 PM</v>
      </c>
      <c r="BS230" t="s">
        <v>133</v>
      </c>
      <c r="BT230">
        <v>0</v>
      </c>
      <c r="BU230">
        <v>0</v>
      </c>
      <c r="BV230" t="s">
        <v>134</v>
      </c>
      <c r="BX230" s="2" t="s">
        <v>5642</v>
      </c>
      <c r="BY230" t="s">
        <v>5643</v>
      </c>
      <c r="BZ230" t="s">
        <v>138</v>
      </c>
      <c r="CA230" t="s">
        <v>5644</v>
      </c>
      <c r="CB230" t="s">
        <v>1003</v>
      </c>
      <c r="CC230" s="4" t="str">
        <f>"07630"</f>
        <v>07630</v>
      </c>
      <c r="CD230" t="s">
        <v>2415</v>
      </c>
      <c r="CE230" t="s">
        <v>1009</v>
      </c>
      <c r="CF230" s="6">
        <v>19.940000000000001</v>
      </c>
      <c r="CG230" s="6">
        <v>23</v>
      </c>
      <c r="CH230" s="6">
        <v>29.91</v>
      </c>
      <c r="CI230" s="6">
        <v>34.5</v>
      </c>
      <c r="CJ230" t="s">
        <v>137</v>
      </c>
      <c r="CK230" t="s">
        <v>5645</v>
      </c>
      <c r="CL230" t="s">
        <v>5646</v>
      </c>
      <c r="CO230" t="s">
        <v>138</v>
      </c>
      <c r="CP230" t="s">
        <v>114</v>
      </c>
      <c r="CQ230" t="s">
        <v>114</v>
      </c>
      <c r="CR230" t="s">
        <v>114</v>
      </c>
      <c r="CS230" t="s">
        <v>114</v>
      </c>
      <c r="CT230" t="s">
        <v>114</v>
      </c>
      <c r="CU230" t="s">
        <v>134</v>
      </c>
      <c r="CV230" t="s">
        <v>2056</v>
      </c>
      <c r="CW230" s="5" t="str">
        <f>"+12017680002"</f>
        <v>+12017680002</v>
      </c>
      <c r="CX230" t="s">
        <v>5647</v>
      </c>
      <c r="CY230" t="s">
        <v>138</v>
      </c>
      <c r="CZ230" t="s">
        <v>139</v>
      </c>
      <c r="DA230" t="s">
        <v>134</v>
      </c>
      <c r="DB230" t="s">
        <v>134</v>
      </c>
      <c r="DC230" t="s">
        <v>114</v>
      </c>
      <c r="DD230" t="s">
        <v>134</v>
      </c>
    </row>
    <row r="231" spans="1:113" ht="15" customHeight="1" x14ac:dyDescent="0.25">
      <c r="A231" t="s">
        <v>9215</v>
      </c>
      <c r="B231" t="s">
        <v>165</v>
      </c>
      <c r="C231" s="1">
        <v>44896.430332407406</v>
      </c>
      <c r="D231" s="1">
        <v>44922</v>
      </c>
      <c r="E231" t="s">
        <v>134</v>
      </c>
      <c r="F231" t="s">
        <v>334</v>
      </c>
      <c r="G231" t="str">
        <f t="shared" si="10"/>
        <v>37-3011.00</v>
      </c>
      <c r="H231" t="s">
        <v>335</v>
      </c>
      <c r="I231">
        <v>50</v>
      </c>
      <c r="J231">
        <v>50</v>
      </c>
      <c r="K231" s="1">
        <v>44986</v>
      </c>
      <c r="L231" s="1">
        <v>45230</v>
      </c>
      <c r="M231" s="1">
        <v>44986</v>
      </c>
      <c r="N231" s="1">
        <v>45230</v>
      </c>
      <c r="O231" t="s">
        <v>117</v>
      </c>
      <c r="P231" t="s">
        <v>9216</v>
      </c>
      <c r="R231" t="s">
        <v>9217</v>
      </c>
      <c r="S231" t="s">
        <v>9218</v>
      </c>
      <c r="T231" t="s">
        <v>9219</v>
      </c>
      <c r="U231" t="s">
        <v>154</v>
      </c>
      <c r="V231" s="4" t="str">
        <f>"33461"</f>
        <v>33461</v>
      </c>
      <c r="W231" t="s">
        <v>120</v>
      </c>
      <c r="Y231" s="5">
        <v>19547689086</v>
      </c>
      <c r="AA231">
        <v>56173</v>
      </c>
      <c r="AB231" t="s">
        <v>942</v>
      </c>
      <c r="AC231" t="s">
        <v>943</v>
      </c>
      <c r="AE231" t="s">
        <v>3968</v>
      </c>
      <c r="AF231" t="s">
        <v>9217</v>
      </c>
      <c r="AG231" t="s">
        <v>9218</v>
      </c>
      <c r="AH231" t="s">
        <v>9219</v>
      </c>
      <c r="AI231" t="s">
        <v>154</v>
      </c>
      <c r="AJ231" s="4" t="str">
        <f>"33461"</f>
        <v>33461</v>
      </c>
      <c r="AK231" t="s">
        <v>120</v>
      </c>
      <c r="AM231" s="5">
        <v>19547689086</v>
      </c>
      <c r="AO231" t="s">
        <v>945</v>
      </c>
      <c r="AP231" t="s">
        <v>256</v>
      </c>
      <c r="AQ231" t="s">
        <v>475</v>
      </c>
      <c r="AR231" t="s">
        <v>476</v>
      </c>
      <c r="AT231" t="s">
        <v>477</v>
      </c>
      <c r="AV231" t="s">
        <v>478</v>
      </c>
      <c r="AW231" t="s">
        <v>479</v>
      </c>
      <c r="AX231" s="4" t="str">
        <f>"22903"</f>
        <v>22903</v>
      </c>
      <c r="AY231" t="s">
        <v>120</v>
      </c>
      <c r="BA231" s="5">
        <v>14342634300</v>
      </c>
      <c r="BC231" t="s">
        <v>480</v>
      </c>
      <c r="BD231" t="s">
        <v>481</v>
      </c>
      <c r="BG231" t="s">
        <v>154</v>
      </c>
      <c r="BH231" s="1">
        <v>44895.791666666664</v>
      </c>
      <c r="BI231">
        <v>40</v>
      </c>
      <c r="BJ231">
        <v>0</v>
      </c>
      <c r="BK231">
        <v>8</v>
      </c>
      <c r="BL231">
        <v>8</v>
      </c>
      <c r="BM231">
        <v>8</v>
      </c>
      <c r="BN231">
        <v>8</v>
      </c>
      <c r="BO231">
        <v>8</v>
      </c>
      <c r="BP231">
        <v>0</v>
      </c>
      <c r="BQ231" t="str">
        <f>"7:00 AM"</f>
        <v>7:00 AM</v>
      </c>
      <c r="BR231" t="str">
        <f>"4:00 PM"</f>
        <v>4:00 PM</v>
      </c>
      <c r="BS231" t="s">
        <v>133</v>
      </c>
      <c r="BT231">
        <v>0</v>
      </c>
      <c r="BU231">
        <v>0</v>
      </c>
      <c r="BV231" t="s">
        <v>134</v>
      </c>
      <c r="BX231" s="2" t="s">
        <v>3969</v>
      </c>
      <c r="BY231" t="s">
        <v>9217</v>
      </c>
      <c r="CA231" t="s">
        <v>9219</v>
      </c>
      <c r="CB231" t="s">
        <v>154</v>
      </c>
      <c r="CC231" s="4" t="str">
        <f>"33461"</f>
        <v>33461</v>
      </c>
      <c r="CD231" t="s">
        <v>3882</v>
      </c>
      <c r="CE231" t="s">
        <v>1742</v>
      </c>
      <c r="CF231" s="6">
        <v>15.67</v>
      </c>
      <c r="CH231" s="6">
        <v>23.51</v>
      </c>
      <c r="CJ231" t="s">
        <v>137</v>
      </c>
      <c r="CK231" t="s">
        <v>487</v>
      </c>
      <c r="CL231" t="s">
        <v>9220</v>
      </c>
      <c r="CO231" t="s">
        <v>138</v>
      </c>
      <c r="CP231" t="s">
        <v>114</v>
      </c>
      <c r="CQ231" t="s">
        <v>114</v>
      </c>
      <c r="CR231" t="s">
        <v>114</v>
      </c>
      <c r="CS231" t="s">
        <v>114</v>
      </c>
      <c r="CT231" t="s">
        <v>114</v>
      </c>
      <c r="CU231" t="s">
        <v>114</v>
      </c>
      <c r="CV231" t="s">
        <v>9221</v>
      </c>
      <c r="CW231" s="5" t="str">
        <f>"+19547689086"</f>
        <v>+19547689086</v>
      </c>
      <c r="CX231" t="s">
        <v>138</v>
      </c>
      <c r="CY231" t="s">
        <v>1274</v>
      </c>
      <c r="CZ231" t="s">
        <v>139</v>
      </c>
      <c r="DA231" t="s">
        <v>134</v>
      </c>
      <c r="DB231" t="s">
        <v>114</v>
      </c>
      <c r="DC231" t="s">
        <v>114</v>
      </c>
      <c r="DD231" t="s">
        <v>134</v>
      </c>
      <c r="DE231" t="s">
        <v>492</v>
      </c>
      <c r="DF231" t="s">
        <v>493</v>
      </c>
      <c r="DH231" t="s">
        <v>481</v>
      </c>
      <c r="DI231" t="s">
        <v>480</v>
      </c>
    </row>
    <row r="232" spans="1:113" ht="15" customHeight="1" x14ac:dyDescent="0.25">
      <c r="A232" t="s">
        <v>2528</v>
      </c>
      <c r="B232" t="s">
        <v>165</v>
      </c>
      <c r="C232" s="1">
        <v>44896.42719224537</v>
      </c>
      <c r="D232" s="1">
        <v>44922</v>
      </c>
      <c r="E232" t="s">
        <v>134</v>
      </c>
      <c r="F232" t="s">
        <v>2529</v>
      </c>
      <c r="G232" t="str">
        <f t="shared" si="10"/>
        <v>37-3011.00</v>
      </c>
      <c r="H232" t="s">
        <v>335</v>
      </c>
      <c r="I232">
        <v>20</v>
      </c>
      <c r="J232">
        <v>20</v>
      </c>
      <c r="K232" s="1">
        <v>44986</v>
      </c>
      <c r="L232" s="1">
        <v>45260</v>
      </c>
      <c r="M232" s="1">
        <v>44986</v>
      </c>
      <c r="N232" s="1">
        <v>45260</v>
      </c>
      <c r="O232" t="s">
        <v>117</v>
      </c>
      <c r="P232" t="s">
        <v>2530</v>
      </c>
      <c r="R232" t="s">
        <v>2531</v>
      </c>
      <c r="T232" t="s">
        <v>2532</v>
      </c>
      <c r="U232" t="s">
        <v>214</v>
      </c>
      <c r="V232" s="4" t="str">
        <f>"70087"</f>
        <v>70087</v>
      </c>
      <c r="W232" t="s">
        <v>120</v>
      </c>
      <c r="Y232" s="5">
        <v>15042756617</v>
      </c>
      <c r="AA232">
        <v>56173</v>
      </c>
      <c r="AB232" t="s">
        <v>2533</v>
      </c>
      <c r="AC232" t="s">
        <v>2534</v>
      </c>
      <c r="AE232" t="s">
        <v>342</v>
      </c>
      <c r="AF232" t="s">
        <v>2531</v>
      </c>
      <c r="AH232" t="s">
        <v>2532</v>
      </c>
      <c r="AI232" t="s">
        <v>214</v>
      </c>
      <c r="AJ232" s="4" t="str">
        <f>"70087"</f>
        <v>70087</v>
      </c>
      <c r="AK232" t="s">
        <v>120</v>
      </c>
      <c r="AM232" s="5">
        <v>15042756617</v>
      </c>
      <c r="AO232" t="s">
        <v>2535</v>
      </c>
      <c r="AP232" t="s">
        <v>256</v>
      </c>
      <c r="AQ232" t="s">
        <v>2435</v>
      </c>
      <c r="AR232" t="s">
        <v>2436</v>
      </c>
      <c r="AT232" t="s">
        <v>477</v>
      </c>
      <c r="AV232" t="s">
        <v>478</v>
      </c>
      <c r="AW232" t="s">
        <v>479</v>
      </c>
      <c r="AX232" s="4" t="str">
        <f>"22903"</f>
        <v>22903</v>
      </c>
      <c r="AY232" t="s">
        <v>120</v>
      </c>
      <c r="BA232" s="5">
        <v>14342634300</v>
      </c>
      <c r="BC232" t="s">
        <v>2437</v>
      </c>
      <c r="BD232" t="s">
        <v>481</v>
      </c>
      <c r="BG232" t="s">
        <v>214</v>
      </c>
      <c r="BH232" s="1">
        <v>44895.791666666664</v>
      </c>
      <c r="BI232">
        <v>46.25</v>
      </c>
      <c r="BJ232">
        <v>0</v>
      </c>
      <c r="BK232">
        <v>9.25</v>
      </c>
      <c r="BL232">
        <v>9.25</v>
      </c>
      <c r="BM232">
        <v>9.25</v>
      </c>
      <c r="BN232">
        <v>9.25</v>
      </c>
      <c r="BO232">
        <v>9.25</v>
      </c>
      <c r="BP232">
        <v>0</v>
      </c>
      <c r="BQ232" t="str">
        <f>"6:15 AM"</f>
        <v>6:15 AM</v>
      </c>
      <c r="BR232" t="str">
        <f>"4:00 PM"</f>
        <v>4:00 PM</v>
      </c>
      <c r="BS232" t="s">
        <v>133</v>
      </c>
      <c r="BT232">
        <v>0</v>
      </c>
      <c r="BU232">
        <v>0</v>
      </c>
      <c r="BV232" t="s">
        <v>134</v>
      </c>
      <c r="BX232" s="2" t="s">
        <v>2536</v>
      </c>
      <c r="BY232" t="s">
        <v>2531</v>
      </c>
      <c r="CA232" t="s">
        <v>2532</v>
      </c>
      <c r="CB232" t="s">
        <v>214</v>
      </c>
      <c r="CC232" s="4" t="str">
        <f>"70087"</f>
        <v>70087</v>
      </c>
      <c r="CD232" t="s">
        <v>1962</v>
      </c>
      <c r="CE232" t="s">
        <v>2289</v>
      </c>
      <c r="CF232" s="6">
        <v>14.84</v>
      </c>
      <c r="CH232" s="6">
        <v>22.26</v>
      </c>
      <c r="CJ232" t="s">
        <v>137</v>
      </c>
      <c r="CK232" t="s">
        <v>487</v>
      </c>
      <c r="CL232" t="s">
        <v>2537</v>
      </c>
      <c r="CO232" t="s">
        <v>138</v>
      </c>
      <c r="CP232" t="s">
        <v>114</v>
      </c>
      <c r="CQ232" t="s">
        <v>134</v>
      </c>
      <c r="CR232" t="s">
        <v>114</v>
      </c>
      <c r="CS232" t="s">
        <v>134</v>
      </c>
      <c r="CT232" t="s">
        <v>114</v>
      </c>
      <c r="CU232" t="s">
        <v>114</v>
      </c>
      <c r="CV232" t="s">
        <v>2538</v>
      </c>
      <c r="CW232" s="5" t="str">
        <f>"N/A"</f>
        <v>N/A</v>
      </c>
      <c r="CX232" t="s">
        <v>2535</v>
      </c>
      <c r="CY232" t="s">
        <v>2539</v>
      </c>
      <c r="CZ232" t="s">
        <v>139</v>
      </c>
      <c r="DA232" t="s">
        <v>134</v>
      </c>
      <c r="DB232" t="s">
        <v>114</v>
      </c>
      <c r="DC232" t="s">
        <v>114</v>
      </c>
      <c r="DD232" t="s">
        <v>134</v>
      </c>
      <c r="DE232" t="s">
        <v>2129</v>
      </c>
      <c r="DF232" t="s">
        <v>2130</v>
      </c>
      <c r="DG232" t="s">
        <v>2540</v>
      </c>
      <c r="DH232" t="s">
        <v>481</v>
      </c>
      <c r="DI232" t="s">
        <v>2437</v>
      </c>
    </row>
    <row r="233" spans="1:113" ht="15" customHeight="1" x14ac:dyDescent="0.25">
      <c r="A233" t="s">
        <v>15574</v>
      </c>
      <c r="B233" t="s">
        <v>165</v>
      </c>
      <c r="C233" s="1">
        <v>44896.422865046297</v>
      </c>
      <c r="D233" s="1">
        <v>44922</v>
      </c>
      <c r="E233" t="s">
        <v>134</v>
      </c>
      <c r="F233" t="s">
        <v>334</v>
      </c>
      <c r="G233" t="str">
        <f t="shared" si="10"/>
        <v>37-3011.00</v>
      </c>
      <c r="H233" t="s">
        <v>335</v>
      </c>
      <c r="I233">
        <v>6</v>
      </c>
      <c r="J233">
        <v>6</v>
      </c>
      <c r="K233" s="1">
        <v>44986</v>
      </c>
      <c r="L233" s="1">
        <v>45260</v>
      </c>
      <c r="M233" s="1">
        <v>44986</v>
      </c>
      <c r="N233" s="1">
        <v>45260</v>
      </c>
      <c r="O233" t="s">
        <v>199</v>
      </c>
      <c r="P233" t="s">
        <v>4360</v>
      </c>
      <c r="Q233" t="s">
        <v>4361</v>
      </c>
      <c r="R233" t="s">
        <v>4362</v>
      </c>
      <c r="S233" t="s">
        <v>4363</v>
      </c>
      <c r="T233" t="s">
        <v>1431</v>
      </c>
      <c r="U233" t="s">
        <v>748</v>
      </c>
      <c r="V233" s="4" t="str">
        <f>"19422"</f>
        <v>19422</v>
      </c>
      <c r="W233" t="s">
        <v>120</v>
      </c>
      <c r="X233" t="s">
        <v>138</v>
      </c>
      <c r="Y233" s="5">
        <v>12156540933</v>
      </c>
      <c r="AA233">
        <v>561730</v>
      </c>
      <c r="AB233" t="s">
        <v>4364</v>
      </c>
      <c r="AC233" t="s">
        <v>4365</v>
      </c>
      <c r="AD233" t="s">
        <v>138</v>
      </c>
      <c r="AE233" t="s">
        <v>1526</v>
      </c>
      <c r="AF233" t="s">
        <v>4362</v>
      </c>
      <c r="AG233" t="s">
        <v>4363</v>
      </c>
      <c r="AH233" t="s">
        <v>1431</v>
      </c>
      <c r="AI233" t="s">
        <v>748</v>
      </c>
      <c r="AJ233" s="4" t="str">
        <f>"19422"</f>
        <v>19422</v>
      </c>
      <c r="AK233" t="s">
        <v>120</v>
      </c>
      <c r="AM233" s="5">
        <v>12156540933</v>
      </c>
      <c r="AO233" t="s">
        <v>4366</v>
      </c>
      <c r="AP233" t="s">
        <v>256</v>
      </c>
      <c r="AQ233" t="s">
        <v>2351</v>
      </c>
      <c r="AR233" t="s">
        <v>1353</v>
      </c>
      <c r="AS233" t="s">
        <v>259</v>
      </c>
      <c r="AT233" t="s">
        <v>2352</v>
      </c>
      <c r="AU233" t="s">
        <v>138</v>
      </c>
      <c r="AV233" t="s">
        <v>1285</v>
      </c>
      <c r="AW233" t="s">
        <v>232</v>
      </c>
      <c r="AX233" s="4" t="str">
        <f>"77414"</f>
        <v>77414</v>
      </c>
      <c r="AY233" t="s">
        <v>120</v>
      </c>
      <c r="BA233" s="5">
        <v>19793187283</v>
      </c>
      <c r="BC233" t="s">
        <v>2353</v>
      </c>
      <c r="BD233" t="s">
        <v>1287</v>
      </c>
      <c r="BG233" t="s">
        <v>748</v>
      </c>
      <c r="BH233" s="1">
        <v>44895.791666666664</v>
      </c>
      <c r="BI233">
        <v>40</v>
      </c>
      <c r="BJ233">
        <v>0</v>
      </c>
      <c r="BK233">
        <v>8</v>
      </c>
      <c r="BL233">
        <v>8</v>
      </c>
      <c r="BM233">
        <v>8</v>
      </c>
      <c r="BN233">
        <v>8</v>
      </c>
      <c r="BO233">
        <v>8</v>
      </c>
      <c r="BP233">
        <v>0</v>
      </c>
      <c r="BQ233" t="str">
        <f>"7:30 AM"</f>
        <v>7:30 AM</v>
      </c>
      <c r="BR233" t="str">
        <f>"4:00 PM"</f>
        <v>4:00 PM</v>
      </c>
      <c r="BS233" t="s">
        <v>133</v>
      </c>
      <c r="BT233">
        <v>0</v>
      </c>
      <c r="BU233">
        <v>0</v>
      </c>
      <c r="BV233" t="s">
        <v>134</v>
      </c>
      <c r="BX233" s="2" t="s">
        <v>4367</v>
      </c>
      <c r="BY233" t="s">
        <v>4362</v>
      </c>
      <c r="BZ233" t="s">
        <v>138</v>
      </c>
      <c r="CA233" t="s">
        <v>1431</v>
      </c>
      <c r="CB233" t="s">
        <v>748</v>
      </c>
      <c r="CC233" s="4" t="str">
        <f>"19422"</f>
        <v>19422</v>
      </c>
      <c r="CD233" t="s">
        <v>2007</v>
      </c>
      <c r="CE233" t="s">
        <v>1266</v>
      </c>
      <c r="CF233" s="6">
        <v>17.82</v>
      </c>
      <c r="CG233" s="6">
        <v>18</v>
      </c>
      <c r="CH233" s="6">
        <v>26.73</v>
      </c>
      <c r="CI233" s="6">
        <v>27</v>
      </c>
      <c r="CJ233" t="s">
        <v>137</v>
      </c>
      <c r="CK233" t="s">
        <v>4317</v>
      </c>
      <c r="CL233" t="s">
        <v>4368</v>
      </c>
      <c r="CO233" t="s">
        <v>138</v>
      </c>
      <c r="CP233" t="s">
        <v>114</v>
      </c>
      <c r="CQ233" t="s">
        <v>114</v>
      </c>
      <c r="CR233" t="s">
        <v>114</v>
      </c>
      <c r="CS233" t="s">
        <v>114</v>
      </c>
      <c r="CT233" t="s">
        <v>114</v>
      </c>
      <c r="CU233" t="s">
        <v>134</v>
      </c>
      <c r="CV233" t="s">
        <v>2056</v>
      </c>
      <c r="CW233" s="5" t="str">
        <f>"+12156540933"</f>
        <v>+12156540933</v>
      </c>
      <c r="CX233" t="s">
        <v>4366</v>
      </c>
      <c r="CY233" t="s">
        <v>138</v>
      </c>
      <c r="CZ233" t="s">
        <v>139</v>
      </c>
      <c r="DA233" t="s">
        <v>134</v>
      </c>
      <c r="DB233" t="s">
        <v>134</v>
      </c>
      <c r="DC233" t="s">
        <v>114</v>
      </c>
      <c r="DD233" t="s">
        <v>134</v>
      </c>
    </row>
    <row r="234" spans="1:113" ht="15" customHeight="1" x14ac:dyDescent="0.25">
      <c r="A234" t="s">
        <v>7910</v>
      </c>
      <c r="B234" t="s">
        <v>165</v>
      </c>
      <c r="C234" s="1">
        <v>44896.422031944443</v>
      </c>
      <c r="D234" s="1">
        <v>44922</v>
      </c>
      <c r="E234" t="s">
        <v>134</v>
      </c>
      <c r="F234" t="s">
        <v>334</v>
      </c>
      <c r="G234" t="str">
        <f t="shared" si="10"/>
        <v>37-3011.00</v>
      </c>
      <c r="H234" t="s">
        <v>335</v>
      </c>
      <c r="I234">
        <v>5</v>
      </c>
      <c r="J234">
        <v>5</v>
      </c>
      <c r="K234" s="1">
        <v>44986</v>
      </c>
      <c r="L234" s="1">
        <v>45267</v>
      </c>
      <c r="M234" s="1">
        <v>44986</v>
      </c>
      <c r="N234" s="1">
        <v>45267</v>
      </c>
      <c r="O234" t="s">
        <v>117</v>
      </c>
      <c r="P234" t="s">
        <v>7911</v>
      </c>
      <c r="Q234" t="s">
        <v>7912</v>
      </c>
      <c r="R234" t="s">
        <v>7913</v>
      </c>
      <c r="S234" t="s">
        <v>138</v>
      </c>
      <c r="T234" t="s">
        <v>7796</v>
      </c>
      <c r="U234" t="s">
        <v>479</v>
      </c>
      <c r="V234" s="4" t="str">
        <f>"20135"</f>
        <v>20135</v>
      </c>
      <c r="W234" t="s">
        <v>120</v>
      </c>
      <c r="X234" t="s">
        <v>138</v>
      </c>
      <c r="Y234" s="5">
        <v>15409555720</v>
      </c>
      <c r="AA234">
        <v>561730</v>
      </c>
      <c r="AB234" t="s">
        <v>7914</v>
      </c>
      <c r="AC234" t="s">
        <v>2132</v>
      </c>
      <c r="AE234" t="s">
        <v>1835</v>
      </c>
      <c r="AF234" t="s">
        <v>7913</v>
      </c>
      <c r="AG234" t="s">
        <v>138</v>
      </c>
      <c r="AH234" t="s">
        <v>7796</v>
      </c>
      <c r="AI234" t="s">
        <v>479</v>
      </c>
      <c r="AJ234" s="4" t="str">
        <f>"20135"</f>
        <v>20135</v>
      </c>
      <c r="AK234" t="s">
        <v>120</v>
      </c>
      <c r="AM234" s="5">
        <v>15409555720</v>
      </c>
      <c r="AO234" t="s">
        <v>7915</v>
      </c>
      <c r="AP234" t="s">
        <v>256</v>
      </c>
      <c r="AQ234" t="s">
        <v>2362</v>
      </c>
      <c r="AR234" t="s">
        <v>1907</v>
      </c>
      <c r="AS234" t="s">
        <v>1857</v>
      </c>
      <c r="AT234" t="s">
        <v>1284</v>
      </c>
      <c r="AU234" t="s">
        <v>138</v>
      </c>
      <c r="AV234" t="s">
        <v>1285</v>
      </c>
      <c r="AW234" t="s">
        <v>232</v>
      </c>
      <c r="AX234" s="4" t="str">
        <f>"77414"</f>
        <v>77414</v>
      </c>
      <c r="AY234" t="s">
        <v>120</v>
      </c>
      <c r="BA234" s="5">
        <v>19793187282</v>
      </c>
      <c r="BC234" t="s">
        <v>2363</v>
      </c>
      <c r="BD234" t="s">
        <v>1287</v>
      </c>
      <c r="BG234" t="s">
        <v>479</v>
      </c>
      <c r="BH234" s="1">
        <v>44895.791666666664</v>
      </c>
      <c r="BI234">
        <v>40</v>
      </c>
      <c r="BJ234">
        <v>0</v>
      </c>
      <c r="BK234">
        <v>8</v>
      </c>
      <c r="BL234">
        <v>8</v>
      </c>
      <c r="BM234">
        <v>8</v>
      </c>
      <c r="BN234">
        <v>8</v>
      </c>
      <c r="BO234">
        <v>8</v>
      </c>
      <c r="BP234">
        <v>0</v>
      </c>
      <c r="BQ234" t="str">
        <f>"7:30 AM"</f>
        <v>7:30 AM</v>
      </c>
      <c r="BR234" t="str">
        <f>"3:30 PM"</f>
        <v>3:30 PM</v>
      </c>
      <c r="BS234" t="s">
        <v>133</v>
      </c>
      <c r="BT234">
        <v>0</v>
      </c>
      <c r="BU234">
        <v>0</v>
      </c>
      <c r="BV234" t="s">
        <v>134</v>
      </c>
      <c r="BX234" s="2" t="s">
        <v>7916</v>
      </c>
      <c r="BY234" t="s">
        <v>7917</v>
      </c>
      <c r="BZ234" t="s">
        <v>138</v>
      </c>
      <c r="CA234" t="s">
        <v>7918</v>
      </c>
      <c r="CB234" t="s">
        <v>479</v>
      </c>
      <c r="CC234" s="4" t="str">
        <f>"22611"</f>
        <v>22611</v>
      </c>
      <c r="CD234" t="s">
        <v>5626</v>
      </c>
      <c r="CE234" t="s">
        <v>355</v>
      </c>
      <c r="CF234" s="6">
        <v>18.36</v>
      </c>
      <c r="CG234" s="6">
        <v>18.75</v>
      </c>
      <c r="CH234" s="6">
        <v>27.54</v>
      </c>
      <c r="CI234" s="6">
        <v>28.13</v>
      </c>
      <c r="CJ234" t="s">
        <v>137</v>
      </c>
      <c r="CK234" t="s">
        <v>6318</v>
      </c>
      <c r="CL234" t="s">
        <v>7919</v>
      </c>
      <c r="CO234" t="s">
        <v>138</v>
      </c>
      <c r="CP234" t="s">
        <v>114</v>
      </c>
      <c r="CQ234" t="s">
        <v>114</v>
      </c>
      <c r="CR234" t="s">
        <v>114</v>
      </c>
      <c r="CS234" t="s">
        <v>114</v>
      </c>
      <c r="CT234" t="s">
        <v>114</v>
      </c>
      <c r="CU234" t="s">
        <v>114</v>
      </c>
      <c r="CV234" t="s">
        <v>2381</v>
      </c>
      <c r="CW234" s="5" t="str">
        <f>"+15409555720"</f>
        <v>+15409555720</v>
      </c>
      <c r="CX234" t="s">
        <v>7915</v>
      </c>
      <c r="CY234" t="s">
        <v>138</v>
      </c>
      <c r="CZ234" t="s">
        <v>139</v>
      </c>
      <c r="DA234" t="s">
        <v>134</v>
      </c>
      <c r="DB234" t="s">
        <v>134</v>
      </c>
      <c r="DC234" t="s">
        <v>114</v>
      </c>
      <c r="DD234" t="s">
        <v>134</v>
      </c>
    </row>
    <row r="235" spans="1:113" ht="15" customHeight="1" x14ac:dyDescent="0.25">
      <c r="A235" t="s">
        <v>10957</v>
      </c>
      <c r="B235" t="s">
        <v>165</v>
      </c>
      <c r="C235" s="1">
        <v>44896.421270023151</v>
      </c>
      <c r="D235" s="1">
        <v>44922</v>
      </c>
      <c r="E235" t="s">
        <v>134</v>
      </c>
      <c r="F235" t="s">
        <v>1662</v>
      </c>
      <c r="G235" t="str">
        <f t="shared" si="10"/>
        <v>37-3011.00</v>
      </c>
      <c r="H235" t="s">
        <v>335</v>
      </c>
      <c r="I235">
        <v>12</v>
      </c>
      <c r="J235">
        <v>12</v>
      </c>
      <c r="K235" s="1">
        <v>44986</v>
      </c>
      <c r="L235" s="1">
        <v>45230</v>
      </c>
      <c r="M235" s="1">
        <v>44986</v>
      </c>
      <c r="N235" s="1">
        <v>45230</v>
      </c>
      <c r="O235" t="s">
        <v>117</v>
      </c>
      <c r="P235" t="s">
        <v>10958</v>
      </c>
      <c r="R235" t="s">
        <v>10959</v>
      </c>
      <c r="S235" t="s">
        <v>3966</v>
      </c>
      <c r="T235" t="s">
        <v>10960</v>
      </c>
      <c r="U235" t="s">
        <v>129</v>
      </c>
      <c r="V235" s="4" t="str">
        <f>"31024"</f>
        <v>31024</v>
      </c>
      <c r="W235" t="s">
        <v>120</v>
      </c>
      <c r="Y235" s="5">
        <v>17069270088</v>
      </c>
      <c r="AA235">
        <v>56173</v>
      </c>
      <c r="AB235" t="s">
        <v>942</v>
      </c>
      <c r="AC235" t="s">
        <v>943</v>
      </c>
      <c r="AE235" t="s">
        <v>3968</v>
      </c>
      <c r="AF235" t="s">
        <v>10959</v>
      </c>
      <c r="AG235" t="s">
        <v>3966</v>
      </c>
      <c r="AH235" t="s">
        <v>10960</v>
      </c>
      <c r="AI235" t="s">
        <v>129</v>
      </c>
      <c r="AJ235" s="4" t="str">
        <f>"31024"</f>
        <v>31024</v>
      </c>
      <c r="AK235" t="s">
        <v>120</v>
      </c>
      <c r="AM235" s="5">
        <v>17069270088</v>
      </c>
      <c r="AO235" t="s">
        <v>945</v>
      </c>
      <c r="AP235" t="s">
        <v>256</v>
      </c>
      <c r="AQ235" t="s">
        <v>475</v>
      </c>
      <c r="AR235" t="s">
        <v>476</v>
      </c>
      <c r="AT235" t="s">
        <v>477</v>
      </c>
      <c r="AV235" t="s">
        <v>478</v>
      </c>
      <c r="AW235" t="s">
        <v>479</v>
      </c>
      <c r="AX235" s="4" t="str">
        <f>"22903"</f>
        <v>22903</v>
      </c>
      <c r="AY235" t="s">
        <v>120</v>
      </c>
      <c r="BA235" s="5">
        <v>14342634300</v>
      </c>
      <c r="BC235" t="s">
        <v>480</v>
      </c>
      <c r="BD235" t="s">
        <v>481</v>
      </c>
      <c r="BG235" t="s">
        <v>129</v>
      </c>
      <c r="BH235" s="1">
        <v>44895.791666666664</v>
      </c>
      <c r="BI235">
        <v>40</v>
      </c>
      <c r="BJ235">
        <v>0</v>
      </c>
      <c r="BK235">
        <v>8</v>
      </c>
      <c r="BL235">
        <v>8</v>
      </c>
      <c r="BM235">
        <v>8</v>
      </c>
      <c r="BN235">
        <v>8</v>
      </c>
      <c r="BO235">
        <v>8</v>
      </c>
      <c r="BP235">
        <v>0</v>
      </c>
      <c r="BQ235" t="str">
        <f>"7:00 AM"</f>
        <v>7:00 AM</v>
      </c>
      <c r="BR235" t="str">
        <f>"4:00 PM"</f>
        <v>4:00 PM</v>
      </c>
      <c r="BS235" t="s">
        <v>133</v>
      </c>
      <c r="BT235">
        <v>0</v>
      </c>
      <c r="BU235">
        <v>0</v>
      </c>
      <c r="BV235" t="s">
        <v>134</v>
      </c>
      <c r="BX235" s="2" t="s">
        <v>10961</v>
      </c>
      <c r="BY235" t="s">
        <v>10962</v>
      </c>
      <c r="CA235" t="s">
        <v>10960</v>
      </c>
      <c r="CB235" t="s">
        <v>129</v>
      </c>
      <c r="CC235" s="4" t="str">
        <f>"31024"</f>
        <v>31024</v>
      </c>
      <c r="CD235" t="s">
        <v>1485</v>
      </c>
      <c r="CE235" t="s">
        <v>2331</v>
      </c>
      <c r="CF235" s="6">
        <v>14.85</v>
      </c>
      <c r="CH235" s="6">
        <v>22.28</v>
      </c>
      <c r="CJ235" t="s">
        <v>137</v>
      </c>
      <c r="CK235" t="s">
        <v>487</v>
      </c>
      <c r="CL235" t="s">
        <v>10963</v>
      </c>
      <c r="CO235" t="s">
        <v>138</v>
      </c>
      <c r="CP235" t="s">
        <v>114</v>
      </c>
      <c r="CQ235" t="s">
        <v>114</v>
      </c>
      <c r="CR235" t="s">
        <v>114</v>
      </c>
      <c r="CS235" t="s">
        <v>114</v>
      </c>
      <c r="CT235" t="s">
        <v>114</v>
      </c>
      <c r="CU235" t="s">
        <v>114</v>
      </c>
      <c r="CV235" t="s">
        <v>4640</v>
      </c>
      <c r="CW235" s="5" t="str">
        <f>"+17069270088"</f>
        <v>+17069270088</v>
      </c>
      <c r="CX235" t="s">
        <v>138</v>
      </c>
      <c r="CY235" t="s">
        <v>2598</v>
      </c>
      <c r="CZ235" t="s">
        <v>139</v>
      </c>
      <c r="DA235" t="s">
        <v>134</v>
      </c>
      <c r="DB235" t="s">
        <v>114</v>
      </c>
      <c r="DC235" t="s">
        <v>114</v>
      </c>
      <c r="DD235" t="s">
        <v>134</v>
      </c>
      <c r="DE235" t="s">
        <v>492</v>
      </c>
      <c r="DF235" t="s">
        <v>493</v>
      </c>
      <c r="DH235" t="s">
        <v>481</v>
      </c>
      <c r="DI235" t="s">
        <v>480</v>
      </c>
    </row>
    <row r="236" spans="1:113" ht="15" customHeight="1" x14ac:dyDescent="0.25">
      <c r="A236" t="s">
        <v>14863</v>
      </c>
      <c r="B236" t="s">
        <v>165</v>
      </c>
      <c r="C236" s="1">
        <v>44896.409920254628</v>
      </c>
      <c r="D236" s="1">
        <v>44922</v>
      </c>
      <c r="E236" t="s">
        <v>134</v>
      </c>
      <c r="F236" t="s">
        <v>334</v>
      </c>
      <c r="G236" t="str">
        <f t="shared" si="10"/>
        <v>37-3011.00</v>
      </c>
      <c r="H236" t="s">
        <v>335</v>
      </c>
      <c r="I236">
        <v>8</v>
      </c>
      <c r="J236">
        <v>8</v>
      </c>
      <c r="K236" s="1">
        <v>44986</v>
      </c>
      <c r="L236" s="1">
        <v>45269</v>
      </c>
      <c r="M236" s="1">
        <v>44986</v>
      </c>
      <c r="N236" s="1">
        <v>45269</v>
      </c>
      <c r="O236" t="s">
        <v>199</v>
      </c>
      <c r="P236" t="s">
        <v>10964</v>
      </c>
      <c r="R236" t="s">
        <v>10965</v>
      </c>
      <c r="S236" t="s">
        <v>138</v>
      </c>
      <c r="T236" t="s">
        <v>1978</v>
      </c>
      <c r="U236" t="s">
        <v>697</v>
      </c>
      <c r="V236" s="4" t="str">
        <f>"63303"</f>
        <v>63303</v>
      </c>
      <c r="W236" t="s">
        <v>120</v>
      </c>
      <c r="X236" t="s">
        <v>138</v>
      </c>
      <c r="Y236" s="5">
        <v>16367248191</v>
      </c>
      <c r="AA236">
        <v>561730</v>
      </c>
      <c r="AB236" t="s">
        <v>10966</v>
      </c>
      <c r="AC236" t="s">
        <v>2390</v>
      </c>
      <c r="AD236" t="s">
        <v>138</v>
      </c>
      <c r="AE236" t="s">
        <v>424</v>
      </c>
      <c r="AF236" t="s">
        <v>10965</v>
      </c>
      <c r="AG236" t="s">
        <v>138</v>
      </c>
      <c r="AH236" t="s">
        <v>1978</v>
      </c>
      <c r="AI236" t="s">
        <v>697</v>
      </c>
      <c r="AJ236" s="4" t="str">
        <f>"63303"</f>
        <v>63303</v>
      </c>
      <c r="AK236" t="s">
        <v>120</v>
      </c>
      <c r="AM236" s="5">
        <v>16367248191</v>
      </c>
      <c r="AO236" t="s">
        <v>10967</v>
      </c>
      <c r="AP236" t="s">
        <v>256</v>
      </c>
      <c r="AQ236" t="s">
        <v>1352</v>
      </c>
      <c r="AR236" t="s">
        <v>1353</v>
      </c>
      <c r="AS236" t="s">
        <v>138</v>
      </c>
      <c r="AT236" t="s">
        <v>1284</v>
      </c>
      <c r="AU236" t="s">
        <v>138</v>
      </c>
      <c r="AV236" t="s">
        <v>1285</v>
      </c>
      <c r="AW236" t="s">
        <v>232</v>
      </c>
      <c r="AX236" s="4" t="str">
        <f>"77414"</f>
        <v>77414</v>
      </c>
      <c r="AY236" t="s">
        <v>120</v>
      </c>
      <c r="BA236" s="5">
        <v>19793187285</v>
      </c>
      <c r="BC236" t="s">
        <v>1354</v>
      </c>
      <c r="BD236" t="s">
        <v>1287</v>
      </c>
      <c r="BG236" t="s">
        <v>697</v>
      </c>
      <c r="BH236" s="1">
        <v>44895.791666666664</v>
      </c>
      <c r="BI236">
        <v>40</v>
      </c>
      <c r="BJ236">
        <v>0</v>
      </c>
      <c r="BK236">
        <v>8</v>
      </c>
      <c r="BL236">
        <v>8</v>
      </c>
      <c r="BM236">
        <v>8</v>
      </c>
      <c r="BN236">
        <v>8</v>
      </c>
      <c r="BO236">
        <v>8</v>
      </c>
      <c r="BP236">
        <v>0</v>
      </c>
      <c r="BQ236" t="str">
        <f>"8:00 AM"</f>
        <v>8:00 AM</v>
      </c>
      <c r="BR236" t="str">
        <f>"4:00 PM"</f>
        <v>4:00 PM</v>
      </c>
      <c r="BS236" t="s">
        <v>133</v>
      </c>
      <c r="BT236">
        <v>0</v>
      </c>
      <c r="BU236">
        <v>0</v>
      </c>
      <c r="BV236" t="s">
        <v>134</v>
      </c>
      <c r="BX236" s="2" t="s">
        <v>14864</v>
      </c>
      <c r="BY236" t="s">
        <v>10965</v>
      </c>
      <c r="BZ236" t="s">
        <v>138</v>
      </c>
      <c r="CA236" t="s">
        <v>1978</v>
      </c>
      <c r="CB236" t="s">
        <v>697</v>
      </c>
      <c r="CC236" s="4" t="str">
        <f>"63303"</f>
        <v>63303</v>
      </c>
      <c r="CD236" t="s">
        <v>1962</v>
      </c>
      <c r="CE236" t="s">
        <v>713</v>
      </c>
      <c r="CF236" s="6">
        <v>16.96</v>
      </c>
      <c r="CG236" s="6">
        <v>19</v>
      </c>
      <c r="CH236" s="6">
        <v>25.44</v>
      </c>
      <c r="CI236" s="6">
        <v>28.5</v>
      </c>
      <c r="CJ236" t="s">
        <v>137</v>
      </c>
      <c r="CK236" t="s">
        <v>2332</v>
      </c>
      <c r="CL236" t="s">
        <v>10968</v>
      </c>
      <c r="CO236" t="s">
        <v>138</v>
      </c>
      <c r="CP236" t="s">
        <v>114</v>
      </c>
      <c r="CQ236" t="s">
        <v>114</v>
      </c>
      <c r="CR236" t="s">
        <v>114</v>
      </c>
      <c r="CS236" t="s">
        <v>114</v>
      </c>
      <c r="CT236" t="s">
        <v>114</v>
      </c>
      <c r="CU236" t="s">
        <v>134</v>
      </c>
      <c r="CV236" t="s">
        <v>1356</v>
      </c>
      <c r="CW236" s="5" t="str">
        <f>"+16367248191"</f>
        <v>+16367248191</v>
      </c>
      <c r="CX236" t="s">
        <v>10967</v>
      </c>
      <c r="CY236" t="s">
        <v>138</v>
      </c>
      <c r="CZ236" t="s">
        <v>139</v>
      </c>
      <c r="DA236" t="s">
        <v>134</v>
      </c>
      <c r="DB236" t="s">
        <v>134</v>
      </c>
      <c r="DC236" t="s">
        <v>114</v>
      </c>
      <c r="DD236" t="s">
        <v>134</v>
      </c>
    </row>
    <row r="237" spans="1:113" ht="15" customHeight="1" x14ac:dyDescent="0.25">
      <c r="A237" t="s">
        <v>16713</v>
      </c>
      <c r="B237" t="s">
        <v>165</v>
      </c>
      <c r="C237" s="1">
        <v>44896.407481365743</v>
      </c>
      <c r="D237" s="1">
        <v>44922</v>
      </c>
      <c r="E237" t="s">
        <v>134</v>
      </c>
      <c r="F237" t="s">
        <v>1662</v>
      </c>
      <c r="G237" t="str">
        <f t="shared" si="10"/>
        <v>37-3011.00</v>
      </c>
      <c r="H237" t="s">
        <v>335</v>
      </c>
      <c r="I237">
        <v>62</v>
      </c>
      <c r="J237">
        <v>62</v>
      </c>
      <c r="K237" s="1">
        <v>44986</v>
      </c>
      <c r="L237" s="1">
        <v>45219</v>
      </c>
      <c r="M237" s="1">
        <v>44986</v>
      </c>
      <c r="N237" s="1">
        <v>45219</v>
      </c>
      <c r="O237" t="s">
        <v>117</v>
      </c>
      <c r="P237" t="s">
        <v>16714</v>
      </c>
      <c r="R237" t="s">
        <v>16715</v>
      </c>
      <c r="S237" t="s">
        <v>3966</v>
      </c>
      <c r="T237" t="s">
        <v>5846</v>
      </c>
      <c r="U237" t="s">
        <v>154</v>
      </c>
      <c r="V237" s="4" t="str">
        <f>"32207"</f>
        <v>32207</v>
      </c>
      <c r="W237" t="s">
        <v>120</v>
      </c>
      <c r="Y237" s="5">
        <v>19042682626</v>
      </c>
      <c r="AA237">
        <v>56173</v>
      </c>
      <c r="AB237" t="s">
        <v>942</v>
      </c>
      <c r="AC237" t="s">
        <v>943</v>
      </c>
      <c r="AE237" t="s">
        <v>3968</v>
      </c>
      <c r="AF237" t="s">
        <v>16715</v>
      </c>
      <c r="AG237" t="s">
        <v>3966</v>
      </c>
      <c r="AH237" t="s">
        <v>5846</v>
      </c>
      <c r="AI237" t="s">
        <v>154</v>
      </c>
      <c r="AJ237" s="4" t="str">
        <f>"32207"</f>
        <v>32207</v>
      </c>
      <c r="AK237" t="s">
        <v>120</v>
      </c>
      <c r="AM237" s="5">
        <v>19042682626</v>
      </c>
      <c r="AO237" t="s">
        <v>945</v>
      </c>
      <c r="AP237" t="s">
        <v>256</v>
      </c>
      <c r="AQ237" t="s">
        <v>475</v>
      </c>
      <c r="AR237" t="s">
        <v>476</v>
      </c>
      <c r="AT237" t="s">
        <v>477</v>
      </c>
      <c r="AV237" t="s">
        <v>478</v>
      </c>
      <c r="AW237" t="s">
        <v>479</v>
      </c>
      <c r="AX237" s="4" t="str">
        <f>"22903"</f>
        <v>22903</v>
      </c>
      <c r="AY237" t="s">
        <v>120</v>
      </c>
      <c r="BA237" s="5">
        <v>14342634300</v>
      </c>
      <c r="BC237" t="s">
        <v>480</v>
      </c>
      <c r="BD237" t="s">
        <v>481</v>
      </c>
      <c r="BG237" t="s">
        <v>154</v>
      </c>
      <c r="BH237" s="1">
        <v>44895.791666666664</v>
      </c>
      <c r="BI237">
        <v>40</v>
      </c>
      <c r="BJ237">
        <v>0</v>
      </c>
      <c r="BK237">
        <v>8</v>
      </c>
      <c r="BL237">
        <v>8</v>
      </c>
      <c r="BM237">
        <v>8</v>
      </c>
      <c r="BN237">
        <v>8</v>
      </c>
      <c r="BO237">
        <v>8</v>
      </c>
      <c r="BP237">
        <v>0</v>
      </c>
      <c r="BQ237" t="str">
        <f>"7:00 AM"</f>
        <v>7:00 AM</v>
      </c>
      <c r="BR237" t="str">
        <f>"4:00 PM"</f>
        <v>4:00 PM</v>
      </c>
      <c r="BS237" t="s">
        <v>133</v>
      </c>
      <c r="BT237">
        <v>0</v>
      </c>
      <c r="BU237">
        <v>0</v>
      </c>
      <c r="BV237" t="s">
        <v>134</v>
      </c>
      <c r="BX237" s="2" t="s">
        <v>3969</v>
      </c>
      <c r="BY237" t="s">
        <v>16715</v>
      </c>
      <c r="CA237" t="s">
        <v>5846</v>
      </c>
      <c r="CB237" t="s">
        <v>154</v>
      </c>
      <c r="CC237" s="4" t="str">
        <f>"32207"</f>
        <v>32207</v>
      </c>
      <c r="CD237" t="s">
        <v>7098</v>
      </c>
      <c r="CE237" t="s">
        <v>2683</v>
      </c>
      <c r="CF237" s="6">
        <v>15.29</v>
      </c>
      <c r="CH237" s="6">
        <v>22.94</v>
      </c>
      <c r="CJ237" t="s">
        <v>137</v>
      </c>
      <c r="CK237" t="s">
        <v>487</v>
      </c>
      <c r="CL237" t="s">
        <v>16716</v>
      </c>
      <c r="CO237" t="s">
        <v>138</v>
      </c>
      <c r="CP237" t="s">
        <v>114</v>
      </c>
      <c r="CQ237" t="s">
        <v>114</v>
      </c>
      <c r="CR237" t="s">
        <v>114</v>
      </c>
      <c r="CS237" t="s">
        <v>114</v>
      </c>
      <c r="CT237" t="s">
        <v>114</v>
      </c>
      <c r="CU237" t="s">
        <v>114</v>
      </c>
      <c r="CV237" t="s">
        <v>4640</v>
      </c>
      <c r="CW237" s="5" t="str">
        <f>"+19042682626"</f>
        <v>+19042682626</v>
      </c>
      <c r="CX237" t="s">
        <v>138</v>
      </c>
      <c r="CY237" t="s">
        <v>1274</v>
      </c>
      <c r="CZ237" t="s">
        <v>139</v>
      </c>
      <c r="DA237" t="s">
        <v>134</v>
      </c>
      <c r="DB237" t="s">
        <v>114</v>
      </c>
      <c r="DC237" t="s">
        <v>114</v>
      </c>
      <c r="DD237" t="s">
        <v>134</v>
      </c>
      <c r="DE237" t="s">
        <v>492</v>
      </c>
      <c r="DF237" t="s">
        <v>493</v>
      </c>
      <c r="DH237" t="s">
        <v>481</v>
      </c>
      <c r="DI237" t="s">
        <v>480</v>
      </c>
    </row>
    <row r="238" spans="1:113" ht="15" customHeight="1" x14ac:dyDescent="0.25">
      <c r="A238" t="s">
        <v>13348</v>
      </c>
      <c r="B238" t="s">
        <v>165</v>
      </c>
      <c r="C238" s="1">
        <v>44896.402950578704</v>
      </c>
      <c r="D238" s="1">
        <v>44922</v>
      </c>
      <c r="E238" t="s">
        <v>134</v>
      </c>
      <c r="F238" t="s">
        <v>334</v>
      </c>
      <c r="G238" t="str">
        <f t="shared" si="10"/>
        <v>37-3011.00</v>
      </c>
      <c r="H238" t="s">
        <v>335</v>
      </c>
      <c r="I238">
        <v>50</v>
      </c>
      <c r="J238">
        <v>50</v>
      </c>
      <c r="K238" s="1">
        <v>44986</v>
      </c>
      <c r="L238" s="1">
        <v>45260</v>
      </c>
      <c r="M238" s="1">
        <v>44986</v>
      </c>
      <c r="N238" s="1">
        <v>45260</v>
      </c>
      <c r="O238" t="s">
        <v>117</v>
      </c>
      <c r="P238" t="s">
        <v>13349</v>
      </c>
      <c r="R238" t="s">
        <v>13350</v>
      </c>
      <c r="T238" t="s">
        <v>4246</v>
      </c>
      <c r="U238" t="s">
        <v>748</v>
      </c>
      <c r="V238" s="4" t="str">
        <f>"19335"</f>
        <v>19335</v>
      </c>
      <c r="W238" t="s">
        <v>120</v>
      </c>
      <c r="Y238" s="5">
        <v>16102699800</v>
      </c>
      <c r="AA238">
        <v>56173</v>
      </c>
      <c r="AB238" t="s">
        <v>13351</v>
      </c>
      <c r="AC238" t="s">
        <v>8092</v>
      </c>
      <c r="AE238" t="s">
        <v>342</v>
      </c>
      <c r="AF238" t="s">
        <v>13350</v>
      </c>
      <c r="AH238" t="s">
        <v>4246</v>
      </c>
      <c r="AI238" t="s">
        <v>748</v>
      </c>
      <c r="AJ238" s="4" t="str">
        <f>"19335"</f>
        <v>19335</v>
      </c>
      <c r="AK238" t="s">
        <v>120</v>
      </c>
      <c r="AM238" s="5">
        <v>16102699800</v>
      </c>
      <c r="AO238" t="s">
        <v>13352</v>
      </c>
      <c r="AP238" t="s">
        <v>256</v>
      </c>
      <c r="AQ238" t="s">
        <v>475</v>
      </c>
      <c r="AR238" t="s">
        <v>476</v>
      </c>
      <c r="AT238" t="s">
        <v>477</v>
      </c>
      <c r="AV238" t="s">
        <v>478</v>
      </c>
      <c r="AW238" t="s">
        <v>479</v>
      </c>
      <c r="AX238" s="4" t="str">
        <f>"22903"</f>
        <v>22903</v>
      </c>
      <c r="AY238" t="s">
        <v>120</v>
      </c>
      <c r="BA238" s="5">
        <v>14342634300</v>
      </c>
      <c r="BC238" t="s">
        <v>2910</v>
      </c>
      <c r="BD238" t="s">
        <v>481</v>
      </c>
      <c r="BG238" t="s">
        <v>748</v>
      </c>
      <c r="BH238" s="1">
        <v>44895.791666666664</v>
      </c>
      <c r="BI238">
        <v>40</v>
      </c>
      <c r="BJ238">
        <v>0</v>
      </c>
      <c r="BK238">
        <v>8</v>
      </c>
      <c r="BL238">
        <v>8</v>
      </c>
      <c r="BM238">
        <v>8</v>
      </c>
      <c r="BN238">
        <v>8</v>
      </c>
      <c r="BO238">
        <v>8</v>
      </c>
      <c r="BP238">
        <v>0</v>
      </c>
      <c r="BQ238" t="str">
        <f>"7:00 AM"</f>
        <v>7:00 AM</v>
      </c>
      <c r="BR238" t="str">
        <f>"4:00 PM"</f>
        <v>4:00 PM</v>
      </c>
      <c r="BS238" t="s">
        <v>133</v>
      </c>
      <c r="BT238">
        <v>0</v>
      </c>
      <c r="BU238">
        <v>3</v>
      </c>
      <c r="BV238" t="s">
        <v>134</v>
      </c>
      <c r="BX238" s="2" t="s">
        <v>13353</v>
      </c>
      <c r="BY238" t="s">
        <v>13350</v>
      </c>
      <c r="CA238" t="s">
        <v>4246</v>
      </c>
      <c r="CB238" t="s">
        <v>748</v>
      </c>
      <c r="CC238" s="4" t="str">
        <f>"19335"</f>
        <v>19335</v>
      </c>
      <c r="CD238" t="s">
        <v>1265</v>
      </c>
      <c r="CE238" t="s">
        <v>1266</v>
      </c>
      <c r="CF238" s="6">
        <v>17.82</v>
      </c>
      <c r="CH238" s="6">
        <v>26.73</v>
      </c>
      <c r="CJ238" t="s">
        <v>137</v>
      </c>
      <c r="CK238" t="s">
        <v>487</v>
      </c>
      <c r="CL238" t="s">
        <v>13354</v>
      </c>
      <c r="CO238" t="s">
        <v>138</v>
      </c>
      <c r="CP238" t="s">
        <v>114</v>
      </c>
      <c r="CQ238" t="s">
        <v>134</v>
      </c>
      <c r="CR238" t="s">
        <v>114</v>
      </c>
      <c r="CS238" t="s">
        <v>134</v>
      </c>
      <c r="CT238" t="s">
        <v>114</v>
      </c>
      <c r="CU238" t="s">
        <v>134</v>
      </c>
      <c r="CV238" t="s">
        <v>3934</v>
      </c>
      <c r="CW238" s="5" t="str">
        <f>"+16102699800"</f>
        <v>+16102699800</v>
      </c>
      <c r="CX238" t="s">
        <v>138</v>
      </c>
      <c r="CY238" t="s">
        <v>1476</v>
      </c>
      <c r="CZ238" t="s">
        <v>139</v>
      </c>
      <c r="DA238" t="s">
        <v>134</v>
      </c>
      <c r="DB238" t="s">
        <v>114</v>
      </c>
      <c r="DC238" t="s">
        <v>114</v>
      </c>
      <c r="DD238" t="s">
        <v>134</v>
      </c>
      <c r="DE238" t="s">
        <v>2773</v>
      </c>
      <c r="DF238" t="s">
        <v>2140</v>
      </c>
      <c r="DH238" t="s">
        <v>481</v>
      </c>
      <c r="DI238" t="s">
        <v>2910</v>
      </c>
    </row>
    <row r="239" spans="1:113" ht="15" customHeight="1" x14ac:dyDescent="0.25">
      <c r="A239" t="s">
        <v>1488</v>
      </c>
      <c r="B239" t="s">
        <v>165</v>
      </c>
      <c r="C239" s="1">
        <v>44896.402747453707</v>
      </c>
      <c r="D239" s="1">
        <v>44922</v>
      </c>
      <c r="E239" t="s">
        <v>134</v>
      </c>
      <c r="F239" t="s">
        <v>1489</v>
      </c>
      <c r="G239" t="str">
        <f>"37-2011.00"</f>
        <v>37-2011.00</v>
      </c>
      <c r="H239" t="s">
        <v>672</v>
      </c>
      <c r="I239">
        <v>15</v>
      </c>
      <c r="J239">
        <v>15</v>
      </c>
      <c r="K239" s="1">
        <v>44986</v>
      </c>
      <c r="L239" s="1">
        <v>45275</v>
      </c>
      <c r="M239" s="1">
        <v>44986</v>
      </c>
      <c r="N239" s="1">
        <v>45275</v>
      </c>
      <c r="O239" t="s">
        <v>117</v>
      </c>
      <c r="P239" t="s">
        <v>1490</v>
      </c>
      <c r="R239" t="s">
        <v>1491</v>
      </c>
      <c r="S239" t="s">
        <v>1492</v>
      </c>
      <c r="T239" t="s">
        <v>128</v>
      </c>
      <c r="U239" t="s">
        <v>129</v>
      </c>
      <c r="V239" s="4" t="str">
        <f>"30340"</f>
        <v>30340</v>
      </c>
      <c r="W239" t="s">
        <v>120</v>
      </c>
      <c r="Y239" s="5">
        <v>16785309152</v>
      </c>
      <c r="AA239">
        <v>561720</v>
      </c>
      <c r="AB239" t="s">
        <v>1493</v>
      </c>
      <c r="AC239" t="s">
        <v>146</v>
      </c>
      <c r="AD239" t="s">
        <v>138</v>
      </c>
      <c r="AE239" t="s">
        <v>1494</v>
      </c>
      <c r="AF239" t="s">
        <v>1491</v>
      </c>
      <c r="AG239" t="s">
        <v>1492</v>
      </c>
      <c r="AH239" t="s">
        <v>128</v>
      </c>
      <c r="AI239" t="s">
        <v>129</v>
      </c>
      <c r="AJ239" s="4" t="str">
        <f>"30340"</f>
        <v>30340</v>
      </c>
      <c r="AK239" t="s">
        <v>120</v>
      </c>
      <c r="AM239" s="5">
        <v>16785309152</v>
      </c>
      <c r="AO239" t="s">
        <v>1495</v>
      </c>
      <c r="AP239" t="s">
        <v>256</v>
      </c>
      <c r="AQ239" t="s">
        <v>1282</v>
      </c>
      <c r="AR239" t="s">
        <v>1283</v>
      </c>
      <c r="AS239" t="s">
        <v>138</v>
      </c>
      <c r="AT239" t="s">
        <v>1284</v>
      </c>
      <c r="AU239" t="s">
        <v>138</v>
      </c>
      <c r="AV239" t="s">
        <v>1285</v>
      </c>
      <c r="AW239" t="s">
        <v>232</v>
      </c>
      <c r="AX239" s="4" t="str">
        <f>"77414"</f>
        <v>77414</v>
      </c>
      <c r="AY239" t="s">
        <v>120</v>
      </c>
      <c r="BA239" s="5">
        <v>19793187279</v>
      </c>
      <c r="BC239" t="s">
        <v>1286</v>
      </c>
      <c r="BD239" t="s">
        <v>1287</v>
      </c>
      <c r="BG239" t="s">
        <v>129</v>
      </c>
      <c r="BH239" s="1">
        <v>44895.791666666664</v>
      </c>
      <c r="BI239">
        <v>40</v>
      </c>
      <c r="BJ239">
        <v>0</v>
      </c>
      <c r="BK239">
        <v>8</v>
      </c>
      <c r="BL239">
        <v>8</v>
      </c>
      <c r="BM239">
        <v>8</v>
      </c>
      <c r="BN239">
        <v>8</v>
      </c>
      <c r="BO239">
        <v>8</v>
      </c>
      <c r="BP239">
        <v>0</v>
      </c>
      <c r="BQ239" t="str">
        <f>"7:00 AM"</f>
        <v>7:00 AM</v>
      </c>
      <c r="BR239" t="str">
        <f>"4:00 PM"</f>
        <v>4:00 PM</v>
      </c>
      <c r="BS239" t="s">
        <v>133</v>
      </c>
      <c r="BT239">
        <v>0</v>
      </c>
      <c r="BU239">
        <v>3</v>
      </c>
      <c r="BV239" t="s">
        <v>134</v>
      </c>
      <c r="BX239" s="2" t="s">
        <v>1496</v>
      </c>
      <c r="BY239" t="s">
        <v>1491</v>
      </c>
      <c r="BZ239" t="s">
        <v>1492</v>
      </c>
      <c r="CA239" t="s">
        <v>128</v>
      </c>
      <c r="CB239" t="s">
        <v>129</v>
      </c>
      <c r="CC239" s="4" t="str">
        <f>"30340"</f>
        <v>30340</v>
      </c>
      <c r="CD239" t="s">
        <v>1497</v>
      </c>
      <c r="CE239" t="s">
        <v>908</v>
      </c>
      <c r="CF239" s="6">
        <v>13.95</v>
      </c>
      <c r="CG239" s="6">
        <v>22</v>
      </c>
      <c r="CH239" s="6">
        <v>20.93</v>
      </c>
      <c r="CI239" s="6">
        <v>33</v>
      </c>
      <c r="CJ239" t="s">
        <v>137</v>
      </c>
      <c r="CK239" t="s">
        <v>1498</v>
      </c>
      <c r="CL239" t="s">
        <v>1499</v>
      </c>
      <c r="CO239" t="s">
        <v>138</v>
      </c>
      <c r="CP239" t="s">
        <v>114</v>
      </c>
      <c r="CQ239" t="s">
        <v>114</v>
      </c>
      <c r="CR239" t="s">
        <v>114</v>
      </c>
      <c r="CS239" t="s">
        <v>134</v>
      </c>
      <c r="CT239" t="s">
        <v>114</v>
      </c>
      <c r="CU239" t="s">
        <v>134</v>
      </c>
      <c r="CV239" s="2" t="s">
        <v>1500</v>
      </c>
      <c r="CW239" s="5" t="str">
        <f>"+16785309152"</f>
        <v>+16785309152</v>
      </c>
      <c r="CX239" t="s">
        <v>1495</v>
      </c>
      <c r="CY239" t="s">
        <v>138</v>
      </c>
      <c r="CZ239" t="s">
        <v>139</v>
      </c>
      <c r="DA239" t="s">
        <v>134</v>
      </c>
      <c r="DB239" t="s">
        <v>134</v>
      </c>
      <c r="DC239" t="s">
        <v>114</v>
      </c>
      <c r="DD239" t="s">
        <v>134</v>
      </c>
    </row>
    <row r="240" spans="1:113" ht="15" customHeight="1" x14ac:dyDescent="0.25">
      <c r="A240" t="s">
        <v>16689</v>
      </c>
      <c r="B240" t="s">
        <v>165</v>
      </c>
      <c r="C240" s="1">
        <v>44896.388492245373</v>
      </c>
      <c r="D240" s="1">
        <v>44922</v>
      </c>
      <c r="E240" t="s">
        <v>134</v>
      </c>
      <c r="F240" t="s">
        <v>334</v>
      </c>
      <c r="G240" t="str">
        <f t="shared" ref="G240:G248" si="13">"37-3011.00"</f>
        <v>37-3011.00</v>
      </c>
      <c r="H240" t="s">
        <v>335</v>
      </c>
      <c r="I240">
        <v>10</v>
      </c>
      <c r="J240">
        <v>10</v>
      </c>
      <c r="K240" s="1">
        <v>44986</v>
      </c>
      <c r="L240" s="1">
        <v>45274</v>
      </c>
      <c r="M240" s="1">
        <v>44986</v>
      </c>
      <c r="N240" s="1">
        <v>45274</v>
      </c>
      <c r="O240" t="s">
        <v>117</v>
      </c>
      <c r="P240" t="s">
        <v>9170</v>
      </c>
      <c r="Q240" t="s">
        <v>9171</v>
      </c>
      <c r="R240" t="s">
        <v>9172</v>
      </c>
      <c r="S240" t="s">
        <v>138</v>
      </c>
      <c r="T240" t="s">
        <v>9173</v>
      </c>
      <c r="U240" t="s">
        <v>1003</v>
      </c>
      <c r="V240" s="4" t="str">
        <f>"07405"</f>
        <v>07405</v>
      </c>
      <c r="W240" t="s">
        <v>120</v>
      </c>
      <c r="X240" t="s">
        <v>138</v>
      </c>
      <c r="Y240" s="5">
        <v>19736366777</v>
      </c>
      <c r="AA240">
        <v>561730</v>
      </c>
      <c r="AB240" t="s">
        <v>9174</v>
      </c>
      <c r="AC240" t="s">
        <v>2208</v>
      </c>
      <c r="AE240" t="s">
        <v>424</v>
      </c>
      <c r="AF240" t="s">
        <v>9172</v>
      </c>
      <c r="AG240" t="s">
        <v>138</v>
      </c>
      <c r="AH240" t="s">
        <v>9173</v>
      </c>
      <c r="AI240" t="s">
        <v>1003</v>
      </c>
      <c r="AJ240" s="4" t="str">
        <f>"07405"</f>
        <v>07405</v>
      </c>
      <c r="AK240" t="s">
        <v>120</v>
      </c>
      <c r="AM240" s="5">
        <v>19736366777</v>
      </c>
      <c r="AO240" t="s">
        <v>9175</v>
      </c>
      <c r="AP240" t="s">
        <v>256</v>
      </c>
      <c r="AQ240" t="s">
        <v>2362</v>
      </c>
      <c r="AR240" t="s">
        <v>1907</v>
      </c>
      <c r="AS240" t="s">
        <v>1857</v>
      </c>
      <c r="AT240" t="s">
        <v>1284</v>
      </c>
      <c r="AU240" t="s">
        <v>138</v>
      </c>
      <c r="AV240" t="s">
        <v>1285</v>
      </c>
      <c r="AW240" t="s">
        <v>232</v>
      </c>
      <c r="AX240" s="4" t="str">
        <f>"77414"</f>
        <v>77414</v>
      </c>
      <c r="AY240" t="s">
        <v>120</v>
      </c>
      <c r="BA240" s="5">
        <v>19793187282</v>
      </c>
      <c r="BC240" t="s">
        <v>2363</v>
      </c>
      <c r="BD240" t="s">
        <v>1287</v>
      </c>
      <c r="BG240" t="s">
        <v>1003</v>
      </c>
      <c r="BH240" s="1">
        <v>44895.791666666664</v>
      </c>
      <c r="BI240">
        <v>40</v>
      </c>
      <c r="BJ240">
        <v>0</v>
      </c>
      <c r="BK240">
        <v>8</v>
      </c>
      <c r="BL240">
        <v>8</v>
      </c>
      <c r="BM240">
        <v>8</v>
      </c>
      <c r="BN240">
        <v>8</v>
      </c>
      <c r="BO240">
        <v>8</v>
      </c>
      <c r="BP240">
        <v>0</v>
      </c>
      <c r="BQ240" t="str">
        <f>"8:00 AM"</f>
        <v>8:00 AM</v>
      </c>
      <c r="BR240" t="str">
        <f>"4:30 PM"</f>
        <v>4:30 PM</v>
      </c>
      <c r="BS240" t="s">
        <v>133</v>
      </c>
      <c r="BT240">
        <v>0</v>
      </c>
      <c r="BU240">
        <v>0</v>
      </c>
      <c r="BV240" t="s">
        <v>134</v>
      </c>
      <c r="BX240" s="2" t="s">
        <v>16690</v>
      </c>
      <c r="BY240" t="s">
        <v>9172</v>
      </c>
      <c r="BZ240" t="s">
        <v>138</v>
      </c>
      <c r="CA240" t="s">
        <v>9173</v>
      </c>
      <c r="CB240" t="s">
        <v>1003</v>
      </c>
      <c r="CC240" s="4" t="str">
        <f>"07405"</f>
        <v>07405</v>
      </c>
      <c r="CD240" t="s">
        <v>1640</v>
      </c>
      <c r="CE240" t="s">
        <v>1009</v>
      </c>
      <c r="CF240" s="6">
        <v>19.940000000000001</v>
      </c>
      <c r="CH240" s="6">
        <v>29.91</v>
      </c>
      <c r="CJ240" t="s">
        <v>137</v>
      </c>
      <c r="CK240" t="s">
        <v>2461</v>
      </c>
      <c r="CL240" t="s">
        <v>9176</v>
      </c>
      <c r="CO240" t="s">
        <v>138</v>
      </c>
      <c r="CP240" t="s">
        <v>114</v>
      </c>
      <c r="CQ240" t="s">
        <v>114</v>
      </c>
      <c r="CR240" t="s">
        <v>114</v>
      </c>
      <c r="CS240" t="s">
        <v>114</v>
      </c>
      <c r="CT240" t="s">
        <v>114</v>
      </c>
      <c r="CU240" t="s">
        <v>134</v>
      </c>
      <c r="CV240" t="s">
        <v>1356</v>
      </c>
      <c r="CW240" s="5" t="str">
        <f>"+19736366777"</f>
        <v>+19736366777</v>
      </c>
      <c r="CX240" t="s">
        <v>9177</v>
      </c>
      <c r="CY240" t="s">
        <v>138</v>
      </c>
      <c r="CZ240" t="s">
        <v>139</v>
      </c>
      <c r="DA240" t="s">
        <v>134</v>
      </c>
      <c r="DB240" t="s">
        <v>134</v>
      </c>
      <c r="DC240" t="s">
        <v>114</v>
      </c>
      <c r="DD240" t="s">
        <v>134</v>
      </c>
    </row>
    <row r="241" spans="1:113" ht="15" customHeight="1" x14ac:dyDescent="0.25">
      <c r="A241" t="s">
        <v>16148</v>
      </c>
      <c r="B241" t="s">
        <v>165</v>
      </c>
      <c r="C241" s="1">
        <v>44896.387756018521</v>
      </c>
      <c r="D241" s="1">
        <v>44922</v>
      </c>
      <c r="E241" t="s">
        <v>134</v>
      </c>
      <c r="F241" t="s">
        <v>2342</v>
      </c>
      <c r="G241" t="str">
        <f t="shared" si="13"/>
        <v>37-3011.00</v>
      </c>
      <c r="H241" t="s">
        <v>335</v>
      </c>
      <c r="I241">
        <v>4</v>
      </c>
      <c r="J241">
        <v>4</v>
      </c>
      <c r="K241" s="1">
        <v>44986</v>
      </c>
      <c r="L241" s="1">
        <v>45280</v>
      </c>
      <c r="M241" s="1">
        <v>44986</v>
      </c>
      <c r="N241" s="1">
        <v>45280</v>
      </c>
      <c r="O241" t="s">
        <v>199</v>
      </c>
      <c r="P241" t="s">
        <v>2657</v>
      </c>
      <c r="R241" t="s">
        <v>2658</v>
      </c>
      <c r="S241" t="s">
        <v>2659</v>
      </c>
      <c r="T241" t="s">
        <v>2660</v>
      </c>
      <c r="U241" t="s">
        <v>1003</v>
      </c>
      <c r="V241" s="4" t="str">
        <f>"08559"</f>
        <v>08559</v>
      </c>
      <c r="W241" t="s">
        <v>120</v>
      </c>
      <c r="Y241" s="5">
        <v>19088066448</v>
      </c>
      <c r="AA241">
        <v>561730</v>
      </c>
      <c r="AB241" t="s">
        <v>2661</v>
      </c>
      <c r="AC241" t="s">
        <v>589</v>
      </c>
      <c r="AD241" t="s">
        <v>138</v>
      </c>
      <c r="AE241" t="s">
        <v>342</v>
      </c>
      <c r="AF241" t="s">
        <v>2658</v>
      </c>
      <c r="AG241" t="s">
        <v>2659</v>
      </c>
      <c r="AH241" t="s">
        <v>2660</v>
      </c>
      <c r="AI241" t="s">
        <v>1003</v>
      </c>
      <c r="AJ241" s="4" t="str">
        <f>"08559"</f>
        <v>08559</v>
      </c>
      <c r="AK241" t="s">
        <v>120</v>
      </c>
      <c r="AM241" s="5">
        <v>19088066448</v>
      </c>
      <c r="AO241" t="s">
        <v>2662</v>
      </c>
      <c r="AP241" t="s">
        <v>256</v>
      </c>
      <c r="AQ241" t="s">
        <v>2048</v>
      </c>
      <c r="AR241" t="s">
        <v>2049</v>
      </c>
      <c r="AS241" t="s">
        <v>1378</v>
      </c>
      <c r="AT241" t="s">
        <v>2050</v>
      </c>
      <c r="AU241" t="s">
        <v>138</v>
      </c>
      <c r="AV241" t="s">
        <v>1285</v>
      </c>
      <c r="AW241" t="s">
        <v>232</v>
      </c>
      <c r="AX241" s="4" t="str">
        <f>"77414"</f>
        <v>77414</v>
      </c>
      <c r="AY241" t="s">
        <v>120</v>
      </c>
      <c r="BA241" s="5">
        <v>19793187278</v>
      </c>
      <c r="BC241" t="s">
        <v>2051</v>
      </c>
      <c r="BD241" t="s">
        <v>1287</v>
      </c>
      <c r="BG241" t="s">
        <v>1003</v>
      </c>
      <c r="BH241" s="1">
        <v>44895.791666666664</v>
      </c>
      <c r="BI241">
        <v>40</v>
      </c>
      <c r="BJ241">
        <v>0</v>
      </c>
      <c r="BK241">
        <v>8</v>
      </c>
      <c r="BL241">
        <v>8</v>
      </c>
      <c r="BM241">
        <v>8</v>
      </c>
      <c r="BN241">
        <v>8</v>
      </c>
      <c r="BO241">
        <v>8</v>
      </c>
      <c r="BP241">
        <v>0</v>
      </c>
      <c r="BQ241" t="str">
        <f>"8:00 AM"</f>
        <v>8:00 AM</v>
      </c>
      <c r="BR241" t="str">
        <f t="shared" ref="BR241:BR252" si="14">"4:00 PM"</f>
        <v>4:00 PM</v>
      </c>
      <c r="BS241" t="s">
        <v>133</v>
      </c>
      <c r="BT241">
        <v>0</v>
      </c>
      <c r="BU241">
        <v>0</v>
      </c>
      <c r="BV241" t="s">
        <v>134</v>
      </c>
      <c r="BX241" s="2" t="s">
        <v>2663</v>
      </c>
      <c r="BY241" t="s">
        <v>2658</v>
      </c>
      <c r="BZ241" t="s">
        <v>138</v>
      </c>
      <c r="CA241" t="s">
        <v>2660</v>
      </c>
      <c r="CB241" t="s">
        <v>1003</v>
      </c>
      <c r="CC241" s="4" t="str">
        <f>"08559"</f>
        <v>08559</v>
      </c>
      <c r="CD241" t="s">
        <v>2664</v>
      </c>
      <c r="CE241" t="s">
        <v>1009</v>
      </c>
      <c r="CF241" s="6">
        <v>19.940000000000001</v>
      </c>
      <c r="CG241" s="6">
        <v>21</v>
      </c>
      <c r="CH241" s="6">
        <v>29.91</v>
      </c>
      <c r="CI241" s="6">
        <v>31.5</v>
      </c>
      <c r="CJ241" t="s">
        <v>137</v>
      </c>
      <c r="CK241" t="s">
        <v>2665</v>
      </c>
      <c r="CL241" t="s">
        <v>2666</v>
      </c>
      <c r="CO241" t="s">
        <v>138</v>
      </c>
      <c r="CP241" t="s">
        <v>114</v>
      </c>
      <c r="CQ241" t="s">
        <v>114</v>
      </c>
      <c r="CR241" t="s">
        <v>114</v>
      </c>
      <c r="CS241" t="s">
        <v>114</v>
      </c>
      <c r="CT241" t="s">
        <v>114</v>
      </c>
      <c r="CU241" t="s">
        <v>134</v>
      </c>
      <c r="CV241" t="s">
        <v>133</v>
      </c>
      <c r="CW241" s="5" t="str">
        <f>"+19088066448"</f>
        <v>+19088066448</v>
      </c>
      <c r="CX241" t="s">
        <v>2662</v>
      </c>
      <c r="CY241" t="s">
        <v>138</v>
      </c>
      <c r="CZ241" t="s">
        <v>139</v>
      </c>
      <c r="DA241" t="s">
        <v>134</v>
      </c>
      <c r="DB241" t="s">
        <v>134</v>
      </c>
      <c r="DC241" t="s">
        <v>114</v>
      </c>
      <c r="DD241" t="s">
        <v>134</v>
      </c>
    </row>
    <row r="242" spans="1:113" ht="15" customHeight="1" x14ac:dyDescent="0.25">
      <c r="A242" t="s">
        <v>16683</v>
      </c>
      <c r="B242" t="s">
        <v>165</v>
      </c>
      <c r="C242" s="1">
        <v>44896.383154629628</v>
      </c>
      <c r="D242" s="1">
        <v>44922</v>
      </c>
      <c r="E242" t="s">
        <v>134</v>
      </c>
      <c r="F242" t="s">
        <v>1662</v>
      </c>
      <c r="G242" t="str">
        <f t="shared" si="13"/>
        <v>37-3011.00</v>
      </c>
      <c r="H242" t="s">
        <v>335</v>
      </c>
      <c r="I242">
        <v>14</v>
      </c>
      <c r="J242">
        <v>14</v>
      </c>
      <c r="K242" s="1">
        <v>44986</v>
      </c>
      <c r="L242" s="1">
        <v>45230</v>
      </c>
      <c r="M242" s="1">
        <v>44986</v>
      </c>
      <c r="N242" s="1">
        <v>45230</v>
      </c>
      <c r="O242" t="s">
        <v>117</v>
      </c>
      <c r="P242" t="s">
        <v>16684</v>
      </c>
      <c r="R242" t="s">
        <v>16685</v>
      </c>
      <c r="S242" t="s">
        <v>4636</v>
      </c>
      <c r="T242" t="s">
        <v>12706</v>
      </c>
      <c r="U242" t="s">
        <v>154</v>
      </c>
      <c r="V242" s="4" t="str">
        <f>"32117"</f>
        <v>32117</v>
      </c>
      <c r="W242" t="s">
        <v>120</v>
      </c>
      <c r="Y242" s="5">
        <v>13862483298</v>
      </c>
      <c r="AA242">
        <v>56173</v>
      </c>
      <c r="AB242" t="s">
        <v>942</v>
      </c>
      <c r="AC242" t="s">
        <v>943</v>
      </c>
      <c r="AE242" t="s">
        <v>3968</v>
      </c>
      <c r="AF242" t="s">
        <v>16685</v>
      </c>
      <c r="AG242" t="s">
        <v>4636</v>
      </c>
      <c r="AH242" t="s">
        <v>12706</v>
      </c>
      <c r="AI242" t="s">
        <v>154</v>
      </c>
      <c r="AJ242" s="4" t="str">
        <f>"32117"</f>
        <v>32117</v>
      </c>
      <c r="AK242" t="s">
        <v>120</v>
      </c>
      <c r="AM242" s="5">
        <v>13862483298</v>
      </c>
      <c r="AO242" t="s">
        <v>945</v>
      </c>
      <c r="AP242" t="s">
        <v>256</v>
      </c>
      <c r="AQ242" t="s">
        <v>475</v>
      </c>
      <c r="AR242" t="s">
        <v>476</v>
      </c>
      <c r="AT242" t="s">
        <v>477</v>
      </c>
      <c r="AV242" t="s">
        <v>478</v>
      </c>
      <c r="AW242" t="s">
        <v>479</v>
      </c>
      <c r="AX242" s="4" t="str">
        <f>"22903"</f>
        <v>22903</v>
      </c>
      <c r="AY242" t="s">
        <v>120</v>
      </c>
      <c r="BA242" s="5">
        <v>14342634300</v>
      </c>
      <c r="BC242" t="s">
        <v>480</v>
      </c>
      <c r="BD242" t="s">
        <v>481</v>
      </c>
      <c r="BG242" t="s">
        <v>154</v>
      </c>
      <c r="BH242" s="1">
        <v>44895.791666666664</v>
      </c>
      <c r="BI242">
        <v>40</v>
      </c>
      <c r="BJ242">
        <v>0</v>
      </c>
      <c r="BK242">
        <v>8</v>
      </c>
      <c r="BL242">
        <v>8</v>
      </c>
      <c r="BM242">
        <v>8</v>
      </c>
      <c r="BN242">
        <v>8</v>
      </c>
      <c r="BO242">
        <v>8</v>
      </c>
      <c r="BP242">
        <v>0</v>
      </c>
      <c r="BQ242" t="str">
        <f>"7:00 AM"</f>
        <v>7:00 AM</v>
      </c>
      <c r="BR242" t="str">
        <f t="shared" si="14"/>
        <v>4:00 PM</v>
      </c>
      <c r="BS242" t="s">
        <v>133</v>
      </c>
      <c r="BT242">
        <v>0</v>
      </c>
      <c r="BU242">
        <v>0</v>
      </c>
      <c r="BV242" t="s">
        <v>134</v>
      </c>
      <c r="BX242" s="2" t="s">
        <v>3969</v>
      </c>
      <c r="BY242" t="s">
        <v>16685</v>
      </c>
      <c r="CA242" t="s">
        <v>12706</v>
      </c>
      <c r="CB242" t="s">
        <v>154</v>
      </c>
      <c r="CC242" s="4" t="str">
        <f>"32117"</f>
        <v>32117</v>
      </c>
      <c r="CD242" t="s">
        <v>10131</v>
      </c>
      <c r="CE242" t="s">
        <v>10132</v>
      </c>
      <c r="CF242" s="6">
        <v>14.18</v>
      </c>
      <c r="CH242" s="6">
        <v>21.27</v>
      </c>
      <c r="CJ242" t="s">
        <v>137</v>
      </c>
      <c r="CK242" t="s">
        <v>487</v>
      </c>
      <c r="CL242" t="s">
        <v>16686</v>
      </c>
      <c r="CO242" t="s">
        <v>138</v>
      </c>
      <c r="CP242" t="s">
        <v>114</v>
      </c>
      <c r="CQ242" t="s">
        <v>114</v>
      </c>
      <c r="CR242" t="s">
        <v>114</v>
      </c>
      <c r="CS242" t="s">
        <v>114</v>
      </c>
      <c r="CT242" t="s">
        <v>114</v>
      </c>
      <c r="CU242" t="s">
        <v>114</v>
      </c>
      <c r="CV242" t="s">
        <v>16687</v>
      </c>
      <c r="CW242" s="5" t="str">
        <f>"+13862483298"</f>
        <v>+13862483298</v>
      </c>
      <c r="CX242" t="s">
        <v>138</v>
      </c>
      <c r="CY242" t="s">
        <v>1274</v>
      </c>
      <c r="CZ242" t="s">
        <v>139</v>
      </c>
      <c r="DA242" t="s">
        <v>134</v>
      </c>
      <c r="DB242" t="s">
        <v>114</v>
      </c>
      <c r="DC242" t="s">
        <v>114</v>
      </c>
      <c r="DD242" t="s">
        <v>134</v>
      </c>
      <c r="DE242" t="s">
        <v>492</v>
      </c>
      <c r="DF242" t="s">
        <v>493</v>
      </c>
      <c r="DH242" t="s">
        <v>481</v>
      </c>
      <c r="DI242" t="s">
        <v>480</v>
      </c>
    </row>
    <row r="243" spans="1:113" ht="15" customHeight="1" x14ac:dyDescent="0.25">
      <c r="A243" t="s">
        <v>10946</v>
      </c>
      <c r="B243" t="s">
        <v>165</v>
      </c>
      <c r="C243" s="1">
        <v>44896.382286921296</v>
      </c>
      <c r="D243" s="1">
        <v>44922</v>
      </c>
      <c r="E243" t="s">
        <v>134</v>
      </c>
      <c r="F243" t="s">
        <v>334</v>
      </c>
      <c r="G243" t="str">
        <f t="shared" si="13"/>
        <v>37-3011.00</v>
      </c>
      <c r="H243" t="s">
        <v>335</v>
      </c>
      <c r="I243">
        <v>11</v>
      </c>
      <c r="J243">
        <v>11</v>
      </c>
      <c r="K243" s="1">
        <v>44986</v>
      </c>
      <c r="L243" s="1">
        <v>45275</v>
      </c>
      <c r="M243" s="1">
        <v>44986</v>
      </c>
      <c r="N243" s="1">
        <v>45275</v>
      </c>
      <c r="O243" t="s">
        <v>199</v>
      </c>
      <c r="P243" t="s">
        <v>7080</v>
      </c>
      <c r="R243" t="s">
        <v>7081</v>
      </c>
      <c r="S243" t="s">
        <v>629</v>
      </c>
      <c r="T243" t="s">
        <v>7082</v>
      </c>
      <c r="U243" t="s">
        <v>1003</v>
      </c>
      <c r="V243" s="4" t="str">
        <f>"07401"</f>
        <v>07401</v>
      </c>
      <c r="W243" t="s">
        <v>120</v>
      </c>
      <c r="Y243" s="5">
        <v>12017859400</v>
      </c>
      <c r="AA243">
        <v>561730</v>
      </c>
      <c r="AB243" t="s">
        <v>7083</v>
      </c>
      <c r="AC243" t="s">
        <v>1362</v>
      </c>
      <c r="AD243" t="s">
        <v>1378</v>
      </c>
      <c r="AE243" t="s">
        <v>342</v>
      </c>
      <c r="AF243" t="s">
        <v>7081</v>
      </c>
      <c r="AG243" t="s">
        <v>629</v>
      </c>
      <c r="AH243" t="s">
        <v>7082</v>
      </c>
      <c r="AI243" t="s">
        <v>1003</v>
      </c>
      <c r="AJ243" s="4" t="str">
        <f>"07401"</f>
        <v>07401</v>
      </c>
      <c r="AK243" t="s">
        <v>120</v>
      </c>
      <c r="AM243" s="5">
        <v>12017859400</v>
      </c>
      <c r="AO243" t="s">
        <v>7084</v>
      </c>
      <c r="AP243" t="s">
        <v>256</v>
      </c>
      <c r="AQ243" t="s">
        <v>2048</v>
      </c>
      <c r="AR243" t="s">
        <v>2049</v>
      </c>
      <c r="AS243" t="s">
        <v>1378</v>
      </c>
      <c r="AT243" t="s">
        <v>2050</v>
      </c>
      <c r="AU243" t="s">
        <v>138</v>
      </c>
      <c r="AV243" t="s">
        <v>1285</v>
      </c>
      <c r="AW243" t="s">
        <v>232</v>
      </c>
      <c r="AX243" s="4" t="str">
        <f>"77414"</f>
        <v>77414</v>
      </c>
      <c r="AY243" t="s">
        <v>120</v>
      </c>
      <c r="BA243" s="5">
        <v>19793187278</v>
      </c>
      <c r="BC243" t="s">
        <v>2051</v>
      </c>
      <c r="BD243" t="s">
        <v>1287</v>
      </c>
      <c r="BG243" t="s">
        <v>1003</v>
      </c>
      <c r="BH243" s="1">
        <v>44895.791666666664</v>
      </c>
      <c r="BI243">
        <v>40</v>
      </c>
      <c r="BJ243">
        <v>0</v>
      </c>
      <c r="BK243">
        <v>8</v>
      </c>
      <c r="BL243">
        <v>8</v>
      </c>
      <c r="BM243">
        <v>8</v>
      </c>
      <c r="BN243">
        <v>8</v>
      </c>
      <c r="BO243">
        <v>8</v>
      </c>
      <c r="BP243">
        <v>0</v>
      </c>
      <c r="BQ243" t="str">
        <f>"7:15 AM"</f>
        <v>7:15 AM</v>
      </c>
      <c r="BR243" t="str">
        <f t="shared" si="14"/>
        <v>4:00 PM</v>
      </c>
      <c r="BS243" t="s">
        <v>133</v>
      </c>
      <c r="BT243">
        <v>0</v>
      </c>
      <c r="BU243">
        <v>0</v>
      </c>
      <c r="BV243" t="s">
        <v>134</v>
      </c>
      <c r="BX243" s="2" t="s">
        <v>7085</v>
      </c>
      <c r="BY243" t="s">
        <v>7086</v>
      </c>
      <c r="BZ243" t="s">
        <v>7087</v>
      </c>
      <c r="CA243" t="s">
        <v>7082</v>
      </c>
      <c r="CB243" t="s">
        <v>1003</v>
      </c>
      <c r="CC243" s="4" t="str">
        <f>"07401"</f>
        <v>07401</v>
      </c>
      <c r="CD243" t="s">
        <v>2415</v>
      </c>
      <c r="CE243" t="s">
        <v>1009</v>
      </c>
      <c r="CF243" s="6">
        <v>19.940000000000001</v>
      </c>
      <c r="CH243" s="6">
        <v>29.91</v>
      </c>
      <c r="CJ243" t="s">
        <v>137</v>
      </c>
      <c r="CK243" t="s">
        <v>4379</v>
      </c>
      <c r="CL243" t="s">
        <v>7088</v>
      </c>
      <c r="CO243" t="s">
        <v>138</v>
      </c>
      <c r="CP243" t="s">
        <v>114</v>
      </c>
      <c r="CQ243" t="s">
        <v>114</v>
      </c>
      <c r="CR243" t="s">
        <v>114</v>
      </c>
      <c r="CS243" t="s">
        <v>114</v>
      </c>
      <c r="CT243" t="s">
        <v>114</v>
      </c>
      <c r="CU243" t="s">
        <v>134</v>
      </c>
      <c r="CV243" t="s">
        <v>2360</v>
      </c>
      <c r="CW243" s="5" t="str">
        <f>"+12017859400"</f>
        <v>+12017859400</v>
      </c>
      <c r="CX243" t="s">
        <v>7084</v>
      </c>
      <c r="CY243" t="s">
        <v>138</v>
      </c>
      <c r="CZ243" t="s">
        <v>139</v>
      </c>
      <c r="DA243" t="s">
        <v>134</v>
      </c>
      <c r="DB243" t="s">
        <v>134</v>
      </c>
      <c r="DC243" t="s">
        <v>114</v>
      </c>
      <c r="DD243" t="s">
        <v>134</v>
      </c>
    </row>
    <row r="244" spans="1:113" ht="15" customHeight="1" x14ac:dyDescent="0.25">
      <c r="A244" t="s">
        <v>8965</v>
      </c>
      <c r="B244" t="s">
        <v>165</v>
      </c>
      <c r="C244" s="1">
        <v>44896.37408090278</v>
      </c>
      <c r="D244" s="1">
        <v>44922</v>
      </c>
      <c r="E244" t="s">
        <v>134</v>
      </c>
      <c r="F244" t="s">
        <v>334</v>
      </c>
      <c r="G244" t="str">
        <f t="shared" si="13"/>
        <v>37-3011.00</v>
      </c>
      <c r="H244" t="s">
        <v>335</v>
      </c>
      <c r="I244">
        <v>6</v>
      </c>
      <c r="J244">
        <v>6</v>
      </c>
      <c r="K244" s="1">
        <v>44986</v>
      </c>
      <c r="L244" s="1">
        <v>45230</v>
      </c>
      <c r="M244" s="1">
        <v>44986</v>
      </c>
      <c r="N244" s="1">
        <v>45230</v>
      </c>
      <c r="O244" t="s">
        <v>117</v>
      </c>
      <c r="P244" t="s">
        <v>8966</v>
      </c>
      <c r="R244" t="s">
        <v>8967</v>
      </c>
      <c r="S244" t="s">
        <v>8968</v>
      </c>
      <c r="T244" t="s">
        <v>1706</v>
      </c>
      <c r="U244" t="s">
        <v>394</v>
      </c>
      <c r="V244" s="4" t="str">
        <f>"29072"</f>
        <v>29072</v>
      </c>
      <c r="W244" t="s">
        <v>120</v>
      </c>
      <c r="Y244" s="5">
        <v>18036670488</v>
      </c>
      <c r="AA244">
        <v>56173</v>
      </c>
      <c r="AB244" t="s">
        <v>942</v>
      </c>
      <c r="AC244" t="s">
        <v>943</v>
      </c>
      <c r="AE244" t="s">
        <v>3968</v>
      </c>
      <c r="AF244" t="s">
        <v>8967</v>
      </c>
      <c r="AG244" t="s">
        <v>8968</v>
      </c>
      <c r="AH244" t="s">
        <v>1706</v>
      </c>
      <c r="AI244" t="s">
        <v>394</v>
      </c>
      <c r="AJ244" s="4" t="str">
        <f>"29072"</f>
        <v>29072</v>
      </c>
      <c r="AK244" t="s">
        <v>120</v>
      </c>
      <c r="AM244" s="5">
        <v>18036670488</v>
      </c>
      <c r="AO244" t="s">
        <v>945</v>
      </c>
      <c r="AP244" t="s">
        <v>256</v>
      </c>
      <c r="AQ244" t="s">
        <v>475</v>
      </c>
      <c r="AR244" t="s">
        <v>476</v>
      </c>
      <c r="AT244" t="s">
        <v>477</v>
      </c>
      <c r="AV244" t="s">
        <v>478</v>
      </c>
      <c r="AW244" t="s">
        <v>479</v>
      </c>
      <c r="AX244" s="4" t="str">
        <f t="shared" ref="AX244:AX251" si="15">"22903"</f>
        <v>22903</v>
      </c>
      <c r="AY244" t="s">
        <v>120</v>
      </c>
      <c r="BA244" s="5">
        <v>14342634300</v>
      </c>
      <c r="BC244" t="s">
        <v>480</v>
      </c>
      <c r="BD244" t="s">
        <v>481</v>
      </c>
      <c r="BG244" t="s">
        <v>394</v>
      </c>
      <c r="BH244" s="1">
        <v>44895.791666666664</v>
      </c>
      <c r="BI244">
        <v>40</v>
      </c>
      <c r="BJ244">
        <v>0</v>
      </c>
      <c r="BK244">
        <v>8</v>
      </c>
      <c r="BL244">
        <v>8</v>
      </c>
      <c r="BM244">
        <v>8</v>
      </c>
      <c r="BN244">
        <v>8</v>
      </c>
      <c r="BO244">
        <v>8</v>
      </c>
      <c r="BP244">
        <v>0</v>
      </c>
      <c r="BQ244" t="str">
        <f t="shared" ref="BQ244:BQ252" si="16">"7:00 AM"</f>
        <v>7:00 AM</v>
      </c>
      <c r="BR244" t="str">
        <f t="shared" si="14"/>
        <v>4:00 PM</v>
      </c>
      <c r="BS244" t="s">
        <v>133</v>
      </c>
      <c r="BT244">
        <v>0</v>
      </c>
      <c r="BU244">
        <v>0</v>
      </c>
      <c r="BV244" t="s">
        <v>134</v>
      </c>
      <c r="BX244" s="2" t="s">
        <v>3969</v>
      </c>
      <c r="BY244" t="s">
        <v>8967</v>
      </c>
      <c r="CA244" t="s">
        <v>1706</v>
      </c>
      <c r="CB244" t="s">
        <v>394</v>
      </c>
      <c r="CC244" s="4" t="str">
        <f>"29072"</f>
        <v>29072</v>
      </c>
      <c r="CD244" t="s">
        <v>4143</v>
      </c>
      <c r="CE244" t="s">
        <v>1523</v>
      </c>
      <c r="CF244" s="6">
        <v>14.66</v>
      </c>
      <c r="CH244" s="6">
        <v>21.99</v>
      </c>
      <c r="CJ244" t="s">
        <v>137</v>
      </c>
      <c r="CK244" t="s">
        <v>487</v>
      </c>
      <c r="CL244" t="s">
        <v>8969</v>
      </c>
      <c r="CO244" t="s">
        <v>138</v>
      </c>
      <c r="CP244" t="s">
        <v>114</v>
      </c>
      <c r="CQ244" t="s">
        <v>114</v>
      </c>
      <c r="CR244" t="s">
        <v>114</v>
      </c>
      <c r="CS244" t="s">
        <v>114</v>
      </c>
      <c r="CT244" t="s">
        <v>114</v>
      </c>
      <c r="CU244" t="s">
        <v>114</v>
      </c>
      <c r="CV244" t="s">
        <v>8970</v>
      </c>
      <c r="CW244" s="5" t="str">
        <f>"+18036670488"</f>
        <v>+18036670488</v>
      </c>
      <c r="CX244" t="s">
        <v>138</v>
      </c>
      <c r="CY244" t="s">
        <v>2568</v>
      </c>
      <c r="CZ244" t="s">
        <v>139</v>
      </c>
      <c r="DA244" t="s">
        <v>134</v>
      </c>
      <c r="DB244" t="s">
        <v>114</v>
      </c>
      <c r="DC244" t="s">
        <v>114</v>
      </c>
      <c r="DD244" t="s">
        <v>134</v>
      </c>
      <c r="DE244" t="s">
        <v>492</v>
      </c>
      <c r="DF244" t="s">
        <v>493</v>
      </c>
      <c r="DH244" t="s">
        <v>481</v>
      </c>
      <c r="DI244" t="s">
        <v>480</v>
      </c>
    </row>
    <row r="245" spans="1:113" ht="15" customHeight="1" x14ac:dyDescent="0.25">
      <c r="A245" t="s">
        <v>4633</v>
      </c>
      <c r="B245" t="s">
        <v>165</v>
      </c>
      <c r="C245" s="1">
        <v>44896.367597453704</v>
      </c>
      <c r="D245" s="1">
        <v>44922</v>
      </c>
      <c r="E245" t="s">
        <v>134</v>
      </c>
      <c r="F245" t="s">
        <v>334</v>
      </c>
      <c r="G245" t="str">
        <f t="shared" si="13"/>
        <v>37-3011.00</v>
      </c>
      <c r="H245" t="s">
        <v>335</v>
      </c>
      <c r="I245">
        <v>45</v>
      </c>
      <c r="J245">
        <v>45</v>
      </c>
      <c r="K245" s="1">
        <v>44986</v>
      </c>
      <c r="L245" s="1">
        <v>45230</v>
      </c>
      <c r="M245" s="1">
        <v>44986</v>
      </c>
      <c r="N245" s="1">
        <v>45230</v>
      </c>
      <c r="O245" t="s">
        <v>117</v>
      </c>
      <c r="P245" t="s">
        <v>4634</v>
      </c>
      <c r="R245" t="s">
        <v>4635</v>
      </c>
      <c r="S245" t="s">
        <v>4636</v>
      </c>
      <c r="T245" t="s">
        <v>4637</v>
      </c>
      <c r="U245" t="s">
        <v>394</v>
      </c>
      <c r="V245" s="4" t="str">
        <f>"29418"</f>
        <v>29418</v>
      </c>
      <c r="W245" t="s">
        <v>120</v>
      </c>
      <c r="Y245" s="5">
        <v>18432252380</v>
      </c>
      <c r="AA245">
        <v>56173</v>
      </c>
      <c r="AB245" t="s">
        <v>942</v>
      </c>
      <c r="AC245" t="s">
        <v>943</v>
      </c>
      <c r="AE245" t="s">
        <v>3968</v>
      </c>
      <c r="AF245" t="s">
        <v>4635</v>
      </c>
      <c r="AG245" t="s">
        <v>4636</v>
      </c>
      <c r="AH245" t="s">
        <v>4637</v>
      </c>
      <c r="AI245" t="s">
        <v>394</v>
      </c>
      <c r="AJ245" s="4" t="str">
        <f>"29418"</f>
        <v>29418</v>
      </c>
      <c r="AK245" t="s">
        <v>120</v>
      </c>
      <c r="AM245" s="5">
        <v>18432252380</v>
      </c>
      <c r="AO245" t="s">
        <v>945</v>
      </c>
      <c r="AP245" t="s">
        <v>256</v>
      </c>
      <c r="AQ245" t="s">
        <v>475</v>
      </c>
      <c r="AR245" t="s">
        <v>476</v>
      </c>
      <c r="AT245" t="s">
        <v>477</v>
      </c>
      <c r="AV245" t="s">
        <v>478</v>
      </c>
      <c r="AW245" t="s">
        <v>479</v>
      </c>
      <c r="AX245" s="4" t="str">
        <f t="shared" si="15"/>
        <v>22903</v>
      </c>
      <c r="AY245" t="s">
        <v>120</v>
      </c>
      <c r="BA245" s="5">
        <v>14342634300</v>
      </c>
      <c r="BC245" t="s">
        <v>480</v>
      </c>
      <c r="BD245" t="s">
        <v>481</v>
      </c>
      <c r="BG245" t="s">
        <v>394</v>
      </c>
      <c r="BH245" s="1">
        <v>44895.791666666664</v>
      </c>
      <c r="BI245">
        <v>40</v>
      </c>
      <c r="BJ245">
        <v>0</v>
      </c>
      <c r="BK245">
        <v>8</v>
      </c>
      <c r="BL245">
        <v>8</v>
      </c>
      <c r="BM245">
        <v>8</v>
      </c>
      <c r="BN245">
        <v>8</v>
      </c>
      <c r="BO245">
        <v>8</v>
      </c>
      <c r="BP245">
        <v>0</v>
      </c>
      <c r="BQ245" t="str">
        <f t="shared" si="16"/>
        <v>7:00 AM</v>
      </c>
      <c r="BR245" t="str">
        <f t="shared" si="14"/>
        <v>4:00 PM</v>
      </c>
      <c r="BS245" t="s">
        <v>133</v>
      </c>
      <c r="BT245">
        <v>0</v>
      </c>
      <c r="BU245">
        <v>0</v>
      </c>
      <c r="BV245" t="s">
        <v>134</v>
      </c>
      <c r="BX245" s="2" t="s">
        <v>3969</v>
      </c>
      <c r="BY245" t="s">
        <v>4638</v>
      </c>
      <c r="CA245" t="s">
        <v>4637</v>
      </c>
      <c r="CB245" t="s">
        <v>394</v>
      </c>
      <c r="CC245" s="4" t="str">
        <f>"29405"</f>
        <v>29405</v>
      </c>
      <c r="CD245" t="s">
        <v>1243</v>
      </c>
      <c r="CE245" t="s">
        <v>1244</v>
      </c>
      <c r="CF245" s="6">
        <v>16.09</v>
      </c>
      <c r="CH245" s="6">
        <v>24.14</v>
      </c>
      <c r="CJ245" t="s">
        <v>137</v>
      </c>
      <c r="CK245" t="s">
        <v>487</v>
      </c>
      <c r="CL245" t="s">
        <v>4639</v>
      </c>
      <c r="CO245" t="s">
        <v>138</v>
      </c>
      <c r="CP245" t="s">
        <v>114</v>
      </c>
      <c r="CQ245" t="s">
        <v>114</v>
      </c>
      <c r="CR245" t="s">
        <v>114</v>
      </c>
      <c r="CS245" t="s">
        <v>114</v>
      </c>
      <c r="CT245" t="s">
        <v>114</v>
      </c>
      <c r="CU245" t="s">
        <v>114</v>
      </c>
      <c r="CV245" t="s">
        <v>4640</v>
      </c>
      <c r="CW245" s="5" t="str">
        <f>"+18432252380"</f>
        <v>+18432252380</v>
      </c>
      <c r="CX245" t="s">
        <v>138</v>
      </c>
      <c r="CY245" t="s">
        <v>2568</v>
      </c>
      <c r="CZ245" t="s">
        <v>139</v>
      </c>
      <c r="DA245" t="s">
        <v>134</v>
      </c>
      <c r="DB245" t="s">
        <v>114</v>
      </c>
      <c r="DC245" t="s">
        <v>114</v>
      </c>
      <c r="DD245" t="s">
        <v>134</v>
      </c>
      <c r="DE245" t="s">
        <v>492</v>
      </c>
      <c r="DF245" t="s">
        <v>493</v>
      </c>
      <c r="DH245" t="s">
        <v>481</v>
      </c>
      <c r="DI245" t="s">
        <v>480</v>
      </c>
    </row>
    <row r="246" spans="1:113" ht="15" customHeight="1" x14ac:dyDescent="0.25">
      <c r="A246" t="s">
        <v>13397</v>
      </c>
      <c r="B246" t="s">
        <v>165</v>
      </c>
      <c r="C246" s="1">
        <v>44896.360480555559</v>
      </c>
      <c r="D246" s="1">
        <v>44922</v>
      </c>
      <c r="E246" t="s">
        <v>134</v>
      </c>
      <c r="F246" t="s">
        <v>334</v>
      </c>
      <c r="G246" t="str">
        <f t="shared" si="13"/>
        <v>37-3011.00</v>
      </c>
      <c r="H246" t="s">
        <v>335</v>
      </c>
      <c r="I246">
        <v>8</v>
      </c>
      <c r="J246">
        <v>8</v>
      </c>
      <c r="K246" s="1">
        <v>44986</v>
      </c>
      <c r="L246" s="1">
        <v>45230</v>
      </c>
      <c r="M246" s="1">
        <v>44986</v>
      </c>
      <c r="N246" s="1">
        <v>45230</v>
      </c>
      <c r="O246" t="s">
        <v>117</v>
      </c>
      <c r="P246" t="s">
        <v>13398</v>
      </c>
      <c r="R246" t="s">
        <v>13399</v>
      </c>
      <c r="S246" t="s">
        <v>8968</v>
      </c>
      <c r="T246" t="s">
        <v>4098</v>
      </c>
      <c r="U246" t="s">
        <v>129</v>
      </c>
      <c r="V246" s="4" t="str">
        <f>"30907"</f>
        <v>30907</v>
      </c>
      <c r="W246" t="s">
        <v>120</v>
      </c>
      <c r="Y246" s="5">
        <v>17069511789</v>
      </c>
      <c r="AA246">
        <v>56173</v>
      </c>
      <c r="AB246" t="s">
        <v>942</v>
      </c>
      <c r="AC246" t="s">
        <v>943</v>
      </c>
      <c r="AE246" t="s">
        <v>3968</v>
      </c>
      <c r="AF246" t="s">
        <v>13399</v>
      </c>
      <c r="AG246" t="s">
        <v>8968</v>
      </c>
      <c r="AH246" t="s">
        <v>4098</v>
      </c>
      <c r="AI246" t="s">
        <v>129</v>
      </c>
      <c r="AJ246" s="4" t="str">
        <f>"30907"</f>
        <v>30907</v>
      </c>
      <c r="AK246" t="s">
        <v>120</v>
      </c>
      <c r="AM246" s="5">
        <v>17069511789</v>
      </c>
      <c r="AO246" t="s">
        <v>945</v>
      </c>
      <c r="AP246" t="s">
        <v>256</v>
      </c>
      <c r="AQ246" t="s">
        <v>475</v>
      </c>
      <c r="AR246" t="s">
        <v>476</v>
      </c>
      <c r="AT246" t="s">
        <v>477</v>
      </c>
      <c r="AV246" t="s">
        <v>478</v>
      </c>
      <c r="AW246" t="s">
        <v>479</v>
      </c>
      <c r="AX246" s="4" t="str">
        <f t="shared" si="15"/>
        <v>22903</v>
      </c>
      <c r="AY246" t="s">
        <v>120</v>
      </c>
      <c r="BA246" s="5">
        <v>14342634300</v>
      </c>
      <c r="BC246" t="s">
        <v>480</v>
      </c>
      <c r="BD246" t="s">
        <v>481</v>
      </c>
      <c r="BG246" t="s">
        <v>129</v>
      </c>
      <c r="BH246" s="1">
        <v>44895.791666666664</v>
      </c>
      <c r="BI246">
        <v>40</v>
      </c>
      <c r="BJ246">
        <v>0</v>
      </c>
      <c r="BK246">
        <v>8</v>
      </c>
      <c r="BL246">
        <v>8</v>
      </c>
      <c r="BM246">
        <v>8</v>
      </c>
      <c r="BN246">
        <v>8</v>
      </c>
      <c r="BO246">
        <v>8</v>
      </c>
      <c r="BP246">
        <v>0</v>
      </c>
      <c r="BQ246" t="str">
        <f t="shared" si="16"/>
        <v>7:00 AM</v>
      </c>
      <c r="BR246" t="str">
        <f t="shared" si="14"/>
        <v>4:00 PM</v>
      </c>
      <c r="BS246" t="s">
        <v>133</v>
      </c>
      <c r="BT246">
        <v>0</v>
      </c>
      <c r="BU246">
        <v>0</v>
      </c>
      <c r="BV246" t="s">
        <v>134</v>
      </c>
      <c r="BX246" s="2" t="s">
        <v>3969</v>
      </c>
      <c r="BY246" t="s">
        <v>13399</v>
      </c>
      <c r="CA246" t="s">
        <v>4098</v>
      </c>
      <c r="CB246" t="s">
        <v>129</v>
      </c>
      <c r="CC246" s="4" t="str">
        <f>"30907"</f>
        <v>30907</v>
      </c>
      <c r="CD246" t="s">
        <v>1902</v>
      </c>
      <c r="CE246" t="s">
        <v>4099</v>
      </c>
      <c r="CF246" s="6">
        <v>14.53</v>
      </c>
      <c r="CH246" s="6">
        <v>21.8</v>
      </c>
      <c r="CJ246" t="s">
        <v>137</v>
      </c>
      <c r="CK246" t="s">
        <v>487</v>
      </c>
      <c r="CL246" t="s">
        <v>13400</v>
      </c>
      <c r="CO246" t="s">
        <v>138</v>
      </c>
      <c r="CP246" t="s">
        <v>114</v>
      </c>
      <c r="CQ246" t="s">
        <v>114</v>
      </c>
      <c r="CR246" t="s">
        <v>114</v>
      </c>
      <c r="CS246" t="s">
        <v>114</v>
      </c>
      <c r="CT246" t="s">
        <v>114</v>
      </c>
      <c r="CU246" t="s">
        <v>114</v>
      </c>
      <c r="CV246" t="s">
        <v>4640</v>
      </c>
      <c r="CW246" s="5" t="str">
        <f>"+17069511789"</f>
        <v>+17069511789</v>
      </c>
      <c r="CX246" t="s">
        <v>138</v>
      </c>
      <c r="CY246" t="s">
        <v>2598</v>
      </c>
      <c r="CZ246" t="s">
        <v>139</v>
      </c>
      <c r="DA246" t="s">
        <v>134</v>
      </c>
      <c r="DB246" t="s">
        <v>114</v>
      </c>
      <c r="DC246" t="s">
        <v>114</v>
      </c>
      <c r="DD246" t="s">
        <v>134</v>
      </c>
      <c r="DE246" t="s">
        <v>492</v>
      </c>
      <c r="DF246" t="s">
        <v>493</v>
      </c>
      <c r="DH246" t="s">
        <v>481</v>
      </c>
      <c r="DI246" t="s">
        <v>480</v>
      </c>
    </row>
    <row r="247" spans="1:113" ht="15" customHeight="1" x14ac:dyDescent="0.25">
      <c r="A247" t="s">
        <v>14033</v>
      </c>
      <c r="B247" t="s">
        <v>165</v>
      </c>
      <c r="C247" s="1">
        <v>44896.346014814815</v>
      </c>
      <c r="D247" s="1">
        <v>44922</v>
      </c>
      <c r="E247" t="s">
        <v>134</v>
      </c>
      <c r="F247" t="s">
        <v>1662</v>
      </c>
      <c r="G247" t="str">
        <f t="shared" si="13"/>
        <v>37-3011.00</v>
      </c>
      <c r="H247" t="s">
        <v>335</v>
      </c>
      <c r="I247">
        <v>103</v>
      </c>
      <c r="J247">
        <v>103</v>
      </c>
      <c r="K247" s="1">
        <v>44986</v>
      </c>
      <c r="L247" s="1">
        <v>45230</v>
      </c>
      <c r="M247" s="1">
        <v>44986</v>
      </c>
      <c r="N247" s="1">
        <v>45230</v>
      </c>
      <c r="O247" t="s">
        <v>117</v>
      </c>
      <c r="P247" t="s">
        <v>14034</v>
      </c>
      <c r="R247" t="s">
        <v>14035</v>
      </c>
      <c r="S247" t="s">
        <v>4636</v>
      </c>
      <c r="T247" t="s">
        <v>1538</v>
      </c>
      <c r="U247" t="s">
        <v>129</v>
      </c>
      <c r="V247" s="4" t="str">
        <f>"30082"</f>
        <v>30082</v>
      </c>
      <c r="W247" t="s">
        <v>120</v>
      </c>
      <c r="Y247" s="5">
        <v>16782713700</v>
      </c>
      <c r="AA247">
        <v>56173</v>
      </c>
      <c r="AB247" t="s">
        <v>942</v>
      </c>
      <c r="AC247" t="s">
        <v>943</v>
      </c>
      <c r="AE247" t="s">
        <v>3968</v>
      </c>
      <c r="AF247" t="s">
        <v>14035</v>
      </c>
      <c r="AG247" t="s">
        <v>4636</v>
      </c>
      <c r="AH247" t="s">
        <v>1538</v>
      </c>
      <c r="AI247" t="s">
        <v>129</v>
      </c>
      <c r="AJ247" s="4" t="str">
        <f>"30082"</f>
        <v>30082</v>
      </c>
      <c r="AK247" t="s">
        <v>120</v>
      </c>
      <c r="AM247" s="5">
        <v>16782713700</v>
      </c>
      <c r="AO247" t="s">
        <v>945</v>
      </c>
      <c r="AP247" t="s">
        <v>256</v>
      </c>
      <c r="AQ247" t="s">
        <v>475</v>
      </c>
      <c r="AR247" t="s">
        <v>476</v>
      </c>
      <c r="AT247" t="s">
        <v>477</v>
      </c>
      <c r="AV247" t="s">
        <v>478</v>
      </c>
      <c r="AW247" t="s">
        <v>479</v>
      </c>
      <c r="AX247" s="4" t="str">
        <f t="shared" si="15"/>
        <v>22903</v>
      </c>
      <c r="AY247" t="s">
        <v>120</v>
      </c>
      <c r="BA247" s="5">
        <v>14342634300</v>
      </c>
      <c r="BC247" t="s">
        <v>480</v>
      </c>
      <c r="BD247" t="s">
        <v>481</v>
      </c>
      <c r="BG247" t="s">
        <v>129</v>
      </c>
      <c r="BH247" s="1">
        <v>44895.791666666664</v>
      </c>
      <c r="BI247">
        <v>40</v>
      </c>
      <c r="BJ247">
        <v>0</v>
      </c>
      <c r="BK247">
        <v>8</v>
      </c>
      <c r="BL247">
        <v>8</v>
      </c>
      <c r="BM247">
        <v>8</v>
      </c>
      <c r="BN247">
        <v>8</v>
      </c>
      <c r="BO247">
        <v>8</v>
      </c>
      <c r="BP247">
        <v>0</v>
      </c>
      <c r="BQ247" t="str">
        <f t="shared" si="16"/>
        <v>7:00 AM</v>
      </c>
      <c r="BR247" t="str">
        <f t="shared" si="14"/>
        <v>4:00 PM</v>
      </c>
      <c r="BS247" t="s">
        <v>133</v>
      </c>
      <c r="BT247">
        <v>0</v>
      </c>
      <c r="BU247">
        <v>0</v>
      </c>
      <c r="BV247" t="s">
        <v>134</v>
      </c>
      <c r="BX247" s="2" t="s">
        <v>3969</v>
      </c>
      <c r="BY247" t="s">
        <v>14035</v>
      </c>
      <c r="CA247" t="s">
        <v>1538</v>
      </c>
      <c r="CB247" t="s">
        <v>129</v>
      </c>
      <c r="CC247" s="4" t="str">
        <f>"30082"</f>
        <v>30082</v>
      </c>
      <c r="CD247" t="s">
        <v>1540</v>
      </c>
      <c r="CE247" t="s">
        <v>908</v>
      </c>
      <c r="CF247" s="6">
        <v>16.45</v>
      </c>
      <c r="CH247" s="6">
        <v>24.68</v>
      </c>
      <c r="CJ247" t="s">
        <v>137</v>
      </c>
      <c r="CK247" t="s">
        <v>487</v>
      </c>
      <c r="CL247" t="s">
        <v>14036</v>
      </c>
      <c r="CO247" t="s">
        <v>138</v>
      </c>
      <c r="CP247" t="s">
        <v>114</v>
      </c>
      <c r="CQ247" t="s">
        <v>114</v>
      </c>
      <c r="CR247" t="s">
        <v>114</v>
      </c>
      <c r="CS247" t="s">
        <v>114</v>
      </c>
      <c r="CT247" t="s">
        <v>114</v>
      </c>
      <c r="CU247" t="s">
        <v>114</v>
      </c>
      <c r="CV247" t="s">
        <v>4640</v>
      </c>
      <c r="CW247" s="5" t="str">
        <f>"+16782713700"</f>
        <v>+16782713700</v>
      </c>
      <c r="CX247" t="s">
        <v>138</v>
      </c>
      <c r="CY247" t="s">
        <v>2598</v>
      </c>
      <c r="CZ247" t="s">
        <v>139</v>
      </c>
      <c r="DA247" t="s">
        <v>134</v>
      </c>
      <c r="DB247" t="s">
        <v>114</v>
      </c>
      <c r="DC247" t="s">
        <v>114</v>
      </c>
      <c r="DD247" t="s">
        <v>134</v>
      </c>
      <c r="DE247" t="s">
        <v>492</v>
      </c>
      <c r="DF247" t="s">
        <v>493</v>
      </c>
      <c r="DH247" t="s">
        <v>481</v>
      </c>
      <c r="DI247" t="s">
        <v>480</v>
      </c>
    </row>
    <row r="248" spans="1:113" ht="15" customHeight="1" x14ac:dyDescent="0.25">
      <c r="A248" t="s">
        <v>6100</v>
      </c>
      <c r="B248" t="s">
        <v>165</v>
      </c>
      <c r="C248" s="1">
        <v>44896.325385300923</v>
      </c>
      <c r="D248" s="1">
        <v>44922</v>
      </c>
      <c r="E248" t="s">
        <v>134</v>
      </c>
      <c r="F248" t="s">
        <v>1552</v>
      </c>
      <c r="G248" t="str">
        <f t="shared" si="13"/>
        <v>37-3011.00</v>
      </c>
      <c r="H248" t="s">
        <v>335</v>
      </c>
      <c r="I248">
        <v>6</v>
      </c>
      <c r="J248">
        <v>6</v>
      </c>
      <c r="K248" s="1">
        <v>44986</v>
      </c>
      <c r="L248" s="1">
        <v>45234</v>
      </c>
      <c r="M248" s="1">
        <v>44986</v>
      </c>
      <c r="N248" s="1">
        <v>45234</v>
      </c>
      <c r="O248" t="s">
        <v>117</v>
      </c>
      <c r="P248" t="s">
        <v>6101</v>
      </c>
      <c r="R248" t="s">
        <v>470</v>
      </c>
      <c r="T248" t="s">
        <v>471</v>
      </c>
      <c r="U248" t="s">
        <v>232</v>
      </c>
      <c r="V248" s="4" t="str">
        <f>"77598"</f>
        <v>77598</v>
      </c>
      <c r="W248" t="s">
        <v>120</v>
      </c>
      <c r="Y248" s="5">
        <v>12812801100</v>
      </c>
      <c r="AA248">
        <v>56173</v>
      </c>
      <c r="AB248" t="s">
        <v>472</v>
      </c>
      <c r="AC248" t="s">
        <v>473</v>
      </c>
      <c r="AE248" t="s">
        <v>474</v>
      </c>
      <c r="AF248" t="s">
        <v>470</v>
      </c>
      <c r="AH248" t="s">
        <v>471</v>
      </c>
      <c r="AI248" t="s">
        <v>232</v>
      </c>
      <c r="AJ248" s="4" t="str">
        <f>"77598"</f>
        <v>77598</v>
      </c>
      <c r="AK248" t="s">
        <v>120</v>
      </c>
      <c r="AM248" s="5">
        <v>12812801100</v>
      </c>
      <c r="AO248" t="s">
        <v>1385</v>
      </c>
      <c r="AP248" t="s">
        <v>256</v>
      </c>
      <c r="AQ248" t="s">
        <v>475</v>
      </c>
      <c r="AR248" t="s">
        <v>476</v>
      </c>
      <c r="AT248" t="s">
        <v>477</v>
      </c>
      <c r="AV248" t="s">
        <v>478</v>
      </c>
      <c r="AW248" t="s">
        <v>479</v>
      </c>
      <c r="AX248" s="4" t="str">
        <f t="shared" si="15"/>
        <v>22903</v>
      </c>
      <c r="AY248" t="s">
        <v>120</v>
      </c>
      <c r="BA248" s="5">
        <v>14342634300</v>
      </c>
      <c r="BC248" t="s">
        <v>480</v>
      </c>
      <c r="BD248" t="s">
        <v>481</v>
      </c>
      <c r="BG248" t="s">
        <v>232</v>
      </c>
      <c r="BH248" s="1">
        <v>44895.791666666664</v>
      </c>
      <c r="BI248">
        <v>40</v>
      </c>
      <c r="BJ248">
        <v>0</v>
      </c>
      <c r="BK248">
        <v>8</v>
      </c>
      <c r="BL248">
        <v>8</v>
      </c>
      <c r="BM248">
        <v>8</v>
      </c>
      <c r="BN248">
        <v>8</v>
      </c>
      <c r="BO248">
        <v>8</v>
      </c>
      <c r="BP248">
        <v>0</v>
      </c>
      <c r="BQ248" t="str">
        <f t="shared" si="16"/>
        <v>7:00 AM</v>
      </c>
      <c r="BR248" t="str">
        <f t="shared" si="14"/>
        <v>4:00 PM</v>
      </c>
      <c r="BS248" t="s">
        <v>133</v>
      </c>
      <c r="BT248">
        <v>0</v>
      </c>
      <c r="BU248">
        <v>0</v>
      </c>
      <c r="BV248" t="s">
        <v>134</v>
      </c>
      <c r="BX248" s="2" t="s">
        <v>482</v>
      </c>
      <c r="BY248" t="s">
        <v>6102</v>
      </c>
      <c r="CA248" t="s">
        <v>2140</v>
      </c>
      <c r="CB248" t="s">
        <v>232</v>
      </c>
      <c r="CC248" s="4" t="str">
        <f>"77901"</f>
        <v>77901</v>
      </c>
      <c r="CD248" t="s">
        <v>3917</v>
      </c>
      <c r="CE248" t="s">
        <v>4348</v>
      </c>
      <c r="CF248" s="6">
        <v>13.94</v>
      </c>
      <c r="CH248" s="6">
        <v>20.91</v>
      </c>
      <c r="CJ248" t="s">
        <v>137</v>
      </c>
      <c r="CK248" t="s">
        <v>487</v>
      </c>
      <c r="CL248" t="s">
        <v>6103</v>
      </c>
      <c r="CO248" t="s">
        <v>138</v>
      </c>
      <c r="CP248" t="s">
        <v>114</v>
      </c>
      <c r="CQ248" t="s">
        <v>114</v>
      </c>
      <c r="CR248" t="s">
        <v>114</v>
      </c>
      <c r="CS248" t="s">
        <v>114</v>
      </c>
      <c r="CT248" t="s">
        <v>114</v>
      </c>
      <c r="CU248" t="s">
        <v>114</v>
      </c>
      <c r="CV248" t="s">
        <v>6104</v>
      </c>
      <c r="CW248" s="5" t="str">
        <f>"N/A"</f>
        <v>N/A</v>
      </c>
      <c r="CX248" t="s">
        <v>1389</v>
      </c>
      <c r="CY248" t="s">
        <v>953</v>
      </c>
      <c r="CZ248" t="s">
        <v>139</v>
      </c>
      <c r="DA248" t="s">
        <v>134</v>
      </c>
      <c r="DB248" t="s">
        <v>114</v>
      </c>
      <c r="DC248" t="s">
        <v>114</v>
      </c>
      <c r="DD248" t="s">
        <v>134</v>
      </c>
      <c r="DE248" t="s">
        <v>492</v>
      </c>
      <c r="DF248" t="s">
        <v>493</v>
      </c>
      <c r="DH248" t="s">
        <v>481</v>
      </c>
      <c r="DI248" t="s">
        <v>480</v>
      </c>
    </row>
    <row r="249" spans="1:113" ht="15" customHeight="1" x14ac:dyDescent="0.25">
      <c r="A249" t="s">
        <v>14866</v>
      </c>
      <c r="B249" t="s">
        <v>165</v>
      </c>
      <c r="C249" s="1">
        <v>44896.325016898147</v>
      </c>
      <c r="D249" s="1">
        <v>44922</v>
      </c>
      <c r="E249" t="s">
        <v>134</v>
      </c>
      <c r="F249" t="s">
        <v>467</v>
      </c>
      <c r="G249" t="str">
        <f>"37-3013.00"</f>
        <v>37-3013.00</v>
      </c>
      <c r="H249" t="s">
        <v>468</v>
      </c>
      <c r="I249">
        <v>15</v>
      </c>
      <c r="J249">
        <v>15</v>
      </c>
      <c r="K249" s="1">
        <v>44986</v>
      </c>
      <c r="L249" s="1">
        <v>45234</v>
      </c>
      <c r="M249" s="1">
        <v>44986</v>
      </c>
      <c r="N249" s="1">
        <v>45234</v>
      </c>
      <c r="O249" t="s">
        <v>117</v>
      </c>
      <c r="P249" t="s">
        <v>14867</v>
      </c>
      <c r="R249" t="s">
        <v>470</v>
      </c>
      <c r="T249" t="s">
        <v>471</v>
      </c>
      <c r="U249" t="s">
        <v>232</v>
      </c>
      <c r="V249" s="4" t="str">
        <f>"77598"</f>
        <v>77598</v>
      </c>
      <c r="W249" t="s">
        <v>120</v>
      </c>
      <c r="Y249" s="5">
        <v>12812801100</v>
      </c>
      <c r="AA249">
        <v>56173</v>
      </c>
      <c r="AB249" t="s">
        <v>472</v>
      </c>
      <c r="AC249" t="s">
        <v>473</v>
      </c>
      <c r="AE249" t="s">
        <v>474</v>
      </c>
      <c r="AF249" t="s">
        <v>470</v>
      </c>
      <c r="AH249" t="s">
        <v>471</v>
      </c>
      <c r="AI249" t="s">
        <v>232</v>
      </c>
      <c r="AJ249" s="4" t="str">
        <f>"77598"</f>
        <v>77598</v>
      </c>
      <c r="AK249" t="s">
        <v>120</v>
      </c>
      <c r="AM249" s="5">
        <v>12812801100</v>
      </c>
      <c r="AO249" t="s">
        <v>1385</v>
      </c>
      <c r="AP249" t="s">
        <v>256</v>
      </c>
      <c r="AQ249" t="s">
        <v>475</v>
      </c>
      <c r="AR249" t="s">
        <v>476</v>
      </c>
      <c r="AT249" t="s">
        <v>477</v>
      </c>
      <c r="AV249" t="s">
        <v>478</v>
      </c>
      <c r="AW249" t="s">
        <v>479</v>
      </c>
      <c r="AX249" s="4" t="str">
        <f t="shared" si="15"/>
        <v>22903</v>
      </c>
      <c r="AY249" t="s">
        <v>120</v>
      </c>
      <c r="BA249" s="5">
        <v>14342634300</v>
      </c>
      <c r="BC249" t="s">
        <v>480</v>
      </c>
      <c r="BD249" t="s">
        <v>481</v>
      </c>
      <c r="BG249" t="s">
        <v>154</v>
      </c>
      <c r="BH249" s="1">
        <v>44895.791666666664</v>
      </c>
      <c r="BI249">
        <v>40</v>
      </c>
      <c r="BJ249">
        <v>0</v>
      </c>
      <c r="BK249">
        <v>8</v>
      </c>
      <c r="BL249">
        <v>8</v>
      </c>
      <c r="BM249">
        <v>8</v>
      </c>
      <c r="BN249">
        <v>8</v>
      </c>
      <c r="BO249">
        <v>8</v>
      </c>
      <c r="BP249">
        <v>0</v>
      </c>
      <c r="BQ249" t="str">
        <f t="shared" si="16"/>
        <v>7:00 AM</v>
      </c>
      <c r="BR249" t="str">
        <f t="shared" si="14"/>
        <v>4:00 PM</v>
      </c>
      <c r="BS249" t="s">
        <v>133</v>
      </c>
      <c r="BT249">
        <v>0</v>
      </c>
      <c r="BU249">
        <v>0</v>
      </c>
      <c r="BV249" t="s">
        <v>134</v>
      </c>
      <c r="BX249" s="2" t="s">
        <v>482</v>
      </c>
      <c r="BY249" t="s">
        <v>14868</v>
      </c>
      <c r="CA249" t="s">
        <v>14869</v>
      </c>
      <c r="CB249" t="s">
        <v>154</v>
      </c>
      <c r="CC249" s="4" t="str">
        <f>"32134"</f>
        <v>32134</v>
      </c>
      <c r="CD249" t="s">
        <v>638</v>
      </c>
      <c r="CE249" t="s">
        <v>639</v>
      </c>
      <c r="CF249" s="6">
        <v>18.8</v>
      </c>
      <c r="CH249" s="6">
        <v>28.2</v>
      </c>
      <c r="CJ249" t="s">
        <v>137</v>
      </c>
      <c r="CK249" t="s">
        <v>487</v>
      </c>
      <c r="CL249" t="s">
        <v>14870</v>
      </c>
      <c r="CO249" t="s">
        <v>138</v>
      </c>
      <c r="CP249" t="s">
        <v>114</v>
      </c>
      <c r="CQ249" t="s">
        <v>114</v>
      </c>
      <c r="CR249" t="s">
        <v>114</v>
      </c>
      <c r="CS249" t="s">
        <v>114</v>
      </c>
      <c r="CT249" t="s">
        <v>114</v>
      </c>
      <c r="CU249" t="s">
        <v>114</v>
      </c>
      <c r="CV249" t="s">
        <v>6104</v>
      </c>
      <c r="CW249" s="5" t="str">
        <f>"N/A"</f>
        <v>N/A</v>
      </c>
      <c r="CX249" t="s">
        <v>1389</v>
      </c>
      <c r="CY249" t="s">
        <v>1274</v>
      </c>
      <c r="CZ249" t="s">
        <v>139</v>
      </c>
      <c r="DA249" t="s">
        <v>134</v>
      </c>
      <c r="DB249" t="s">
        <v>114</v>
      </c>
      <c r="DC249" t="s">
        <v>114</v>
      </c>
      <c r="DD249" t="s">
        <v>134</v>
      </c>
      <c r="DE249" t="s">
        <v>492</v>
      </c>
      <c r="DF249" t="s">
        <v>493</v>
      </c>
      <c r="DH249" t="s">
        <v>481</v>
      </c>
      <c r="DI249" t="s">
        <v>480</v>
      </c>
    </row>
    <row r="250" spans="1:113" ht="15" customHeight="1" x14ac:dyDescent="0.25">
      <c r="A250" t="s">
        <v>16112</v>
      </c>
      <c r="B250" t="s">
        <v>165</v>
      </c>
      <c r="C250" s="1">
        <v>44896.324601967593</v>
      </c>
      <c r="D250" s="1">
        <v>44922</v>
      </c>
      <c r="E250" t="s">
        <v>134</v>
      </c>
      <c r="F250" t="s">
        <v>467</v>
      </c>
      <c r="G250" t="str">
        <f>"37-3013.00"</f>
        <v>37-3013.00</v>
      </c>
      <c r="H250" t="s">
        <v>468</v>
      </c>
      <c r="I250">
        <v>12</v>
      </c>
      <c r="J250">
        <v>12</v>
      </c>
      <c r="K250" s="1">
        <v>44986</v>
      </c>
      <c r="L250" s="1">
        <v>45234</v>
      </c>
      <c r="M250" s="1">
        <v>44986</v>
      </c>
      <c r="N250" s="1">
        <v>45234</v>
      </c>
      <c r="O250" t="s">
        <v>117</v>
      </c>
      <c r="P250" t="s">
        <v>16113</v>
      </c>
      <c r="R250" t="s">
        <v>470</v>
      </c>
      <c r="T250" t="s">
        <v>471</v>
      </c>
      <c r="U250" t="s">
        <v>232</v>
      </c>
      <c r="V250" s="4" t="str">
        <f>"77598"</f>
        <v>77598</v>
      </c>
      <c r="W250" t="s">
        <v>120</v>
      </c>
      <c r="Y250" s="5">
        <v>12812801100</v>
      </c>
      <c r="AA250">
        <v>56173</v>
      </c>
      <c r="AB250" t="s">
        <v>472</v>
      </c>
      <c r="AC250" t="s">
        <v>473</v>
      </c>
      <c r="AE250" t="s">
        <v>474</v>
      </c>
      <c r="AF250" t="s">
        <v>470</v>
      </c>
      <c r="AH250" t="s">
        <v>471</v>
      </c>
      <c r="AI250" t="s">
        <v>232</v>
      </c>
      <c r="AJ250" s="4" t="str">
        <f>"77598"</f>
        <v>77598</v>
      </c>
      <c r="AK250" t="s">
        <v>120</v>
      </c>
      <c r="AM250" s="5">
        <v>12812801100</v>
      </c>
      <c r="AO250" t="s">
        <v>1385</v>
      </c>
      <c r="AP250" t="s">
        <v>256</v>
      </c>
      <c r="AQ250" t="s">
        <v>475</v>
      </c>
      <c r="AR250" t="s">
        <v>476</v>
      </c>
      <c r="AT250" t="s">
        <v>477</v>
      </c>
      <c r="AV250" t="s">
        <v>478</v>
      </c>
      <c r="AW250" t="s">
        <v>479</v>
      </c>
      <c r="AX250" s="4" t="str">
        <f t="shared" si="15"/>
        <v>22903</v>
      </c>
      <c r="AY250" t="s">
        <v>120</v>
      </c>
      <c r="BA250" s="5">
        <v>14342634300</v>
      </c>
      <c r="BC250" t="s">
        <v>480</v>
      </c>
      <c r="BD250" t="s">
        <v>481</v>
      </c>
      <c r="BG250" t="s">
        <v>232</v>
      </c>
      <c r="BH250" s="1">
        <v>45260.791666666664</v>
      </c>
      <c r="BI250">
        <v>40</v>
      </c>
      <c r="BJ250">
        <v>0</v>
      </c>
      <c r="BK250">
        <v>8</v>
      </c>
      <c r="BL250">
        <v>8</v>
      </c>
      <c r="BM250">
        <v>8</v>
      </c>
      <c r="BN250">
        <v>8</v>
      </c>
      <c r="BO250">
        <v>8</v>
      </c>
      <c r="BP250">
        <v>0</v>
      </c>
      <c r="BQ250" t="str">
        <f t="shared" si="16"/>
        <v>7:00 AM</v>
      </c>
      <c r="BR250" t="str">
        <f t="shared" si="14"/>
        <v>4:00 PM</v>
      </c>
      <c r="BS250" t="s">
        <v>133</v>
      </c>
      <c r="BT250">
        <v>0</v>
      </c>
      <c r="BU250">
        <v>0</v>
      </c>
      <c r="BV250" t="s">
        <v>134</v>
      </c>
      <c r="BX250" s="2" t="s">
        <v>482</v>
      </c>
      <c r="BY250" t="s">
        <v>16114</v>
      </c>
      <c r="CA250" t="s">
        <v>2069</v>
      </c>
      <c r="CB250" t="s">
        <v>232</v>
      </c>
      <c r="CC250" s="4" t="str">
        <f>"77303"</f>
        <v>77303</v>
      </c>
      <c r="CD250" t="s">
        <v>2071</v>
      </c>
      <c r="CE250" t="s">
        <v>1528</v>
      </c>
      <c r="CF250" s="6">
        <v>16.03</v>
      </c>
      <c r="CH250" s="6">
        <v>24.05</v>
      </c>
      <c r="CJ250" t="s">
        <v>137</v>
      </c>
      <c r="CK250" t="s">
        <v>487</v>
      </c>
      <c r="CL250" t="s">
        <v>16115</v>
      </c>
      <c r="CO250" t="s">
        <v>138</v>
      </c>
      <c r="CP250" t="s">
        <v>114</v>
      </c>
      <c r="CQ250" t="s">
        <v>114</v>
      </c>
      <c r="CR250" t="s">
        <v>114</v>
      </c>
      <c r="CS250" t="s">
        <v>114</v>
      </c>
      <c r="CT250" t="s">
        <v>114</v>
      </c>
      <c r="CU250" t="s">
        <v>114</v>
      </c>
      <c r="CV250" t="s">
        <v>6104</v>
      </c>
      <c r="CW250" s="5" t="str">
        <f>"N/A"</f>
        <v>N/A</v>
      </c>
      <c r="CX250" t="s">
        <v>1389</v>
      </c>
      <c r="CY250" t="s">
        <v>953</v>
      </c>
      <c r="CZ250" t="s">
        <v>139</v>
      </c>
      <c r="DA250" t="s">
        <v>134</v>
      </c>
      <c r="DB250" t="s">
        <v>114</v>
      </c>
      <c r="DC250" t="s">
        <v>114</v>
      </c>
      <c r="DD250" t="s">
        <v>134</v>
      </c>
      <c r="DE250" t="s">
        <v>492</v>
      </c>
      <c r="DF250" t="s">
        <v>493</v>
      </c>
      <c r="DH250" t="s">
        <v>481</v>
      </c>
      <c r="DI250" t="s">
        <v>480</v>
      </c>
    </row>
    <row r="251" spans="1:113" ht="15" customHeight="1" x14ac:dyDescent="0.25">
      <c r="A251" t="s">
        <v>9993</v>
      </c>
      <c r="B251" t="s">
        <v>165</v>
      </c>
      <c r="C251" s="1">
        <v>44896.324189930558</v>
      </c>
      <c r="D251" s="1">
        <v>44922</v>
      </c>
      <c r="E251" t="s">
        <v>134</v>
      </c>
      <c r="F251" t="s">
        <v>1552</v>
      </c>
      <c r="G251" t="str">
        <f t="shared" ref="G251:G256" si="17">"37-3011.00"</f>
        <v>37-3011.00</v>
      </c>
      <c r="H251" t="s">
        <v>335</v>
      </c>
      <c r="I251">
        <v>6</v>
      </c>
      <c r="J251">
        <v>6</v>
      </c>
      <c r="K251" s="1">
        <v>44986</v>
      </c>
      <c r="L251" s="1">
        <v>45234</v>
      </c>
      <c r="M251" s="1">
        <v>44986</v>
      </c>
      <c r="N251" s="1">
        <v>45234</v>
      </c>
      <c r="O251" t="s">
        <v>117</v>
      </c>
      <c r="P251" t="s">
        <v>9994</v>
      </c>
      <c r="R251" t="s">
        <v>470</v>
      </c>
      <c r="T251" t="s">
        <v>471</v>
      </c>
      <c r="U251" t="s">
        <v>232</v>
      </c>
      <c r="V251" s="4" t="str">
        <f>"77598"</f>
        <v>77598</v>
      </c>
      <c r="W251" t="s">
        <v>120</v>
      </c>
      <c r="Y251" s="5">
        <v>12812801100</v>
      </c>
      <c r="AA251">
        <v>56173</v>
      </c>
      <c r="AB251" t="s">
        <v>472</v>
      </c>
      <c r="AC251" t="s">
        <v>473</v>
      </c>
      <c r="AE251" t="s">
        <v>474</v>
      </c>
      <c r="AF251" t="s">
        <v>470</v>
      </c>
      <c r="AH251" t="s">
        <v>471</v>
      </c>
      <c r="AI251" t="s">
        <v>232</v>
      </c>
      <c r="AJ251" s="4" t="str">
        <f>"77598"</f>
        <v>77598</v>
      </c>
      <c r="AK251" t="s">
        <v>120</v>
      </c>
      <c r="AM251" s="5">
        <v>12812801100</v>
      </c>
      <c r="AO251" t="s">
        <v>1385</v>
      </c>
      <c r="AP251" t="s">
        <v>256</v>
      </c>
      <c r="AQ251" t="s">
        <v>475</v>
      </c>
      <c r="AR251" t="s">
        <v>476</v>
      </c>
      <c r="AT251" t="s">
        <v>477</v>
      </c>
      <c r="AV251" t="s">
        <v>478</v>
      </c>
      <c r="AW251" t="s">
        <v>479</v>
      </c>
      <c r="AX251" s="4" t="str">
        <f t="shared" si="15"/>
        <v>22903</v>
      </c>
      <c r="AY251" t="s">
        <v>120</v>
      </c>
      <c r="BA251" s="5">
        <v>14342634300</v>
      </c>
      <c r="BC251" t="s">
        <v>480</v>
      </c>
      <c r="BD251" t="s">
        <v>481</v>
      </c>
      <c r="BG251" t="s">
        <v>232</v>
      </c>
      <c r="BH251" s="1">
        <v>44895.791666666664</v>
      </c>
      <c r="BI251">
        <v>40</v>
      </c>
      <c r="BJ251">
        <v>0</v>
      </c>
      <c r="BK251">
        <v>8</v>
      </c>
      <c r="BL251">
        <v>8</v>
      </c>
      <c r="BM251">
        <v>8</v>
      </c>
      <c r="BN251">
        <v>8</v>
      </c>
      <c r="BO251">
        <v>8</v>
      </c>
      <c r="BP251">
        <v>0</v>
      </c>
      <c r="BQ251" t="str">
        <f t="shared" si="16"/>
        <v>7:00 AM</v>
      </c>
      <c r="BR251" t="str">
        <f t="shared" si="14"/>
        <v>4:00 PM</v>
      </c>
      <c r="BS251" t="s">
        <v>133</v>
      </c>
      <c r="BT251">
        <v>0</v>
      </c>
      <c r="BU251">
        <v>0</v>
      </c>
      <c r="BV251" t="s">
        <v>134</v>
      </c>
      <c r="BX251" s="2" t="s">
        <v>9995</v>
      </c>
      <c r="BY251" t="s">
        <v>9996</v>
      </c>
      <c r="CA251" t="s">
        <v>3227</v>
      </c>
      <c r="CB251" t="s">
        <v>232</v>
      </c>
      <c r="CC251" s="4" t="str">
        <f>"78380"</f>
        <v>78380</v>
      </c>
      <c r="CD251" t="s">
        <v>3231</v>
      </c>
      <c r="CE251" t="s">
        <v>327</v>
      </c>
      <c r="CF251" s="6">
        <v>14.59</v>
      </c>
      <c r="CH251" s="6">
        <v>21.89</v>
      </c>
      <c r="CJ251" t="s">
        <v>137</v>
      </c>
      <c r="CK251" t="s">
        <v>487</v>
      </c>
      <c r="CL251" t="s">
        <v>9997</v>
      </c>
      <c r="CO251" t="s">
        <v>138</v>
      </c>
      <c r="CP251" t="s">
        <v>114</v>
      </c>
      <c r="CQ251" t="s">
        <v>114</v>
      </c>
      <c r="CR251" t="s">
        <v>114</v>
      </c>
      <c r="CS251" t="s">
        <v>114</v>
      </c>
      <c r="CT251" t="s">
        <v>114</v>
      </c>
      <c r="CU251" t="s">
        <v>114</v>
      </c>
      <c r="CV251" t="s">
        <v>6104</v>
      </c>
      <c r="CW251" s="5" t="str">
        <f>"N/A"</f>
        <v>N/A</v>
      </c>
      <c r="CX251" t="s">
        <v>1389</v>
      </c>
      <c r="CY251" t="s">
        <v>953</v>
      </c>
      <c r="CZ251" t="s">
        <v>139</v>
      </c>
      <c r="DA251" t="s">
        <v>134</v>
      </c>
      <c r="DB251" t="s">
        <v>114</v>
      </c>
      <c r="DC251" t="s">
        <v>114</v>
      </c>
      <c r="DD251" t="s">
        <v>134</v>
      </c>
      <c r="DE251" t="s">
        <v>492</v>
      </c>
      <c r="DF251" t="s">
        <v>493</v>
      </c>
      <c r="DH251" t="s">
        <v>481</v>
      </c>
      <c r="DI251" t="s">
        <v>480</v>
      </c>
    </row>
    <row r="252" spans="1:113" ht="15" customHeight="1" x14ac:dyDescent="0.25">
      <c r="A252" t="s">
        <v>7009</v>
      </c>
      <c r="B252" t="s">
        <v>165</v>
      </c>
      <c r="C252" s="1">
        <v>44896.319371296297</v>
      </c>
      <c r="D252" s="1">
        <v>44922</v>
      </c>
      <c r="E252" t="s">
        <v>134</v>
      </c>
      <c r="F252" t="s">
        <v>334</v>
      </c>
      <c r="G252" t="str">
        <f t="shared" si="17"/>
        <v>37-3011.00</v>
      </c>
      <c r="H252" t="s">
        <v>335</v>
      </c>
      <c r="I252">
        <v>6</v>
      </c>
      <c r="J252">
        <v>6</v>
      </c>
      <c r="K252" s="1">
        <v>44986</v>
      </c>
      <c r="L252" s="1">
        <v>45260</v>
      </c>
      <c r="M252" s="1">
        <v>44986</v>
      </c>
      <c r="N252" s="1">
        <v>45260</v>
      </c>
      <c r="O252" t="s">
        <v>199</v>
      </c>
      <c r="P252" t="s">
        <v>7010</v>
      </c>
      <c r="R252" t="s">
        <v>7011</v>
      </c>
      <c r="T252" t="s">
        <v>7012</v>
      </c>
      <c r="U252" t="s">
        <v>1003</v>
      </c>
      <c r="V252" s="4" t="str">
        <f>"07728"</f>
        <v>07728</v>
      </c>
      <c r="W252" t="s">
        <v>120</v>
      </c>
      <c r="Y252" s="5">
        <v>17329384538</v>
      </c>
      <c r="AA252">
        <v>56173</v>
      </c>
      <c r="AB252" t="s">
        <v>7013</v>
      </c>
      <c r="AC252" t="s">
        <v>7014</v>
      </c>
      <c r="AE252" t="s">
        <v>342</v>
      </c>
      <c r="AF252" t="s">
        <v>7011</v>
      </c>
      <c r="AH252" t="s">
        <v>7012</v>
      </c>
      <c r="AI252" t="s">
        <v>1003</v>
      </c>
      <c r="AJ252" s="4" t="str">
        <f>"07728"</f>
        <v>07728</v>
      </c>
      <c r="AK252" t="s">
        <v>120</v>
      </c>
      <c r="AM252" s="5">
        <v>17329384538</v>
      </c>
      <c r="AO252" t="s">
        <v>7015</v>
      </c>
      <c r="AP252" t="s">
        <v>256</v>
      </c>
      <c r="AQ252" t="s">
        <v>2115</v>
      </c>
      <c r="AR252" t="s">
        <v>2116</v>
      </c>
      <c r="AT252" t="s">
        <v>1930</v>
      </c>
      <c r="AU252" t="s">
        <v>1931</v>
      </c>
      <c r="AV252" t="s">
        <v>1932</v>
      </c>
      <c r="AW252" t="s">
        <v>349</v>
      </c>
      <c r="AX252" s="4" t="str">
        <f>"83814"</f>
        <v>83814</v>
      </c>
      <c r="AY252" t="s">
        <v>120</v>
      </c>
      <c r="BA252" s="5">
        <v>12087772654</v>
      </c>
      <c r="BC252" t="s">
        <v>2117</v>
      </c>
      <c r="BD252" t="s">
        <v>351</v>
      </c>
      <c r="BG252" t="s">
        <v>1003</v>
      </c>
      <c r="BH252" s="1">
        <v>44874.791666666664</v>
      </c>
      <c r="BI252">
        <v>40</v>
      </c>
      <c r="BJ252">
        <v>0</v>
      </c>
      <c r="BK252">
        <v>8</v>
      </c>
      <c r="BL252">
        <v>8</v>
      </c>
      <c r="BM252">
        <v>8</v>
      </c>
      <c r="BN252">
        <v>8</v>
      </c>
      <c r="BO252">
        <v>8</v>
      </c>
      <c r="BP252">
        <v>0</v>
      </c>
      <c r="BQ252" t="str">
        <f t="shared" si="16"/>
        <v>7:00 AM</v>
      </c>
      <c r="BR252" t="str">
        <f t="shared" si="14"/>
        <v>4:00 PM</v>
      </c>
      <c r="BS252" t="s">
        <v>133</v>
      </c>
      <c r="BT252">
        <v>0</v>
      </c>
      <c r="BU252">
        <v>0</v>
      </c>
      <c r="BV252" t="s">
        <v>134</v>
      </c>
      <c r="BX252" s="2" t="s">
        <v>2209</v>
      </c>
      <c r="BY252" t="s">
        <v>7016</v>
      </c>
      <c r="CA252" t="s">
        <v>7012</v>
      </c>
      <c r="CB252" t="s">
        <v>1003</v>
      </c>
      <c r="CC252" s="4" t="str">
        <f>"07728"</f>
        <v>07728</v>
      </c>
      <c r="CD252" t="s">
        <v>1355</v>
      </c>
      <c r="CE252" t="s">
        <v>1009</v>
      </c>
      <c r="CF252" s="6">
        <v>19.940000000000001</v>
      </c>
      <c r="CG252" s="6">
        <v>25</v>
      </c>
      <c r="CH252" s="6">
        <v>29.91</v>
      </c>
      <c r="CI252" s="6">
        <v>37.5</v>
      </c>
      <c r="CJ252" t="s">
        <v>137</v>
      </c>
      <c r="CK252" t="s">
        <v>356</v>
      </c>
      <c r="CL252" t="s">
        <v>7017</v>
      </c>
      <c r="CO252" t="s">
        <v>138</v>
      </c>
      <c r="CP252" t="s">
        <v>114</v>
      </c>
      <c r="CQ252" t="s">
        <v>114</v>
      </c>
      <c r="CR252" t="s">
        <v>114</v>
      </c>
      <c r="CS252" t="s">
        <v>114</v>
      </c>
      <c r="CT252" t="s">
        <v>114</v>
      </c>
      <c r="CU252" t="s">
        <v>134</v>
      </c>
      <c r="CV252" t="s">
        <v>358</v>
      </c>
      <c r="CW252" s="5" t="str">
        <f>"+17329384538"</f>
        <v>+17329384538</v>
      </c>
      <c r="CX252" t="s">
        <v>7015</v>
      </c>
      <c r="CY252" t="s">
        <v>138</v>
      </c>
      <c r="CZ252" t="s">
        <v>139</v>
      </c>
      <c r="DA252" t="s">
        <v>134</v>
      </c>
      <c r="DB252" t="s">
        <v>134</v>
      </c>
      <c r="DC252" t="s">
        <v>114</v>
      </c>
      <c r="DD252" t="s">
        <v>134</v>
      </c>
    </row>
    <row r="253" spans="1:113" ht="15" customHeight="1" x14ac:dyDescent="0.25">
      <c r="A253" t="s">
        <v>8988</v>
      </c>
      <c r="B253" t="s">
        <v>165</v>
      </c>
      <c r="C253" s="1">
        <v>44896.083340625002</v>
      </c>
      <c r="D253" s="1">
        <v>44922</v>
      </c>
      <c r="E253" t="s">
        <v>134</v>
      </c>
      <c r="F253" t="s">
        <v>1034</v>
      </c>
      <c r="G253" t="str">
        <f t="shared" si="17"/>
        <v>37-3011.00</v>
      </c>
      <c r="H253" t="s">
        <v>335</v>
      </c>
      <c r="I253">
        <v>22</v>
      </c>
      <c r="J253">
        <v>22</v>
      </c>
      <c r="K253" s="1">
        <v>44986</v>
      </c>
      <c r="L253" s="1">
        <v>45261</v>
      </c>
      <c r="M253" s="1">
        <v>44986</v>
      </c>
      <c r="N253" s="1">
        <v>45261</v>
      </c>
      <c r="O253" t="s">
        <v>117</v>
      </c>
      <c r="P253" t="s">
        <v>8989</v>
      </c>
      <c r="R253" t="s">
        <v>8990</v>
      </c>
      <c r="T253" t="s">
        <v>4247</v>
      </c>
      <c r="U253" t="s">
        <v>232</v>
      </c>
      <c r="V253" s="4" t="str">
        <f>"76227"</f>
        <v>76227</v>
      </c>
      <c r="W253" t="s">
        <v>120</v>
      </c>
      <c r="Y253" s="5">
        <v>12146189273</v>
      </c>
      <c r="AA253">
        <v>56173</v>
      </c>
      <c r="AB253" t="s">
        <v>8991</v>
      </c>
      <c r="AC253" t="s">
        <v>975</v>
      </c>
      <c r="AD253" t="s">
        <v>2149</v>
      </c>
      <c r="AE253" t="s">
        <v>342</v>
      </c>
      <c r="AF253" t="s">
        <v>8990</v>
      </c>
      <c r="AH253" t="s">
        <v>4247</v>
      </c>
      <c r="AI253" t="s">
        <v>232</v>
      </c>
      <c r="AJ253" s="4" t="str">
        <f>"76277"</f>
        <v>76277</v>
      </c>
      <c r="AK253" t="s">
        <v>120</v>
      </c>
      <c r="AM253" s="5">
        <v>12146189273</v>
      </c>
      <c r="AO253" t="s">
        <v>8992</v>
      </c>
      <c r="AP253" t="s">
        <v>256</v>
      </c>
      <c r="AQ253" t="s">
        <v>885</v>
      </c>
      <c r="AR253" t="s">
        <v>886</v>
      </c>
      <c r="AT253" t="s">
        <v>887</v>
      </c>
      <c r="AV253" t="s">
        <v>888</v>
      </c>
      <c r="AW253" t="s">
        <v>232</v>
      </c>
      <c r="AX253" s="4" t="str">
        <f>"75098"</f>
        <v>75098</v>
      </c>
      <c r="AY253" t="s">
        <v>120</v>
      </c>
      <c r="BA253" s="5">
        <v>19724424244</v>
      </c>
      <c r="BC253" t="s">
        <v>889</v>
      </c>
      <c r="BD253" t="s">
        <v>1264</v>
      </c>
      <c r="BG253" t="s">
        <v>232</v>
      </c>
      <c r="BH253" s="1">
        <v>44895.791666666664</v>
      </c>
      <c r="BI253">
        <v>40</v>
      </c>
      <c r="BJ253">
        <v>0</v>
      </c>
      <c r="BK253">
        <v>8</v>
      </c>
      <c r="BL253">
        <v>8</v>
      </c>
      <c r="BM253">
        <v>8</v>
      </c>
      <c r="BN253">
        <v>8</v>
      </c>
      <c r="BO253">
        <v>8</v>
      </c>
      <c r="BP253">
        <v>0</v>
      </c>
      <c r="BQ253" t="str">
        <f>"7:30 AM"</f>
        <v>7:30 AM</v>
      </c>
      <c r="BR253" t="str">
        <f>"3:30 PM"</f>
        <v>3:30 PM</v>
      </c>
      <c r="BS253" t="s">
        <v>133</v>
      </c>
      <c r="BT253">
        <v>0</v>
      </c>
      <c r="BU253">
        <v>0</v>
      </c>
      <c r="BV253" t="s">
        <v>134</v>
      </c>
      <c r="BX253" s="2" t="s">
        <v>2039</v>
      </c>
      <c r="BY253" t="s">
        <v>8990</v>
      </c>
      <c r="CA253" t="s">
        <v>4247</v>
      </c>
      <c r="CB253" t="s">
        <v>232</v>
      </c>
      <c r="CC253" s="4" t="str">
        <f>"76227"</f>
        <v>76227</v>
      </c>
      <c r="CD253" t="s">
        <v>2071</v>
      </c>
      <c r="CE253" t="s">
        <v>1528</v>
      </c>
      <c r="CF253" s="6">
        <v>16.3</v>
      </c>
      <c r="CG253" s="6">
        <v>18.5</v>
      </c>
      <c r="CH253" s="6">
        <v>24.45</v>
      </c>
      <c r="CI253" s="6">
        <v>27.75</v>
      </c>
      <c r="CJ253" t="s">
        <v>137</v>
      </c>
      <c r="CL253" t="s">
        <v>8993</v>
      </c>
      <c r="CO253" t="s">
        <v>138</v>
      </c>
      <c r="CP253" t="s">
        <v>114</v>
      </c>
      <c r="CQ253" t="s">
        <v>114</v>
      </c>
      <c r="CR253" t="s">
        <v>114</v>
      </c>
      <c r="CS253" t="s">
        <v>114</v>
      </c>
      <c r="CT253" t="s">
        <v>114</v>
      </c>
      <c r="CU253" t="s">
        <v>114</v>
      </c>
      <c r="CV253" t="s">
        <v>8994</v>
      </c>
      <c r="CW253" s="5" t="str">
        <f>"+12146189273"</f>
        <v>+12146189273</v>
      </c>
      <c r="CX253" t="s">
        <v>138</v>
      </c>
      <c r="CY253" t="s">
        <v>2072</v>
      </c>
      <c r="CZ253" t="s">
        <v>139</v>
      </c>
      <c r="DA253" t="s">
        <v>134</v>
      </c>
      <c r="DB253" t="s">
        <v>134</v>
      </c>
      <c r="DC253" t="s">
        <v>114</v>
      </c>
      <c r="DD253" t="s">
        <v>134</v>
      </c>
    </row>
    <row r="254" spans="1:113" ht="15" customHeight="1" x14ac:dyDescent="0.25">
      <c r="A254" t="s">
        <v>16153</v>
      </c>
      <c r="B254" t="s">
        <v>165</v>
      </c>
      <c r="C254" s="1">
        <v>44896.065031134262</v>
      </c>
      <c r="D254" s="1">
        <v>44922</v>
      </c>
      <c r="E254" t="s">
        <v>134</v>
      </c>
      <c r="F254" t="s">
        <v>1296</v>
      </c>
      <c r="G254" t="str">
        <f t="shared" si="17"/>
        <v>37-3011.00</v>
      </c>
      <c r="H254" t="s">
        <v>335</v>
      </c>
      <c r="I254">
        <v>15</v>
      </c>
      <c r="J254">
        <v>15</v>
      </c>
      <c r="K254" s="1">
        <v>44986</v>
      </c>
      <c r="L254" s="1">
        <v>45255</v>
      </c>
      <c r="M254" s="1">
        <v>44986</v>
      </c>
      <c r="N254" s="1">
        <v>45255</v>
      </c>
      <c r="O254" t="s">
        <v>117</v>
      </c>
      <c r="P254" t="s">
        <v>16154</v>
      </c>
      <c r="Q254" t="s">
        <v>16155</v>
      </c>
      <c r="R254" t="s">
        <v>16156</v>
      </c>
      <c r="T254" t="s">
        <v>13318</v>
      </c>
      <c r="U254" t="s">
        <v>232</v>
      </c>
      <c r="V254" s="4" t="str">
        <f>"76226"</f>
        <v>76226</v>
      </c>
      <c r="W254" t="s">
        <v>120</v>
      </c>
      <c r="Y254" s="5">
        <v>19403213081</v>
      </c>
      <c r="AA254">
        <v>56173</v>
      </c>
      <c r="AB254" t="s">
        <v>1578</v>
      </c>
      <c r="AC254" t="s">
        <v>7975</v>
      </c>
      <c r="AE254" t="s">
        <v>1710</v>
      </c>
      <c r="AF254" t="s">
        <v>16157</v>
      </c>
      <c r="AH254" t="s">
        <v>13318</v>
      </c>
      <c r="AI254" t="s">
        <v>232</v>
      </c>
      <c r="AJ254" s="4" t="str">
        <f>"76226"</f>
        <v>76226</v>
      </c>
      <c r="AK254" t="s">
        <v>120</v>
      </c>
      <c r="AM254" s="5">
        <v>19403213081</v>
      </c>
      <c r="AO254" t="s">
        <v>16158</v>
      </c>
      <c r="AP254" t="s">
        <v>256</v>
      </c>
      <c r="AQ254" t="s">
        <v>885</v>
      </c>
      <c r="AR254" t="s">
        <v>886</v>
      </c>
      <c r="AT254" t="s">
        <v>887</v>
      </c>
      <c r="AV254" t="s">
        <v>888</v>
      </c>
      <c r="AW254" t="s">
        <v>232</v>
      </c>
      <c r="AX254" s="4" t="str">
        <f>"75098"</f>
        <v>75098</v>
      </c>
      <c r="AY254" t="s">
        <v>120</v>
      </c>
      <c r="BA254" s="5">
        <v>19724424244</v>
      </c>
      <c r="BC254" t="s">
        <v>889</v>
      </c>
      <c r="BD254" t="s">
        <v>1264</v>
      </c>
      <c r="BG254" t="s">
        <v>232</v>
      </c>
      <c r="BH254" s="1">
        <v>44895.791666666664</v>
      </c>
      <c r="BI254">
        <v>40</v>
      </c>
      <c r="BJ254">
        <v>0</v>
      </c>
      <c r="BK254">
        <v>8</v>
      </c>
      <c r="BL254">
        <v>8</v>
      </c>
      <c r="BM254">
        <v>8</v>
      </c>
      <c r="BN254">
        <v>8</v>
      </c>
      <c r="BO254">
        <v>8</v>
      </c>
      <c r="BP254">
        <v>0</v>
      </c>
      <c r="BQ254" t="str">
        <f>"7:00 AM"</f>
        <v>7:00 AM</v>
      </c>
      <c r="BR254" t="str">
        <f>"7:00 PM"</f>
        <v>7:00 PM</v>
      </c>
      <c r="BS254" t="s">
        <v>133</v>
      </c>
      <c r="BT254">
        <v>0</v>
      </c>
      <c r="BU254">
        <v>0</v>
      </c>
      <c r="BV254" t="s">
        <v>134</v>
      </c>
      <c r="BX254" t="s">
        <v>219</v>
      </c>
      <c r="BY254" t="s">
        <v>16156</v>
      </c>
      <c r="CA254" t="s">
        <v>13318</v>
      </c>
      <c r="CB254" t="s">
        <v>232</v>
      </c>
      <c r="CC254" s="4" t="str">
        <f>"76226"</f>
        <v>76226</v>
      </c>
      <c r="CD254" t="s">
        <v>2071</v>
      </c>
      <c r="CE254" t="s">
        <v>1528</v>
      </c>
      <c r="CF254" s="6">
        <v>16.3</v>
      </c>
      <c r="CG254" s="6">
        <v>18.5</v>
      </c>
      <c r="CH254" s="6">
        <v>24.45</v>
      </c>
      <c r="CI254" s="6">
        <v>27.75</v>
      </c>
      <c r="CJ254" t="s">
        <v>137</v>
      </c>
      <c r="CL254" t="s">
        <v>16159</v>
      </c>
      <c r="CO254" t="s">
        <v>138</v>
      </c>
      <c r="CP254" t="s">
        <v>114</v>
      </c>
      <c r="CQ254" t="s">
        <v>114</v>
      </c>
      <c r="CR254" t="s">
        <v>114</v>
      </c>
      <c r="CS254" t="s">
        <v>114</v>
      </c>
      <c r="CT254" t="s">
        <v>114</v>
      </c>
      <c r="CU254" t="s">
        <v>114</v>
      </c>
      <c r="CV254" t="s">
        <v>11751</v>
      </c>
      <c r="CW254" s="5" t="str">
        <f>"+19403213081"</f>
        <v>+19403213081</v>
      </c>
      <c r="CX254" t="s">
        <v>138</v>
      </c>
      <c r="CY254" t="s">
        <v>2072</v>
      </c>
      <c r="CZ254" t="s">
        <v>139</v>
      </c>
      <c r="DA254" t="s">
        <v>134</v>
      </c>
      <c r="DB254" t="s">
        <v>134</v>
      </c>
      <c r="DC254" t="s">
        <v>114</v>
      </c>
      <c r="DD254" t="s">
        <v>134</v>
      </c>
    </row>
    <row r="255" spans="1:113" ht="15" customHeight="1" x14ac:dyDescent="0.25">
      <c r="A255" t="s">
        <v>15584</v>
      </c>
      <c r="B255" t="s">
        <v>165</v>
      </c>
      <c r="C255" s="1">
        <v>44896.056486574074</v>
      </c>
      <c r="D255" s="1">
        <v>44922</v>
      </c>
      <c r="E255" t="s">
        <v>134</v>
      </c>
      <c r="F255" t="s">
        <v>334</v>
      </c>
      <c r="G255" t="str">
        <f t="shared" si="17"/>
        <v>37-3011.00</v>
      </c>
      <c r="H255" t="s">
        <v>335</v>
      </c>
      <c r="I255">
        <v>30</v>
      </c>
      <c r="J255">
        <v>30</v>
      </c>
      <c r="K255" s="1">
        <v>44986</v>
      </c>
      <c r="L255" s="1">
        <v>45260</v>
      </c>
      <c r="M255" s="1">
        <v>44986</v>
      </c>
      <c r="N255" s="1">
        <v>45260</v>
      </c>
      <c r="O255" t="s">
        <v>117</v>
      </c>
      <c r="P255" t="s">
        <v>15585</v>
      </c>
      <c r="R255" t="s">
        <v>15586</v>
      </c>
      <c r="T255" t="s">
        <v>1525</v>
      </c>
      <c r="U255" t="s">
        <v>232</v>
      </c>
      <c r="V255" s="4" t="str">
        <f>"75229"</f>
        <v>75229</v>
      </c>
      <c r="W255" t="s">
        <v>120</v>
      </c>
      <c r="Y255" s="5">
        <v>19726209560</v>
      </c>
      <c r="AA255">
        <v>56173</v>
      </c>
      <c r="AB255" t="s">
        <v>15587</v>
      </c>
      <c r="AC255" t="s">
        <v>4590</v>
      </c>
      <c r="AE255" t="s">
        <v>342</v>
      </c>
      <c r="AF255" t="s">
        <v>15586</v>
      </c>
      <c r="AH255" t="s">
        <v>1525</v>
      </c>
      <c r="AI255" t="s">
        <v>232</v>
      </c>
      <c r="AJ255" s="4" t="str">
        <f>"75229"</f>
        <v>75229</v>
      </c>
      <c r="AK255" t="s">
        <v>120</v>
      </c>
      <c r="AM255" s="5">
        <v>19726209560</v>
      </c>
      <c r="AO255" t="s">
        <v>15588</v>
      </c>
      <c r="AP255" t="s">
        <v>256</v>
      </c>
      <c r="AQ255" t="s">
        <v>885</v>
      </c>
      <c r="AR255" t="s">
        <v>886</v>
      </c>
      <c r="AT255" t="s">
        <v>887</v>
      </c>
      <c r="AV255" t="s">
        <v>888</v>
      </c>
      <c r="AW255" t="s">
        <v>232</v>
      </c>
      <c r="AX255" s="4" t="str">
        <f>"75098"</f>
        <v>75098</v>
      </c>
      <c r="AY255" t="s">
        <v>120</v>
      </c>
      <c r="BA255" s="5">
        <v>19724424244</v>
      </c>
      <c r="BC255" t="s">
        <v>889</v>
      </c>
      <c r="BD255" t="s">
        <v>1264</v>
      </c>
      <c r="BG255" t="s">
        <v>232</v>
      </c>
      <c r="BH255" s="1">
        <v>44895.791666666664</v>
      </c>
      <c r="BI255">
        <v>40</v>
      </c>
      <c r="BJ255">
        <v>0</v>
      </c>
      <c r="BK255">
        <v>8</v>
      </c>
      <c r="BL255">
        <v>8</v>
      </c>
      <c r="BM255">
        <v>8</v>
      </c>
      <c r="BN255">
        <v>8</v>
      </c>
      <c r="BO255">
        <v>8</v>
      </c>
      <c r="BP255">
        <v>0</v>
      </c>
      <c r="BQ255" t="str">
        <f>"6:30 AM"</f>
        <v>6:30 AM</v>
      </c>
      <c r="BR255" t="str">
        <f>"3:30 PM"</f>
        <v>3:30 PM</v>
      </c>
      <c r="BS255" t="s">
        <v>133</v>
      </c>
      <c r="BT255">
        <v>0</v>
      </c>
      <c r="BU255">
        <v>0</v>
      </c>
      <c r="BV255" t="s">
        <v>134</v>
      </c>
      <c r="BX255" t="s">
        <v>219</v>
      </c>
      <c r="BY255" t="s">
        <v>15586</v>
      </c>
      <c r="CA255" t="s">
        <v>1525</v>
      </c>
      <c r="CB255" t="s">
        <v>232</v>
      </c>
      <c r="CC255" s="4" t="str">
        <f>"75229"</f>
        <v>75229</v>
      </c>
      <c r="CD255" t="s">
        <v>1482</v>
      </c>
      <c r="CE255" t="s">
        <v>1528</v>
      </c>
      <c r="CF255" s="6">
        <v>16.3</v>
      </c>
      <c r="CG255" s="6">
        <v>18.5</v>
      </c>
      <c r="CH255" s="6">
        <v>24.45</v>
      </c>
      <c r="CI255" s="6">
        <v>27.75</v>
      </c>
      <c r="CJ255" t="s">
        <v>137</v>
      </c>
      <c r="CL255" t="s">
        <v>15589</v>
      </c>
      <c r="CO255" t="s">
        <v>138</v>
      </c>
      <c r="CP255" t="s">
        <v>114</v>
      </c>
      <c r="CQ255" t="s">
        <v>114</v>
      </c>
      <c r="CR255" t="s">
        <v>114</v>
      </c>
      <c r="CS255" t="s">
        <v>114</v>
      </c>
      <c r="CT255" t="s">
        <v>114</v>
      </c>
      <c r="CU255" t="s">
        <v>114</v>
      </c>
      <c r="CV255" t="s">
        <v>15590</v>
      </c>
      <c r="CW255" s="5" t="str">
        <f>"+19726209560"</f>
        <v>+19726209560</v>
      </c>
      <c r="CX255" t="s">
        <v>138</v>
      </c>
      <c r="CY255" t="s">
        <v>2072</v>
      </c>
      <c r="CZ255" t="s">
        <v>139</v>
      </c>
      <c r="DA255" t="s">
        <v>134</v>
      </c>
      <c r="DB255" t="s">
        <v>134</v>
      </c>
      <c r="DC255" t="s">
        <v>114</v>
      </c>
      <c r="DD255" t="s">
        <v>134</v>
      </c>
    </row>
    <row r="256" spans="1:113" ht="15" customHeight="1" x14ac:dyDescent="0.25">
      <c r="A256" t="s">
        <v>12529</v>
      </c>
      <c r="B256" t="s">
        <v>165</v>
      </c>
      <c r="C256" s="1">
        <v>44896.049322222221</v>
      </c>
      <c r="D256" s="1">
        <v>44922</v>
      </c>
      <c r="E256" t="s">
        <v>134</v>
      </c>
      <c r="F256" t="s">
        <v>1219</v>
      </c>
      <c r="G256" t="str">
        <f t="shared" si="17"/>
        <v>37-3011.00</v>
      </c>
      <c r="H256" t="s">
        <v>335</v>
      </c>
      <c r="I256">
        <v>2</v>
      </c>
      <c r="J256">
        <v>2</v>
      </c>
      <c r="K256" s="1">
        <v>44986</v>
      </c>
      <c r="L256" s="1">
        <v>45280</v>
      </c>
      <c r="M256" s="1">
        <v>44986</v>
      </c>
      <c r="N256" s="1">
        <v>45280</v>
      </c>
      <c r="O256" t="s">
        <v>199</v>
      </c>
      <c r="P256" t="s">
        <v>12530</v>
      </c>
      <c r="R256" t="s">
        <v>12531</v>
      </c>
      <c r="T256" t="s">
        <v>1223</v>
      </c>
      <c r="U256" t="s">
        <v>848</v>
      </c>
      <c r="V256" s="4" t="str">
        <f>"11590"</f>
        <v>11590</v>
      </c>
      <c r="W256" t="s">
        <v>120</v>
      </c>
      <c r="Y256" s="5">
        <v>15163343586</v>
      </c>
      <c r="AA256">
        <v>56173</v>
      </c>
      <c r="AB256" t="s">
        <v>4280</v>
      </c>
      <c r="AC256" t="s">
        <v>5557</v>
      </c>
      <c r="AE256" t="s">
        <v>700</v>
      </c>
      <c r="AF256" t="s">
        <v>12531</v>
      </c>
      <c r="AH256" t="s">
        <v>1223</v>
      </c>
      <c r="AI256" t="s">
        <v>848</v>
      </c>
      <c r="AJ256" s="4" t="str">
        <f>"11590"</f>
        <v>11590</v>
      </c>
      <c r="AK256" t="s">
        <v>120</v>
      </c>
      <c r="AM256" s="5">
        <v>15163343586</v>
      </c>
      <c r="AO256" t="s">
        <v>138</v>
      </c>
      <c r="AP256" t="s">
        <v>256</v>
      </c>
      <c r="AQ256" t="s">
        <v>1220</v>
      </c>
      <c r="AR256" t="s">
        <v>1221</v>
      </c>
      <c r="AT256" t="s">
        <v>1222</v>
      </c>
      <c r="AV256" t="s">
        <v>1223</v>
      </c>
      <c r="AW256" t="s">
        <v>848</v>
      </c>
      <c r="AX256" s="4" t="str">
        <f t="shared" ref="AX256:AX262" si="18">"11590"</f>
        <v>11590</v>
      </c>
      <c r="AY256" t="s">
        <v>120</v>
      </c>
      <c r="BA256" s="5">
        <v>15163307168</v>
      </c>
      <c r="BC256" t="s">
        <v>1224</v>
      </c>
      <c r="BD256" t="s">
        <v>1225</v>
      </c>
      <c r="BG256" t="s">
        <v>848</v>
      </c>
      <c r="BH256" s="1">
        <v>44860.833333333336</v>
      </c>
      <c r="BI256">
        <v>40</v>
      </c>
      <c r="BJ256">
        <v>0</v>
      </c>
      <c r="BK256">
        <v>8</v>
      </c>
      <c r="BL256">
        <v>8</v>
      </c>
      <c r="BM256">
        <v>8</v>
      </c>
      <c r="BN256">
        <v>8</v>
      </c>
      <c r="BO256">
        <v>8</v>
      </c>
      <c r="BP256">
        <v>0</v>
      </c>
      <c r="BQ256" t="str">
        <f>"8:00 AM"</f>
        <v>8:00 AM</v>
      </c>
      <c r="BR256" t="str">
        <f>"4:00 PM"</f>
        <v>4:00 PM</v>
      </c>
      <c r="BS256" t="s">
        <v>133</v>
      </c>
      <c r="BT256">
        <v>0</v>
      </c>
      <c r="BU256">
        <v>0</v>
      </c>
      <c r="BV256" t="s">
        <v>134</v>
      </c>
      <c r="BX256" t="s">
        <v>138</v>
      </c>
      <c r="BY256" t="s">
        <v>12531</v>
      </c>
      <c r="CA256" t="s">
        <v>1223</v>
      </c>
      <c r="CB256" t="s">
        <v>848</v>
      </c>
      <c r="CC256" s="4" t="str">
        <f>"11590"</f>
        <v>11590</v>
      </c>
      <c r="CD256" t="s">
        <v>2194</v>
      </c>
      <c r="CE256" t="s">
        <v>1009</v>
      </c>
      <c r="CF256" s="6">
        <v>19.940000000000001</v>
      </c>
      <c r="CG256" s="6">
        <v>19.940000000000001</v>
      </c>
      <c r="CH256" s="6">
        <v>29.91</v>
      </c>
      <c r="CI256" s="6">
        <v>29.91</v>
      </c>
      <c r="CJ256" t="s">
        <v>137</v>
      </c>
      <c r="CK256" t="s">
        <v>138</v>
      </c>
      <c r="CL256" t="s">
        <v>12532</v>
      </c>
      <c r="CO256" t="s">
        <v>138</v>
      </c>
      <c r="CP256" t="s">
        <v>114</v>
      </c>
      <c r="CQ256" t="s">
        <v>114</v>
      </c>
      <c r="CR256" t="s">
        <v>114</v>
      </c>
      <c r="CS256" t="s">
        <v>134</v>
      </c>
      <c r="CT256" t="s">
        <v>114</v>
      </c>
      <c r="CU256" t="s">
        <v>134</v>
      </c>
      <c r="CV256" t="s">
        <v>219</v>
      </c>
      <c r="CW256" s="5" t="str">
        <f>"+15163343586"</f>
        <v>+15163343586</v>
      </c>
      <c r="CX256" t="s">
        <v>12533</v>
      </c>
      <c r="CY256" t="s">
        <v>138</v>
      </c>
      <c r="CZ256" t="s">
        <v>139</v>
      </c>
      <c r="DA256" t="s">
        <v>134</v>
      </c>
      <c r="DB256" t="s">
        <v>134</v>
      </c>
      <c r="DC256" t="s">
        <v>114</v>
      </c>
      <c r="DD256" t="s">
        <v>134</v>
      </c>
    </row>
    <row r="257" spans="1:108" ht="15" customHeight="1" x14ac:dyDescent="0.25">
      <c r="A257" t="s">
        <v>9970</v>
      </c>
      <c r="B257" t="s">
        <v>165</v>
      </c>
      <c r="C257" s="1">
        <v>44896.038879398147</v>
      </c>
      <c r="D257" s="1">
        <v>44922</v>
      </c>
      <c r="E257" t="s">
        <v>134</v>
      </c>
      <c r="F257" t="s">
        <v>9971</v>
      </c>
      <c r="G257" t="str">
        <f>"47-2022.00"</f>
        <v>47-2022.00</v>
      </c>
      <c r="H257" t="s">
        <v>2385</v>
      </c>
      <c r="I257">
        <v>18</v>
      </c>
      <c r="J257">
        <v>18</v>
      </c>
      <c r="K257" s="1">
        <v>44986</v>
      </c>
      <c r="L257" s="1">
        <v>45275</v>
      </c>
      <c r="M257" s="1">
        <v>44986</v>
      </c>
      <c r="N257" s="1">
        <v>45275</v>
      </c>
      <c r="O257" t="s">
        <v>199</v>
      </c>
      <c r="P257" t="s">
        <v>8043</v>
      </c>
      <c r="R257" t="s">
        <v>8044</v>
      </c>
      <c r="T257" t="s">
        <v>8045</v>
      </c>
      <c r="U257" t="s">
        <v>848</v>
      </c>
      <c r="V257" s="4" t="str">
        <f>"11743"</f>
        <v>11743</v>
      </c>
      <c r="W257" t="s">
        <v>120</v>
      </c>
      <c r="Y257" s="5">
        <v>16314238362</v>
      </c>
      <c r="AA257">
        <v>56173</v>
      </c>
      <c r="AB257" t="s">
        <v>8046</v>
      </c>
      <c r="AC257" t="s">
        <v>8047</v>
      </c>
      <c r="AE257" t="s">
        <v>700</v>
      </c>
      <c r="AF257" t="s">
        <v>8044</v>
      </c>
      <c r="AH257" t="s">
        <v>8045</v>
      </c>
      <c r="AI257" t="s">
        <v>848</v>
      </c>
      <c r="AJ257" s="4" t="str">
        <f>"11743"</f>
        <v>11743</v>
      </c>
      <c r="AK257" t="s">
        <v>120</v>
      </c>
      <c r="AM257" s="5">
        <v>16314238362</v>
      </c>
      <c r="AO257" t="s">
        <v>138</v>
      </c>
      <c r="AP257" t="s">
        <v>256</v>
      </c>
      <c r="AQ257" t="s">
        <v>1220</v>
      </c>
      <c r="AR257" t="s">
        <v>1221</v>
      </c>
      <c r="AT257" t="s">
        <v>1222</v>
      </c>
      <c r="AV257" t="s">
        <v>1223</v>
      </c>
      <c r="AW257" t="s">
        <v>848</v>
      </c>
      <c r="AX257" s="4" t="str">
        <f t="shared" si="18"/>
        <v>11590</v>
      </c>
      <c r="AY257" t="s">
        <v>120</v>
      </c>
      <c r="BA257" s="5">
        <v>15163307168</v>
      </c>
      <c r="BC257" t="s">
        <v>1224</v>
      </c>
      <c r="BD257" t="s">
        <v>1225</v>
      </c>
      <c r="BG257" t="s">
        <v>848</v>
      </c>
      <c r="BH257" s="1">
        <v>44864.833333333336</v>
      </c>
      <c r="BI257">
        <v>40</v>
      </c>
      <c r="BJ257">
        <v>0</v>
      </c>
      <c r="BK257">
        <v>8</v>
      </c>
      <c r="BL257">
        <v>8</v>
      </c>
      <c r="BM257">
        <v>8</v>
      </c>
      <c r="BN257">
        <v>0</v>
      </c>
      <c r="BO257">
        <v>8</v>
      </c>
      <c r="BP257">
        <v>8</v>
      </c>
      <c r="BQ257" t="str">
        <f>"8:00 AM"</f>
        <v>8:00 AM</v>
      </c>
      <c r="BR257" t="str">
        <f>"5:00 PM"</f>
        <v>5:00 PM</v>
      </c>
      <c r="BS257" t="s">
        <v>133</v>
      </c>
      <c r="BT257">
        <v>0</v>
      </c>
      <c r="BU257">
        <v>6</v>
      </c>
      <c r="BV257" t="s">
        <v>134</v>
      </c>
      <c r="BX257" t="s">
        <v>9972</v>
      </c>
      <c r="BY257" t="s">
        <v>8044</v>
      </c>
      <c r="CA257" t="s">
        <v>8045</v>
      </c>
      <c r="CB257" t="s">
        <v>848</v>
      </c>
      <c r="CC257" s="4" t="str">
        <f>"11743"</f>
        <v>11743</v>
      </c>
      <c r="CD257" t="s">
        <v>1227</v>
      </c>
      <c r="CE257" t="s">
        <v>1009</v>
      </c>
      <c r="CF257" s="6">
        <v>26.67</v>
      </c>
      <c r="CG257" s="6">
        <v>26.67</v>
      </c>
      <c r="CH257" s="6">
        <v>40.01</v>
      </c>
      <c r="CI257" s="6">
        <v>40.01</v>
      </c>
      <c r="CJ257" t="s">
        <v>137</v>
      </c>
      <c r="CK257" t="s">
        <v>138</v>
      </c>
      <c r="CL257" t="s">
        <v>9973</v>
      </c>
      <c r="CO257" t="s">
        <v>138</v>
      </c>
      <c r="CP257" t="s">
        <v>114</v>
      </c>
      <c r="CQ257" t="s">
        <v>114</v>
      </c>
      <c r="CR257" t="s">
        <v>114</v>
      </c>
      <c r="CS257" t="s">
        <v>134</v>
      </c>
      <c r="CT257" t="s">
        <v>114</v>
      </c>
      <c r="CU257" t="s">
        <v>134</v>
      </c>
      <c r="CV257" t="s">
        <v>219</v>
      </c>
      <c r="CW257" s="5" t="str">
        <f>"+16314238362"</f>
        <v>+16314238362</v>
      </c>
      <c r="CX257" t="s">
        <v>8049</v>
      </c>
      <c r="CY257" t="s">
        <v>138</v>
      </c>
      <c r="CZ257" t="s">
        <v>139</v>
      </c>
      <c r="DA257" t="s">
        <v>134</v>
      </c>
      <c r="DB257" t="s">
        <v>134</v>
      </c>
      <c r="DC257" t="s">
        <v>114</v>
      </c>
      <c r="DD257" t="s">
        <v>134</v>
      </c>
    </row>
    <row r="258" spans="1:108" ht="15" customHeight="1" x14ac:dyDescent="0.25">
      <c r="A258" t="s">
        <v>7181</v>
      </c>
      <c r="B258" t="s">
        <v>165</v>
      </c>
      <c r="C258" s="1">
        <v>44896.030999074072</v>
      </c>
      <c r="D258" s="1">
        <v>44922</v>
      </c>
      <c r="E258" t="s">
        <v>134</v>
      </c>
      <c r="F258" t="s">
        <v>7182</v>
      </c>
      <c r="G258" t="str">
        <f>"53-7061.00"</f>
        <v>53-7061.00</v>
      </c>
      <c r="H258" t="s">
        <v>4602</v>
      </c>
      <c r="I258">
        <v>2</v>
      </c>
      <c r="J258">
        <v>2</v>
      </c>
      <c r="K258" s="1">
        <v>44986</v>
      </c>
      <c r="L258" s="1">
        <v>45231</v>
      </c>
      <c r="M258" s="1">
        <v>44986</v>
      </c>
      <c r="N258" s="1">
        <v>45231</v>
      </c>
      <c r="O258" t="s">
        <v>199</v>
      </c>
      <c r="P258" t="s">
        <v>7183</v>
      </c>
      <c r="Q258" t="s">
        <v>7184</v>
      </c>
      <c r="R258" t="s">
        <v>7185</v>
      </c>
      <c r="T258" t="s">
        <v>1686</v>
      </c>
      <c r="U258" t="s">
        <v>1593</v>
      </c>
      <c r="V258" s="4" t="str">
        <f>"03909"</f>
        <v>03909</v>
      </c>
      <c r="W258" t="s">
        <v>120</v>
      </c>
      <c r="Y258" s="5">
        <v>12073633602</v>
      </c>
      <c r="AA258">
        <v>811490</v>
      </c>
      <c r="AB258" t="s">
        <v>7186</v>
      </c>
      <c r="AC258" t="s">
        <v>1221</v>
      </c>
      <c r="AE258" t="s">
        <v>700</v>
      </c>
      <c r="AF258" t="s">
        <v>7185</v>
      </c>
      <c r="AH258" t="s">
        <v>1686</v>
      </c>
      <c r="AI258" t="s">
        <v>1593</v>
      </c>
      <c r="AJ258" s="4" t="str">
        <f>"03909"</f>
        <v>03909</v>
      </c>
      <c r="AK258" t="s">
        <v>120</v>
      </c>
      <c r="AM258" s="5">
        <v>12073633602</v>
      </c>
      <c r="AO258" t="s">
        <v>138</v>
      </c>
      <c r="AP258" t="s">
        <v>256</v>
      </c>
      <c r="AQ258" t="s">
        <v>1220</v>
      </c>
      <c r="AR258" t="s">
        <v>1221</v>
      </c>
      <c r="AT258" t="s">
        <v>1222</v>
      </c>
      <c r="AV258" t="s">
        <v>1223</v>
      </c>
      <c r="AW258" t="s">
        <v>848</v>
      </c>
      <c r="AX258" s="4" t="str">
        <f t="shared" si="18"/>
        <v>11590</v>
      </c>
      <c r="AY258" t="s">
        <v>120</v>
      </c>
      <c r="BA258" s="5">
        <v>15163307168</v>
      </c>
      <c r="BC258" t="s">
        <v>1224</v>
      </c>
      <c r="BD258" t="s">
        <v>1225</v>
      </c>
      <c r="BG258" t="s">
        <v>1593</v>
      </c>
      <c r="BH258" s="1">
        <v>44876.791666666664</v>
      </c>
      <c r="BI258">
        <v>40</v>
      </c>
      <c r="BJ258">
        <v>0</v>
      </c>
      <c r="BK258">
        <v>8</v>
      </c>
      <c r="BL258">
        <v>8</v>
      </c>
      <c r="BM258">
        <v>8</v>
      </c>
      <c r="BN258">
        <v>8</v>
      </c>
      <c r="BO258">
        <v>8</v>
      </c>
      <c r="BP258">
        <v>0</v>
      </c>
      <c r="BQ258" t="str">
        <f>"7:00 AM"</f>
        <v>7:00 AM</v>
      </c>
      <c r="BR258" t="str">
        <f>"4:00 PM"</f>
        <v>4:00 PM</v>
      </c>
      <c r="BS258" t="s">
        <v>133</v>
      </c>
      <c r="BT258">
        <v>0</v>
      </c>
      <c r="BU258">
        <v>0</v>
      </c>
      <c r="BV258" t="s">
        <v>134</v>
      </c>
      <c r="BX258" t="s">
        <v>133</v>
      </c>
      <c r="BY258" t="s">
        <v>7185</v>
      </c>
      <c r="CA258" t="s">
        <v>1686</v>
      </c>
      <c r="CB258" t="s">
        <v>1593</v>
      </c>
      <c r="CC258" s="4" t="str">
        <f>"03909"</f>
        <v>03909</v>
      </c>
      <c r="CD258" t="s">
        <v>1718</v>
      </c>
      <c r="CE258" t="s">
        <v>1719</v>
      </c>
      <c r="CF258" s="6">
        <v>18</v>
      </c>
      <c r="CG258" s="6">
        <v>18</v>
      </c>
      <c r="CH258" s="6">
        <v>27</v>
      </c>
      <c r="CI258" s="6">
        <v>27</v>
      </c>
      <c r="CJ258" t="s">
        <v>137</v>
      </c>
      <c r="CL258" t="s">
        <v>7187</v>
      </c>
      <c r="CO258" t="s">
        <v>138</v>
      </c>
      <c r="CP258" t="s">
        <v>134</v>
      </c>
      <c r="CQ258" t="s">
        <v>134</v>
      </c>
      <c r="CR258" t="s">
        <v>114</v>
      </c>
      <c r="CS258" t="s">
        <v>134</v>
      </c>
      <c r="CT258" t="s">
        <v>114</v>
      </c>
      <c r="CU258" t="s">
        <v>114</v>
      </c>
      <c r="CV258" t="s">
        <v>7188</v>
      </c>
      <c r="CW258" s="5" t="str">
        <f>"+12073633602"</f>
        <v>+12073633602</v>
      </c>
      <c r="CX258" t="s">
        <v>7189</v>
      </c>
      <c r="CY258" t="s">
        <v>138</v>
      </c>
      <c r="CZ258" t="s">
        <v>139</v>
      </c>
      <c r="DA258" t="s">
        <v>134</v>
      </c>
      <c r="DB258" t="s">
        <v>134</v>
      </c>
      <c r="DC258" t="s">
        <v>114</v>
      </c>
      <c r="DD258" t="s">
        <v>134</v>
      </c>
    </row>
    <row r="259" spans="1:108" ht="15" customHeight="1" x14ac:dyDescent="0.25">
      <c r="A259" t="s">
        <v>16116</v>
      </c>
      <c r="B259" t="s">
        <v>165</v>
      </c>
      <c r="C259" s="1">
        <v>44896.02697071759</v>
      </c>
      <c r="D259" s="1">
        <v>44922</v>
      </c>
      <c r="E259" t="s">
        <v>134</v>
      </c>
      <c r="F259" t="s">
        <v>7079</v>
      </c>
      <c r="G259" t="str">
        <f>"37-3011.00"</f>
        <v>37-3011.00</v>
      </c>
      <c r="H259" t="s">
        <v>335</v>
      </c>
      <c r="I259">
        <v>6</v>
      </c>
      <c r="J259">
        <v>6</v>
      </c>
      <c r="K259" s="1">
        <v>44986</v>
      </c>
      <c r="L259" s="1">
        <v>45231</v>
      </c>
      <c r="M259" s="1">
        <v>44986</v>
      </c>
      <c r="N259" s="1">
        <v>45231</v>
      </c>
      <c r="O259" t="s">
        <v>199</v>
      </c>
      <c r="P259" t="s">
        <v>9920</v>
      </c>
      <c r="R259" t="s">
        <v>9921</v>
      </c>
      <c r="T259" t="s">
        <v>9922</v>
      </c>
      <c r="U259" t="s">
        <v>1147</v>
      </c>
      <c r="V259" s="4" t="str">
        <f>"53125"</f>
        <v>53125</v>
      </c>
      <c r="W259" t="s">
        <v>120</v>
      </c>
      <c r="Y259" s="5">
        <v>12622753000</v>
      </c>
      <c r="AA259">
        <v>713910</v>
      </c>
      <c r="AB259" t="s">
        <v>6949</v>
      </c>
      <c r="AC259" t="s">
        <v>1531</v>
      </c>
      <c r="AE259" t="s">
        <v>1212</v>
      </c>
      <c r="AF259" t="s">
        <v>9921</v>
      </c>
      <c r="AH259" t="s">
        <v>9922</v>
      </c>
      <c r="AI259" t="s">
        <v>1147</v>
      </c>
      <c r="AJ259" s="4" t="str">
        <f>"53125"</f>
        <v>53125</v>
      </c>
      <c r="AK259" t="s">
        <v>120</v>
      </c>
      <c r="AM259" s="5">
        <v>12622753000</v>
      </c>
      <c r="AO259" t="s">
        <v>138</v>
      </c>
      <c r="AP259" t="s">
        <v>256</v>
      </c>
      <c r="AQ259" t="s">
        <v>1220</v>
      </c>
      <c r="AR259" t="s">
        <v>1221</v>
      </c>
      <c r="AT259" t="s">
        <v>1222</v>
      </c>
      <c r="AV259" t="s">
        <v>1223</v>
      </c>
      <c r="AW259" t="s">
        <v>848</v>
      </c>
      <c r="AX259" s="4" t="str">
        <f t="shared" si="18"/>
        <v>11590</v>
      </c>
      <c r="AY259" t="s">
        <v>120</v>
      </c>
      <c r="BA259" s="5">
        <v>15163307168</v>
      </c>
      <c r="BC259" t="s">
        <v>1224</v>
      </c>
      <c r="BD259" t="s">
        <v>1225</v>
      </c>
      <c r="BG259" t="s">
        <v>1147</v>
      </c>
      <c r="BH259" s="1">
        <v>44883.791666666664</v>
      </c>
      <c r="BI259">
        <v>40</v>
      </c>
      <c r="BJ259">
        <v>8</v>
      </c>
      <c r="BK259">
        <v>0</v>
      </c>
      <c r="BL259">
        <v>8</v>
      </c>
      <c r="BM259">
        <v>0</v>
      </c>
      <c r="BN259">
        <v>8</v>
      </c>
      <c r="BO259">
        <v>8</v>
      </c>
      <c r="BP259">
        <v>8</v>
      </c>
      <c r="BQ259" t="str">
        <f>"6:00 AM"</f>
        <v>6:00 AM</v>
      </c>
      <c r="BR259" t="str">
        <f>"5:00 PM"</f>
        <v>5:00 PM</v>
      </c>
      <c r="BS259" t="s">
        <v>133</v>
      </c>
      <c r="BT259">
        <v>0</v>
      </c>
      <c r="BU259">
        <v>0</v>
      </c>
      <c r="BV259" t="s">
        <v>134</v>
      </c>
      <c r="BX259" t="s">
        <v>133</v>
      </c>
      <c r="BY259" t="s">
        <v>9921</v>
      </c>
      <c r="CA259" t="s">
        <v>9922</v>
      </c>
      <c r="CB259" t="s">
        <v>1147</v>
      </c>
      <c r="CC259" s="4" t="str">
        <f>"53125"</f>
        <v>53125</v>
      </c>
      <c r="CD259" t="s">
        <v>9133</v>
      </c>
      <c r="CE259" t="s">
        <v>2906</v>
      </c>
      <c r="CF259" s="6">
        <v>16</v>
      </c>
      <c r="CG259" s="6">
        <v>19</v>
      </c>
      <c r="CH259" s="6">
        <v>24</v>
      </c>
      <c r="CI259" s="6">
        <v>28.5</v>
      </c>
      <c r="CJ259" t="s">
        <v>137</v>
      </c>
      <c r="CL259" t="s">
        <v>16117</v>
      </c>
      <c r="CO259" t="s">
        <v>138</v>
      </c>
      <c r="CP259" t="s">
        <v>134</v>
      </c>
      <c r="CQ259" t="s">
        <v>134</v>
      </c>
      <c r="CR259" t="s">
        <v>114</v>
      </c>
      <c r="CS259" t="s">
        <v>134</v>
      </c>
      <c r="CT259" t="s">
        <v>114</v>
      </c>
      <c r="CU259" t="s">
        <v>114</v>
      </c>
      <c r="CV259" s="2" t="s">
        <v>16118</v>
      </c>
      <c r="CW259" s="5" t="str">
        <f>"+12622753000"</f>
        <v>+12622753000</v>
      </c>
      <c r="CX259" t="s">
        <v>138</v>
      </c>
      <c r="CY259" t="s">
        <v>16119</v>
      </c>
      <c r="CZ259" t="s">
        <v>139</v>
      </c>
      <c r="DA259" t="s">
        <v>134</v>
      </c>
      <c r="DB259" t="s">
        <v>134</v>
      </c>
      <c r="DC259" t="s">
        <v>114</v>
      </c>
      <c r="DD259" t="s">
        <v>134</v>
      </c>
    </row>
    <row r="260" spans="1:108" ht="15" customHeight="1" x14ac:dyDescent="0.25">
      <c r="A260" t="s">
        <v>14940</v>
      </c>
      <c r="B260" t="s">
        <v>165</v>
      </c>
      <c r="C260" s="1">
        <v>44896.023165509258</v>
      </c>
      <c r="D260" s="1">
        <v>44922</v>
      </c>
      <c r="E260" t="s">
        <v>134</v>
      </c>
      <c r="F260" t="s">
        <v>1219</v>
      </c>
      <c r="G260" t="str">
        <f>"37-3011.00"</f>
        <v>37-3011.00</v>
      </c>
      <c r="H260" t="s">
        <v>335</v>
      </c>
      <c r="I260">
        <v>6</v>
      </c>
      <c r="J260">
        <v>6</v>
      </c>
      <c r="K260" s="1">
        <v>44986</v>
      </c>
      <c r="L260" s="1">
        <v>45245</v>
      </c>
      <c r="M260" s="1">
        <v>44986</v>
      </c>
      <c r="N260" s="1">
        <v>45245</v>
      </c>
      <c r="O260" t="s">
        <v>199</v>
      </c>
      <c r="P260" t="s">
        <v>8017</v>
      </c>
      <c r="R260" t="s">
        <v>8018</v>
      </c>
      <c r="T260" t="s">
        <v>8019</v>
      </c>
      <c r="U260" t="s">
        <v>1750</v>
      </c>
      <c r="V260" s="4" t="str">
        <f>"68028"</f>
        <v>68028</v>
      </c>
      <c r="W260" t="s">
        <v>120</v>
      </c>
      <c r="Y260" s="5">
        <v>14023323641</v>
      </c>
      <c r="AA260">
        <v>56173</v>
      </c>
      <c r="AB260" t="s">
        <v>8020</v>
      </c>
      <c r="AC260" t="s">
        <v>8021</v>
      </c>
      <c r="AE260" t="s">
        <v>8021</v>
      </c>
      <c r="AF260" t="s">
        <v>8018</v>
      </c>
      <c r="AH260" t="s">
        <v>8019</v>
      </c>
      <c r="AI260" t="s">
        <v>1750</v>
      </c>
      <c r="AJ260" s="4" t="str">
        <f>"68028"</f>
        <v>68028</v>
      </c>
      <c r="AK260" t="s">
        <v>120</v>
      </c>
      <c r="AM260" s="5">
        <v>14023323641</v>
      </c>
      <c r="AO260" t="s">
        <v>138</v>
      </c>
      <c r="AP260" t="s">
        <v>256</v>
      </c>
      <c r="AQ260" t="s">
        <v>1220</v>
      </c>
      <c r="AR260" t="s">
        <v>1221</v>
      </c>
      <c r="AT260" t="s">
        <v>1222</v>
      </c>
      <c r="AV260" t="s">
        <v>1223</v>
      </c>
      <c r="AW260" t="s">
        <v>848</v>
      </c>
      <c r="AX260" s="4" t="str">
        <f t="shared" si="18"/>
        <v>11590</v>
      </c>
      <c r="AY260" t="s">
        <v>120</v>
      </c>
      <c r="BA260" s="5">
        <v>15163307168</v>
      </c>
      <c r="BC260" t="s">
        <v>1224</v>
      </c>
      <c r="BD260" t="s">
        <v>1225</v>
      </c>
      <c r="BG260" t="s">
        <v>1750</v>
      </c>
      <c r="BH260" s="1">
        <v>44886.791666666664</v>
      </c>
      <c r="BI260">
        <v>40</v>
      </c>
      <c r="BJ260">
        <v>0</v>
      </c>
      <c r="BK260">
        <v>8</v>
      </c>
      <c r="BL260">
        <v>8</v>
      </c>
      <c r="BM260">
        <v>8</v>
      </c>
      <c r="BN260">
        <v>8</v>
      </c>
      <c r="BO260">
        <v>8</v>
      </c>
      <c r="BP260">
        <v>0</v>
      </c>
      <c r="BQ260" t="str">
        <f>"8:00 AM"</f>
        <v>8:00 AM</v>
      </c>
      <c r="BR260" t="str">
        <f>"5:00 PM"</f>
        <v>5:00 PM</v>
      </c>
      <c r="BS260" t="s">
        <v>133</v>
      </c>
      <c r="BT260">
        <v>0</v>
      </c>
      <c r="BU260">
        <v>0</v>
      </c>
      <c r="BV260" t="s">
        <v>134</v>
      </c>
      <c r="BX260" t="s">
        <v>133</v>
      </c>
      <c r="BY260" t="s">
        <v>8018</v>
      </c>
      <c r="CA260" t="s">
        <v>8019</v>
      </c>
      <c r="CB260" t="s">
        <v>1750</v>
      </c>
      <c r="CC260" s="4" t="str">
        <f>"68028"</f>
        <v>68028</v>
      </c>
      <c r="CD260" t="s">
        <v>4205</v>
      </c>
      <c r="CE260" t="s">
        <v>2681</v>
      </c>
      <c r="CF260" s="6">
        <v>17</v>
      </c>
      <c r="CG260" s="6">
        <v>19</v>
      </c>
      <c r="CH260" s="6">
        <v>25.5</v>
      </c>
      <c r="CI260" s="6">
        <v>28.5</v>
      </c>
      <c r="CJ260" t="s">
        <v>137</v>
      </c>
      <c r="CL260" t="s">
        <v>8022</v>
      </c>
      <c r="CO260" t="s">
        <v>138</v>
      </c>
      <c r="CP260" t="s">
        <v>114</v>
      </c>
      <c r="CQ260" t="s">
        <v>114</v>
      </c>
      <c r="CR260" t="s">
        <v>114</v>
      </c>
      <c r="CS260" t="s">
        <v>134</v>
      </c>
      <c r="CT260" t="s">
        <v>114</v>
      </c>
      <c r="CU260" t="s">
        <v>134</v>
      </c>
      <c r="CV260" t="s">
        <v>133</v>
      </c>
      <c r="CW260" s="5" t="str">
        <f>"+14023323641"</f>
        <v>+14023323641</v>
      </c>
      <c r="CX260" t="s">
        <v>8023</v>
      </c>
      <c r="CY260" t="s">
        <v>138</v>
      </c>
      <c r="CZ260" t="s">
        <v>139</v>
      </c>
      <c r="DA260" t="s">
        <v>134</v>
      </c>
      <c r="DB260" t="s">
        <v>134</v>
      </c>
      <c r="DC260" t="s">
        <v>114</v>
      </c>
      <c r="DD260" t="s">
        <v>134</v>
      </c>
    </row>
    <row r="261" spans="1:108" ht="15" customHeight="1" x14ac:dyDescent="0.25">
      <c r="A261" t="s">
        <v>9119</v>
      </c>
      <c r="B261" t="s">
        <v>165</v>
      </c>
      <c r="C261" s="1">
        <v>44896.022111921295</v>
      </c>
      <c r="D261" s="1">
        <v>44922</v>
      </c>
      <c r="E261" t="s">
        <v>134</v>
      </c>
      <c r="F261" t="s">
        <v>1219</v>
      </c>
      <c r="G261" t="str">
        <f>"37-3011.00"</f>
        <v>37-3011.00</v>
      </c>
      <c r="H261" t="s">
        <v>335</v>
      </c>
      <c r="I261">
        <v>8</v>
      </c>
      <c r="J261">
        <v>8</v>
      </c>
      <c r="K261" s="1">
        <v>44986</v>
      </c>
      <c r="L261" s="1">
        <v>45273</v>
      </c>
      <c r="M261" s="1">
        <v>44986</v>
      </c>
      <c r="N261" s="1">
        <v>45273</v>
      </c>
      <c r="O261" t="s">
        <v>199</v>
      </c>
      <c r="P261" t="s">
        <v>9120</v>
      </c>
      <c r="R261" t="s">
        <v>9121</v>
      </c>
      <c r="T261" t="s">
        <v>1962</v>
      </c>
      <c r="U261" t="s">
        <v>697</v>
      </c>
      <c r="V261" s="4" t="str">
        <f>"63304"</f>
        <v>63304</v>
      </c>
      <c r="W261" t="s">
        <v>120</v>
      </c>
      <c r="Y261" s="5">
        <v>13142808845</v>
      </c>
      <c r="AA261">
        <v>56173</v>
      </c>
      <c r="AB261" t="s">
        <v>9122</v>
      </c>
      <c r="AC261" t="s">
        <v>4055</v>
      </c>
      <c r="AE261" t="s">
        <v>700</v>
      </c>
      <c r="AF261" t="s">
        <v>9121</v>
      </c>
      <c r="AH261" t="s">
        <v>1962</v>
      </c>
      <c r="AI261" t="s">
        <v>697</v>
      </c>
      <c r="AJ261" s="4" t="str">
        <f>"63304"</f>
        <v>63304</v>
      </c>
      <c r="AK261" t="s">
        <v>120</v>
      </c>
      <c r="AM261" s="5">
        <v>13142808845</v>
      </c>
      <c r="AO261" t="s">
        <v>138</v>
      </c>
      <c r="AP261" t="s">
        <v>256</v>
      </c>
      <c r="AQ261" t="s">
        <v>1220</v>
      </c>
      <c r="AR261" t="s">
        <v>1221</v>
      </c>
      <c r="AT261" t="s">
        <v>1222</v>
      </c>
      <c r="AV261" t="s">
        <v>1223</v>
      </c>
      <c r="AW261" t="s">
        <v>848</v>
      </c>
      <c r="AX261" s="4" t="str">
        <f t="shared" si="18"/>
        <v>11590</v>
      </c>
      <c r="AY261" t="s">
        <v>120</v>
      </c>
      <c r="BA261" s="5">
        <v>15163307168</v>
      </c>
      <c r="BC261" t="s">
        <v>1224</v>
      </c>
      <c r="BD261" t="s">
        <v>1225</v>
      </c>
      <c r="BG261" t="s">
        <v>697</v>
      </c>
      <c r="BH261" s="1">
        <v>44894.791666666664</v>
      </c>
      <c r="BI261">
        <v>40</v>
      </c>
      <c r="BJ261">
        <v>0</v>
      </c>
      <c r="BK261">
        <v>8</v>
      </c>
      <c r="BL261">
        <v>8</v>
      </c>
      <c r="BM261">
        <v>8</v>
      </c>
      <c r="BN261">
        <v>8</v>
      </c>
      <c r="BO261">
        <v>8</v>
      </c>
      <c r="BP261">
        <v>0</v>
      </c>
      <c r="BQ261" t="str">
        <f>"8:00 AM"</f>
        <v>8:00 AM</v>
      </c>
      <c r="BR261" t="str">
        <f>"5:00 PM"</f>
        <v>5:00 PM</v>
      </c>
      <c r="BS261" t="s">
        <v>133</v>
      </c>
      <c r="BT261">
        <v>0</v>
      </c>
      <c r="BU261">
        <v>0</v>
      </c>
      <c r="BV261" t="s">
        <v>134</v>
      </c>
      <c r="BX261" t="s">
        <v>133</v>
      </c>
      <c r="BY261" t="s">
        <v>9121</v>
      </c>
      <c r="CA261" t="s">
        <v>1962</v>
      </c>
      <c r="CB261" t="s">
        <v>697</v>
      </c>
      <c r="CC261" s="4" t="str">
        <f>"63304"</f>
        <v>63304</v>
      </c>
      <c r="CD261" t="s">
        <v>712</v>
      </c>
      <c r="CE261" t="s">
        <v>713</v>
      </c>
      <c r="CF261" s="6">
        <v>16.96</v>
      </c>
      <c r="CG261" s="6">
        <v>16.96</v>
      </c>
      <c r="CH261" s="6">
        <v>25.44</v>
      </c>
      <c r="CI261" s="6">
        <v>25.44</v>
      </c>
      <c r="CJ261" t="s">
        <v>137</v>
      </c>
      <c r="CL261" t="s">
        <v>9123</v>
      </c>
      <c r="CO261" t="s">
        <v>138</v>
      </c>
      <c r="CP261" t="s">
        <v>114</v>
      </c>
      <c r="CQ261" t="s">
        <v>114</v>
      </c>
      <c r="CR261" t="s">
        <v>114</v>
      </c>
      <c r="CS261" t="s">
        <v>134</v>
      </c>
      <c r="CT261" t="s">
        <v>114</v>
      </c>
      <c r="CU261" t="s">
        <v>134</v>
      </c>
      <c r="CV261" t="s">
        <v>133</v>
      </c>
      <c r="CW261" s="5" t="str">
        <f>"+13142808845"</f>
        <v>+13142808845</v>
      </c>
      <c r="CX261" t="s">
        <v>9124</v>
      </c>
      <c r="CY261" t="s">
        <v>138</v>
      </c>
      <c r="CZ261" t="s">
        <v>139</v>
      </c>
      <c r="DA261" t="s">
        <v>134</v>
      </c>
      <c r="DB261" t="s">
        <v>134</v>
      </c>
      <c r="DC261" t="s">
        <v>114</v>
      </c>
      <c r="DD261" t="s">
        <v>134</v>
      </c>
    </row>
    <row r="262" spans="1:108" ht="15" customHeight="1" x14ac:dyDescent="0.25">
      <c r="A262" t="s">
        <v>1955</v>
      </c>
      <c r="B262" t="s">
        <v>165</v>
      </c>
      <c r="C262" s="1">
        <v>44896.021979282406</v>
      </c>
      <c r="D262" s="1">
        <v>44922</v>
      </c>
      <c r="E262" t="s">
        <v>134</v>
      </c>
      <c r="F262" t="s">
        <v>1219</v>
      </c>
      <c r="G262" t="str">
        <f>"37-3011.00"</f>
        <v>37-3011.00</v>
      </c>
      <c r="H262" t="s">
        <v>335</v>
      </c>
      <c r="I262">
        <v>8</v>
      </c>
      <c r="J262">
        <v>8</v>
      </c>
      <c r="K262" s="1">
        <v>44986</v>
      </c>
      <c r="L262" s="1">
        <v>45270</v>
      </c>
      <c r="M262" s="1">
        <v>44986</v>
      </c>
      <c r="N262" s="1">
        <v>45270</v>
      </c>
      <c r="O262" t="s">
        <v>199</v>
      </c>
      <c r="P262" t="s">
        <v>1956</v>
      </c>
      <c r="R262" t="s">
        <v>1957</v>
      </c>
      <c r="T262" t="s">
        <v>1958</v>
      </c>
      <c r="U262" t="s">
        <v>697</v>
      </c>
      <c r="V262" s="4" t="str">
        <f>"63366"</f>
        <v>63366</v>
      </c>
      <c r="W262" t="s">
        <v>120</v>
      </c>
      <c r="Y262" s="5">
        <v>16369789374</v>
      </c>
      <c r="AA262">
        <v>56173</v>
      </c>
      <c r="AB262" t="s">
        <v>1959</v>
      </c>
      <c r="AC262" t="s">
        <v>1960</v>
      </c>
      <c r="AE262" t="s">
        <v>1961</v>
      </c>
      <c r="AF262" t="s">
        <v>1957</v>
      </c>
      <c r="AH262" t="s">
        <v>1958</v>
      </c>
      <c r="AI262" t="s">
        <v>697</v>
      </c>
      <c r="AJ262" s="4" t="str">
        <f>"63366"</f>
        <v>63366</v>
      </c>
      <c r="AK262" t="s">
        <v>120</v>
      </c>
      <c r="AM262" s="5">
        <v>16369789374</v>
      </c>
      <c r="AO262" t="s">
        <v>138</v>
      </c>
      <c r="AP262" t="s">
        <v>256</v>
      </c>
      <c r="AQ262" t="s">
        <v>1220</v>
      </c>
      <c r="AR262" t="s">
        <v>1221</v>
      </c>
      <c r="AT262" t="s">
        <v>1222</v>
      </c>
      <c r="AV262" t="s">
        <v>1223</v>
      </c>
      <c r="AW262" t="s">
        <v>848</v>
      </c>
      <c r="AX262" s="4" t="str">
        <f t="shared" si="18"/>
        <v>11590</v>
      </c>
      <c r="AY262" t="s">
        <v>120</v>
      </c>
      <c r="BA262" s="5">
        <v>15163307168</v>
      </c>
      <c r="BC262" t="s">
        <v>1224</v>
      </c>
      <c r="BD262" t="s">
        <v>1225</v>
      </c>
      <c r="BG262" t="s">
        <v>697</v>
      </c>
      <c r="BH262" s="1">
        <v>44894.791666666664</v>
      </c>
      <c r="BI262">
        <v>40</v>
      </c>
      <c r="BJ262">
        <v>0</v>
      </c>
      <c r="BK262">
        <v>8</v>
      </c>
      <c r="BL262">
        <v>8</v>
      </c>
      <c r="BM262">
        <v>8</v>
      </c>
      <c r="BN262">
        <v>8</v>
      </c>
      <c r="BO262">
        <v>8</v>
      </c>
      <c r="BP262">
        <v>0</v>
      </c>
      <c r="BQ262" t="str">
        <f>"7:30 AM"</f>
        <v>7:30 AM</v>
      </c>
      <c r="BR262" t="str">
        <f>"5:30 PM"</f>
        <v>5:30 PM</v>
      </c>
      <c r="BS262" t="s">
        <v>133</v>
      </c>
      <c r="BT262">
        <v>0</v>
      </c>
      <c r="BU262">
        <v>0</v>
      </c>
      <c r="BV262" t="s">
        <v>134</v>
      </c>
      <c r="BX262" t="s">
        <v>133</v>
      </c>
      <c r="BY262" t="s">
        <v>1957</v>
      </c>
      <c r="CA262" t="s">
        <v>1958</v>
      </c>
      <c r="CB262" t="s">
        <v>697</v>
      </c>
      <c r="CC262" s="4" t="str">
        <f>"63366"</f>
        <v>63366</v>
      </c>
      <c r="CD262" t="s">
        <v>1962</v>
      </c>
      <c r="CE262" t="s">
        <v>713</v>
      </c>
      <c r="CF262" s="6">
        <v>16.96</v>
      </c>
      <c r="CG262" s="6">
        <v>16.96</v>
      </c>
      <c r="CH262" s="6">
        <v>25.44</v>
      </c>
      <c r="CI262" s="6">
        <v>25.44</v>
      </c>
      <c r="CJ262" t="s">
        <v>137</v>
      </c>
      <c r="CL262" t="s">
        <v>1963</v>
      </c>
      <c r="CO262" t="s">
        <v>138</v>
      </c>
      <c r="CP262" t="s">
        <v>114</v>
      </c>
      <c r="CQ262" t="s">
        <v>114</v>
      </c>
      <c r="CR262" t="s">
        <v>114</v>
      </c>
      <c r="CS262" t="s">
        <v>134</v>
      </c>
      <c r="CT262" t="s">
        <v>114</v>
      </c>
      <c r="CU262" t="s">
        <v>134</v>
      </c>
      <c r="CV262" t="s">
        <v>133</v>
      </c>
      <c r="CW262" s="5" t="str">
        <f>"+16369789374"</f>
        <v>+16369789374</v>
      </c>
      <c r="CX262" t="s">
        <v>1964</v>
      </c>
      <c r="CY262" t="s">
        <v>138</v>
      </c>
      <c r="CZ262" t="s">
        <v>139</v>
      </c>
      <c r="DA262" t="s">
        <v>134</v>
      </c>
      <c r="DB262" t="s">
        <v>134</v>
      </c>
      <c r="DC262" t="s">
        <v>114</v>
      </c>
      <c r="DD262" t="s">
        <v>134</v>
      </c>
    </row>
    <row r="263" spans="1:108" ht="15" customHeight="1" x14ac:dyDescent="0.25">
      <c r="A263" t="s">
        <v>15511</v>
      </c>
      <c r="B263" t="s">
        <v>165</v>
      </c>
      <c r="C263" s="1">
        <v>44896.01646712963</v>
      </c>
      <c r="D263" s="1">
        <v>44922</v>
      </c>
      <c r="E263" t="s">
        <v>134</v>
      </c>
      <c r="F263" t="s">
        <v>115</v>
      </c>
      <c r="G263" t="str">
        <f>"37-2012.00"</f>
        <v>37-2012.00</v>
      </c>
      <c r="H263" t="s">
        <v>116</v>
      </c>
      <c r="I263">
        <v>15</v>
      </c>
      <c r="J263">
        <v>15</v>
      </c>
      <c r="K263" s="1">
        <v>44986</v>
      </c>
      <c r="L263" s="1">
        <v>45230</v>
      </c>
      <c r="M263" s="1">
        <v>44986</v>
      </c>
      <c r="N263" s="1">
        <v>45230</v>
      </c>
      <c r="O263" t="s">
        <v>117</v>
      </c>
      <c r="P263" t="s">
        <v>5848</v>
      </c>
      <c r="R263" t="s">
        <v>5849</v>
      </c>
      <c r="T263" t="s">
        <v>393</v>
      </c>
      <c r="U263" t="s">
        <v>394</v>
      </c>
      <c r="V263" s="4" t="str">
        <f>"29928"</f>
        <v>29928</v>
      </c>
      <c r="W263" t="s">
        <v>120</v>
      </c>
      <c r="Y263" s="5">
        <v>18436867392</v>
      </c>
      <c r="AA263">
        <v>7211</v>
      </c>
      <c r="AB263" t="s">
        <v>5850</v>
      </c>
      <c r="AC263" t="s">
        <v>5851</v>
      </c>
      <c r="AE263" t="s">
        <v>5852</v>
      </c>
      <c r="AF263" t="s">
        <v>5853</v>
      </c>
      <c r="AH263" t="s">
        <v>408</v>
      </c>
      <c r="AI263" t="s">
        <v>394</v>
      </c>
      <c r="AJ263" s="4" t="str">
        <f>"29928"</f>
        <v>29928</v>
      </c>
      <c r="AK263" t="s">
        <v>120</v>
      </c>
      <c r="AM263" s="5">
        <v>18082056639</v>
      </c>
      <c r="AO263" t="s">
        <v>5854</v>
      </c>
      <c r="AP263" t="s">
        <v>256</v>
      </c>
      <c r="AQ263" t="s">
        <v>400</v>
      </c>
      <c r="AR263" t="s">
        <v>401</v>
      </c>
      <c r="AS263" t="s">
        <v>397</v>
      </c>
      <c r="AT263" t="s">
        <v>402</v>
      </c>
      <c r="AU263" t="s">
        <v>152</v>
      </c>
      <c r="AV263" t="s">
        <v>403</v>
      </c>
      <c r="AW263" t="s">
        <v>232</v>
      </c>
      <c r="AX263" s="4" t="str">
        <f>"75033"</f>
        <v>75033</v>
      </c>
      <c r="AY263" t="s">
        <v>120</v>
      </c>
      <c r="BA263" s="5">
        <v>19727789690</v>
      </c>
      <c r="BC263" t="s">
        <v>1239</v>
      </c>
      <c r="BD263" t="s">
        <v>405</v>
      </c>
      <c r="BG263" t="s">
        <v>394</v>
      </c>
      <c r="BH263" s="1">
        <v>44895.791666666664</v>
      </c>
      <c r="BI263">
        <v>40</v>
      </c>
      <c r="BJ263">
        <v>8</v>
      </c>
      <c r="BK263">
        <v>8</v>
      </c>
      <c r="BL263">
        <v>0</v>
      </c>
      <c r="BM263">
        <v>8</v>
      </c>
      <c r="BN263">
        <v>8</v>
      </c>
      <c r="BO263">
        <v>8</v>
      </c>
      <c r="BP263">
        <v>0</v>
      </c>
      <c r="BQ263" t="str">
        <f>"7:00 AM"</f>
        <v>7:00 AM</v>
      </c>
      <c r="BR263" t="str">
        <f>"3:00 PM"</f>
        <v>3:00 PM</v>
      </c>
      <c r="BS263" t="s">
        <v>133</v>
      </c>
      <c r="BT263">
        <v>0</v>
      </c>
      <c r="BU263">
        <v>0</v>
      </c>
      <c r="BV263" t="s">
        <v>134</v>
      </c>
      <c r="BX263" t="s">
        <v>10027</v>
      </c>
      <c r="BY263" t="s">
        <v>8172</v>
      </c>
      <c r="CA263" t="s">
        <v>2577</v>
      </c>
      <c r="CB263" t="s">
        <v>394</v>
      </c>
      <c r="CC263" s="4" t="str">
        <f>"29572"</f>
        <v>29572</v>
      </c>
      <c r="CD263" t="s">
        <v>2580</v>
      </c>
      <c r="CE263" t="s">
        <v>2141</v>
      </c>
      <c r="CF263" s="6">
        <v>15.45</v>
      </c>
      <c r="CG263" s="6">
        <v>15.45</v>
      </c>
      <c r="CH263" s="6">
        <v>23.18</v>
      </c>
      <c r="CI263" s="6">
        <v>23.18</v>
      </c>
      <c r="CJ263" t="s">
        <v>137</v>
      </c>
      <c r="CK263" t="s">
        <v>950</v>
      </c>
      <c r="CL263" t="s">
        <v>15512</v>
      </c>
      <c r="CO263" t="s">
        <v>138</v>
      </c>
      <c r="CP263" t="s">
        <v>134</v>
      </c>
      <c r="CQ263" t="s">
        <v>114</v>
      </c>
      <c r="CR263" t="s">
        <v>114</v>
      </c>
      <c r="CS263" t="s">
        <v>114</v>
      </c>
      <c r="CT263" t="s">
        <v>114</v>
      </c>
      <c r="CU263" t="s">
        <v>114</v>
      </c>
      <c r="CV263" s="2" t="s">
        <v>8174</v>
      </c>
      <c r="CW263" s="5" t="str">
        <f>"+18082056639"</f>
        <v>+18082056639</v>
      </c>
      <c r="CX263" t="s">
        <v>138</v>
      </c>
      <c r="CY263" t="s">
        <v>8175</v>
      </c>
      <c r="CZ263" t="s">
        <v>139</v>
      </c>
      <c r="DA263" t="s">
        <v>134</v>
      </c>
      <c r="DB263" t="s">
        <v>114</v>
      </c>
      <c r="DC263" t="s">
        <v>114</v>
      </c>
      <c r="DD263" t="s">
        <v>134</v>
      </c>
    </row>
    <row r="264" spans="1:108" ht="15" customHeight="1" x14ac:dyDescent="0.25">
      <c r="A264" t="s">
        <v>8170</v>
      </c>
      <c r="B264" t="s">
        <v>165</v>
      </c>
      <c r="C264" s="1">
        <v>44896.015577314814</v>
      </c>
      <c r="D264" s="1">
        <v>44922</v>
      </c>
      <c r="E264" t="s">
        <v>134</v>
      </c>
      <c r="F264" t="s">
        <v>5926</v>
      </c>
      <c r="G264" t="str">
        <f>"39-3091.00"</f>
        <v>39-3091.00</v>
      </c>
      <c r="H264" t="s">
        <v>362</v>
      </c>
      <c r="I264">
        <v>5</v>
      </c>
      <c r="J264">
        <v>5</v>
      </c>
      <c r="K264" s="1">
        <v>44986</v>
      </c>
      <c r="L264" s="1">
        <v>45230</v>
      </c>
      <c r="M264" s="1">
        <v>44986</v>
      </c>
      <c r="N264" s="1">
        <v>45230</v>
      </c>
      <c r="O264" t="s">
        <v>117</v>
      </c>
      <c r="P264" t="s">
        <v>5848</v>
      </c>
      <c r="R264" t="s">
        <v>5849</v>
      </c>
      <c r="T264" t="s">
        <v>393</v>
      </c>
      <c r="U264" t="s">
        <v>394</v>
      </c>
      <c r="V264" s="4" t="str">
        <f>"29928"</f>
        <v>29928</v>
      </c>
      <c r="W264" t="s">
        <v>120</v>
      </c>
      <c r="Y264" s="5">
        <v>18436867392</v>
      </c>
      <c r="AA264">
        <v>72111</v>
      </c>
      <c r="AB264" t="s">
        <v>5850</v>
      </c>
      <c r="AC264" t="s">
        <v>5851</v>
      </c>
      <c r="AE264" t="s">
        <v>5852</v>
      </c>
      <c r="AF264" t="s">
        <v>5853</v>
      </c>
      <c r="AH264" t="s">
        <v>408</v>
      </c>
      <c r="AI264" t="s">
        <v>394</v>
      </c>
      <c r="AJ264" s="4" t="str">
        <f>"29928"</f>
        <v>29928</v>
      </c>
      <c r="AK264" t="s">
        <v>120</v>
      </c>
      <c r="AM264" s="5">
        <v>18082056639</v>
      </c>
      <c r="AO264" t="s">
        <v>5854</v>
      </c>
      <c r="AP264" t="s">
        <v>256</v>
      </c>
      <c r="AQ264" t="s">
        <v>400</v>
      </c>
      <c r="AR264" t="s">
        <v>401</v>
      </c>
      <c r="AS264" t="s">
        <v>397</v>
      </c>
      <c r="AT264" t="s">
        <v>402</v>
      </c>
      <c r="AU264" t="s">
        <v>152</v>
      </c>
      <c r="AV264" t="s">
        <v>403</v>
      </c>
      <c r="AW264" t="s">
        <v>232</v>
      </c>
      <c r="AX264" s="4" t="str">
        <f>"75033"</f>
        <v>75033</v>
      </c>
      <c r="AY264" t="s">
        <v>120</v>
      </c>
      <c r="BA264" s="5">
        <v>19727789690</v>
      </c>
      <c r="BC264" t="s">
        <v>1239</v>
      </c>
      <c r="BD264" t="s">
        <v>405</v>
      </c>
      <c r="BG264" t="s">
        <v>394</v>
      </c>
      <c r="BH264" s="1">
        <v>44895.791666666664</v>
      </c>
      <c r="BI264">
        <v>40</v>
      </c>
      <c r="BJ264">
        <v>0</v>
      </c>
      <c r="BK264">
        <v>8</v>
      </c>
      <c r="BL264">
        <v>8</v>
      </c>
      <c r="BM264">
        <v>8</v>
      </c>
      <c r="BN264">
        <v>8</v>
      </c>
      <c r="BO264">
        <v>8</v>
      </c>
      <c r="BP264">
        <v>0</v>
      </c>
      <c r="BQ264" t="str">
        <f>"7:00 AM"</f>
        <v>7:00 AM</v>
      </c>
      <c r="BR264" t="str">
        <f>"3:00 PM"</f>
        <v>3:00 PM</v>
      </c>
      <c r="BS264" t="s">
        <v>133</v>
      </c>
      <c r="BT264">
        <v>0</v>
      </c>
      <c r="BU264">
        <v>0</v>
      </c>
      <c r="BV264" t="s">
        <v>134</v>
      </c>
      <c r="BX264" t="s">
        <v>8171</v>
      </c>
      <c r="BY264" t="s">
        <v>8172</v>
      </c>
      <c r="CA264" t="s">
        <v>2577</v>
      </c>
      <c r="CB264" t="s">
        <v>394</v>
      </c>
      <c r="CC264" s="4" t="str">
        <f>"29572"</f>
        <v>29572</v>
      </c>
      <c r="CD264" t="s">
        <v>2580</v>
      </c>
      <c r="CE264" t="s">
        <v>2141</v>
      </c>
      <c r="CF264" s="6">
        <v>15.7</v>
      </c>
      <c r="CG264" s="6">
        <v>15.7</v>
      </c>
      <c r="CH264" s="6">
        <v>23.55</v>
      </c>
      <c r="CI264" s="6">
        <v>23.55</v>
      </c>
      <c r="CJ264" t="s">
        <v>137</v>
      </c>
      <c r="CK264" t="s">
        <v>950</v>
      </c>
      <c r="CL264" t="s">
        <v>8173</v>
      </c>
      <c r="CO264" t="s">
        <v>138</v>
      </c>
      <c r="CP264" t="s">
        <v>134</v>
      </c>
      <c r="CQ264" t="s">
        <v>114</v>
      </c>
      <c r="CR264" t="s">
        <v>114</v>
      </c>
      <c r="CS264" t="s">
        <v>114</v>
      </c>
      <c r="CT264" t="s">
        <v>114</v>
      </c>
      <c r="CU264" t="s">
        <v>114</v>
      </c>
      <c r="CV264" s="2" t="s">
        <v>8174</v>
      </c>
      <c r="CW264" s="5" t="str">
        <f>"+18082056639"</f>
        <v>+18082056639</v>
      </c>
      <c r="CX264" t="s">
        <v>138</v>
      </c>
      <c r="CY264" t="s">
        <v>8175</v>
      </c>
      <c r="CZ264" t="s">
        <v>139</v>
      </c>
      <c r="DA264" t="s">
        <v>134</v>
      </c>
      <c r="DB264" t="s">
        <v>114</v>
      </c>
      <c r="DC264" t="s">
        <v>114</v>
      </c>
      <c r="DD264" t="s">
        <v>134</v>
      </c>
    </row>
    <row r="265" spans="1:108" ht="15" customHeight="1" x14ac:dyDescent="0.25">
      <c r="A265" t="s">
        <v>5925</v>
      </c>
      <c r="B265" t="s">
        <v>165</v>
      </c>
      <c r="C265" s="1">
        <v>44896.014743171298</v>
      </c>
      <c r="D265" s="1">
        <v>44922</v>
      </c>
      <c r="E265" t="s">
        <v>134</v>
      </c>
      <c r="F265" t="s">
        <v>5926</v>
      </c>
      <c r="G265" t="str">
        <f>"39-3091.00"</f>
        <v>39-3091.00</v>
      </c>
      <c r="H265" t="s">
        <v>362</v>
      </c>
      <c r="I265">
        <v>10</v>
      </c>
      <c r="J265">
        <v>10</v>
      </c>
      <c r="K265" s="1">
        <v>44986</v>
      </c>
      <c r="L265" s="1">
        <v>45230</v>
      </c>
      <c r="M265" s="1">
        <v>44986</v>
      </c>
      <c r="N265" s="1">
        <v>45230</v>
      </c>
      <c r="O265" t="s">
        <v>117</v>
      </c>
      <c r="P265" t="s">
        <v>5848</v>
      </c>
      <c r="R265" t="s">
        <v>5849</v>
      </c>
      <c r="T265" t="s">
        <v>393</v>
      </c>
      <c r="U265" t="s">
        <v>394</v>
      </c>
      <c r="V265" s="4" t="str">
        <f>"29928"</f>
        <v>29928</v>
      </c>
      <c r="W265" t="s">
        <v>120</v>
      </c>
      <c r="Y265" s="5">
        <v>18436867392</v>
      </c>
      <c r="AA265">
        <v>7211</v>
      </c>
      <c r="AB265" t="s">
        <v>5850</v>
      </c>
      <c r="AC265" t="s">
        <v>5851</v>
      </c>
      <c r="AE265" t="s">
        <v>5852</v>
      </c>
      <c r="AF265" t="s">
        <v>5853</v>
      </c>
      <c r="AH265" t="s">
        <v>408</v>
      </c>
      <c r="AI265" t="s">
        <v>394</v>
      </c>
      <c r="AJ265" s="4" t="str">
        <f>"29928"</f>
        <v>29928</v>
      </c>
      <c r="AK265" t="s">
        <v>120</v>
      </c>
      <c r="AM265" s="5">
        <v>18082056639</v>
      </c>
      <c r="AO265" t="s">
        <v>5854</v>
      </c>
      <c r="AP265" t="s">
        <v>256</v>
      </c>
      <c r="AQ265" t="s">
        <v>400</v>
      </c>
      <c r="AR265" t="s">
        <v>401</v>
      </c>
      <c r="AS265" t="s">
        <v>397</v>
      </c>
      <c r="AT265" t="s">
        <v>402</v>
      </c>
      <c r="AU265" t="s">
        <v>152</v>
      </c>
      <c r="AV265" t="s">
        <v>403</v>
      </c>
      <c r="AW265" t="s">
        <v>232</v>
      </c>
      <c r="AX265" s="4" t="str">
        <f>"75033"</f>
        <v>75033</v>
      </c>
      <c r="AY265" t="s">
        <v>120</v>
      </c>
      <c r="BA265" s="5">
        <v>19727789690</v>
      </c>
      <c r="BC265" t="s">
        <v>5927</v>
      </c>
      <c r="BD265" t="s">
        <v>405</v>
      </c>
      <c r="BG265" t="s">
        <v>394</v>
      </c>
      <c r="BH265" s="1">
        <v>44895.791666666664</v>
      </c>
      <c r="BI265">
        <v>42.5</v>
      </c>
      <c r="BJ265">
        <v>8.5</v>
      </c>
      <c r="BK265">
        <v>0</v>
      </c>
      <c r="BL265">
        <v>8.5</v>
      </c>
      <c r="BM265">
        <v>8.5</v>
      </c>
      <c r="BN265">
        <v>0</v>
      </c>
      <c r="BO265">
        <v>8.5</v>
      </c>
      <c r="BP265">
        <v>8.5</v>
      </c>
      <c r="BQ265" t="str">
        <f>"6:30 AM"</f>
        <v>6:30 AM</v>
      </c>
      <c r="BR265" t="str">
        <f>"3:00 PM"</f>
        <v>3:00 PM</v>
      </c>
      <c r="BS265" t="s">
        <v>133</v>
      </c>
      <c r="BT265">
        <v>0</v>
      </c>
      <c r="BU265">
        <v>0</v>
      </c>
      <c r="BV265" t="s">
        <v>134</v>
      </c>
      <c r="BX265" s="2" t="s">
        <v>5928</v>
      </c>
      <c r="BY265" t="s">
        <v>5853</v>
      </c>
      <c r="CA265" t="s">
        <v>408</v>
      </c>
      <c r="CB265" t="s">
        <v>394</v>
      </c>
      <c r="CC265" s="4" t="str">
        <f>"29928"</f>
        <v>29928</v>
      </c>
      <c r="CD265" t="s">
        <v>409</v>
      </c>
      <c r="CE265" t="s">
        <v>410</v>
      </c>
      <c r="CF265" s="6">
        <v>16</v>
      </c>
      <c r="CG265" s="6">
        <v>16</v>
      </c>
      <c r="CH265" s="6">
        <v>24</v>
      </c>
      <c r="CI265" s="6">
        <v>24</v>
      </c>
      <c r="CJ265" t="s">
        <v>137</v>
      </c>
      <c r="CK265" t="s">
        <v>950</v>
      </c>
      <c r="CL265" t="s">
        <v>5929</v>
      </c>
      <c r="CO265" t="s">
        <v>138</v>
      </c>
      <c r="CP265" t="s">
        <v>114</v>
      </c>
      <c r="CQ265" t="s">
        <v>114</v>
      </c>
      <c r="CR265" t="s">
        <v>114</v>
      </c>
      <c r="CS265" t="s">
        <v>114</v>
      </c>
      <c r="CT265" t="s">
        <v>114</v>
      </c>
      <c r="CU265" t="s">
        <v>114</v>
      </c>
      <c r="CV265" s="2" t="s">
        <v>5930</v>
      </c>
      <c r="CW265" s="5" t="str">
        <f>"+18082056639"</f>
        <v>+18082056639</v>
      </c>
      <c r="CX265" t="s">
        <v>138</v>
      </c>
      <c r="CY265" t="s">
        <v>1247</v>
      </c>
      <c r="CZ265" t="s">
        <v>139</v>
      </c>
      <c r="DA265" t="s">
        <v>134</v>
      </c>
      <c r="DB265" t="s">
        <v>114</v>
      </c>
      <c r="DC265" t="s">
        <v>114</v>
      </c>
      <c r="DD265" t="s">
        <v>134</v>
      </c>
    </row>
    <row r="266" spans="1:108" ht="15" customHeight="1" x14ac:dyDescent="0.25">
      <c r="A266" t="s">
        <v>8947</v>
      </c>
      <c r="B266" t="s">
        <v>165</v>
      </c>
      <c r="C266" s="1">
        <v>44896.014078587963</v>
      </c>
      <c r="D266" s="1">
        <v>44922</v>
      </c>
      <c r="E266" t="s">
        <v>134</v>
      </c>
      <c r="F266" t="s">
        <v>1219</v>
      </c>
      <c r="G266" t="str">
        <f>"37-3011.00"</f>
        <v>37-3011.00</v>
      </c>
      <c r="H266" t="s">
        <v>335</v>
      </c>
      <c r="I266">
        <v>8</v>
      </c>
      <c r="J266">
        <v>8</v>
      </c>
      <c r="K266" s="1">
        <v>44986</v>
      </c>
      <c r="L266" s="1">
        <v>45275</v>
      </c>
      <c r="M266" s="1">
        <v>44986</v>
      </c>
      <c r="N266" s="1">
        <v>45275</v>
      </c>
      <c r="O266" t="s">
        <v>199</v>
      </c>
      <c r="P266" t="s">
        <v>8948</v>
      </c>
      <c r="R266" t="s">
        <v>8949</v>
      </c>
      <c r="T266" t="s">
        <v>1368</v>
      </c>
      <c r="U266" t="s">
        <v>848</v>
      </c>
      <c r="V266" s="4" t="str">
        <f>"11968"</f>
        <v>11968</v>
      </c>
      <c r="W266" t="s">
        <v>120</v>
      </c>
      <c r="Y266" s="5">
        <v>16312041013</v>
      </c>
      <c r="AA266">
        <v>56173</v>
      </c>
      <c r="AB266" t="s">
        <v>8950</v>
      </c>
      <c r="AC266" t="s">
        <v>8951</v>
      </c>
      <c r="AE266" t="s">
        <v>700</v>
      </c>
      <c r="AF266" t="s">
        <v>8949</v>
      </c>
      <c r="AH266" t="s">
        <v>1368</v>
      </c>
      <c r="AI266" t="s">
        <v>848</v>
      </c>
      <c r="AJ266" s="4" t="str">
        <f>"11968"</f>
        <v>11968</v>
      </c>
      <c r="AK266" t="s">
        <v>120</v>
      </c>
      <c r="AM266" s="5">
        <v>16312041013</v>
      </c>
      <c r="AO266" t="s">
        <v>138</v>
      </c>
      <c r="AP266" t="s">
        <v>256</v>
      </c>
      <c r="AQ266" t="s">
        <v>1220</v>
      </c>
      <c r="AR266" t="s">
        <v>1221</v>
      </c>
      <c r="AT266" t="s">
        <v>1222</v>
      </c>
      <c r="AV266" t="s">
        <v>1223</v>
      </c>
      <c r="AW266" t="s">
        <v>848</v>
      </c>
      <c r="AX266" s="4" t="str">
        <f>"11590"</f>
        <v>11590</v>
      </c>
      <c r="AY266" t="s">
        <v>120</v>
      </c>
      <c r="BA266" s="5">
        <v>15163307168</v>
      </c>
      <c r="BC266" t="s">
        <v>1224</v>
      </c>
      <c r="BD266" t="s">
        <v>1225</v>
      </c>
      <c r="BG266" t="s">
        <v>848</v>
      </c>
      <c r="BH266" s="1">
        <v>44893.791666666664</v>
      </c>
      <c r="BI266">
        <v>40</v>
      </c>
      <c r="BJ266">
        <v>0</v>
      </c>
      <c r="BK266">
        <v>8</v>
      </c>
      <c r="BL266">
        <v>8</v>
      </c>
      <c r="BM266">
        <v>8</v>
      </c>
      <c r="BN266">
        <v>8</v>
      </c>
      <c r="BO266">
        <v>8</v>
      </c>
      <c r="BP266">
        <v>0</v>
      </c>
      <c r="BQ266" t="str">
        <f>"8:00 AM"</f>
        <v>8:00 AM</v>
      </c>
      <c r="BR266" t="str">
        <f>"4:00 PM"</f>
        <v>4:00 PM</v>
      </c>
      <c r="BS266" t="s">
        <v>133</v>
      </c>
      <c r="BT266">
        <v>0</v>
      </c>
      <c r="BU266">
        <v>0</v>
      </c>
      <c r="BV266" t="s">
        <v>134</v>
      </c>
      <c r="BX266" t="s">
        <v>138</v>
      </c>
      <c r="BY266" t="s">
        <v>8952</v>
      </c>
      <c r="CA266" t="s">
        <v>1368</v>
      </c>
      <c r="CB266" t="s">
        <v>848</v>
      </c>
      <c r="CC266" s="4" t="str">
        <f>"11968"</f>
        <v>11968</v>
      </c>
      <c r="CD266" t="s">
        <v>1227</v>
      </c>
      <c r="CE266" t="s">
        <v>1009</v>
      </c>
      <c r="CF266" s="6">
        <v>19.940000000000001</v>
      </c>
      <c r="CG266" s="6">
        <v>19.940000000000001</v>
      </c>
      <c r="CH266" s="6">
        <v>29.91</v>
      </c>
      <c r="CI266" s="6">
        <v>29.91</v>
      </c>
      <c r="CJ266" t="s">
        <v>137</v>
      </c>
      <c r="CK266" t="s">
        <v>138</v>
      </c>
      <c r="CL266" t="s">
        <v>8953</v>
      </c>
      <c r="CO266" t="s">
        <v>138</v>
      </c>
      <c r="CP266" t="s">
        <v>114</v>
      </c>
      <c r="CQ266" t="s">
        <v>114</v>
      </c>
      <c r="CR266" t="s">
        <v>114</v>
      </c>
      <c r="CS266" t="s">
        <v>134</v>
      </c>
      <c r="CT266" t="s">
        <v>114</v>
      </c>
      <c r="CU266" t="s">
        <v>134</v>
      </c>
      <c r="CV266" t="s">
        <v>219</v>
      </c>
      <c r="CW266" s="5" t="str">
        <f>"+16312041013"</f>
        <v>+16312041013</v>
      </c>
      <c r="CX266" t="s">
        <v>8954</v>
      </c>
      <c r="CY266" t="s">
        <v>138</v>
      </c>
      <c r="CZ266" t="s">
        <v>139</v>
      </c>
      <c r="DA266" t="s">
        <v>134</v>
      </c>
      <c r="DB266" t="s">
        <v>134</v>
      </c>
      <c r="DC266" t="s">
        <v>114</v>
      </c>
      <c r="DD266" t="s">
        <v>134</v>
      </c>
    </row>
    <row r="267" spans="1:108" ht="15" customHeight="1" x14ac:dyDescent="0.25">
      <c r="A267" t="s">
        <v>16048</v>
      </c>
      <c r="B267" t="s">
        <v>165</v>
      </c>
      <c r="C267" s="1">
        <v>44896.013969444444</v>
      </c>
      <c r="D267" s="1">
        <v>44922</v>
      </c>
      <c r="E267" t="s">
        <v>134</v>
      </c>
      <c r="F267" t="s">
        <v>16049</v>
      </c>
      <c r="G267" t="str">
        <f>"37-2011.00"</f>
        <v>37-2011.00</v>
      </c>
      <c r="H267" t="s">
        <v>672</v>
      </c>
      <c r="I267">
        <v>10</v>
      </c>
      <c r="J267">
        <v>10</v>
      </c>
      <c r="K267" s="1">
        <v>44986</v>
      </c>
      <c r="L267" s="1">
        <v>45230</v>
      </c>
      <c r="M267" s="1">
        <v>44986</v>
      </c>
      <c r="N267" s="1">
        <v>45230</v>
      </c>
      <c r="O267" t="s">
        <v>117</v>
      </c>
      <c r="P267" t="s">
        <v>5848</v>
      </c>
      <c r="R267" t="s">
        <v>5849</v>
      </c>
      <c r="T267" t="s">
        <v>393</v>
      </c>
      <c r="U267" t="s">
        <v>394</v>
      </c>
      <c r="V267" s="4" t="str">
        <f>"29928"</f>
        <v>29928</v>
      </c>
      <c r="W267" t="s">
        <v>120</v>
      </c>
      <c r="Y267" s="5">
        <v>18436867392</v>
      </c>
      <c r="AA267">
        <v>7211</v>
      </c>
      <c r="AB267" t="s">
        <v>5850</v>
      </c>
      <c r="AC267" t="s">
        <v>5851</v>
      </c>
      <c r="AE267" t="s">
        <v>5852</v>
      </c>
      <c r="AF267" t="s">
        <v>5853</v>
      </c>
      <c r="AH267" t="s">
        <v>408</v>
      </c>
      <c r="AI267" t="s">
        <v>394</v>
      </c>
      <c r="AJ267" s="4" t="str">
        <f>"29928"</f>
        <v>29928</v>
      </c>
      <c r="AK267" t="s">
        <v>120</v>
      </c>
      <c r="AM267" s="5">
        <v>18082056639</v>
      </c>
      <c r="AO267" t="s">
        <v>5854</v>
      </c>
      <c r="AP267" t="s">
        <v>256</v>
      </c>
      <c r="AQ267" t="s">
        <v>400</v>
      </c>
      <c r="AR267" t="s">
        <v>401</v>
      </c>
      <c r="AS267" t="s">
        <v>397</v>
      </c>
      <c r="AT267" t="s">
        <v>402</v>
      </c>
      <c r="AU267" t="s">
        <v>152</v>
      </c>
      <c r="AV267" t="s">
        <v>403</v>
      </c>
      <c r="AW267" t="s">
        <v>232</v>
      </c>
      <c r="AX267" s="4" t="str">
        <f>"75033"</f>
        <v>75033</v>
      </c>
      <c r="AY267" t="s">
        <v>120</v>
      </c>
      <c r="BA267" s="5">
        <v>19727789690</v>
      </c>
      <c r="BC267" t="s">
        <v>5927</v>
      </c>
      <c r="BD267" t="s">
        <v>405</v>
      </c>
      <c r="BG267" t="s">
        <v>394</v>
      </c>
      <c r="BH267" s="1">
        <v>44895.791666666664</v>
      </c>
      <c r="BI267">
        <v>40</v>
      </c>
      <c r="BJ267">
        <v>0</v>
      </c>
      <c r="BK267">
        <v>8</v>
      </c>
      <c r="BL267">
        <v>8</v>
      </c>
      <c r="BM267">
        <v>8</v>
      </c>
      <c r="BN267">
        <v>8</v>
      </c>
      <c r="BO267">
        <v>8</v>
      </c>
      <c r="BP267">
        <v>0</v>
      </c>
      <c r="BQ267" t="str">
        <f>"8:00 AM"</f>
        <v>8:00 AM</v>
      </c>
      <c r="BR267" t="str">
        <f>"4:00 PM"</f>
        <v>4:00 PM</v>
      </c>
      <c r="BS267" t="s">
        <v>133</v>
      </c>
      <c r="BT267">
        <v>0</v>
      </c>
      <c r="BU267">
        <v>0</v>
      </c>
      <c r="BV267" t="s">
        <v>134</v>
      </c>
      <c r="BX267" t="s">
        <v>8171</v>
      </c>
      <c r="BY267" t="s">
        <v>5853</v>
      </c>
      <c r="CA267" t="s">
        <v>408</v>
      </c>
      <c r="CB267" t="s">
        <v>394</v>
      </c>
      <c r="CC267" s="4" t="str">
        <f>"29928"</f>
        <v>29928</v>
      </c>
      <c r="CD267" t="s">
        <v>409</v>
      </c>
      <c r="CE267" t="s">
        <v>410</v>
      </c>
      <c r="CF267" s="6">
        <v>16</v>
      </c>
      <c r="CG267" s="6">
        <v>16</v>
      </c>
      <c r="CH267" s="6">
        <v>24</v>
      </c>
      <c r="CI267" s="6">
        <v>24</v>
      </c>
      <c r="CJ267" t="s">
        <v>137</v>
      </c>
      <c r="CK267" t="s">
        <v>950</v>
      </c>
      <c r="CL267" t="s">
        <v>16050</v>
      </c>
      <c r="CO267" t="s">
        <v>138</v>
      </c>
      <c r="CP267" t="s">
        <v>114</v>
      </c>
      <c r="CQ267" t="s">
        <v>114</v>
      </c>
      <c r="CR267" t="s">
        <v>114</v>
      </c>
      <c r="CS267" t="s">
        <v>114</v>
      </c>
      <c r="CT267" t="s">
        <v>114</v>
      </c>
      <c r="CU267" t="s">
        <v>114</v>
      </c>
      <c r="CV267" s="2" t="s">
        <v>16051</v>
      </c>
      <c r="CW267" s="5" t="str">
        <f>"+18082056639"</f>
        <v>+18082056639</v>
      </c>
      <c r="CX267" t="s">
        <v>138</v>
      </c>
      <c r="CY267" t="s">
        <v>1247</v>
      </c>
      <c r="CZ267" t="s">
        <v>139</v>
      </c>
      <c r="DA267" t="s">
        <v>134</v>
      </c>
      <c r="DB267" t="s">
        <v>114</v>
      </c>
      <c r="DC267" t="s">
        <v>114</v>
      </c>
      <c r="DD267" t="s">
        <v>134</v>
      </c>
    </row>
    <row r="268" spans="1:108" ht="15" customHeight="1" x14ac:dyDescent="0.25">
      <c r="A268" t="s">
        <v>15576</v>
      </c>
      <c r="B268" t="s">
        <v>165</v>
      </c>
      <c r="C268" s="1">
        <v>44896.013465162039</v>
      </c>
      <c r="D268" s="1">
        <v>44922</v>
      </c>
      <c r="E268" t="s">
        <v>134</v>
      </c>
      <c r="F268" t="s">
        <v>2737</v>
      </c>
      <c r="G268" t="str">
        <f>"53-7061.00"</f>
        <v>53-7061.00</v>
      </c>
      <c r="H268" t="s">
        <v>4602</v>
      </c>
      <c r="I268">
        <v>9</v>
      </c>
      <c r="J268">
        <v>9</v>
      </c>
      <c r="K268" s="1">
        <v>44986</v>
      </c>
      <c r="L268" s="1">
        <v>45270</v>
      </c>
      <c r="M268" s="1">
        <v>44986</v>
      </c>
      <c r="N268" s="1">
        <v>45270</v>
      </c>
      <c r="O268" t="s">
        <v>199</v>
      </c>
      <c r="P268" t="s">
        <v>15577</v>
      </c>
      <c r="R268" t="s">
        <v>15578</v>
      </c>
      <c r="T268" t="s">
        <v>4054</v>
      </c>
      <c r="U268" t="s">
        <v>848</v>
      </c>
      <c r="V268" s="4" t="str">
        <f>"11768"</f>
        <v>11768</v>
      </c>
      <c r="W268" t="s">
        <v>120</v>
      </c>
      <c r="Y268" s="5">
        <v>16317545118</v>
      </c>
      <c r="AA268">
        <v>42332</v>
      </c>
      <c r="AB268" t="s">
        <v>15579</v>
      </c>
      <c r="AC268" t="s">
        <v>15580</v>
      </c>
      <c r="AE268" t="s">
        <v>700</v>
      </c>
      <c r="AF268" t="s">
        <v>15578</v>
      </c>
      <c r="AH268" t="s">
        <v>4054</v>
      </c>
      <c r="AI268" t="s">
        <v>848</v>
      </c>
      <c r="AJ268" s="4" t="str">
        <f>"11768"</f>
        <v>11768</v>
      </c>
      <c r="AK268" t="s">
        <v>120</v>
      </c>
      <c r="AM268" s="5">
        <v>16317545118</v>
      </c>
      <c r="AO268" t="s">
        <v>138</v>
      </c>
      <c r="AP268" t="s">
        <v>256</v>
      </c>
      <c r="AQ268" t="s">
        <v>1220</v>
      </c>
      <c r="AR268" t="s">
        <v>1221</v>
      </c>
      <c r="AT268" t="s">
        <v>1222</v>
      </c>
      <c r="AV268" t="s">
        <v>1223</v>
      </c>
      <c r="AW268" t="s">
        <v>848</v>
      </c>
      <c r="AX268" s="4" t="str">
        <f>"11590"</f>
        <v>11590</v>
      </c>
      <c r="AY268" t="s">
        <v>120</v>
      </c>
      <c r="BA268" s="5">
        <v>15163307168</v>
      </c>
      <c r="BC268" t="s">
        <v>1224</v>
      </c>
      <c r="BD268" t="s">
        <v>1225</v>
      </c>
      <c r="BG268" t="s">
        <v>848</v>
      </c>
      <c r="BH268" s="1">
        <v>44893.791666666664</v>
      </c>
      <c r="BI268">
        <v>40</v>
      </c>
      <c r="BJ268">
        <v>0</v>
      </c>
      <c r="BK268">
        <v>8</v>
      </c>
      <c r="BL268">
        <v>8</v>
      </c>
      <c r="BM268">
        <v>8</v>
      </c>
      <c r="BN268">
        <v>8</v>
      </c>
      <c r="BO268">
        <v>8</v>
      </c>
      <c r="BP268">
        <v>0</v>
      </c>
      <c r="BQ268" t="str">
        <f>"8:00 AM"</f>
        <v>8:00 AM</v>
      </c>
      <c r="BR268" t="str">
        <f>"4:00 PM"</f>
        <v>4:00 PM</v>
      </c>
      <c r="BS268" t="s">
        <v>133</v>
      </c>
      <c r="BT268">
        <v>0</v>
      </c>
      <c r="BU268">
        <v>1</v>
      </c>
      <c r="BV268" t="s">
        <v>134</v>
      </c>
      <c r="BX268" t="s">
        <v>15581</v>
      </c>
      <c r="BY268" t="s">
        <v>15578</v>
      </c>
      <c r="CA268" t="s">
        <v>4054</v>
      </c>
      <c r="CB268" t="s">
        <v>848</v>
      </c>
      <c r="CC268" s="4" t="str">
        <f>"11768"</f>
        <v>11768</v>
      </c>
      <c r="CD268" t="s">
        <v>1227</v>
      </c>
      <c r="CE268" t="s">
        <v>1009</v>
      </c>
      <c r="CF268" s="6">
        <v>19.64</v>
      </c>
      <c r="CG268" s="6">
        <v>19.64</v>
      </c>
      <c r="CH268" s="6">
        <v>29.46</v>
      </c>
      <c r="CI268" s="6">
        <v>29.46</v>
      </c>
      <c r="CJ268" t="s">
        <v>137</v>
      </c>
      <c r="CK268" t="s">
        <v>138</v>
      </c>
      <c r="CL268" t="s">
        <v>15582</v>
      </c>
      <c r="CO268" t="s">
        <v>138</v>
      </c>
      <c r="CP268" t="s">
        <v>114</v>
      </c>
      <c r="CQ268" t="s">
        <v>114</v>
      </c>
      <c r="CR268" t="s">
        <v>114</v>
      </c>
      <c r="CS268" t="s">
        <v>134</v>
      </c>
      <c r="CT268" t="s">
        <v>114</v>
      </c>
      <c r="CU268" t="s">
        <v>134</v>
      </c>
      <c r="CV268" t="s">
        <v>219</v>
      </c>
      <c r="CW268" s="5" t="str">
        <f>"+16317545118"</f>
        <v>+16317545118</v>
      </c>
      <c r="CX268" t="s">
        <v>15583</v>
      </c>
      <c r="CY268" t="s">
        <v>138</v>
      </c>
      <c r="CZ268" t="s">
        <v>139</v>
      </c>
      <c r="DA268" t="s">
        <v>134</v>
      </c>
      <c r="DB268" t="s">
        <v>134</v>
      </c>
      <c r="DC268" t="s">
        <v>114</v>
      </c>
      <c r="DD268" t="s">
        <v>134</v>
      </c>
    </row>
    <row r="269" spans="1:108" ht="15" customHeight="1" x14ac:dyDescent="0.25">
      <c r="A269" t="s">
        <v>10026</v>
      </c>
      <c r="B269" t="s">
        <v>165</v>
      </c>
      <c r="C269" s="1">
        <v>44896.012929629629</v>
      </c>
      <c r="D269" s="1">
        <v>44922</v>
      </c>
      <c r="E269" t="s">
        <v>134</v>
      </c>
      <c r="F269" t="s">
        <v>115</v>
      </c>
      <c r="G269" t="str">
        <f>"37-2012.00"</f>
        <v>37-2012.00</v>
      </c>
      <c r="H269" t="s">
        <v>116</v>
      </c>
      <c r="I269">
        <v>47</v>
      </c>
      <c r="J269">
        <v>47</v>
      </c>
      <c r="K269" s="1">
        <v>44986</v>
      </c>
      <c r="L269" s="1">
        <v>45230</v>
      </c>
      <c r="M269" s="1">
        <v>44986</v>
      </c>
      <c r="N269" s="1">
        <v>45230</v>
      </c>
      <c r="O269" t="s">
        <v>117</v>
      </c>
      <c r="P269" t="s">
        <v>5848</v>
      </c>
      <c r="R269" t="s">
        <v>5849</v>
      </c>
      <c r="T269" t="s">
        <v>393</v>
      </c>
      <c r="U269" t="s">
        <v>394</v>
      </c>
      <c r="V269" s="4" t="str">
        <f>"29928"</f>
        <v>29928</v>
      </c>
      <c r="W269" t="s">
        <v>120</v>
      </c>
      <c r="Y269" s="5">
        <v>18436867392</v>
      </c>
      <c r="AA269">
        <v>7211</v>
      </c>
      <c r="AB269" t="s">
        <v>5850</v>
      </c>
      <c r="AC269" t="s">
        <v>5851</v>
      </c>
      <c r="AE269" t="s">
        <v>5852</v>
      </c>
      <c r="AF269" t="s">
        <v>5853</v>
      </c>
      <c r="AH269" t="s">
        <v>408</v>
      </c>
      <c r="AI269" t="s">
        <v>394</v>
      </c>
      <c r="AJ269" s="4" t="str">
        <f>"29928"</f>
        <v>29928</v>
      </c>
      <c r="AK269" t="s">
        <v>120</v>
      </c>
      <c r="AM269" s="5">
        <v>18082056639</v>
      </c>
      <c r="AO269" t="s">
        <v>5854</v>
      </c>
      <c r="AP269" t="s">
        <v>256</v>
      </c>
      <c r="AQ269" t="s">
        <v>400</v>
      </c>
      <c r="AR269" t="s">
        <v>401</v>
      </c>
      <c r="AS269" t="s">
        <v>397</v>
      </c>
      <c r="AT269" t="s">
        <v>402</v>
      </c>
      <c r="AU269" t="s">
        <v>152</v>
      </c>
      <c r="AV269" t="s">
        <v>403</v>
      </c>
      <c r="AW269" t="s">
        <v>232</v>
      </c>
      <c r="AX269" s="4" t="str">
        <f>"75033"</f>
        <v>75033</v>
      </c>
      <c r="AY269" t="s">
        <v>120</v>
      </c>
      <c r="BA269" s="5">
        <v>19727789690</v>
      </c>
      <c r="BC269" t="s">
        <v>5927</v>
      </c>
      <c r="BD269" t="s">
        <v>405</v>
      </c>
      <c r="BG269" t="s">
        <v>394</v>
      </c>
      <c r="BH269" s="1">
        <v>44895.791666666664</v>
      </c>
      <c r="BI269">
        <v>40</v>
      </c>
      <c r="BJ269">
        <v>8</v>
      </c>
      <c r="BK269">
        <v>8</v>
      </c>
      <c r="BL269">
        <v>0</v>
      </c>
      <c r="BM269">
        <v>0</v>
      </c>
      <c r="BN269">
        <v>8</v>
      </c>
      <c r="BO269">
        <v>8</v>
      </c>
      <c r="BP269">
        <v>8</v>
      </c>
      <c r="BQ269" t="str">
        <f>"8:00 AM"</f>
        <v>8:00 AM</v>
      </c>
      <c r="BR269" t="str">
        <f>"4:00 PM"</f>
        <v>4:00 PM</v>
      </c>
      <c r="BS269" t="s">
        <v>133</v>
      </c>
      <c r="BT269">
        <v>0</v>
      </c>
      <c r="BU269">
        <v>0</v>
      </c>
      <c r="BV269" t="s">
        <v>134</v>
      </c>
      <c r="BX269" t="s">
        <v>10027</v>
      </c>
      <c r="BY269" t="s">
        <v>5853</v>
      </c>
      <c r="CA269" t="s">
        <v>408</v>
      </c>
      <c r="CB269" t="s">
        <v>394</v>
      </c>
      <c r="CC269" s="4" t="str">
        <f>"29928"</f>
        <v>29928</v>
      </c>
      <c r="CD269" t="s">
        <v>409</v>
      </c>
      <c r="CE269" t="s">
        <v>410</v>
      </c>
      <c r="CF269" s="6">
        <v>18</v>
      </c>
      <c r="CG269" s="6">
        <v>18</v>
      </c>
      <c r="CH269" s="6">
        <v>27</v>
      </c>
      <c r="CI269" s="6">
        <v>27</v>
      </c>
      <c r="CJ269" t="s">
        <v>137</v>
      </c>
      <c r="CK269" t="s">
        <v>950</v>
      </c>
      <c r="CL269" t="s">
        <v>10028</v>
      </c>
      <c r="CO269" t="s">
        <v>138</v>
      </c>
      <c r="CP269" t="s">
        <v>114</v>
      </c>
      <c r="CQ269" t="s">
        <v>114</v>
      </c>
      <c r="CR269" t="s">
        <v>114</v>
      </c>
      <c r="CS269" t="s">
        <v>114</v>
      </c>
      <c r="CT269" t="s">
        <v>114</v>
      </c>
      <c r="CU269" t="s">
        <v>114</v>
      </c>
      <c r="CV269" s="2" t="s">
        <v>5930</v>
      </c>
      <c r="CW269" s="5" t="str">
        <f>"+18082056639"</f>
        <v>+18082056639</v>
      </c>
      <c r="CX269" t="s">
        <v>138</v>
      </c>
      <c r="CY269" t="s">
        <v>1247</v>
      </c>
      <c r="CZ269" t="s">
        <v>139</v>
      </c>
      <c r="DA269" t="s">
        <v>134</v>
      </c>
      <c r="DB269" t="s">
        <v>114</v>
      </c>
      <c r="DC269" t="s">
        <v>114</v>
      </c>
      <c r="DD269" t="s">
        <v>134</v>
      </c>
    </row>
    <row r="270" spans="1:108" ht="15" customHeight="1" x14ac:dyDescent="0.25">
      <c r="A270" t="s">
        <v>12720</v>
      </c>
      <c r="B270" t="s">
        <v>165</v>
      </c>
      <c r="C270" s="1">
        <v>44896.01240925926</v>
      </c>
      <c r="D270" s="1">
        <v>44922</v>
      </c>
      <c r="E270" t="s">
        <v>134</v>
      </c>
      <c r="F270" t="s">
        <v>12721</v>
      </c>
      <c r="G270" t="str">
        <f>"35-2015.00"</f>
        <v>35-2015.00</v>
      </c>
      <c r="H270" t="s">
        <v>2019</v>
      </c>
      <c r="I270">
        <v>14</v>
      </c>
      <c r="J270">
        <v>14</v>
      </c>
      <c r="K270" s="1">
        <v>44986</v>
      </c>
      <c r="L270" s="1">
        <v>45230</v>
      </c>
      <c r="M270" s="1">
        <v>44986</v>
      </c>
      <c r="N270" s="1">
        <v>45230</v>
      </c>
      <c r="O270" t="s">
        <v>117</v>
      </c>
      <c r="P270" t="s">
        <v>5848</v>
      </c>
      <c r="R270" t="s">
        <v>5849</v>
      </c>
      <c r="T270" t="s">
        <v>393</v>
      </c>
      <c r="U270" t="s">
        <v>394</v>
      </c>
      <c r="V270" s="4" t="str">
        <f>"29928"</f>
        <v>29928</v>
      </c>
      <c r="W270" t="s">
        <v>120</v>
      </c>
      <c r="Y270" s="5">
        <v>18436867392</v>
      </c>
      <c r="AA270">
        <v>72111</v>
      </c>
      <c r="AB270" t="s">
        <v>5850</v>
      </c>
      <c r="AC270" t="s">
        <v>5851</v>
      </c>
      <c r="AE270" t="s">
        <v>5852</v>
      </c>
      <c r="AF270" t="s">
        <v>5853</v>
      </c>
      <c r="AH270" t="s">
        <v>408</v>
      </c>
      <c r="AI270" t="s">
        <v>394</v>
      </c>
      <c r="AJ270" s="4" t="str">
        <f>"29928"</f>
        <v>29928</v>
      </c>
      <c r="AK270" t="s">
        <v>120</v>
      </c>
      <c r="AM270" s="5">
        <v>18082056639</v>
      </c>
      <c r="AO270" t="s">
        <v>5854</v>
      </c>
      <c r="AP270" t="s">
        <v>256</v>
      </c>
      <c r="AQ270" t="s">
        <v>400</v>
      </c>
      <c r="AR270" t="s">
        <v>401</v>
      </c>
      <c r="AS270" t="s">
        <v>397</v>
      </c>
      <c r="AT270" t="s">
        <v>402</v>
      </c>
      <c r="AU270" t="s">
        <v>152</v>
      </c>
      <c r="AV270" t="s">
        <v>403</v>
      </c>
      <c r="AW270" t="s">
        <v>232</v>
      </c>
      <c r="AX270" s="4" t="str">
        <f>"75033"</f>
        <v>75033</v>
      </c>
      <c r="AY270" t="s">
        <v>120</v>
      </c>
      <c r="BA270" s="5">
        <v>19727789690</v>
      </c>
      <c r="BC270" t="s">
        <v>5927</v>
      </c>
      <c r="BD270" t="s">
        <v>405</v>
      </c>
      <c r="BG270" t="s">
        <v>394</v>
      </c>
      <c r="BH270" s="1">
        <v>44895.791666666664</v>
      </c>
      <c r="BI270">
        <v>40</v>
      </c>
      <c r="BJ270">
        <v>8</v>
      </c>
      <c r="BK270">
        <v>0</v>
      </c>
      <c r="BL270">
        <v>8</v>
      </c>
      <c r="BM270">
        <v>0</v>
      </c>
      <c r="BN270">
        <v>8</v>
      </c>
      <c r="BO270">
        <v>8</v>
      </c>
      <c r="BP270">
        <v>8</v>
      </c>
      <c r="BQ270" t="str">
        <f>"8:00 AM"</f>
        <v>8:00 AM</v>
      </c>
      <c r="BR270" t="str">
        <f>"4:00 PM"</f>
        <v>4:00 PM</v>
      </c>
      <c r="BS270" t="s">
        <v>133</v>
      </c>
      <c r="BT270">
        <v>0</v>
      </c>
      <c r="BU270">
        <v>0</v>
      </c>
      <c r="BV270" t="s">
        <v>134</v>
      </c>
      <c r="BX270" t="s">
        <v>10027</v>
      </c>
      <c r="BY270" t="s">
        <v>5853</v>
      </c>
      <c r="CA270" t="s">
        <v>408</v>
      </c>
      <c r="CB270" t="s">
        <v>394</v>
      </c>
      <c r="CC270" s="4" t="str">
        <f>"29928"</f>
        <v>29928</v>
      </c>
      <c r="CD270" t="s">
        <v>409</v>
      </c>
      <c r="CE270" t="s">
        <v>410</v>
      </c>
      <c r="CF270" s="6">
        <v>16</v>
      </c>
      <c r="CG270" s="6">
        <v>16</v>
      </c>
      <c r="CH270" s="6">
        <v>24</v>
      </c>
      <c r="CI270" s="6">
        <v>24</v>
      </c>
      <c r="CJ270" t="s">
        <v>137</v>
      </c>
      <c r="CK270" t="s">
        <v>950</v>
      </c>
      <c r="CL270" t="s">
        <v>12722</v>
      </c>
      <c r="CO270" t="s">
        <v>138</v>
      </c>
      <c r="CP270" t="s">
        <v>114</v>
      </c>
      <c r="CQ270" t="s">
        <v>114</v>
      </c>
      <c r="CR270" t="s">
        <v>114</v>
      </c>
      <c r="CS270" t="s">
        <v>114</v>
      </c>
      <c r="CT270" t="s">
        <v>114</v>
      </c>
      <c r="CU270" t="s">
        <v>114</v>
      </c>
      <c r="CV270" s="2" t="s">
        <v>12723</v>
      </c>
      <c r="CW270" s="5" t="str">
        <f>"+18082056639"</f>
        <v>+18082056639</v>
      </c>
      <c r="CX270" t="s">
        <v>138</v>
      </c>
      <c r="CY270" t="s">
        <v>1247</v>
      </c>
      <c r="CZ270" t="s">
        <v>139</v>
      </c>
      <c r="DA270" t="s">
        <v>134</v>
      </c>
      <c r="DB270" t="s">
        <v>114</v>
      </c>
      <c r="DC270" t="s">
        <v>114</v>
      </c>
      <c r="DD270" t="s">
        <v>134</v>
      </c>
    </row>
    <row r="271" spans="1:108" ht="15" customHeight="1" x14ac:dyDescent="0.25">
      <c r="A271" t="s">
        <v>10889</v>
      </c>
      <c r="B271" t="s">
        <v>165</v>
      </c>
      <c r="C271" s="1">
        <v>44896.011699421295</v>
      </c>
      <c r="D271" s="1">
        <v>44922</v>
      </c>
      <c r="E271" t="s">
        <v>114</v>
      </c>
      <c r="F271" t="s">
        <v>10890</v>
      </c>
      <c r="G271" t="str">
        <f>"35-2011.00"</f>
        <v>35-2011.00</v>
      </c>
      <c r="H271" t="s">
        <v>3923</v>
      </c>
      <c r="I271">
        <v>15</v>
      </c>
      <c r="J271">
        <v>15</v>
      </c>
      <c r="K271" s="1">
        <v>44986</v>
      </c>
      <c r="L271" s="1">
        <v>45284</v>
      </c>
      <c r="M271" s="1">
        <v>44986</v>
      </c>
      <c r="N271" s="1">
        <v>45284</v>
      </c>
      <c r="O271" t="s">
        <v>117</v>
      </c>
      <c r="P271" t="s">
        <v>10891</v>
      </c>
      <c r="Q271" t="s">
        <v>10892</v>
      </c>
      <c r="R271" t="s">
        <v>10893</v>
      </c>
      <c r="T271" t="s">
        <v>10894</v>
      </c>
      <c r="U271" t="s">
        <v>119</v>
      </c>
      <c r="V271" s="4" t="str">
        <f>"27106"</f>
        <v>27106</v>
      </c>
      <c r="W271" t="s">
        <v>120</v>
      </c>
      <c r="Y271" s="5">
        <v>13368937831</v>
      </c>
      <c r="AA271">
        <v>72251</v>
      </c>
      <c r="AB271" t="s">
        <v>1480</v>
      </c>
      <c r="AC271" t="s">
        <v>10895</v>
      </c>
      <c r="AE271" t="s">
        <v>424</v>
      </c>
      <c r="AF271" t="s">
        <v>10896</v>
      </c>
      <c r="AH271" t="s">
        <v>10013</v>
      </c>
      <c r="AI271" t="s">
        <v>119</v>
      </c>
      <c r="AJ271" s="4" t="str">
        <f>"28625"</f>
        <v>28625</v>
      </c>
      <c r="AK271" t="s">
        <v>120</v>
      </c>
      <c r="AM271" s="5">
        <v>17325519192</v>
      </c>
      <c r="AO271" t="s">
        <v>10897</v>
      </c>
      <c r="AP271" t="s">
        <v>256</v>
      </c>
      <c r="AQ271" t="s">
        <v>1615</v>
      </c>
      <c r="AR271" t="s">
        <v>1616</v>
      </c>
      <c r="AT271" t="s">
        <v>1617</v>
      </c>
      <c r="AV271" t="s">
        <v>1618</v>
      </c>
      <c r="AW271" t="s">
        <v>444</v>
      </c>
      <c r="AX271" s="4" t="str">
        <f>"93446"</f>
        <v>93446</v>
      </c>
      <c r="AY271" t="s">
        <v>120</v>
      </c>
      <c r="AZ271" t="s">
        <v>1619</v>
      </c>
      <c r="BA271" s="5">
        <v>13217042589</v>
      </c>
      <c r="BC271" t="s">
        <v>1620</v>
      </c>
      <c r="BD271" t="s">
        <v>1621</v>
      </c>
      <c r="BG271" t="s">
        <v>119</v>
      </c>
      <c r="BH271" s="1">
        <v>44895.791666666664</v>
      </c>
      <c r="BI271">
        <v>35</v>
      </c>
      <c r="BJ271">
        <v>5</v>
      </c>
      <c r="BK271">
        <v>5</v>
      </c>
      <c r="BL271">
        <v>5</v>
      </c>
      <c r="BM271">
        <v>5</v>
      </c>
      <c r="BN271">
        <v>5</v>
      </c>
      <c r="BO271">
        <v>5</v>
      </c>
      <c r="BP271">
        <v>5</v>
      </c>
      <c r="BQ271" t="str">
        <f>"9:00 AM"</f>
        <v>9:00 AM</v>
      </c>
      <c r="BR271" t="str">
        <f>"11:00 PM"</f>
        <v>11:00 PM</v>
      </c>
      <c r="BS271" t="s">
        <v>133</v>
      </c>
      <c r="BT271">
        <v>0</v>
      </c>
      <c r="BU271">
        <v>0</v>
      </c>
      <c r="BV271" t="s">
        <v>134</v>
      </c>
      <c r="BX271" s="2" t="s">
        <v>10898</v>
      </c>
      <c r="BY271" t="s">
        <v>10899</v>
      </c>
      <c r="CA271" t="s">
        <v>10894</v>
      </c>
      <c r="CB271" t="s">
        <v>119</v>
      </c>
      <c r="CC271" s="4" t="str">
        <f>"27106"</f>
        <v>27106</v>
      </c>
      <c r="CD271" t="s">
        <v>4083</v>
      </c>
      <c r="CE271" t="s">
        <v>188</v>
      </c>
      <c r="CF271" s="6">
        <v>9.93</v>
      </c>
      <c r="CG271" s="6">
        <v>9.93</v>
      </c>
      <c r="CH271" s="6">
        <v>14.9</v>
      </c>
      <c r="CI271" s="6">
        <v>14.9</v>
      </c>
      <c r="CJ271" t="s">
        <v>137</v>
      </c>
      <c r="CK271" t="s">
        <v>1623</v>
      </c>
      <c r="CL271" t="s">
        <v>10900</v>
      </c>
      <c r="CO271" t="s">
        <v>138</v>
      </c>
      <c r="CP271" t="s">
        <v>134</v>
      </c>
      <c r="CQ271" t="s">
        <v>114</v>
      </c>
      <c r="CR271" t="s">
        <v>114</v>
      </c>
      <c r="CS271" t="s">
        <v>114</v>
      </c>
      <c r="CT271" t="s">
        <v>114</v>
      </c>
      <c r="CU271" t="s">
        <v>114</v>
      </c>
      <c r="CV271" t="s">
        <v>10901</v>
      </c>
      <c r="CW271" s="5" t="str">
        <f>"+17325519192"</f>
        <v>+17325519192</v>
      </c>
      <c r="CX271" t="s">
        <v>10897</v>
      </c>
      <c r="CY271" t="s">
        <v>138</v>
      </c>
      <c r="CZ271" t="s">
        <v>139</v>
      </c>
      <c r="DA271" t="s">
        <v>134</v>
      </c>
      <c r="DB271" t="s">
        <v>134</v>
      </c>
      <c r="DC271" t="s">
        <v>114</v>
      </c>
      <c r="DD271" t="s">
        <v>134</v>
      </c>
    </row>
    <row r="272" spans="1:108" ht="15" customHeight="1" x14ac:dyDescent="0.25">
      <c r="A272" t="s">
        <v>16072</v>
      </c>
      <c r="B272" t="s">
        <v>165</v>
      </c>
      <c r="C272" s="1">
        <v>44896.010800694443</v>
      </c>
      <c r="D272" s="1">
        <v>44922</v>
      </c>
      <c r="E272" t="s">
        <v>134</v>
      </c>
      <c r="F272" t="s">
        <v>16073</v>
      </c>
      <c r="G272" t="str">
        <f>"39-9032.00"</f>
        <v>39-9032.00</v>
      </c>
      <c r="H272" t="s">
        <v>4287</v>
      </c>
      <c r="I272">
        <v>1</v>
      </c>
      <c r="J272">
        <v>1</v>
      </c>
      <c r="K272" s="1">
        <v>44986</v>
      </c>
      <c r="L272" s="1">
        <v>45230</v>
      </c>
      <c r="M272" s="1">
        <v>44986</v>
      </c>
      <c r="N272" s="1">
        <v>45230</v>
      </c>
      <c r="O272" t="s">
        <v>199</v>
      </c>
      <c r="P272" t="s">
        <v>5848</v>
      </c>
      <c r="R272" t="s">
        <v>5849</v>
      </c>
      <c r="T272" t="s">
        <v>393</v>
      </c>
      <c r="U272" t="s">
        <v>394</v>
      </c>
      <c r="V272" s="4" t="str">
        <f>"29928"</f>
        <v>29928</v>
      </c>
      <c r="W272" t="s">
        <v>120</v>
      </c>
      <c r="Y272" s="5">
        <v>18436867392</v>
      </c>
      <c r="AA272">
        <v>7211</v>
      </c>
      <c r="AB272" t="s">
        <v>5850</v>
      </c>
      <c r="AC272" t="s">
        <v>5851</v>
      </c>
      <c r="AE272" t="s">
        <v>5852</v>
      </c>
      <c r="AF272" t="s">
        <v>5853</v>
      </c>
      <c r="AH272" t="s">
        <v>408</v>
      </c>
      <c r="AI272" t="s">
        <v>394</v>
      </c>
      <c r="AJ272" s="4" t="str">
        <f>"29928"</f>
        <v>29928</v>
      </c>
      <c r="AK272" t="s">
        <v>120</v>
      </c>
      <c r="AM272" s="5">
        <v>18082056639</v>
      </c>
      <c r="AO272" t="s">
        <v>5854</v>
      </c>
      <c r="AP272" t="s">
        <v>256</v>
      </c>
      <c r="AQ272" t="s">
        <v>400</v>
      </c>
      <c r="AR272" t="s">
        <v>401</v>
      </c>
      <c r="AS272" t="s">
        <v>397</v>
      </c>
      <c r="AT272" t="s">
        <v>402</v>
      </c>
      <c r="AU272" t="s">
        <v>152</v>
      </c>
      <c r="AV272" t="s">
        <v>403</v>
      </c>
      <c r="AW272" t="s">
        <v>232</v>
      </c>
      <c r="AX272" s="4" t="str">
        <f>"75033"</f>
        <v>75033</v>
      </c>
      <c r="AY272" t="s">
        <v>120</v>
      </c>
      <c r="BA272" s="5">
        <v>19727789690</v>
      </c>
      <c r="BC272" t="s">
        <v>5927</v>
      </c>
      <c r="BD272" t="s">
        <v>405</v>
      </c>
      <c r="BG272" t="s">
        <v>394</v>
      </c>
      <c r="BH272" s="1">
        <v>44895.791666666664</v>
      </c>
      <c r="BI272">
        <v>40</v>
      </c>
      <c r="BJ272">
        <v>8</v>
      </c>
      <c r="BK272">
        <v>8</v>
      </c>
      <c r="BL272">
        <v>0</v>
      </c>
      <c r="BM272">
        <v>8</v>
      </c>
      <c r="BN272">
        <v>0</v>
      </c>
      <c r="BO272">
        <v>8</v>
      </c>
      <c r="BP272">
        <v>8</v>
      </c>
      <c r="BQ272" t="str">
        <f>"7:00 AM"</f>
        <v>7:00 AM</v>
      </c>
      <c r="BR272" t="str">
        <f>"3:00 PM"</f>
        <v>3:00 PM</v>
      </c>
      <c r="BS272" t="s">
        <v>133</v>
      </c>
      <c r="BT272">
        <v>0</v>
      </c>
      <c r="BU272">
        <v>0</v>
      </c>
      <c r="BV272" t="s">
        <v>134</v>
      </c>
      <c r="BX272" s="2" t="s">
        <v>16074</v>
      </c>
      <c r="BY272" t="s">
        <v>16075</v>
      </c>
      <c r="CA272" t="s">
        <v>408</v>
      </c>
      <c r="CB272" t="s">
        <v>394</v>
      </c>
      <c r="CC272" s="4" t="str">
        <f>"29928"</f>
        <v>29928</v>
      </c>
      <c r="CD272" t="s">
        <v>409</v>
      </c>
      <c r="CE272" t="s">
        <v>410</v>
      </c>
      <c r="CF272" s="6">
        <v>16</v>
      </c>
      <c r="CG272" s="6">
        <v>16</v>
      </c>
      <c r="CH272" s="6">
        <v>24</v>
      </c>
      <c r="CI272" s="6">
        <v>24</v>
      </c>
      <c r="CJ272" t="s">
        <v>137</v>
      </c>
      <c r="CK272" t="s">
        <v>950</v>
      </c>
      <c r="CL272" t="s">
        <v>16076</v>
      </c>
      <c r="CO272" t="s">
        <v>138</v>
      </c>
      <c r="CP272" t="s">
        <v>134</v>
      </c>
      <c r="CQ272" t="s">
        <v>134</v>
      </c>
      <c r="CR272" t="s">
        <v>114</v>
      </c>
      <c r="CS272" t="s">
        <v>114</v>
      </c>
      <c r="CT272" t="s">
        <v>114</v>
      </c>
      <c r="CU272" t="s">
        <v>114</v>
      </c>
      <c r="CV272" s="2" t="s">
        <v>5930</v>
      </c>
      <c r="CW272" s="5" t="str">
        <f>"+18082056639"</f>
        <v>+18082056639</v>
      </c>
      <c r="CX272" t="s">
        <v>138</v>
      </c>
      <c r="CY272" t="s">
        <v>1247</v>
      </c>
      <c r="CZ272" t="s">
        <v>139</v>
      </c>
      <c r="DA272" t="s">
        <v>134</v>
      </c>
      <c r="DB272" t="s">
        <v>114</v>
      </c>
      <c r="DC272" t="s">
        <v>114</v>
      </c>
      <c r="DD272" t="s">
        <v>134</v>
      </c>
    </row>
    <row r="273" spans="1:113" ht="15" customHeight="1" x14ac:dyDescent="0.25">
      <c r="A273" t="s">
        <v>14939</v>
      </c>
      <c r="B273" t="s">
        <v>165</v>
      </c>
      <c r="C273" s="1">
        <v>44896.010692476855</v>
      </c>
      <c r="D273" s="1">
        <v>44922</v>
      </c>
      <c r="E273" t="s">
        <v>134</v>
      </c>
      <c r="F273" t="s">
        <v>3088</v>
      </c>
      <c r="G273" t="str">
        <f>"45-2092.00"</f>
        <v>45-2092.00</v>
      </c>
      <c r="H273" t="s">
        <v>3089</v>
      </c>
      <c r="I273">
        <v>3</v>
      </c>
      <c r="J273">
        <v>3</v>
      </c>
      <c r="K273" s="1">
        <v>44986</v>
      </c>
      <c r="L273" s="1">
        <v>45260</v>
      </c>
      <c r="M273" s="1">
        <v>44986</v>
      </c>
      <c r="N273" s="1">
        <v>45260</v>
      </c>
      <c r="O273" t="s">
        <v>199</v>
      </c>
      <c r="P273" t="s">
        <v>11703</v>
      </c>
      <c r="R273" t="s">
        <v>11704</v>
      </c>
      <c r="T273" t="s">
        <v>11705</v>
      </c>
      <c r="U273" t="s">
        <v>848</v>
      </c>
      <c r="V273" s="4" t="str">
        <f>"11746"</f>
        <v>11746</v>
      </c>
      <c r="W273" t="s">
        <v>120</v>
      </c>
      <c r="Y273" s="5">
        <v>16314625952</v>
      </c>
      <c r="AA273">
        <v>44422</v>
      </c>
      <c r="AB273" t="s">
        <v>11706</v>
      </c>
      <c r="AC273" t="s">
        <v>6919</v>
      </c>
      <c r="AE273" t="s">
        <v>700</v>
      </c>
      <c r="AF273" t="s">
        <v>11704</v>
      </c>
      <c r="AH273" t="s">
        <v>11705</v>
      </c>
      <c r="AI273" t="s">
        <v>848</v>
      </c>
      <c r="AJ273" s="4" t="str">
        <f>"11746"</f>
        <v>11746</v>
      </c>
      <c r="AK273" t="s">
        <v>120</v>
      </c>
      <c r="AM273" s="5">
        <v>16314625952</v>
      </c>
      <c r="AO273" t="s">
        <v>138</v>
      </c>
      <c r="AP273" t="s">
        <v>256</v>
      </c>
      <c r="AQ273" t="s">
        <v>1220</v>
      </c>
      <c r="AR273" t="s">
        <v>1221</v>
      </c>
      <c r="AT273" t="s">
        <v>1222</v>
      </c>
      <c r="AV273" t="s">
        <v>1223</v>
      </c>
      <c r="AW273" t="s">
        <v>848</v>
      </c>
      <c r="AX273" s="4" t="str">
        <f>"11590"</f>
        <v>11590</v>
      </c>
      <c r="AY273" t="s">
        <v>120</v>
      </c>
      <c r="BA273" s="5">
        <v>15163307168</v>
      </c>
      <c r="BC273" t="s">
        <v>1224</v>
      </c>
      <c r="BD273" t="s">
        <v>1225</v>
      </c>
      <c r="BG273" t="s">
        <v>848</v>
      </c>
      <c r="BH273" s="1">
        <v>44893.791666666664</v>
      </c>
      <c r="BI273">
        <v>40</v>
      </c>
      <c r="BJ273">
        <v>0</v>
      </c>
      <c r="BK273">
        <v>8</v>
      </c>
      <c r="BL273">
        <v>8</v>
      </c>
      <c r="BM273">
        <v>8</v>
      </c>
      <c r="BN273">
        <v>8</v>
      </c>
      <c r="BO273">
        <v>8</v>
      </c>
      <c r="BP273">
        <v>0</v>
      </c>
      <c r="BQ273" t="str">
        <f>"8:00 AM"</f>
        <v>8:00 AM</v>
      </c>
      <c r="BR273" t="str">
        <f>"4:00 PM"</f>
        <v>4:00 PM</v>
      </c>
      <c r="BS273" t="s">
        <v>133</v>
      </c>
      <c r="BT273">
        <v>0</v>
      </c>
      <c r="BU273">
        <v>0</v>
      </c>
      <c r="BV273" t="s">
        <v>134</v>
      </c>
      <c r="BX273" t="s">
        <v>138</v>
      </c>
      <c r="BY273" t="s">
        <v>11707</v>
      </c>
      <c r="CA273" t="s">
        <v>11708</v>
      </c>
      <c r="CB273" t="s">
        <v>848</v>
      </c>
      <c r="CC273" s="4" t="str">
        <f>"11746"</f>
        <v>11746</v>
      </c>
      <c r="CD273" t="s">
        <v>1227</v>
      </c>
      <c r="CE273" t="s">
        <v>1009</v>
      </c>
      <c r="CF273" s="6">
        <v>16.48</v>
      </c>
      <c r="CG273" s="6">
        <v>16.48</v>
      </c>
      <c r="CH273" s="6">
        <v>24.72</v>
      </c>
      <c r="CI273" s="6">
        <v>24.72</v>
      </c>
      <c r="CJ273" t="s">
        <v>137</v>
      </c>
      <c r="CK273" t="s">
        <v>138</v>
      </c>
      <c r="CL273" t="s">
        <v>11709</v>
      </c>
      <c r="CO273" t="s">
        <v>138</v>
      </c>
      <c r="CP273" t="s">
        <v>134</v>
      </c>
      <c r="CQ273" t="s">
        <v>134</v>
      </c>
      <c r="CR273" t="s">
        <v>114</v>
      </c>
      <c r="CS273" t="s">
        <v>134</v>
      </c>
      <c r="CT273" t="s">
        <v>114</v>
      </c>
      <c r="CU273" t="s">
        <v>134</v>
      </c>
      <c r="CV273" t="s">
        <v>219</v>
      </c>
      <c r="CW273" s="5" t="str">
        <f>"+16314625952"</f>
        <v>+16314625952</v>
      </c>
      <c r="CX273" t="s">
        <v>11710</v>
      </c>
      <c r="CY273" t="s">
        <v>138</v>
      </c>
      <c r="CZ273" t="s">
        <v>139</v>
      </c>
      <c r="DA273" t="s">
        <v>134</v>
      </c>
      <c r="DB273" t="s">
        <v>134</v>
      </c>
      <c r="DC273" t="s">
        <v>114</v>
      </c>
      <c r="DD273" t="s">
        <v>134</v>
      </c>
    </row>
    <row r="274" spans="1:113" ht="15" customHeight="1" x14ac:dyDescent="0.25">
      <c r="A274" t="s">
        <v>5544</v>
      </c>
      <c r="B274" t="s">
        <v>165</v>
      </c>
      <c r="C274" s="1">
        <v>44896.009754513892</v>
      </c>
      <c r="D274" s="1">
        <v>44922</v>
      </c>
      <c r="E274" t="s">
        <v>134</v>
      </c>
      <c r="F274" t="s">
        <v>5545</v>
      </c>
      <c r="G274" t="str">
        <f>"49-3091.00"</f>
        <v>49-3091.00</v>
      </c>
      <c r="H274" t="s">
        <v>5546</v>
      </c>
      <c r="I274">
        <v>3</v>
      </c>
      <c r="J274">
        <v>3</v>
      </c>
      <c r="K274" s="1">
        <v>44986</v>
      </c>
      <c r="L274" s="1">
        <v>45260</v>
      </c>
      <c r="M274" s="1">
        <v>44986</v>
      </c>
      <c r="N274" s="1">
        <v>45260</v>
      </c>
      <c r="O274" t="s">
        <v>117</v>
      </c>
      <c r="P274" t="s">
        <v>1231</v>
      </c>
      <c r="Q274" t="s">
        <v>1232</v>
      </c>
      <c r="R274" t="s">
        <v>1233</v>
      </c>
      <c r="T274" t="s">
        <v>1234</v>
      </c>
      <c r="U274" t="s">
        <v>394</v>
      </c>
      <c r="V274" s="4" t="str">
        <f>"29455"</f>
        <v>29455</v>
      </c>
      <c r="W274" t="s">
        <v>120</v>
      </c>
      <c r="Y274" s="5">
        <v>18437682700</v>
      </c>
      <c r="AA274">
        <v>7211</v>
      </c>
      <c r="AB274" t="s">
        <v>1235</v>
      </c>
      <c r="AC274" t="s">
        <v>1236</v>
      </c>
      <c r="AE274" t="s">
        <v>398</v>
      </c>
      <c r="AF274" t="s">
        <v>1237</v>
      </c>
      <c r="AH274" t="s">
        <v>1234</v>
      </c>
      <c r="AI274" t="s">
        <v>394</v>
      </c>
      <c r="AJ274" s="4" t="str">
        <f>"29455"</f>
        <v>29455</v>
      </c>
      <c r="AK274" t="s">
        <v>120</v>
      </c>
      <c r="AM274" s="5">
        <v>18437682700</v>
      </c>
      <c r="AO274" t="s">
        <v>1238</v>
      </c>
      <c r="AP274" t="s">
        <v>256</v>
      </c>
      <c r="AQ274" t="s">
        <v>400</v>
      </c>
      <c r="AR274" t="s">
        <v>401</v>
      </c>
      <c r="AS274" t="s">
        <v>397</v>
      </c>
      <c r="AT274" t="s">
        <v>402</v>
      </c>
      <c r="AU274" t="s">
        <v>152</v>
      </c>
      <c r="AV274" t="s">
        <v>403</v>
      </c>
      <c r="AW274" t="s">
        <v>232</v>
      </c>
      <c r="AX274" s="4" t="str">
        <f>"75033"</f>
        <v>75033</v>
      </c>
      <c r="AY274" t="s">
        <v>120</v>
      </c>
      <c r="BA274" s="5">
        <v>19727789690</v>
      </c>
      <c r="BC274" t="s">
        <v>1239</v>
      </c>
      <c r="BD274" t="s">
        <v>405</v>
      </c>
      <c r="BG274" t="s">
        <v>394</v>
      </c>
      <c r="BH274" s="1">
        <v>44895.791666666664</v>
      </c>
      <c r="BI274">
        <v>40</v>
      </c>
      <c r="BJ274">
        <v>8</v>
      </c>
      <c r="BK274">
        <v>8</v>
      </c>
      <c r="BL274">
        <v>0</v>
      </c>
      <c r="BM274">
        <v>8</v>
      </c>
      <c r="BN274">
        <v>0</v>
      </c>
      <c r="BO274">
        <v>8</v>
      </c>
      <c r="BP274">
        <v>8</v>
      </c>
      <c r="BQ274" t="str">
        <f>"6:00 AM"</f>
        <v>6:00 AM</v>
      </c>
      <c r="BR274" t="str">
        <f>"2:00 PM"</f>
        <v>2:00 PM</v>
      </c>
      <c r="BS274" t="s">
        <v>133</v>
      </c>
      <c r="BT274">
        <v>0</v>
      </c>
      <c r="BU274">
        <v>0</v>
      </c>
      <c r="BV274" t="s">
        <v>134</v>
      </c>
      <c r="BX274" t="s">
        <v>1240</v>
      </c>
      <c r="BY274" t="s">
        <v>1241</v>
      </c>
      <c r="CA274" t="s">
        <v>1242</v>
      </c>
      <c r="CB274" t="s">
        <v>394</v>
      </c>
      <c r="CC274" s="4" t="str">
        <f>"29455"</f>
        <v>29455</v>
      </c>
      <c r="CD274" t="s">
        <v>1243</v>
      </c>
      <c r="CE274" t="s">
        <v>1244</v>
      </c>
      <c r="CF274" s="6">
        <v>16.100000000000001</v>
      </c>
      <c r="CG274" s="6">
        <v>16.100000000000001</v>
      </c>
      <c r="CH274" s="6">
        <v>24.15</v>
      </c>
      <c r="CI274" s="6">
        <v>24.15</v>
      </c>
      <c r="CJ274" t="s">
        <v>137</v>
      </c>
      <c r="CK274" t="s">
        <v>950</v>
      </c>
      <c r="CL274" t="s">
        <v>5547</v>
      </c>
      <c r="CO274" t="s">
        <v>138</v>
      </c>
      <c r="CP274" t="s">
        <v>134</v>
      </c>
      <c r="CQ274" t="s">
        <v>114</v>
      </c>
      <c r="CR274" t="s">
        <v>114</v>
      </c>
      <c r="CS274" t="s">
        <v>114</v>
      </c>
      <c r="CT274" t="s">
        <v>114</v>
      </c>
      <c r="CU274" t="s">
        <v>114</v>
      </c>
      <c r="CV274" s="2" t="s">
        <v>1246</v>
      </c>
      <c r="CW274" s="5" t="str">
        <f>"+18437682700"</f>
        <v>+18437682700</v>
      </c>
      <c r="CX274" t="s">
        <v>138</v>
      </c>
      <c r="CY274" t="s">
        <v>5548</v>
      </c>
      <c r="CZ274" t="s">
        <v>139</v>
      </c>
      <c r="DA274" t="s">
        <v>134</v>
      </c>
      <c r="DB274" t="s">
        <v>114</v>
      </c>
      <c r="DC274" t="s">
        <v>114</v>
      </c>
      <c r="DD274" t="s">
        <v>134</v>
      </c>
    </row>
    <row r="275" spans="1:113" ht="15" customHeight="1" x14ac:dyDescent="0.25">
      <c r="A275" t="s">
        <v>3956</v>
      </c>
      <c r="B275" t="s">
        <v>165</v>
      </c>
      <c r="C275" s="1">
        <v>44896.009574189811</v>
      </c>
      <c r="D275" s="1">
        <v>44922</v>
      </c>
      <c r="E275" t="s">
        <v>134</v>
      </c>
      <c r="F275" t="s">
        <v>1219</v>
      </c>
      <c r="G275" t="str">
        <f>"37-3011.00"</f>
        <v>37-3011.00</v>
      </c>
      <c r="H275" t="s">
        <v>335</v>
      </c>
      <c r="I275">
        <v>4</v>
      </c>
      <c r="J275">
        <v>4</v>
      </c>
      <c r="K275" s="1">
        <v>44986</v>
      </c>
      <c r="L275" s="1">
        <v>45280</v>
      </c>
      <c r="M275" s="1">
        <v>44986</v>
      </c>
      <c r="N275" s="1">
        <v>45280</v>
      </c>
      <c r="O275" t="s">
        <v>199</v>
      </c>
      <c r="P275" t="s">
        <v>3957</v>
      </c>
      <c r="R275" t="s">
        <v>3958</v>
      </c>
      <c r="T275" t="s">
        <v>1368</v>
      </c>
      <c r="U275" t="s">
        <v>848</v>
      </c>
      <c r="V275" s="4" t="str">
        <f>"11969"</f>
        <v>11969</v>
      </c>
      <c r="W275" t="s">
        <v>120</v>
      </c>
      <c r="Y275" s="5">
        <v>16312877664</v>
      </c>
      <c r="AA275">
        <v>56173</v>
      </c>
      <c r="AB275" t="s">
        <v>3959</v>
      </c>
      <c r="AC275" t="s">
        <v>3960</v>
      </c>
      <c r="AE275" t="s">
        <v>700</v>
      </c>
      <c r="AF275" t="s">
        <v>3958</v>
      </c>
      <c r="AH275" t="s">
        <v>1368</v>
      </c>
      <c r="AI275" t="s">
        <v>848</v>
      </c>
      <c r="AJ275" s="4" t="str">
        <f>"11969"</f>
        <v>11969</v>
      </c>
      <c r="AK275" t="s">
        <v>120</v>
      </c>
      <c r="AM275" s="5">
        <v>16312877664</v>
      </c>
      <c r="AO275" t="s">
        <v>138</v>
      </c>
      <c r="AP275" t="s">
        <v>256</v>
      </c>
      <c r="AQ275" t="s">
        <v>1220</v>
      </c>
      <c r="AR275" t="s">
        <v>1221</v>
      </c>
      <c r="AT275" t="s">
        <v>1222</v>
      </c>
      <c r="AV275" t="s">
        <v>1223</v>
      </c>
      <c r="AW275" t="s">
        <v>848</v>
      </c>
      <c r="AX275" s="4" t="str">
        <f>"11590"</f>
        <v>11590</v>
      </c>
      <c r="AY275" t="s">
        <v>120</v>
      </c>
      <c r="BA275" s="5">
        <v>15163307168</v>
      </c>
      <c r="BC275" t="s">
        <v>1224</v>
      </c>
      <c r="BD275" t="s">
        <v>1225</v>
      </c>
      <c r="BG275" t="s">
        <v>848</v>
      </c>
      <c r="BH275" s="1">
        <v>44893.791666666664</v>
      </c>
      <c r="BI275">
        <v>40</v>
      </c>
      <c r="BJ275">
        <v>0</v>
      </c>
      <c r="BK275">
        <v>8</v>
      </c>
      <c r="BL275">
        <v>8</v>
      </c>
      <c r="BM275">
        <v>8</v>
      </c>
      <c r="BN275">
        <v>8</v>
      </c>
      <c r="BO275">
        <v>8</v>
      </c>
      <c r="BP275">
        <v>0</v>
      </c>
      <c r="BQ275" t="str">
        <f>"8:00 AM"</f>
        <v>8:00 AM</v>
      </c>
      <c r="BR275" t="str">
        <f>"4:00 PM"</f>
        <v>4:00 PM</v>
      </c>
      <c r="BS275" t="s">
        <v>133</v>
      </c>
      <c r="BT275">
        <v>0</v>
      </c>
      <c r="BU275">
        <v>0</v>
      </c>
      <c r="BV275" t="s">
        <v>134</v>
      </c>
      <c r="BX275" t="s">
        <v>138</v>
      </c>
      <c r="BY275" t="s">
        <v>3958</v>
      </c>
      <c r="CA275" t="s">
        <v>1368</v>
      </c>
      <c r="CB275" t="s">
        <v>848</v>
      </c>
      <c r="CC275" s="4" t="str">
        <f>"11968"</f>
        <v>11968</v>
      </c>
      <c r="CD275" t="s">
        <v>1227</v>
      </c>
      <c r="CE275" t="s">
        <v>1009</v>
      </c>
      <c r="CF275" s="6">
        <v>19.940000000000001</v>
      </c>
      <c r="CG275" s="6">
        <v>19.940000000000001</v>
      </c>
      <c r="CH275" s="6">
        <v>29.91</v>
      </c>
      <c r="CI275" s="6">
        <v>29.91</v>
      </c>
      <c r="CJ275" t="s">
        <v>137</v>
      </c>
      <c r="CK275" t="s">
        <v>138</v>
      </c>
      <c r="CL275" t="s">
        <v>3961</v>
      </c>
      <c r="CO275" t="s">
        <v>138</v>
      </c>
      <c r="CP275" t="s">
        <v>114</v>
      </c>
      <c r="CQ275" t="s">
        <v>114</v>
      </c>
      <c r="CR275" t="s">
        <v>114</v>
      </c>
      <c r="CS275" t="s">
        <v>134</v>
      </c>
      <c r="CT275" t="s">
        <v>114</v>
      </c>
      <c r="CU275" t="s">
        <v>134</v>
      </c>
      <c r="CV275" t="s">
        <v>219</v>
      </c>
      <c r="CW275" s="5" t="str">
        <f>"+16312877664"</f>
        <v>+16312877664</v>
      </c>
      <c r="CX275" t="s">
        <v>3962</v>
      </c>
      <c r="CY275" t="s">
        <v>138</v>
      </c>
      <c r="CZ275" t="s">
        <v>139</v>
      </c>
      <c r="DA275" t="s">
        <v>134</v>
      </c>
      <c r="DB275" t="s">
        <v>134</v>
      </c>
      <c r="DC275" t="s">
        <v>114</v>
      </c>
      <c r="DD275" t="s">
        <v>134</v>
      </c>
    </row>
    <row r="276" spans="1:113" ht="15" customHeight="1" x14ac:dyDescent="0.25">
      <c r="A276" t="s">
        <v>14815</v>
      </c>
      <c r="B276" t="s">
        <v>165</v>
      </c>
      <c r="C276" s="1">
        <v>44896.009227893519</v>
      </c>
      <c r="D276" s="1">
        <v>44922</v>
      </c>
      <c r="E276" t="s">
        <v>134</v>
      </c>
      <c r="F276" t="s">
        <v>1248</v>
      </c>
      <c r="G276" t="str">
        <f>"37-3011.00"</f>
        <v>37-3011.00</v>
      </c>
      <c r="H276" t="s">
        <v>335</v>
      </c>
      <c r="I276">
        <v>10</v>
      </c>
      <c r="J276">
        <v>10</v>
      </c>
      <c r="K276" s="1">
        <v>44986</v>
      </c>
      <c r="L276" s="1">
        <v>45260</v>
      </c>
      <c r="M276" s="1">
        <v>44986</v>
      </c>
      <c r="N276" s="1">
        <v>45260</v>
      </c>
      <c r="O276" t="s">
        <v>117</v>
      </c>
      <c r="P276" t="s">
        <v>14816</v>
      </c>
      <c r="R276" t="s">
        <v>14817</v>
      </c>
      <c r="T276" t="s">
        <v>4143</v>
      </c>
      <c r="U276" t="s">
        <v>619</v>
      </c>
      <c r="V276" s="4" t="str">
        <f>"40517"</f>
        <v>40517</v>
      </c>
      <c r="W276" t="s">
        <v>120</v>
      </c>
      <c r="Y276" s="5">
        <v>18593218080</v>
      </c>
      <c r="AA276">
        <v>5617</v>
      </c>
      <c r="AB276" t="s">
        <v>14818</v>
      </c>
      <c r="AC276" t="s">
        <v>6731</v>
      </c>
      <c r="AE276" t="s">
        <v>700</v>
      </c>
      <c r="AF276" t="s">
        <v>14819</v>
      </c>
      <c r="AH276" t="s">
        <v>4143</v>
      </c>
      <c r="AI276" t="s">
        <v>619</v>
      </c>
      <c r="AJ276" s="4" t="str">
        <f>"40517"</f>
        <v>40517</v>
      </c>
      <c r="AK276" t="s">
        <v>120</v>
      </c>
      <c r="AM276" s="5">
        <v>18593218080</v>
      </c>
      <c r="AO276" t="s">
        <v>14820</v>
      </c>
      <c r="AP276" t="s">
        <v>256</v>
      </c>
      <c r="AQ276" t="s">
        <v>1615</v>
      </c>
      <c r="AR276" t="s">
        <v>1616</v>
      </c>
      <c r="AT276" t="s">
        <v>1617</v>
      </c>
      <c r="AV276" t="s">
        <v>1618</v>
      </c>
      <c r="AW276" t="s">
        <v>444</v>
      </c>
      <c r="AX276" s="4" t="str">
        <f>"93446"</f>
        <v>93446</v>
      </c>
      <c r="AY276" t="s">
        <v>120</v>
      </c>
      <c r="AZ276" t="s">
        <v>1619</v>
      </c>
      <c r="BA276" s="5">
        <v>13217042589</v>
      </c>
      <c r="BC276" t="s">
        <v>1620</v>
      </c>
      <c r="BD276" t="s">
        <v>1621</v>
      </c>
      <c r="BG276" t="s">
        <v>619</v>
      </c>
      <c r="BH276" s="1">
        <v>44895.791666666664</v>
      </c>
      <c r="BI276">
        <v>40</v>
      </c>
      <c r="BJ276">
        <v>0</v>
      </c>
      <c r="BK276">
        <v>8</v>
      </c>
      <c r="BL276">
        <v>8</v>
      </c>
      <c r="BM276">
        <v>8</v>
      </c>
      <c r="BN276">
        <v>8</v>
      </c>
      <c r="BO276">
        <v>8</v>
      </c>
      <c r="BP276">
        <v>0</v>
      </c>
      <c r="BQ276" t="str">
        <f>"7:00 AM"</f>
        <v>7:00 AM</v>
      </c>
      <c r="BR276" t="str">
        <f>"4:00 PM"</f>
        <v>4:00 PM</v>
      </c>
      <c r="BS276" t="s">
        <v>133</v>
      </c>
      <c r="BT276">
        <v>0</v>
      </c>
      <c r="BU276">
        <v>0</v>
      </c>
      <c r="BV276" t="s">
        <v>134</v>
      </c>
      <c r="BX276" s="2" t="s">
        <v>14821</v>
      </c>
      <c r="BY276" t="s">
        <v>14822</v>
      </c>
      <c r="CA276" t="s">
        <v>1706</v>
      </c>
      <c r="CB276" t="s">
        <v>619</v>
      </c>
      <c r="CC276" s="4" t="str">
        <f>"40502"</f>
        <v>40502</v>
      </c>
      <c r="CD276" t="s">
        <v>1707</v>
      </c>
      <c r="CE276" t="s">
        <v>1708</v>
      </c>
      <c r="CF276" s="6">
        <v>15.4</v>
      </c>
      <c r="CG276" s="6">
        <v>15.4</v>
      </c>
      <c r="CH276" s="6">
        <v>23.1</v>
      </c>
      <c r="CI276" s="6">
        <v>23.1</v>
      </c>
      <c r="CJ276" t="s">
        <v>137</v>
      </c>
      <c r="CK276" t="s">
        <v>1623</v>
      </c>
      <c r="CL276" t="s">
        <v>14823</v>
      </c>
      <c r="CO276" t="s">
        <v>138</v>
      </c>
      <c r="CP276" t="s">
        <v>114</v>
      </c>
      <c r="CQ276" t="s">
        <v>114</v>
      </c>
      <c r="CR276" t="s">
        <v>114</v>
      </c>
      <c r="CS276" t="s">
        <v>114</v>
      </c>
      <c r="CT276" t="s">
        <v>114</v>
      </c>
      <c r="CU276" t="s">
        <v>134</v>
      </c>
      <c r="CV276" t="s">
        <v>138</v>
      </c>
      <c r="CW276" s="5" t="str">
        <f>"+18593218080"</f>
        <v>+18593218080</v>
      </c>
      <c r="CX276" t="s">
        <v>138</v>
      </c>
      <c r="CY276" t="s">
        <v>14824</v>
      </c>
      <c r="CZ276" t="s">
        <v>139</v>
      </c>
      <c r="DA276" t="s">
        <v>134</v>
      </c>
      <c r="DB276" t="s">
        <v>134</v>
      </c>
      <c r="DC276" t="s">
        <v>114</v>
      </c>
      <c r="DD276" t="s">
        <v>134</v>
      </c>
    </row>
    <row r="277" spans="1:113" ht="15" customHeight="1" x14ac:dyDescent="0.25">
      <c r="A277" t="s">
        <v>9930</v>
      </c>
      <c r="B277" t="s">
        <v>165</v>
      </c>
      <c r="C277" s="1">
        <v>44896.006981365739</v>
      </c>
      <c r="D277" s="1">
        <v>44922</v>
      </c>
      <c r="E277" t="s">
        <v>134</v>
      </c>
      <c r="F277" t="s">
        <v>9931</v>
      </c>
      <c r="G277" t="str">
        <f>"37-3011.00"</f>
        <v>37-3011.00</v>
      </c>
      <c r="H277" t="s">
        <v>335</v>
      </c>
      <c r="I277">
        <v>5</v>
      </c>
      <c r="J277">
        <v>5</v>
      </c>
      <c r="K277" s="1">
        <v>44986</v>
      </c>
      <c r="L277" s="1">
        <v>45275</v>
      </c>
      <c r="M277" s="1">
        <v>44986</v>
      </c>
      <c r="N277" s="1">
        <v>45275</v>
      </c>
      <c r="O277" t="s">
        <v>117</v>
      </c>
      <c r="P277" t="s">
        <v>9932</v>
      </c>
      <c r="R277" t="s">
        <v>9933</v>
      </c>
      <c r="T277" t="s">
        <v>9934</v>
      </c>
      <c r="U277" t="s">
        <v>1361</v>
      </c>
      <c r="V277" s="4" t="str">
        <f>"39071"</f>
        <v>39071</v>
      </c>
      <c r="W277" t="s">
        <v>120</v>
      </c>
      <c r="Y277" s="5">
        <v>16016243305</v>
      </c>
      <c r="AA277">
        <v>56173</v>
      </c>
      <c r="AB277" t="s">
        <v>5966</v>
      </c>
      <c r="AC277" t="s">
        <v>7142</v>
      </c>
      <c r="AE277" t="s">
        <v>9935</v>
      </c>
      <c r="AF277" t="s">
        <v>9933</v>
      </c>
      <c r="AH277" t="s">
        <v>9934</v>
      </c>
      <c r="AI277" t="s">
        <v>1361</v>
      </c>
      <c r="AJ277" s="4" t="str">
        <f>"39071"</f>
        <v>39071</v>
      </c>
      <c r="AK277" t="s">
        <v>120</v>
      </c>
      <c r="AM277" s="5">
        <v>16016243305</v>
      </c>
      <c r="AO277" t="s">
        <v>9936</v>
      </c>
      <c r="AP277" t="s">
        <v>256</v>
      </c>
      <c r="AQ277" t="s">
        <v>1615</v>
      </c>
      <c r="AR277" t="s">
        <v>1616</v>
      </c>
      <c r="AT277" t="s">
        <v>1617</v>
      </c>
      <c r="AV277" t="s">
        <v>1618</v>
      </c>
      <c r="AW277" t="s">
        <v>444</v>
      </c>
      <c r="AX277" s="4" t="str">
        <f>"93446"</f>
        <v>93446</v>
      </c>
      <c r="AY277" t="s">
        <v>120</v>
      </c>
      <c r="AZ277" t="s">
        <v>1619</v>
      </c>
      <c r="BA277" s="5">
        <v>13217042589</v>
      </c>
      <c r="BC277" t="s">
        <v>1620</v>
      </c>
      <c r="BD277" t="s">
        <v>1621</v>
      </c>
      <c r="BG277" t="s">
        <v>1361</v>
      </c>
      <c r="BH277" s="1">
        <v>44895.791666666664</v>
      </c>
      <c r="BI277">
        <v>35</v>
      </c>
      <c r="BJ277">
        <v>0</v>
      </c>
      <c r="BK277">
        <v>7</v>
      </c>
      <c r="BL277">
        <v>7</v>
      </c>
      <c r="BM277">
        <v>7</v>
      </c>
      <c r="BN277">
        <v>7</v>
      </c>
      <c r="BO277">
        <v>7</v>
      </c>
      <c r="BP277">
        <v>0</v>
      </c>
      <c r="BQ277" t="str">
        <f>"7:00 AM"</f>
        <v>7:00 AM</v>
      </c>
      <c r="BR277" t="str">
        <f>"4:00 PM"</f>
        <v>4:00 PM</v>
      </c>
      <c r="BS277" t="s">
        <v>133</v>
      </c>
      <c r="BT277">
        <v>0</v>
      </c>
      <c r="BU277">
        <v>0</v>
      </c>
      <c r="BV277" t="s">
        <v>134</v>
      </c>
      <c r="BX277" s="2" t="s">
        <v>9937</v>
      </c>
      <c r="BY277" t="s">
        <v>9938</v>
      </c>
      <c r="CA277" t="s">
        <v>9934</v>
      </c>
      <c r="CB277" t="s">
        <v>1361</v>
      </c>
      <c r="CC277" s="4" t="str">
        <f>"39071"</f>
        <v>39071</v>
      </c>
      <c r="CD277" t="s">
        <v>2258</v>
      </c>
      <c r="CE277" t="s">
        <v>2675</v>
      </c>
      <c r="CF277" s="6">
        <v>13.53</v>
      </c>
      <c r="CG277" s="6">
        <v>13.53</v>
      </c>
      <c r="CH277" s="6">
        <v>20.3</v>
      </c>
      <c r="CI277" s="6">
        <v>20.3</v>
      </c>
      <c r="CJ277" t="s">
        <v>137</v>
      </c>
      <c r="CK277" t="s">
        <v>1623</v>
      </c>
      <c r="CL277" t="s">
        <v>9939</v>
      </c>
      <c r="CO277" t="s">
        <v>138</v>
      </c>
      <c r="CP277" t="s">
        <v>114</v>
      </c>
      <c r="CQ277" t="s">
        <v>114</v>
      </c>
      <c r="CR277" t="s">
        <v>114</v>
      </c>
      <c r="CS277" t="s">
        <v>114</v>
      </c>
      <c r="CT277" t="s">
        <v>114</v>
      </c>
      <c r="CU277" t="s">
        <v>114</v>
      </c>
      <c r="CV277" t="s">
        <v>9940</v>
      </c>
      <c r="CW277" s="5" t="str">
        <f>"+16016243305"</f>
        <v>+16016243305</v>
      </c>
      <c r="CX277" t="s">
        <v>9936</v>
      </c>
      <c r="CY277" t="s">
        <v>138</v>
      </c>
      <c r="CZ277" t="s">
        <v>139</v>
      </c>
      <c r="DA277" t="s">
        <v>134</v>
      </c>
      <c r="DB277" t="s">
        <v>134</v>
      </c>
      <c r="DC277" t="s">
        <v>114</v>
      </c>
      <c r="DD277" t="s">
        <v>134</v>
      </c>
    </row>
    <row r="278" spans="1:113" ht="15" customHeight="1" x14ac:dyDescent="0.25">
      <c r="A278" t="s">
        <v>14175</v>
      </c>
      <c r="B278" t="s">
        <v>165</v>
      </c>
      <c r="C278" s="1">
        <v>44896.005556018521</v>
      </c>
      <c r="D278" s="1">
        <v>44922</v>
      </c>
      <c r="E278" t="s">
        <v>134</v>
      </c>
      <c r="F278" t="s">
        <v>1848</v>
      </c>
      <c r="G278" t="str">
        <f>"53-7062.00"</f>
        <v>53-7062.00</v>
      </c>
      <c r="H278" t="s">
        <v>245</v>
      </c>
      <c r="I278">
        <v>6</v>
      </c>
      <c r="J278">
        <v>6</v>
      </c>
      <c r="K278" s="1">
        <v>44986</v>
      </c>
      <c r="L278" s="1">
        <v>45275</v>
      </c>
      <c r="M278" s="1">
        <v>44986</v>
      </c>
      <c r="N278" s="1">
        <v>45275</v>
      </c>
      <c r="O278" t="s">
        <v>199</v>
      </c>
      <c r="P278" t="s">
        <v>9252</v>
      </c>
      <c r="R278" t="s">
        <v>9253</v>
      </c>
      <c r="T278" t="s">
        <v>1223</v>
      </c>
      <c r="U278" t="s">
        <v>848</v>
      </c>
      <c r="V278" s="4" t="str">
        <f>"11590"</f>
        <v>11590</v>
      </c>
      <c r="W278" t="s">
        <v>120</v>
      </c>
      <c r="Y278" s="5">
        <v>15163341229</v>
      </c>
      <c r="AA278">
        <v>324121</v>
      </c>
      <c r="AB278" t="s">
        <v>9254</v>
      </c>
      <c r="AC278" t="s">
        <v>9255</v>
      </c>
      <c r="AE278" t="s">
        <v>700</v>
      </c>
      <c r="AF278" t="s">
        <v>9253</v>
      </c>
      <c r="AH278" t="s">
        <v>1223</v>
      </c>
      <c r="AI278" t="s">
        <v>848</v>
      </c>
      <c r="AJ278" s="4" t="str">
        <f>"11590"</f>
        <v>11590</v>
      </c>
      <c r="AK278" t="s">
        <v>120</v>
      </c>
      <c r="AM278" s="5">
        <v>15163341229</v>
      </c>
      <c r="AO278" t="s">
        <v>138</v>
      </c>
      <c r="AP278" t="s">
        <v>256</v>
      </c>
      <c r="AQ278" t="s">
        <v>1220</v>
      </c>
      <c r="AR278" t="s">
        <v>1221</v>
      </c>
      <c r="AT278" t="s">
        <v>1222</v>
      </c>
      <c r="AV278" t="s">
        <v>1223</v>
      </c>
      <c r="AW278" t="s">
        <v>848</v>
      </c>
      <c r="AX278" s="4" t="str">
        <f>"11590"</f>
        <v>11590</v>
      </c>
      <c r="AY278" t="s">
        <v>120</v>
      </c>
      <c r="BA278" s="5">
        <v>15163307168</v>
      </c>
      <c r="BC278" t="s">
        <v>1224</v>
      </c>
      <c r="BD278" t="s">
        <v>2035</v>
      </c>
      <c r="BG278" t="s">
        <v>848</v>
      </c>
      <c r="BH278" s="1">
        <v>44894.791666666664</v>
      </c>
      <c r="BI278">
        <v>40</v>
      </c>
      <c r="BJ278">
        <v>0</v>
      </c>
      <c r="BK278">
        <v>8</v>
      </c>
      <c r="BL278">
        <v>8</v>
      </c>
      <c r="BM278">
        <v>8</v>
      </c>
      <c r="BN278">
        <v>8</v>
      </c>
      <c r="BO278">
        <v>8</v>
      </c>
      <c r="BP278">
        <v>0</v>
      </c>
      <c r="BQ278" t="str">
        <f>"8:00 AM"</f>
        <v>8:00 AM</v>
      </c>
      <c r="BR278" t="str">
        <f>"4:00 PM"</f>
        <v>4:00 PM</v>
      </c>
      <c r="BS278" t="s">
        <v>133</v>
      </c>
      <c r="BT278">
        <v>0</v>
      </c>
      <c r="BU278">
        <v>0</v>
      </c>
      <c r="BV278" t="s">
        <v>134</v>
      </c>
      <c r="BX278" t="s">
        <v>138</v>
      </c>
      <c r="BY278" t="s">
        <v>9256</v>
      </c>
      <c r="CA278" t="s">
        <v>1223</v>
      </c>
      <c r="CB278" t="s">
        <v>848</v>
      </c>
      <c r="CC278" s="4" t="str">
        <f>"11590"</f>
        <v>11590</v>
      </c>
      <c r="CD278" t="s">
        <v>2194</v>
      </c>
      <c r="CE278" t="s">
        <v>1009</v>
      </c>
      <c r="CF278" s="6">
        <v>18.579999999999998</v>
      </c>
      <c r="CG278" s="6">
        <v>18.579999999999998</v>
      </c>
      <c r="CH278" s="6">
        <v>27.87</v>
      </c>
      <c r="CI278" s="6">
        <v>27.87</v>
      </c>
      <c r="CJ278" t="s">
        <v>137</v>
      </c>
      <c r="CK278" t="s">
        <v>138</v>
      </c>
      <c r="CL278" t="s">
        <v>9257</v>
      </c>
      <c r="CO278" t="s">
        <v>138</v>
      </c>
      <c r="CP278" t="s">
        <v>114</v>
      </c>
      <c r="CQ278" t="s">
        <v>114</v>
      </c>
      <c r="CR278" t="s">
        <v>114</v>
      </c>
      <c r="CS278" t="s">
        <v>134</v>
      </c>
      <c r="CT278" t="s">
        <v>114</v>
      </c>
      <c r="CU278" t="s">
        <v>134</v>
      </c>
      <c r="CV278" t="s">
        <v>219</v>
      </c>
      <c r="CW278" s="5" t="str">
        <f>"+15163341229"</f>
        <v>+15163341229</v>
      </c>
      <c r="CX278" t="s">
        <v>9258</v>
      </c>
      <c r="CY278" t="s">
        <v>138</v>
      </c>
      <c r="CZ278" t="s">
        <v>139</v>
      </c>
      <c r="DA278" t="s">
        <v>134</v>
      </c>
      <c r="DB278" t="s">
        <v>134</v>
      </c>
      <c r="DC278" t="s">
        <v>114</v>
      </c>
      <c r="DD278" t="s">
        <v>134</v>
      </c>
    </row>
    <row r="279" spans="1:113" ht="15" customHeight="1" x14ac:dyDescent="0.25">
      <c r="A279" t="s">
        <v>11826</v>
      </c>
      <c r="B279" t="s">
        <v>165</v>
      </c>
      <c r="C279" s="1">
        <v>44896.005188657407</v>
      </c>
      <c r="D279" s="1">
        <v>44922</v>
      </c>
      <c r="E279" t="s">
        <v>134</v>
      </c>
      <c r="F279" t="s">
        <v>4070</v>
      </c>
      <c r="G279" t="str">
        <f>"37-3011.00"</f>
        <v>37-3011.00</v>
      </c>
      <c r="H279" t="s">
        <v>335</v>
      </c>
      <c r="I279">
        <v>35</v>
      </c>
      <c r="J279">
        <v>35</v>
      </c>
      <c r="K279" s="1">
        <v>44986</v>
      </c>
      <c r="L279" s="1">
        <v>45260</v>
      </c>
      <c r="M279" s="1">
        <v>44986</v>
      </c>
      <c r="N279" s="1">
        <v>45260</v>
      </c>
      <c r="O279" t="s">
        <v>117</v>
      </c>
      <c r="P279" t="s">
        <v>11827</v>
      </c>
      <c r="R279" t="s">
        <v>11828</v>
      </c>
      <c r="T279" t="s">
        <v>9245</v>
      </c>
      <c r="U279" t="s">
        <v>420</v>
      </c>
      <c r="V279" s="4" t="str">
        <f>"84660"</f>
        <v>84660</v>
      </c>
      <c r="W279" t="s">
        <v>120</v>
      </c>
      <c r="Y279" s="5">
        <v>18015927746</v>
      </c>
      <c r="AA279">
        <v>561730</v>
      </c>
      <c r="AB279" t="s">
        <v>2009</v>
      </c>
      <c r="AC279" t="s">
        <v>5575</v>
      </c>
      <c r="AE279" t="s">
        <v>424</v>
      </c>
      <c r="AF279" t="s">
        <v>11828</v>
      </c>
      <c r="AH279" t="s">
        <v>9245</v>
      </c>
      <c r="AI279" t="s">
        <v>420</v>
      </c>
      <c r="AJ279" s="4" t="str">
        <f>"84660"</f>
        <v>84660</v>
      </c>
      <c r="AK279" t="s">
        <v>120</v>
      </c>
      <c r="AM279" s="5">
        <v>18015927746</v>
      </c>
      <c r="AO279" t="s">
        <v>11829</v>
      </c>
      <c r="AP279" t="s">
        <v>256</v>
      </c>
      <c r="AQ279" t="s">
        <v>1615</v>
      </c>
      <c r="AR279" t="s">
        <v>1616</v>
      </c>
      <c r="AT279" t="s">
        <v>1617</v>
      </c>
      <c r="AV279" t="s">
        <v>1618</v>
      </c>
      <c r="AW279" t="s">
        <v>444</v>
      </c>
      <c r="AX279" s="4" t="str">
        <f>"93446"</f>
        <v>93446</v>
      </c>
      <c r="AY279" t="s">
        <v>120</v>
      </c>
      <c r="AZ279" t="s">
        <v>1619</v>
      </c>
      <c r="BA279" s="5">
        <v>13217042589</v>
      </c>
      <c r="BC279" t="s">
        <v>1620</v>
      </c>
      <c r="BD279" t="s">
        <v>1621</v>
      </c>
      <c r="BG279" t="s">
        <v>420</v>
      </c>
      <c r="BH279" s="1">
        <v>44895.791666666664</v>
      </c>
      <c r="BI279">
        <v>40</v>
      </c>
      <c r="BJ279">
        <v>0</v>
      </c>
      <c r="BK279">
        <v>8</v>
      </c>
      <c r="BL279">
        <v>8</v>
      </c>
      <c r="BM279">
        <v>8</v>
      </c>
      <c r="BN279">
        <v>8</v>
      </c>
      <c r="BO279">
        <v>8</v>
      </c>
      <c r="BP279">
        <v>0</v>
      </c>
      <c r="BQ279" t="str">
        <f>"7:30 AM"</f>
        <v>7:30 AM</v>
      </c>
      <c r="BR279" t="str">
        <f>"4:00 PM"</f>
        <v>4:00 PM</v>
      </c>
      <c r="BS279" t="s">
        <v>133</v>
      </c>
      <c r="BT279">
        <v>0</v>
      </c>
      <c r="BU279">
        <v>2</v>
      </c>
      <c r="BV279" t="s">
        <v>134</v>
      </c>
      <c r="BX279" s="2" t="s">
        <v>11830</v>
      </c>
      <c r="BY279" t="s">
        <v>11831</v>
      </c>
      <c r="CA279" t="s">
        <v>8165</v>
      </c>
      <c r="CB279" t="s">
        <v>420</v>
      </c>
      <c r="CC279" s="4" t="str">
        <f>"84660"</f>
        <v>84660</v>
      </c>
      <c r="CD279" t="s">
        <v>433</v>
      </c>
      <c r="CE279" t="s">
        <v>434</v>
      </c>
      <c r="CF279" s="6">
        <v>16.62</v>
      </c>
      <c r="CG279" s="6">
        <v>16.62</v>
      </c>
      <c r="CH279" s="6">
        <v>24.93</v>
      </c>
      <c r="CI279" s="6">
        <v>24.93</v>
      </c>
      <c r="CJ279" t="s">
        <v>137</v>
      </c>
      <c r="CK279" t="s">
        <v>1623</v>
      </c>
      <c r="CL279" t="s">
        <v>11832</v>
      </c>
      <c r="CO279" t="s">
        <v>138</v>
      </c>
      <c r="CP279" t="s">
        <v>114</v>
      </c>
      <c r="CQ279" t="s">
        <v>134</v>
      </c>
      <c r="CR279" t="s">
        <v>114</v>
      </c>
      <c r="CS279" t="s">
        <v>114</v>
      </c>
      <c r="CT279" t="s">
        <v>114</v>
      </c>
      <c r="CU279" t="s">
        <v>134</v>
      </c>
      <c r="CV279" t="s">
        <v>138</v>
      </c>
      <c r="CW279" s="5" t="str">
        <f>"+18015927746"</f>
        <v>+18015927746</v>
      </c>
      <c r="CX279" t="s">
        <v>11829</v>
      </c>
      <c r="CY279" t="s">
        <v>138</v>
      </c>
      <c r="CZ279" t="s">
        <v>139</v>
      </c>
      <c r="DA279" t="s">
        <v>134</v>
      </c>
      <c r="DB279" t="s">
        <v>134</v>
      </c>
      <c r="DC279" t="s">
        <v>114</v>
      </c>
      <c r="DD279" t="s">
        <v>134</v>
      </c>
    </row>
    <row r="280" spans="1:113" ht="15" customHeight="1" x14ac:dyDescent="0.25">
      <c r="A280" t="s">
        <v>7118</v>
      </c>
      <c r="B280" t="s">
        <v>165</v>
      </c>
      <c r="C280" s="1">
        <v>44896.004427893517</v>
      </c>
      <c r="D280" s="1">
        <v>44922</v>
      </c>
      <c r="E280" t="s">
        <v>134</v>
      </c>
      <c r="F280" t="s">
        <v>7119</v>
      </c>
      <c r="G280" t="str">
        <f>"35-2021.00"</f>
        <v>35-2021.00</v>
      </c>
      <c r="H280" t="s">
        <v>718</v>
      </c>
      <c r="I280">
        <v>8</v>
      </c>
      <c r="J280">
        <v>8</v>
      </c>
      <c r="K280" s="1">
        <v>44986</v>
      </c>
      <c r="L280" s="1">
        <v>45260</v>
      </c>
      <c r="M280" s="1">
        <v>44986</v>
      </c>
      <c r="N280" s="1">
        <v>45260</v>
      </c>
      <c r="O280" t="s">
        <v>117</v>
      </c>
      <c r="P280" t="s">
        <v>7120</v>
      </c>
      <c r="Q280" t="s">
        <v>7121</v>
      </c>
      <c r="R280" t="s">
        <v>7122</v>
      </c>
      <c r="T280" t="s">
        <v>7123</v>
      </c>
      <c r="U280" t="s">
        <v>420</v>
      </c>
      <c r="V280" s="4" t="str">
        <f>"84715"</f>
        <v>84715</v>
      </c>
      <c r="W280" t="s">
        <v>120</v>
      </c>
      <c r="Y280" s="5">
        <v>14354253821</v>
      </c>
      <c r="AA280">
        <v>72251</v>
      </c>
      <c r="AB280" t="s">
        <v>6831</v>
      </c>
      <c r="AC280" t="s">
        <v>6832</v>
      </c>
      <c r="AE280" t="s">
        <v>424</v>
      </c>
      <c r="AF280" t="s">
        <v>7122</v>
      </c>
      <c r="AH280" t="s">
        <v>7123</v>
      </c>
      <c r="AI280" t="s">
        <v>420</v>
      </c>
      <c r="AJ280" s="4" t="str">
        <f>"84715"</f>
        <v>84715</v>
      </c>
      <c r="AK280" t="s">
        <v>120</v>
      </c>
      <c r="AM280" s="5">
        <v>14354253821</v>
      </c>
      <c r="AO280" t="s">
        <v>7124</v>
      </c>
      <c r="AP280" t="s">
        <v>256</v>
      </c>
      <c r="AQ280" t="s">
        <v>1615</v>
      </c>
      <c r="AR280" t="s">
        <v>1616</v>
      </c>
      <c r="AT280" t="s">
        <v>1617</v>
      </c>
      <c r="AV280" t="s">
        <v>1618</v>
      </c>
      <c r="AW280" t="s">
        <v>444</v>
      </c>
      <c r="AX280" s="4" t="str">
        <f>"93446"</f>
        <v>93446</v>
      </c>
      <c r="AY280" t="s">
        <v>120</v>
      </c>
      <c r="AZ280" t="s">
        <v>1619</v>
      </c>
      <c r="BA280" s="5">
        <v>13217042589</v>
      </c>
      <c r="BC280" t="s">
        <v>1620</v>
      </c>
      <c r="BD280" t="s">
        <v>1621</v>
      </c>
      <c r="BG280" t="s">
        <v>420</v>
      </c>
      <c r="BH280" s="1">
        <v>44895.791666666664</v>
      </c>
      <c r="BI280">
        <v>35</v>
      </c>
      <c r="BJ280">
        <v>5</v>
      </c>
      <c r="BK280">
        <v>5</v>
      </c>
      <c r="BL280">
        <v>5</v>
      </c>
      <c r="BM280">
        <v>5</v>
      </c>
      <c r="BN280">
        <v>5</v>
      </c>
      <c r="BO280">
        <v>5</v>
      </c>
      <c r="BP280">
        <v>5</v>
      </c>
      <c r="BQ280" t="str">
        <f>"8:00 AM"</f>
        <v>8:00 AM</v>
      </c>
      <c r="BR280" t="str">
        <f>"8:00 PM"</f>
        <v>8:00 PM</v>
      </c>
      <c r="BS280" t="s">
        <v>133</v>
      </c>
      <c r="BT280">
        <v>0</v>
      </c>
      <c r="BU280">
        <v>3</v>
      </c>
      <c r="BV280" t="s">
        <v>134</v>
      </c>
      <c r="BX280" s="2" t="s">
        <v>7125</v>
      </c>
      <c r="BY280" t="s">
        <v>7122</v>
      </c>
      <c r="CA280" t="s">
        <v>7123</v>
      </c>
      <c r="CB280" t="s">
        <v>420</v>
      </c>
      <c r="CC280" s="4" t="str">
        <f>"84715"</f>
        <v>84715</v>
      </c>
      <c r="CD280" t="s">
        <v>2201</v>
      </c>
      <c r="CE280" t="s">
        <v>4402</v>
      </c>
      <c r="CF280" s="6">
        <v>11.37</v>
      </c>
      <c r="CG280" s="6">
        <v>11.37</v>
      </c>
      <c r="CJ280" t="s">
        <v>137</v>
      </c>
      <c r="CK280" t="s">
        <v>1623</v>
      </c>
      <c r="CL280" t="s">
        <v>7126</v>
      </c>
      <c r="CO280" t="s">
        <v>138</v>
      </c>
      <c r="CP280" t="s">
        <v>134</v>
      </c>
      <c r="CQ280" t="s">
        <v>114</v>
      </c>
      <c r="CR280" t="s">
        <v>134</v>
      </c>
      <c r="CS280" t="s">
        <v>114</v>
      </c>
      <c r="CT280" t="s">
        <v>114</v>
      </c>
      <c r="CU280" t="s">
        <v>114</v>
      </c>
      <c r="CV280" t="s">
        <v>7127</v>
      </c>
      <c r="CW280" s="5" t="str">
        <f>"+14354253821"</f>
        <v>+14354253821</v>
      </c>
      <c r="CX280" t="s">
        <v>6833</v>
      </c>
      <c r="CY280" t="s">
        <v>138</v>
      </c>
      <c r="CZ280" t="s">
        <v>139</v>
      </c>
      <c r="DA280" t="s">
        <v>134</v>
      </c>
      <c r="DB280" t="s">
        <v>134</v>
      </c>
      <c r="DC280" t="s">
        <v>114</v>
      </c>
      <c r="DD280" t="s">
        <v>134</v>
      </c>
    </row>
    <row r="281" spans="1:113" ht="15" customHeight="1" x14ac:dyDescent="0.25">
      <c r="A281" t="s">
        <v>4433</v>
      </c>
      <c r="B281" t="s">
        <v>165</v>
      </c>
      <c r="C281" s="1">
        <v>44896.003853819442</v>
      </c>
      <c r="D281" s="1">
        <v>44922</v>
      </c>
      <c r="E281" t="s">
        <v>134</v>
      </c>
      <c r="F281" t="s">
        <v>4434</v>
      </c>
      <c r="G281" t="str">
        <f>"39-6011.00"</f>
        <v>39-6011.00</v>
      </c>
      <c r="H281" t="s">
        <v>4298</v>
      </c>
      <c r="I281">
        <v>6</v>
      </c>
      <c r="J281">
        <v>6</v>
      </c>
      <c r="K281" s="1">
        <v>44986</v>
      </c>
      <c r="L281" s="1">
        <v>45260</v>
      </c>
      <c r="M281" s="1">
        <v>44986</v>
      </c>
      <c r="N281" s="1">
        <v>45260</v>
      </c>
      <c r="O281" t="s">
        <v>117</v>
      </c>
      <c r="P281" t="s">
        <v>2542</v>
      </c>
      <c r="Q281" t="s">
        <v>2543</v>
      </c>
      <c r="R281" t="s">
        <v>2544</v>
      </c>
      <c r="T281" t="s">
        <v>408</v>
      </c>
      <c r="U281" t="s">
        <v>394</v>
      </c>
      <c r="V281" s="4" t="str">
        <f>"29928"</f>
        <v>29928</v>
      </c>
      <c r="W281" t="s">
        <v>120</v>
      </c>
      <c r="Y281" s="5">
        <v>18433418073</v>
      </c>
      <c r="AA281">
        <v>72111</v>
      </c>
      <c r="AB281" t="s">
        <v>2545</v>
      </c>
      <c r="AC281" t="s">
        <v>2546</v>
      </c>
      <c r="AD281" t="s">
        <v>1900</v>
      </c>
      <c r="AE281" t="s">
        <v>4435</v>
      </c>
      <c r="AF281" t="s">
        <v>2544</v>
      </c>
      <c r="AH281" t="s">
        <v>408</v>
      </c>
      <c r="AI281" t="s">
        <v>394</v>
      </c>
      <c r="AJ281" s="4" t="str">
        <f>"29928"</f>
        <v>29928</v>
      </c>
      <c r="AK281" t="s">
        <v>120</v>
      </c>
      <c r="AM281" s="5">
        <v>18433418073</v>
      </c>
      <c r="AO281" t="s">
        <v>2548</v>
      </c>
      <c r="AP281" t="s">
        <v>256</v>
      </c>
      <c r="AQ281" t="s">
        <v>400</v>
      </c>
      <c r="AR281" t="s">
        <v>401</v>
      </c>
      <c r="AS281" t="s">
        <v>397</v>
      </c>
      <c r="AT281" t="s">
        <v>402</v>
      </c>
      <c r="AU281" t="s">
        <v>152</v>
      </c>
      <c r="AV281" t="s">
        <v>403</v>
      </c>
      <c r="AW281" t="s">
        <v>232</v>
      </c>
      <c r="AX281" s="4" t="str">
        <f>"75033"</f>
        <v>75033</v>
      </c>
      <c r="AY281" t="s">
        <v>120</v>
      </c>
      <c r="BA281" s="5">
        <v>19727789690</v>
      </c>
      <c r="BC281" t="s">
        <v>905</v>
      </c>
      <c r="BD281" t="s">
        <v>405</v>
      </c>
      <c r="BG281" t="s">
        <v>394</v>
      </c>
      <c r="BH281" s="1">
        <v>44895.791666666664</v>
      </c>
      <c r="BI281">
        <v>40</v>
      </c>
      <c r="BJ281">
        <v>8</v>
      </c>
      <c r="BK281">
        <v>0</v>
      </c>
      <c r="BL281">
        <v>0</v>
      </c>
      <c r="BM281">
        <v>8</v>
      </c>
      <c r="BN281">
        <v>8</v>
      </c>
      <c r="BO281">
        <v>8</v>
      </c>
      <c r="BP281">
        <v>8</v>
      </c>
      <c r="BQ281" t="str">
        <f>"6:00 AM"</f>
        <v>6:00 AM</v>
      </c>
      <c r="BR281" t="str">
        <f>"3:00 PM"</f>
        <v>3:00 PM</v>
      </c>
      <c r="BS281" t="s">
        <v>133</v>
      </c>
      <c r="BT281">
        <v>0</v>
      </c>
      <c r="BU281">
        <v>0</v>
      </c>
      <c r="BV281" t="s">
        <v>134</v>
      </c>
      <c r="BX281" s="2" t="s">
        <v>4436</v>
      </c>
      <c r="BY281" t="s">
        <v>2544</v>
      </c>
      <c r="CA281" t="s">
        <v>408</v>
      </c>
      <c r="CB281" t="s">
        <v>394</v>
      </c>
      <c r="CC281" s="4" t="str">
        <f>"29928"</f>
        <v>29928</v>
      </c>
      <c r="CD281" t="s">
        <v>409</v>
      </c>
      <c r="CE281" t="s">
        <v>410</v>
      </c>
      <c r="CF281" s="6">
        <v>13.5</v>
      </c>
      <c r="CH281" s="6">
        <v>20.25</v>
      </c>
      <c r="CJ281" t="s">
        <v>137</v>
      </c>
      <c r="CK281" t="s">
        <v>4437</v>
      </c>
      <c r="CL281" t="s">
        <v>4438</v>
      </c>
      <c r="CO281" t="s">
        <v>138</v>
      </c>
      <c r="CP281" t="s">
        <v>134</v>
      </c>
      <c r="CQ281" t="s">
        <v>114</v>
      </c>
      <c r="CR281" t="s">
        <v>114</v>
      </c>
      <c r="CS281" t="s">
        <v>114</v>
      </c>
      <c r="CT281" t="s">
        <v>114</v>
      </c>
      <c r="CU281" t="s">
        <v>114</v>
      </c>
      <c r="CV281" s="2" t="s">
        <v>2552</v>
      </c>
      <c r="CW281" s="5" t="str">
        <f>"+18438428000"</f>
        <v>+18438428000</v>
      </c>
      <c r="CX281" t="s">
        <v>138</v>
      </c>
      <c r="CY281" t="s">
        <v>1913</v>
      </c>
      <c r="CZ281" t="s">
        <v>139</v>
      </c>
      <c r="DA281" t="s">
        <v>134</v>
      </c>
      <c r="DB281" t="s">
        <v>114</v>
      </c>
      <c r="DC281" t="s">
        <v>114</v>
      </c>
      <c r="DD281" t="s">
        <v>134</v>
      </c>
    </row>
    <row r="282" spans="1:113" ht="15" customHeight="1" x14ac:dyDescent="0.25">
      <c r="A282" t="s">
        <v>8073</v>
      </c>
      <c r="B282" t="s">
        <v>165</v>
      </c>
      <c r="C282" s="1">
        <v>44896.003032986111</v>
      </c>
      <c r="D282" s="1">
        <v>44922</v>
      </c>
      <c r="E282" t="s">
        <v>134</v>
      </c>
      <c r="F282" t="s">
        <v>3925</v>
      </c>
      <c r="G282" t="str">
        <f>"35-3011.00"</f>
        <v>35-3011.00</v>
      </c>
      <c r="H282" t="s">
        <v>956</v>
      </c>
      <c r="I282">
        <v>6</v>
      </c>
      <c r="J282">
        <v>6</v>
      </c>
      <c r="K282" s="1">
        <v>44986</v>
      </c>
      <c r="L282" s="1">
        <v>45260</v>
      </c>
      <c r="M282" s="1">
        <v>44986</v>
      </c>
      <c r="N282" s="1">
        <v>45260</v>
      </c>
      <c r="O282" t="s">
        <v>117</v>
      </c>
      <c r="P282" t="s">
        <v>2542</v>
      </c>
      <c r="Q282" t="s">
        <v>2543</v>
      </c>
      <c r="R282" t="s">
        <v>2544</v>
      </c>
      <c r="T282" t="s">
        <v>408</v>
      </c>
      <c r="U282" t="s">
        <v>394</v>
      </c>
      <c r="V282" s="4" t="str">
        <f>"29928"</f>
        <v>29928</v>
      </c>
      <c r="W282" t="s">
        <v>120</v>
      </c>
      <c r="Y282" s="5">
        <v>18438428000</v>
      </c>
      <c r="AA282">
        <v>72111</v>
      </c>
      <c r="AB282" t="s">
        <v>2545</v>
      </c>
      <c r="AC282" t="s">
        <v>2546</v>
      </c>
      <c r="AE282" t="s">
        <v>2547</v>
      </c>
      <c r="AF282" t="s">
        <v>2544</v>
      </c>
      <c r="AH282" t="s">
        <v>408</v>
      </c>
      <c r="AI282" t="s">
        <v>394</v>
      </c>
      <c r="AJ282" s="4" t="str">
        <f>"29928"</f>
        <v>29928</v>
      </c>
      <c r="AK282" t="s">
        <v>120</v>
      </c>
      <c r="AM282" s="5">
        <v>18438428000</v>
      </c>
      <c r="AO282" t="s">
        <v>2548</v>
      </c>
      <c r="AP282" t="s">
        <v>256</v>
      </c>
      <c r="AQ282" t="s">
        <v>400</v>
      </c>
      <c r="AR282" t="s">
        <v>401</v>
      </c>
      <c r="AS282" t="s">
        <v>397</v>
      </c>
      <c r="AT282" t="s">
        <v>402</v>
      </c>
      <c r="AU282" t="s">
        <v>152</v>
      </c>
      <c r="AV282" t="s">
        <v>403</v>
      </c>
      <c r="AW282" t="s">
        <v>232</v>
      </c>
      <c r="AX282" s="4" t="str">
        <f>"75033"</f>
        <v>75033</v>
      </c>
      <c r="AY282" t="s">
        <v>120</v>
      </c>
      <c r="BA282" s="5">
        <v>19727789690</v>
      </c>
      <c r="BC282" t="s">
        <v>905</v>
      </c>
      <c r="BD282" t="s">
        <v>405</v>
      </c>
      <c r="BG282" t="s">
        <v>394</v>
      </c>
      <c r="BH282" s="1">
        <v>44895.791666666664</v>
      </c>
      <c r="BI282">
        <v>40</v>
      </c>
      <c r="BJ282">
        <v>8</v>
      </c>
      <c r="BK282">
        <v>0</v>
      </c>
      <c r="BL282">
        <v>0</v>
      </c>
      <c r="BM282">
        <v>8</v>
      </c>
      <c r="BN282">
        <v>8</v>
      </c>
      <c r="BO282">
        <v>8</v>
      </c>
      <c r="BP282">
        <v>8</v>
      </c>
      <c r="BQ282" t="str">
        <f>"7:00 AM"</f>
        <v>7:00 AM</v>
      </c>
      <c r="BR282" t="str">
        <f>"4:00 PM"</f>
        <v>4:00 PM</v>
      </c>
      <c r="BS282" t="s">
        <v>133</v>
      </c>
      <c r="BT282">
        <v>0</v>
      </c>
      <c r="BU282">
        <v>0</v>
      </c>
      <c r="BV282" t="s">
        <v>134</v>
      </c>
      <c r="BX282" s="2" t="s">
        <v>8074</v>
      </c>
      <c r="BY282" t="s">
        <v>2544</v>
      </c>
      <c r="CA282" t="s">
        <v>408</v>
      </c>
      <c r="CB282" t="s">
        <v>394</v>
      </c>
      <c r="CC282" s="4" t="str">
        <f>"29928"</f>
        <v>29928</v>
      </c>
      <c r="CD282" t="s">
        <v>409</v>
      </c>
      <c r="CE282" t="s">
        <v>410</v>
      </c>
      <c r="CF282" s="6">
        <v>11.33</v>
      </c>
      <c r="CH282" s="6">
        <v>17</v>
      </c>
      <c r="CJ282" t="s">
        <v>137</v>
      </c>
      <c r="CK282" t="s">
        <v>8075</v>
      </c>
      <c r="CL282" t="s">
        <v>8076</v>
      </c>
      <c r="CO282" t="s">
        <v>138</v>
      </c>
      <c r="CP282" t="s">
        <v>134</v>
      </c>
      <c r="CQ282" t="s">
        <v>114</v>
      </c>
      <c r="CR282" t="s">
        <v>114</v>
      </c>
      <c r="CS282" t="s">
        <v>114</v>
      </c>
      <c r="CT282" t="s">
        <v>114</v>
      </c>
      <c r="CU282" t="s">
        <v>114</v>
      </c>
      <c r="CV282" s="2" t="s">
        <v>2552</v>
      </c>
      <c r="CW282" s="5" t="str">
        <f>"+18438428000"</f>
        <v>+18438428000</v>
      </c>
      <c r="CX282" t="s">
        <v>138</v>
      </c>
      <c r="CY282" t="s">
        <v>1913</v>
      </c>
      <c r="CZ282" t="s">
        <v>139</v>
      </c>
      <c r="DA282" t="s">
        <v>134</v>
      </c>
      <c r="DB282" t="s">
        <v>114</v>
      </c>
      <c r="DC282" t="s">
        <v>114</v>
      </c>
      <c r="DD282" t="s">
        <v>134</v>
      </c>
    </row>
    <row r="283" spans="1:113" ht="15" customHeight="1" x14ac:dyDescent="0.25">
      <c r="A283" t="s">
        <v>11695</v>
      </c>
      <c r="B283" t="s">
        <v>165</v>
      </c>
      <c r="C283" s="1">
        <v>44896.002110069443</v>
      </c>
      <c r="D283" s="1">
        <v>44922</v>
      </c>
      <c r="E283" t="s">
        <v>134</v>
      </c>
      <c r="F283" t="s">
        <v>2739</v>
      </c>
      <c r="G283" t="str">
        <f>"37-2011.00"</f>
        <v>37-2011.00</v>
      </c>
      <c r="H283" t="s">
        <v>672</v>
      </c>
      <c r="I283">
        <v>8</v>
      </c>
      <c r="J283">
        <v>8</v>
      </c>
      <c r="K283" s="1">
        <v>44986</v>
      </c>
      <c r="L283" s="1">
        <v>45275</v>
      </c>
      <c r="M283" s="1">
        <v>44986</v>
      </c>
      <c r="N283" s="1">
        <v>45275</v>
      </c>
      <c r="O283" t="s">
        <v>199</v>
      </c>
      <c r="P283" t="s">
        <v>2740</v>
      </c>
      <c r="R283" t="s">
        <v>2741</v>
      </c>
      <c r="T283" t="s">
        <v>2742</v>
      </c>
      <c r="U283" t="s">
        <v>848</v>
      </c>
      <c r="V283" s="4" t="str">
        <f>"11801"</f>
        <v>11801</v>
      </c>
      <c r="W283" t="s">
        <v>120</v>
      </c>
      <c r="Y283" s="5">
        <v>15164334311</v>
      </c>
      <c r="AA283">
        <v>561790</v>
      </c>
      <c r="AB283" t="s">
        <v>2743</v>
      </c>
      <c r="AC283" t="s">
        <v>703</v>
      </c>
      <c r="AE283" t="s">
        <v>700</v>
      </c>
      <c r="AF283" t="s">
        <v>2744</v>
      </c>
      <c r="AH283" t="s">
        <v>2742</v>
      </c>
      <c r="AI283" t="s">
        <v>848</v>
      </c>
      <c r="AJ283" s="4" t="str">
        <f>"11801"</f>
        <v>11801</v>
      </c>
      <c r="AK283" t="s">
        <v>120</v>
      </c>
      <c r="AM283" s="5">
        <v>15164334311</v>
      </c>
      <c r="AO283" t="s">
        <v>138</v>
      </c>
      <c r="AP283" t="s">
        <v>256</v>
      </c>
      <c r="AQ283" t="s">
        <v>1220</v>
      </c>
      <c r="AR283" t="s">
        <v>1221</v>
      </c>
      <c r="AT283" t="s">
        <v>1222</v>
      </c>
      <c r="AV283" t="s">
        <v>1223</v>
      </c>
      <c r="AW283" t="s">
        <v>848</v>
      </c>
      <c r="AX283" s="4" t="str">
        <f>"11590"</f>
        <v>11590</v>
      </c>
      <c r="AY283" t="s">
        <v>120</v>
      </c>
      <c r="BA283" s="5">
        <v>15163307168</v>
      </c>
      <c r="BC283" t="s">
        <v>1224</v>
      </c>
      <c r="BD283" t="s">
        <v>1225</v>
      </c>
      <c r="BG283" t="s">
        <v>848</v>
      </c>
      <c r="BH283" s="1">
        <v>44893.791666666664</v>
      </c>
      <c r="BI283">
        <v>40</v>
      </c>
      <c r="BJ283">
        <v>0</v>
      </c>
      <c r="BK283">
        <v>8</v>
      </c>
      <c r="BL283">
        <v>8</v>
      </c>
      <c r="BM283">
        <v>8</v>
      </c>
      <c r="BN283">
        <v>8</v>
      </c>
      <c r="BO283">
        <v>8</v>
      </c>
      <c r="BP283">
        <v>0</v>
      </c>
      <c r="BQ283" t="str">
        <f>"8:00 AM"</f>
        <v>8:00 AM</v>
      </c>
      <c r="BR283" t="str">
        <f>"4:00 PM"</f>
        <v>4:00 PM</v>
      </c>
      <c r="BS283" t="s">
        <v>133</v>
      </c>
      <c r="BT283">
        <v>0</v>
      </c>
      <c r="BU283">
        <v>0</v>
      </c>
      <c r="BV283" t="s">
        <v>134</v>
      </c>
      <c r="BX283" t="s">
        <v>219</v>
      </c>
      <c r="BY283" t="s">
        <v>2741</v>
      </c>
      <c r="CA283" t="s">
        <v>2742</v>
      </c>
      <c r="CB283" t="s">
        <v>848</v>
      </c>
      <c r="CC283" s="4" t="str">
        <f>"11801"</f>
        <v>11801</v>
      </c>
      <c r="CD283" t="s">
        <v>2194</v>
      </c>
      <c r="CE283" t="s">
        <v>1009</v>
      </c>
      <c r="CF283" s="6">
        <v>19.22</v>
      </c>
      <c r="CG283" s="6">
        <v>19.22</v>
      </c>
      <c r="CH283" s="6">
        <v>28.83</v>
      </c>
      <c r="CI283" s="6">
        <v>28.83</v>
      </c>
      <c r="CJ283" t="s">
        <v>137</v>
      </c>
      <c r="CK283" t="s">
        <v>138</v>
      </c>
      <c r="CL283" t="s">
        <v>2745</v>
      </c>
      <c r="CO283" t="s">
        <v>138</v>
      </c>
      <c r="CP283" t="s">
        <v>114</v>
      </c>
      <c r="CQ283" t="s">
        <v>114</v>
      </c>
      <c r="CR283" t="s">
        <v>114</v>
      </c>
      <c r="CS283" t="s">
        <v>134</v>
      </c>
      <c r="CT283" t="s">
        <v>114</v>
      </c>
      <c r="CU283" t="s">
        <v>134</v>
      </c>
      <c r="CV283" t="s">
        <v>219</v>
      </c>
      <c r="CW283" s="5" t="str">
        <f>"+15164334311"</f>
        <v>+15164334311</v>
      </c>
      <c r="CX283" t="s">
        <v>2746</v>
      </c>
      <c r="CY283" t="s">
        <v>138</v>
      </c>
      <c r="CZ283" t="s">
        <v>139</v>
      </c>
      <c r="DA283" t="s">
        <v>134</v>
      </c>
      <c r="DB283" t="s">
        <v>134</v>
      </c>
      <c r="DC283" t="s">
        <v>114</v>
      </c>
      <c r="DD283" t="s">
        <v>134</v>
      </c>
    </row>
    <row r="284" spans="1:113" ht="15" customHeight="1" x14ac:dyDescent="0.25">
      <c r="A284" t="s">
        <v>8042</v>
      </c>
      <c r="B284" t="s">
        <v>165</v>
      </c>
      <c r="C284" s="1">
        <v>44896.001896527778</v>
      </c>
      <c r="D284" s="1">
        <v>44922</v>
      </c>
      <c r="E284" t="s">
        <v>134</v>
      </c>
      <c r="F284" t="s">
        <v>1219</v>
      </c>
      <c r="G284" t="str">
        <f t="shared" ref="G284:G289" si="19">"37-3011.00"</f>
        <v>37-3011.00</v>
      </c>
      <c r="H284" t="s">
        <v>335</v>
      </c>
      <c r="I284">
        <v>18</v>
      </c>
      <c r="J284">
        <v>18</v>
      </c>
      <c r="K284" s="1">
        <v>44986</v>
      </c>
      <c r="L284" s="1">
        <v>45275</v>
      </c>
      <c r="M284" s="1">
        <v>44986</v>
      </c>
      <c r="N284" s="1">
        <v>45275</v>
      </c>
      <c r="O284" t="s">
        <v>199</v>
      </c>
      <c r="P284" t="s">
        <v>8043</v>
      </c>
      <c r="R284" t="s">
        <v>8044</v>
      </c>
      <c r="T284" t="s">
        <v>8045</v>
      </c>
      <c r="U284" t="s">
        <v>848</v>
      </c>
      <c r="V284" s="4" t="str">
        <f>"11743"</f>
        <v>11743</v>
      </c>
      <c r="W284" t="s">
        <v>120</v>
      </c>
      <c r="Y284" s="5">
        <v>16314238362</v>
      </c>
      <c r="AA284">
        <v>56173</v>
      </c>
      <c r="AB284" t="s">
        <v>8046</v>
      </c>
      <c r="AC284" t="s">
        <v>8047</v>
      </c>
      <c r="AE284" t="s">
        <v>700</v>
      </c>
      <c r="AF284" t="s">
        <v>8044</v>
      </c>
      <c r="AH284" t="s">
        <v>8045</v>
      </c>
      <c r="AI284" t="s">
        <v>848</v>
      </c>
      <c r="AJ284" s="4" t="str">
        <f>"11743"</f>
        <v>11743</v>
      </c>
      <c r="AK284" t="s">
        <v>120</v>
      </c>
      <c r="AM284" s="5">
        <v>16314238362</v>
      </c>
      <c r="AO284" t="s">
        <v>138</v>
      </c>
      <c r="AP284" t="s">
        <v>256</v>
      </c>
      <c r="AQ284" t="s">
        <v>1220</v>
      </c>
      <c r="AR284" t="s">
        <v>1221</v>
      </c>
      <c r="AT284" t="s">
        <v>1222</v>
      </c>
      <c r="AV284" t="s">
        <v>1223</v>
      </c>
      <c r="AW284" t="s">
        <v>848</v>
      </c>
      <c r="AX284" s="4" t="str">
        <f>"11590"</f>
        <v>11590</v>
      </c>
      <c r="AY284" t="s">
        <v>120</v>
      </c>
      <c r="BA284" s="5">
        <v>15163307168</v>
      </c>
      <c r="BC284" t="s">
        <v>1224</v>
      </c>
      <c r="BD284" t="s">
        <v>1225</v>
      </c>
      <c r="BG284" t="s">
        <v>848</v>
      </c>
      <c r="BH284" s="1">
        <v>44875.791666666664</v>
      </c>
      <c r="BI284">
        <v>40</v>
      </c>
      <c r="BJ284">
        <v>0</v>
      </c>
      <c r="BK284">
        <v>8</v>
      </c>
      <c r="BL284">
        <v>8</v>
      </c>
      <c r="BM284">
        <v>8</v>
      </c>
      <c r="BN284">
        <v>8</v>
      </c>
      <c r="BO284">
        <v>8</v>
      </c>
      <c r="BP284">
        <v>0</v>
      </c>
      <c r="BQ284" t="str">
        <f>"8:00 AM"</f>
        <v>8:00 AM</v>
      </c>
      <c r="BR284" t="str">
        <f>"4:00 PM"</f>
        <v>4:00 PM</v>
      </c>
      <c r="BS284" t="s">
        <v>133</v>
      </c>
      <c r="BT284">
        <v>0</v>
      </c>
      <c r="BU284">
        <v>0</v>
      </c>
      <c r="BV284" t="s">
        <v>134</v>
      </c>
      <c r="BX284" t="s">
        <v>138</v>
      </c>
      <c r="BY284" t="s">
        <v>8044</v>
      </c>
      <c r="CA284" t="s">
        <v>8045</v>
      </c>
      <c r="CB284" t="s">
        <v>848</v>
      </c>
      <c r="CC284" s="4" t="str">
        <f>"11743"</f>
        <v>11743</v>
      </c>
      <c r="CD284" t="s">
        <v>1227</v>
      </c>
      <c r="CE284" t="s">
        <v>1009</v>
      </c>
      <c r="CF284" s="6">
        <v>19.940000000000001</v>
      </c>
      <c r="CG284" s="6">
        <v>19.940000000000001</v>
      </c>
      <c r="CH284" s="6">
        <v>29.91</v>
      </c>
      <c r="CI284" s="6">
        <v>29.91</v>
      </c>
      <c r="CJ284" t="s">
        <v>137</v>
      </c>
      <c r="CK284" t="s">
        <v>138</v>
      </c>
      <c r="CL284" t="s">
        <v>8048</v>
      </c>
      <c r="CO284" t="s">
        <v>138</v>
      </c>
      <c r="CP284" t="s">
        <v>114</v>
      </c>
      <c r="CQ284" t="s">
        <v>114</v>
      </c>
      <c r="CR284" t="s">
        <v>114</v>
      </c>
      <c r="CS284" t="s">
        <v>134</v>
      </c>
      <c r="CT284" t="s">
        <v>114</v>
      </c>
      <c r="CU284" t="s">
        <v>134</v>
      </c>
      <c r="CV284" t="s">
        <v>219</v>
      </c>
      <c r="CW284" s="5" t="str">
        <f>"+16314238362"</f>
        <v>+16314238362</v>
      </c>
      <c r="CX284" t="s">
        <v>8049</v>
      </c>
      <c r="CY284" t="s">
        <v>138</v>
      </c>
      <c r="CZ284" t="s">
        <v>139</v>
      </c>
      <c r="DA284" t="s">
        <v>134</v>
      </c>
      <c r="DB284" t="s">
        <v>134</v>
      </c>
      <c r="DC284" t="s">
        <v>114</v>
      </c>
      <c r="DD284" t="s">
        <v>134</v>
      </c>
    </row>
    <row r="285" spans="1:113" ht="15" customHeight="1" x14ac:dyDescent="0.25">
      <c r="A285" t="s">
        <v>12678</v>
      </c>
      <c r="B285" t="s">
        <v>165</v>
      </c>
      <c r="C285" s="1">
        <v>44895.708845486108</v>
      </c>
      <c r="D285" s="1">
        <v>44922</v>
      </c>
      <c r="E285" t="s">
        <v>134</v>
      </c>
      <c r="F285" t="s">
        <v>335</v>
      </c>
      <c r="G285" t="str">
        <f t="shared" si="19"/>
        <v>37-3011.00</v>
      </c>
      <c r="H285" t="s">
        <v>335</v>
      </c>
      <c r="I285">
        <v>10</v>
      </c>
      <c r="J285">
        <v>10</v>
      </c>
      <c r="K285" s="1">
        <v>44970</v>
      </c>
      <c r="L285" s="1">
        <v>45245</v>
      </c>
      <c r="M285" s="1">
        <v>44970</v>
      </c>
      <c r="N285" s="1">
        <v>45245</v>
      </c>
      <c r="O285" t="s">
        <v>117</v>
      </c>
      <c r="P285" t="s">
        <v>12679</v>
      </c>
      <c r="R285" t="s">
        <v>12680</v>
      </c>
      <c r="T285" t="s">
        <v>6992</v>
      </c>
      <c r="U285" t="s">
        <v>631</v>
      </c>
      <c r="V285" s="4" t="str">
        <f>"74074"</f>
        <v>74074</v>
      </c>
      <c r="W285" t="s">
        <v>120</v>
      </c>
      <c r="Y285" s="5">
        <v>14053728733</v>
      </c>
      <c r="Z285">
        <v>0</v>
      </c>
      <c r="AA285">
        <v>5617</v>
      </c>
      <c r="AB285" t="s">
        <v>12681</v>
      </c>
      <c r="AC285" t="s">
        <v>2936</v>
      </c>
      <c r="AD285" t="s">
        <v>12682</v>
      </c>
      <c r="AE285" t="s">
        <v>424</v>
      </c>
      <c r="AF285" t="s">
        <v>12680</v>
      </c>
      <c r="AH285" t="s">
        <v>6992</v>
      </c>
      <c r="AI285" t="s">
        <v>631</v>
      </c>
      <c r="AJ285" s="4" t="str">
        <f>"74074"</f>
        <v>74074</v>
      </c>
      <c r="AK285" t="s">
        <v>120</v>
      </c>
      <c r="AM285" s="5">
        <v>14052698734</v>
      </c>
      <c r="AN285">
        <v>0</v>
      </c>
      <c r="AO285" t="s">
        <v>12683</v>
      </c>
      <c r="AP285" t="s">
        <v>256</v>
      </c>
      <c r="AQ285" t="s">
        <v>535</v>
      </c>
      <c r="AR285" t="s">
        <v>536</v>
      </c>
      <c r="AS285" t="s">
        <v>537</v>
      </c>
      <c r="AT285" t="s">
        <v>538</v>
      </c>
      <c r="AU285" t="s">
        <v>539</v>
      </c>
      <c r="AV285" t="s">
        <v>540</v>
      </c>
      <c r="AW285" t="s">
        <v>232</v>
      </c>
      <c r="AX285" s="4" t="str">
        <f>"78550"</f>
        <v>78550</v>
      </c>
      <c r="AY285" t="s">
        <v>120</v>
      </c>
      <c r="AZ285" t="s">
        <v>541</v>
      </c>
      <c r="BA285" s="5">
        <v>19564408720</v>
      </c>
      <c r="BB285">
        <v>0</v>
      </c>
      <c r="BC285" t="s">
        <v>542</v>
      </c>
      <c r="BD285" t="s">
        <v>543</v>
      </c>
      <c r="BG285" t="s">
        <v>631</v>
      </c>
      <c r="BH285" s="1">
        <v>44894.791666666664</v>
      </c>
      <c r="BI285">
        <v>40</v>
      </c>
      <c r="BJ285">
        <v>0</v>
      </c>
      <c r="BK285">
        <v>8</v>
      </c>
      <c r="BL285">
        <v>8</v>
      </c>
      <c r="BM285">
        <v>8</v>
      </c>
      <c r="BN285">
        <v>8</v>
      </c>
      <c r="BO285">
        <v>8</v>
      </c>
      <c r="BP285">
        <v>0</v>
      </c>
      <c r="BQ285" t="str">
        <f>"7:00 AM"</f>
        <v>7:00 AM</v>
      </c>
      <c r="BR285" t="str">
        <f>"5:00 PM"</f>
        <v>5:00 PM</v>
      </c>
      <c r="BS285" t="s">
        <v>133</v>
      </c>
      <c r="BT285">
        <v>0</v>
      </c>
      <c r="BU285">
        <v>0</v>
      </c>
      <c r="BV285" t="s">
        <v>134</v>
      </c>
      <c r="BX285" s="2" t="s">
        <v>12684</v>
      </c>
      <c r="BY285" t="s">
        <v>12685</v>
      </c>
      <c r="CA285" t="s">
        <v>6992</v>
      </c>
      <c r="CB285" t="s">
        <v>631</v>
      </c>
      <c r="CC285" s="4" t="str">
        <f>"74074"</f>
        <v>74074</v>
      </c>
      <c r="CD285" t="s">
        <v>6993</v>
      </c>
      <c r="CE285" t="s">
        <v>2823</v>
      </c>
      <c r="CF285" s="6">
        <v>15.35</v>
      </c>
      <c r="CG285" s="6">
        <v>15.35</v>
      </c>
      <c r="CH285" s="6">
        <v>23.02</v>
      </c>
      <c r="CI285" s="6">
        <v>23.02</v>
      </c>
      <c r="CJ285" t="s">
        <v>137</v>
      </c>
      <c r="CK285" t="s">
        <v>12686</v>
      </c>
      <c r="CL285" t="s">
        <v>12687</v>
      </c>
      <c r="CO285" t="s">
        <v>138</v>
      </c>
      <c r="CP285" t="s">
        <v>114</v>
      </c>
      <c r="CQ285" t="s">
        <v>114</v>
      </c>
      <c r="CR285" t="s">
        <v>114</v>
      </c>
      <c r="CS285" t="s">
        <v>114</v>
      </c>
      <c r="CT285" t="s">
        <v>114</v>
      </c>
      <c r="CU285" t="s">
        <v>114</v>
      </c>
      <c r="CV285" s="2" t="s">
        <v>12688</v>
      </c>
      <c r="CW285" s="5" t="str">
        <f>"+14053728733"</f>
        <v>+14053728733</v>
      </c>
      <c r="CX285" t="s">
        <v>12689</v>
      </c>
      <c r="CY285" t="s">
        <v>138</v>
      </c>
      <c r="CZ285" t="s">
        <v>139</v>
      </c>
      <c r="DA285" t="s">
        <v>134</v>
      </c>
      <c r="DB285" t="s">
        <v>134</v>
      </c>
      <c r="DC285" t="s">
        <v>114</v>
      </c>
      <c r="DD285" t="s">
        <v>134</v>
      </c>
    </row>
    <row r="286" spans="1:113" ht="15" customHeight="1" x14ac:dyDescent="0.25">
      <c r="A286" t="s">
        <v>1746</v>
      </c>
      <c r="B286" t="s">
        <v>165</v>
      </c>
      <c r="C286" s="1">
        <v>44895.612830324077</v>
      </c>
      <c r="D286" s="1">
        <v>44922</v>
      </c>
      <c r="E286" t="s">
        <v>114</v>
      </c>
      <c r="F286" t="s">
        <v>1747</v>
      </c>
      <c r="G286" t="str">
        <f t="shared" si="19"/>
        <v>37-3011.00</v>
      </c>
      <c r="H286" t="s">
        <v>335</v>
      </c>
      <c r="I286">
        <v>12</v>
      </c>
      <c r="J286">
        <v>12</v>
      </c>
      <c r="K286" s="1">
        <v>44984</v>
      </c>
      <c r="L286" s="1">
        <v>45077</v>
      </c>
      <c r="M286" s="1">
        <v>44984</v>
      </c>
      <c r="N286" s="1">
        <v>45077</v>
      </c>
      <c r="O286" t="s">
        <v>199</v>
      </c>
      <c r="P286" t="s">
        <v>1748</v>
      </c>
      <c r="R286" t="s">
        <v>1749</v>
      </c>
      <c r="T286" t="s">
        <v>1190</v>
      </c>
      <c r="U286" t="s">
        <v>1750</v>
      </c>
      <c r="V286" s="4" t="str">
        <f>"68512"</f>
        <v>68512</v>
      </c>
      <c r="W286" t="s">
        <v>120</v>
      </c>
      <c r="Y286" s="5">
        <v>14024236653</v>
      </c>
      <c r="AA286">
        <v>237990</v>
      </c>
      <c r="AB286" t="s">
        <v>1751</v>
      </c>
      <c r="AC286" t="s">
        <v>1752</v>
      </c>
      <c r="AE286" t="s">
        <v>1753</v>
      </c>
      <c r="AF286" t="s">
        <v>1749</v>
      </c>
      <c r="AH286" t="s">
        <v>1190</v>
      </c>
      <c r="AI286" t="s">
        <v>1750</v>
      </c>
      <c r="AJ286" s="4" t="str">
        <f>"68512"</f>
        <v>68512</v>
      </c>
      <c r="AK286" t="s">
        <v>120</v>
      </c>
      <c r="AM286" s="5">
        <v>14024236653</v>
      </c>
      <c r="AO286" t="s">
        <v>1754</v>
      </c>
      <c r="AP286" t="s">
        <v>122</v>
      </c>
      <c r="AQ286" t="s">
        <v>1755</v>
      </c>
      <c r="AR286" t="s">
        <v>1682</v>
      </c>
      <c r="AS286" t="s">
        <v>1756</v>
      </c>
      <c r="AT286" t="s">
        <v>1757</v>
      </c>
      <c r="AU286" t="s">
        <v>1758</v>
      </c>
      <c r="AV286" t="s">
        <v>1759</v>
      </c>
      <c r="AW286" t="s">
        <v>232</v>
      </c>
      <c r="AX286" s="4" t="str">
        <f>"75234"</f>
        <v>75234</v>
      </c>
      <c r="AY286" t="s">
        <v>120</v>
      </c>
      <c r="BA286" s="5">
        <v>19722416445</v>
      </c>
      <c r="BC286" t="s">
        <v>1760</v>
      </c>
      <c r="BD286" t="s">
        <v>1761</v>
      </c>
      <c r="BE286" t="s">
        <v>232</v>
      </c>
      <c r="BF286" t="s">
        <v>870</v>
      </c>
      <c r="BG286" t="s">
        <v>444</v>
      </c>
      <c r="BH286" s="1">
        <v>44886.791666666664</v>
      </c>
      <c r="BI286">
        <v>40</v>
      </c>
      <c r="BJ286">
        <v>5</v>
      </c>
      <c r="BK286">
        <v>6</v>
      </c>
      <c r="BL286">
        <v>6</v>
      </c>
      <c r="BM286">
        <v>6</v>
      </c>
      <c r="BN286">
        <v>6</v>
      </c>
      <c r="BO286">
        <v>6</v>
      </c>
      <c r="BP286">
        <v>5</v>
      </c>
      <c r="BQ286" t="str">
        <f>"6:00 AM"</f>
        <v>6:00 AM</v>
      </c>
      <c r="BR286" t="str">
        <f>"2:30 PM"</f>
        <v>2:30 PM</v>
      </c>
      <c r="BS286" t="s">
        <v>133</v>
      </c>
      <c r="BT286">
        <v>0</v>
      </c>
      <c r="BU286">
        <v>6</v>
      </c>
      <c r="BV286" t="s">
        <v>134</v>
      </c>
      <c r="BX286" s="2" t="s">
        <v>1762</v>
      </c>
      <c r="BY286" t="s">
        <v>1763</v>
      </c>
      <c r="BZ286" t="s">
        <v>1764</v>
      </c>
      <c r="CA286" t="s">
        <v>1765</v>
      </c>
      <c r="CB286" t="s">
        <v>444</v>
      </c>
      <c r="CC286" s="4" t="str">
        <f>"90272"</f>
        <v>90272</v>
      </c>
      <c r="CD286" t="s">
        <v>1766</v>
      </c>
      <c r="CE286" t="s">
        <v>1767</v>
      </c>
      <c r="CF286" s="6">
        <v>18.89</v>
      </c>
      <c r="CH286" s="6">
        <v>28.34</v>
      </c>
      <c r="CJ286" t="s">
        <v>137</v>
      </c>
      <c r="CK286" t="s">
        <v>1768</v>
      </c>
      <c r="CL286" t="s">
        <v>1769</v>
      </c>
      <c r="CO286" t="s">
        <v>138</v>
      </c>
      <c r="CP286" t="s">
        <v>114</v>
      </c>
      <c r="CQ286" t="s">
        <v>134</v>
      </c>
      <c r="CR286" t="s">
        <v>114</v>
      </c>
      <c r="CS286" t="s">
        <v>134</v>
      </c>
      <c r="CT286" t="s">
        <v>114</v>
      </c>
      <c r="CU286" t="s">
        <v>114</v>
      </c>
      <c r="CV286" t="s">
        <v>1770</v>
      </c>
      <c r="CW286" s="5" t="str">
        <f>"+18553006690"</f>
        <v>+18553006690</v>
      </c>
      <c r="CX286" t="s">
        <v>138</v>
      </c>
      <c r="CY286" t="s">
        <v>1771</v>
      </c>
      <c r="CZ286" t="s">
        <v>139</v>
      </c>
      <c r="DA286" t="s">
        <v>134</v>
      </c>
      <c r="DB286" t="s">
        <v>134</v>
      </c>
      <c r="DC286" t="s">
        <v>114</v>
      </c>
      <c r="DD286" t="s">
        <v>134</v>
      </c>
    </row>
    <row r="287" spans="1:113" ht="15" customHeight="1" x14ac:dyDescent="0.25">
      <c r="A287" t="s">
        <v>6841</v>
      </c>
      <c r="B287" t="s">
        <v>165</v>
      </c>
      <c r="C287" s="1">
        <v>44896.658306481484</v>
      </c>
      <c r="D287" s="1">
        <v>44918</v>
      </c>
      <c r="E287" t="s">
        <v>134</v>
      </c>
      <c r="F287" t="s">
        <v>334</v>
      </c>
      <c r="G287" t="str">
        <f t="shared" si="19"/>
        <v>37-3011.00</v>
      </c>
      <c r="H287" t="s">
        <v>335</v>
      </c>
      <c r="I287">
        <v>10</v>
      </c>
      <c r="J287">
        <v>10</v>
      </c>
      <c r="K287" s="1">
        <v>44986</v>
      </c>
      <c r="L287" s="1">
        <v>45260</v>
      </c>
      <c r="M287" s="1">
        <v>44986</v>
      </c>
      <c r="N287" s="1">
        <v>45260</v>
      </c>
      <c r="O287" t="s">
        <v>117</v>
      </c>
      <c r="P287" t="s">
        <v>6842</v>
      </c>
      <c r="Q287" t="s">
        <v>6843</v>
      </c>
      <c r="R287" t="s">
        <v>6844</v>
      </c>
      <c r="S287" t="s">
        <v>138</v>
      </c>
      <c r="T287" t="s">
        <v>4553</v>
      </c>
      <c r="U287" t="s">
        <v>697</v>
      </c>
      <c r="V287" s="4" t="str">
        <f>"63038"</f>
        <v>63038</v>
      </c>
      <c r="W287" t="s">
        <v>120</v>
      </c>
      <c r="Y287" s="5">
        <v>16364589202</v>
      </c>
      <c r="AA287">
        <v>561730</v>
      </c>
      <c r="AB287" t="s">
        <v>6845</v>
      </c>
      <c r="AC287" t="s">
        <v>1705</v>
      </c>
      <c r="AD287" t="s">
        <v>138</v>
      </c>
      <c r="AE287" t="s">
        <v>424</v>
      </c>
      <c r="AF287" t="s">
        <v>6844</v>
      </c>
      <c r="AG287" t="s">
        <v>138</v>
      </c>
      <c r="AH287" t="s">
        <v>4553</v>
      </c>
      <c r="AI287" t="s">
        <v>697</v>
      </c>
      <c r="AJ287" s="4" t="str">
        <f>"63038"</f>
        <v>63038</v>
      </c>
      <c r="AK287" t="s">
        <v>120</v>
      </c>
      <c r="AM287" s="5">
        <v>16364589202</v>
      </c>
      <c r="AO287" t="s">
        <v>6846</v>
      </c>
      <c r="AP287" t="s">
        <v>256</v>
      </c>
      <c r="AQ287" t="s">
        <v>1282</v>
      </c>
      <c r="AR287" t="s">
        <v>1283</v>
      </c>
      <c r="AS287" t="s">
        <v>138</v>
      </c>
      <c r="AT287" t="s">
        <v>1284</v>
      </c>
      <c r="AU287" t="s">
        <v>138</v>
      </c>
      <c r="AV287" t="s">
        <v>6847</v>
      </c>
      <c r="AW287" t="s">
        <v>232</v>
      </c>
      <c r="AX287" s="4" t="str">
        <f>"77414"</f>
        <v>77414</v>
      </c>
      <c r="AY287" t="s">
        <v>120</v>
      </c>
      <c r="BA287" s="5">
        <v>19793187279</v>
      </c>
      <c r="BC287" t="s">
        <v>1286</v>
      </c>
      <c r="BD287" t="s">
        <v>1287</v>
      </c>
      <c r="BG287" t="s">
        <v>697</v>
      </c>
      <c r="BH287" s="1">
        <v>44895.791666666664</v>
      </c>
      <c r="BI287">
        <v>40</v>
      </c>
      <c r="BJ287">
        <v>0</v>
      </c>
      <c r="BK287">
        <v>8</v>
      </c>
      <c r="BL287">
        <v>8</v>
      </c>
      <c r="BM287">
        <v>8</v>
      </c>
      <c r="BN287">
        <v>8</v>
      </c>
      <c r="BO287">
        <v>8</v>
      </c>
      <c r="BP287">
        <v>0</v>
      </c>
      <c r="BQ287" t="str">
        <f>"7:00 AM"</f>
        <v>7:00 AM</v>
      </c>
      <c r="BR287" t="str">
        <f>"4:00 PM"</f>
        <v>4:00 PM</v>
      </c>
      <c r="BS287" t="s">
        <v>133</v>
      </c>
      <c r="BT287">
        <v>0</v>
      </c>
      <c r="BU287">
        <v>0</v>
      </c>
      <c r="BV287" t="s">
        <v>134</v>
      </c>
      <c r="BX287" s="2" t="s">
        <v>6848</v>
      </c>
      <c r="BY287" t="s">
        <v>6844</v>
      </c>
      <c r="BZ287" t="s">
        <v>138</v>
      </c>
      <c r="CA287" t="s">
        <v>4553</v>
      </c>
      <c r="CB287" t="s">
        <v>697</v>
      </c>
      <c r="CC287" s="4" t="str">
        <f>"63038"</f>
        <v>63038</v>
      </c>
      <c r="CD287" t="s">
        <v>712</v>
      </c>
      <c r="CE287" t="s">
        <v>713</v>
      </c>
      <c r="CF287" s="6">
        <v>16.96</v>
      </c>
      <c r="CG287" s="6">
        <v>17</v>
      </c>
      <c r="CH287" s="6">
        <v>25.44</v>
      </c>
      <c r="CI287" s="6">
        <v>25.5</v>
      </c>
      <c r="CJ287" t="s">
        <v>137</v>
      </c>
      <c r="CK287" t="s">
        <v>6849</v>
      </c>
      <c r="CL287" t="s">
        <v>6850</v>
      </c>
      <c r="CO287" t="s">
        <v>138</v>
      </c>
      <c r="CP287" t="s">
        <v>114</v>
      </c>
      <c r="CQ287" t="s">
        <v>114</v>
      </c>
      <c r="CR287" t="s">
        <v>114</v>
      </c>
      <c r="CS287" t="s">
        <v>114</v>
      </c>
      <c r="CT287" t="s">
        <v>114</v>
      </c>
      <c r="CU287" t="s">
        <v>114</v>
      </c>
      <c r="CV287" s="2" t="s">
        <v>6851</v>
      </c>
      <c r="CW287" s="5" t="str">
        <f>"+16368215063"</f>
        <v>+16368215063</v>
      </c>
      <c r="CX287" t="s">
        <v>6846</v>
      </c>
      <c r="CY287" t="s">
        <v>138</v>
      </c>
      <c r="CZ287" t="s">
        <v>139</v>
      </c>
      <c r="DA287" t="s">
        <v>134</v>
      </c>
      <c r="DB287" t="s">
        <v>134</v>
      </c>
      <c r="DC287" t="s">
        <v>114</v>
      </c>
      <c r="DD287" t="s">
        <v>134</v>
      </c>
    </row>
    <row r="288" spans="1:113" ht="15" customHeight="1" x14ac:dyDescent="0.25">
      <c r="A288" t="s">
        <v>8900</v>
      </c>
      <c r="B288" t="s">
        <v>165</v>
      </c>
      <c r="C288" s="1">
        <v>44896.394793287036</v>
      </c>
      <c r="D288" s="1">
        <v>44918</v>
      </c>
      <c r="E288" t="s">
        <v>134</v>
      </c>
      <c r="F288" t="s">
        <v>8901</v>
      </c>
      <c r="G288" t="str">
        <f t="shared" si="19"/>
        <v>37-3011.00</v>
      </c>
      <c r="H288" t="s">
        <v>335</v>
      </c>
      <c r="I288">
        <v>20</v>
      </c>
      <c r="J288">
        <v>20</v>
      </c>
      <c r="K288" s="1">
        <v>44986</v>
      </c>
      <c r="L288" s="1">
        <v>45261</v>
      </c>
      <c r="M288" s="1">
        <v>44986</v>
      </c>
      <c r="N288" s="1">
        <v>45261</v>
      </c>
      <c r="O288" t="s">
        <v>199</v>
      </c>
      <c r="P288" t="s">
        <v>8902</v>
      </c>
      <c r="R288" t="s">
        <v>8903</v>
      </c>
      <c r="T288" t="s">
        <v>7139</v>
      </c>
      <c r="U288" t="s">
        <v>2842</v>
      </c>
      <c r="V288" s="4" t="str">
        <f>"06033"</f>
        <v>06033</v>
      </c>
      <c r="W288" t="s">
        <v>120</v>
      </c>
      <c r="Y288" s="5">
        <v>18606330115</v>
      </c>
      <c r="AA288">
        <v>56173</v>
      </c>
      <c r="AB288" t="s">
        <v>8904</v>
      </c>
      <c r="AC288" t="s">
        <v>5560</v>
      </c>
      <c r="AD288" t="s">
        <v>1897</v>
      </c>
      <c r="AE288" t="s">
        <v>1212</v>
      </c>
      <c r="AF288" t="s">
        <v>8905</v>
      </c>
      <c r="AH288" t="s">
        <v>7140</v>
      </c>
      <c r="AI288" t="s">
        <v>2842</v>
      </c>
      <c r="AJ288" s="4" t="str">
        <f>"06033"</f>
        <v>06033</v>
      </c>
      <c r="AK288" t="s">
        <v>120</v>
      </c>
      <c r="AM288" s="5">
        <v>18606330115</v>
      </c>
      <c r="AO288" t="s">
        <v>8906</v>
      </c>
      <c r="AP288" t="s">
        <v>256</v>
      </c>
      <c r="AQ288" t="s">
        <v>1898</v>
      </c>
      <c r="AR288" t="s">
        <v>1899</v>
      </c>
      <c r="AS288" t="s">
        <v>1900</v>
      </c>
      <c r="AT288" t="s">
        <v>1901</v>
      </c>
      <c r="AV288" t="s">
        <v>1902</v>
      </c>
      <c r="AW288" t="s">
        <v>479</v>
      </c>
      <c r="AX288" s="4" t="str">
        <f>"23223"</f>
        <v>23223</v>
      </c>
      <c r="AY288" t="s">
        <v>120</v>
      </c>
      <c r="BA288" s="5">
        <v>18043019607</v>
      </c>
      <c r="BC288" t="s">
        <v>1903</v>
      </c>
      <c r="BD288" t="s">
        <v>1904</v>
      </c>
      <c r="BG288" t="s">
        <v>2842</v>
      </c>
      <c r="BH288" s="1">
        <v>44894.791666666664</v>
      </c>
      <c r="BI288">
        <v>40</v>
      </c>
      <c r="BJ288">
        <v>0</v>
      </c>
      <c r="BK288">
        <v>8</v>
      </c>
      <c r="BL288">
        <v>8</v>
      </c>
      <c r="BM288">
        <v>8</v>
      </c>
      <c r="BN288">
        <v>8</v>
      </c>
      <c r="BO288">
        <v>8</v>
      </c>
      <c r="BP288">
        <v>0</v>
      </c>
      <c r="BQ288" t="str">
        <f>"7:00 AM"</f>
        <v>7:00 AM</v>
      </c>
      <c r="BR288" t="str">
        <f>"4:00 PM"</f>
        <v>4:00 PM</v>
      </c>
      <c r="BS288" t="s">
        <v>133</v>
      </c>
      <c r="BT288">
        <v>0</v>
      </c>
      <c r="BU288">
        <v>3</v>
      </c>
      <c r="BV288" t="s">
        <v>134</v>
      </c>
      <c r="BX288" t="s">
        <v>8907</v>
      </c>
      <c r="BY288" t="s">
        <v>8905</v>
      </c>
      <c r="CA288" t="s">
        <v>7140</v>
      </c>
      <c r="CB288" t="s">
        <v>2842</v>
      </c>
      <c r="CC288" s="4" t="str">
        <f>"06033"</f>
        <v>06033</v>
      </c>
      <c r="CD288" t="s">
        <v>7141</v>
      </c>
      <c r="CE288" t="s">
        <v>2860</v>
      </c>
      <c r="CF288" s="6">
        <v>20.010000000000002</v>
      </c>
      <c r="CG288" s="6">
        <v>20.010000000000002</v>
      </c>
      <c r="CH288" s="6">
        <v>30.02</v>
      </c>
      <c r="CI288" s="6">
        <v>30.02</v>
      </c>
      <c r="CJ288" t="s">
        <v>137</v>
      </c>
      <c r="CK288" t="s">
        <v>2221</v>
      </c>
      <c r="CL288" t="s">
        <v>8908</v>
      </c>
      <c r="CO288" t="s">
        <v>138</v>
      </c>
      <c r="CP288" t="s">
        <v>114</v>
      </c>
      <c r="CQ288" t="s">
        <v>114</v>
      </c>
      <c r="CR288" t="s">
        <v>114</v>
      </c>
      <c r="CS288" t="s">
        <v>134</v>
      </c>
      <c r="CT288" t="s">
        <v>114</v>
      </c>
      <c r="CU288" t="s">
        <v>134</v>
      </c>
      <c r="CV288" t="s">
        <v>2222</v>
      </c>
      <c r="CW288" s="5" t="str">
        <f>"+18606330115"</f>
        <v>+18606330115</v>
      </c>
      <c r="CX288" t="s">
        <v>8909</v>
      </c>
      <c r="CY288" t="s">
        <v>138</v>
      </c>
      <c r="CZ288" t="s">
        <v>139</v>
      </c>
      <c r="DA288" t="s">
        <v>134</v>
      </c>
      <c r="DB288" t="s">
        <v>114</v>
      </c>
      <c r="DC288" t="s">
        <v>114</v>
      </c>
      <c r="DD288" t="s">
        <v>134</v>
      </c>
      <c r="DE288" t="s">
        <v>1898</v>
      </c>
      <c r="DF288" t="s">
        <v>1899</v>
      </c>
      <c r="DG288" t="s">
        <v>1905</v>
      </c>
      <c r="DH288" t="s">
        <v>1904</v>
      </c>
      <c r="DI288" t="s">
        <v>1903</v>
      </c>
    </row>
    <row r="289" spans="1:108" ht="15" customHeight="1" x14ac:dyDescent="0.25">
      <c r="A289" t="s">
        <v>16006</v>
      </c>
      <c r="B289" t="s">
        <v>165</v>
      </c>
      <c r="C289" s="1">
        <v>44894.534183217591</v>
      </c>
      <c r="D289" s="1">
        <v>44918</v>
      </c>
      <c r="E289" t="s">
        <v>134</v>
      </c>
      <c r="F289" t="s">
        <v>334</v>
      </c>
      <c r="G289" t="str">
        <f t="shared" si="19"/>
        <v>37-3011.00</v>
      </c>
      <c r="H289" t="s">
        <v>335</v>
      </c>
      <c r="I289">
        <v>50</v>
      </c>
      <c r="J289">
        <v>50</v>
      </c>
      <c r="K289" s="1">
        <v>44984</v>
      </c>
      <c r="L289" s="1">
        <v>45261</v>
      </c>
      <c r="M289" s="1">
        <v>44984</v>
      </c>
      <c r="N289" s="1">
        <v>45261</v>
      </c>
      <c r="O289" t="s">
        <v>199</v>
      </c>
      <c r="P289" t="s">
        <v>9923</v>
      </c>
      <c r="R289" t="s">
        <v>9924</v>
      </c>
      <c r="S289" t="s">
        <v>138</v>
      </c>
      <c r="T289" t="s">
        <v>2748</v>
      </c>
      <c r="U289" t="s">
        <v>420</v>
      </c>
      <c r="V289" s="4" t="str">
        <f>"84104"</f>
        <v>84104</v>
      </c>
      <c r="W289" t="s">
        <v>120</v>
      </c>
      <c r="Y289" s="5">
        <v>18019782226</v>
      </c>
      <c r="AA289">
        <v>561730</v>
      </c>
      <c r="AB289" t="s">
        <v>9925</v>
      </c>
      <c r="AC289" t="s">
        <v>7116</v>
      </c>
      <c r="AD289" t="s">
        <v>1900</v>
      </c>
      <c r="AE289" t="s">
        <v>1831</v>
      </c>
      <c r="AF289" t="s">
        <v>9924</v>
      </c>
      <c r="AG289" t="s">
        <v>138</v>
      </c>
      <c r="AH289" t="s">
        <v>2748</v>
      </c>
      <c r="AI289" t="s">
        <v>420</v>
      </c>
      <c r="AJ289" s="4" t="str">
        <f>"84104"</f>
        <v>84104</v>
      </c>
      <c r="AK289" t="s">
        <v>120</v>
      </c>
      <c r="AM289" s="5">
        <v>18019782226</v>
      </c>
      <c r="AO289" t="s">
        <v>9926</v>
      </c>
      <c r="AP289" t="s">
        <v>256</v>
      </c>
      <c r="AQ289" t="s">
        <v>2048</v>
      </c>
      <c r="AR289" t="s">
        <v>2049</v>
      </c>
      <c r="AS289" t="s">
        <v>1378</v>
      </c>
      <c r="AT289" t="s">
        <v>2050</v>
      </c>
      <c r="AU289" t="s">
        <v>138</v>
      </c>
      <c r="AV289" t="s">
        <v>1285</v>
      </c>
      <c r="AW289" t="s">
        <v>232</v>
      </c>
      <c r="AX289" s="4" t="str">
        <f>"77414"</f>
        <v>77414</v>
      </c>
      <c r="AY289" t="s">
        <v>120</v>
      </c>
      <c r="BA289" s="5">
        <v>19793187278</v>
      </c>
      <c r="BC289" t="s">
        <v>2051</v>
      </c>
      <c r="BD289" t="s">
        <v>1287</v>
      </c>
      <c r="BG289" t="s">
        <v>420</v>
      </c>
      <c r="BH289" s="1">
        <v>44893.791666666664</v>
      </c>
      <c r="BI289">
        <v>40</v>
      </c>
      <c r="BJ289">
        <v>0</v>
      </c>
      <c r="BK289">
        <v>8</v>
      </c>
      <c r="BL289">
        <v>8</v>
      </c>
      <c r="BM289">
        <v>8</v>
      </c>
      <c r="BN289">
        <v>8</v>
      </c>
      <c r="BO289">
        <v>8</v>
      </c>
      <c r="BP289">
        <v>0</v>
      </c>
      <c r="BQ289" t="str">
        <f>"7:00 AM"</f>
        <v>7:00 AM</v>
      </c>
      <c r="BR289" t="str">
        <f>"3:30 PM"</f>
        <v>3:30 PM</v>
      </c>
      <c r="BS289" t="s">
        <v>133</v>
      </c>
      <c r="BT289">
        <v>0</v>
      </c>
      <c r="BU289">
        <v>2</v>
      </c>
      <c r="BV289" t="s">
        <v>134</v>
      </c>
      <c r="BX289" s="2" t="s">
        <v>16007</v>
      </c>
      <c r="BY289" t="s">
        <v>9924</v>
      </c>
      <c r="BZ289" t="s">
        <v>138</v>
      </c>
      <c r="CA289" t="s">
        <v>2748</v>
      </c>
      <c r="CB289" t="s">
        <v>420</v>
      </c>
      <c r="CC289" s="4" t="str">
        <f>"84104"</f>
        <v>84104</v>
      </c>
      <c r="CD289" t="s">
        <v>688</v>
      </c>
      <c r="CE289" t="s">
        <v>689</v>
      </c>
      <c r="CF289" s="6">
        <v>17.21</v>
      </c>
      <c r="CG289" s="6">
        <v>23</v>
      </c>
      <c r="CH289" s="6">
        <v>25.82</v>
      </c>
      <c r="CI289" s="6">
        <v>34.5</v>
      </c>
      <c r="CJ289" t="s">
        <v>137</v>
      </c>
      <c r="CK289" t="s">
        <v>9927</v>
      </c>
      <c r="CL289" t="s">
        <v>9928</v>
      </c>
      <c r="CO289" t="s">
        <v>138</v>
      </c>
      <c r="CP289" t="s">
        <v>114</v>
      </c>
      <c r="CQ289" t="s">
        <v>114</v>
      </c>
      <c r="CR289" t="s">
        <v>114</v>
      </c>
      <c r="CS289" t="s">
        <v>134</v>
      </c>
      <c r="CT289" t="s">
        <v>114</v>
      </c>
      <c r="CU289" t="s">
        <v>134</v>
      </c>
      <c r="CV289" t="s">
        <v>2360</v>
      </c>
      <c r="CW289" s="5" t="str">
        <f>"+18019782226"</f>
        <v>+18019782226</v>
      </c>
      <c r="CX289" t="s">
        <v>9929</v>
      </c>
      <c r="CY289" t="s">
        <v>138</v>
      </c>
      <c r="CZ289" t="s">
        <v>139</v>
      </c>
      <c r="DA289" t="s">
        <v>134</v>
      </c>
      <c r="DB289" t="s">
        <v>134</v>
      </c>
      <c r="DC289" t="s">
        <v>114</v>
      </c>
      <c r="DD289" t="s">
        <v>134</v>
      </c>
    </row>
    <row r="290" spans="1:108" ht="15" customHeight="1" x14ac:dyDescent="0.25">
      <c r="A290" t="s">
        <v>1314</v>
      </c>
      <c r="B290" t="s">
        <v>165</v>
      </c>
      <c r="C290" s="1">
        <v>44893.753475347221</v>
      </c>
      <c r="D290" s="1">
        <v>44918</v>
      </c>
      <c r="E290" t="s">
        <v>134</v>
      </c>
      <c r="F290" t="s">
        <v>1315</v>
      </c>
      <c r="G290" t="str">
        <f>"39-3091.00"</f>
        <v>39-3091.00</v>
      </c>
      <c r="H290" t="s">
        <v>362</v>
      </c>
      <c r="I290">
        <v>30</v>
      </c>
      <c r="J290">
        <v>30</v>
      </c>
      <c r="K290" s="1">
        <v>44968</v>
      </c>
      <c r="L290" s="1">
        <v>45245</v>
      </c>
      <c r="M290" s="1">
        <v>44968</v>
      </c>
      <c r="N290" s="1">
        <v>45245</v>
      </c>
      <c r="O290" t="s">
        <v>199</v>
      </c>
      <c r="P290" t="s">
        <v>1316</v>
      </c>
      <c r="Q290" t="s">
        <v>1317</v>
      </c>
      <c r="R290" t="s">
        <v>1318</v>
      </c>
      <c r="S290" t="s">
        <v>1319</v>
      </c>
      <c r="T290" t="s">
        <v>1320</v>
      </c>
      <c r="U290" t="s">
        <v>232</v>
      </c>
      <c r="V290" s="4" t="str">
        <f>"78550"</f>
        <v>78550</v>
      </c>
      <c r="W290" t="s">
        <v>120</v>
      </c>
      <c r="Y290" s="5">
        <v>17134167461</v>
      </c>
      <c r="Z290">
        <v>0</v>
      </c>
      <c r="AA290">
        <v>71119</v>
      </c>
      <c r="AB290" t="s">
        <v>1321</v>
      </c>
      <c r="AC290" t="s">
        <v>370</v>
      </c>
      <c r="AE290" t="s">
        <v>252</v>
      </c>
      <c r="AF290" t="s">
        <v>1318</v>
      </c>
      <c r="AG290" t="s">
        <v>1322</v>
      </c>
      <c r="AH290" t="s">
        <v>1320</v>
      </c>
      <c r="AI290" t="s">
        <v>232</v>
      </c>
      <c r="AJ290" s="4" t="str">
        <f>"78550"</f>
        <v>78550</v>
      </c>
      <c r="AK290" t="s">
        <v>120</v>
      </c>
      <c r="AM290" s="5">
        <v>17134167461</v>
      </c>
      <c r="AN290">
        <v>0</v>
      </c>
      <c r="AO290" t="s">
        <v>1323</v>
      </c>
      <c r="AP290" t="s">
        <v>256</v>
      </c>
      <c r="AQ290" t="s">
        <v>535</v>
      </c>
      <c r="AR290" t="s">
        <v>536</v>
      </c>
      <c r="AS290" t="s">
        <v>537</v>
      </c>
      <c r="AT290" t="s">
        <v>538</v>
      </c>
      <c r="AU290" t="s">
        <v>539</v>
      </c>
      <c r="AV290" t="s">
        <v>540</v>
      </c>
      <c r="AW290" t="s">
        <v>232</v>
      </c>
      <c r="AX290" s="4" t="str">
        <f>"78550"</f>
        <v>78550</v>
      </c>
      <c r="AY290" t="s">
        <v>120</v>
      </c>
      <c r="AZ290" t="s">
        <v>541</v>
      </c>
      <c r="BA290" s="5">
        <v>19564408720</v>
      </c>
      <c r="BB290">
        <v>0</v>
      </c>
      <c r="BC290" t="s">
        <v>542</v>
      </c>
      <c r="BD290" t="s">
        <v>543</v>
      </c>
      <c r="BG290" t="s">
        <v>232</v>
      </c>
      <c r="BH290" s="1">
        <v>44892.791666666664</v>
      </c>
      <c r="BI290">
        <v>40</v>
      </c>
      <c r="BJ290">
        <v>8</v>
      </c>
      <c r="BK290">
        <v>0</v>
      </c>
      <c r="BL290">
        <v>0</v>
      </c>
      <c r="BM290">
        <v>8</v>
      </c>
      <c r="BN290">
        <v>8</v>
      </c>
      <c r="BO290">
        <v>8</v>
      </c>
      <c r="BP290">
        <v>8</v>
      </c>
      <c r="BQ290" t="str">
        <f>"1:00 PM"</f>
        <v>1:00 PM</v>
      </c>
      <c r="BR290" t="str">
        <f>"10:00 PM"</f>
        <v>10:00 PM</v>
      </c>
      <c r="BS290" t="s">
        <v>133</v>
      </c>
      <c r="BT290">
        <v>0</v>
      </c>
      <c r="BU290">
        <v>0</v>
      </c>
      <c r="BV290" t="s">
        <v>134</v>
      </c>
      <c r="BX290" s="2" t="s">
        <v>1324</v>
      </c>
      <c r="BY290" t="s">
        <v>1325</v>
      </c>
      <c r="CA290" t="s">
        <v>540</v>
      </c>
      <c r="CB290" t="s">
        <v>232</v>
      </c>
      <c r="CC290" s="4" t="str">
        <f>"78550"</f>
        <v>78550</v>
      </c>
      <c r="CD290" t="s">
        <v>1326</v>
      </c>
      <c r="CE290" t="s">
        <v>1327</v>
      </c>
      <c r="CF290" s="6">
        <v>9.15</v>
      </c>
      <c r="CG290" s="6">
        <v>11.48</v>
      </c>
      <c r="CH290" s="6">
        <v>0</v>
      </c>
      <c r="CI290" s="6">
        <v>0</v>
      </c>
      <c r="CJ290" t="s">
        <v>137</v>
      </c>
      <c r="CK290" t="s">
        <v>1328</v>
      </c>
      <c r="CL290" t="s">
        <v>1329</v>
      </c>
      <c r="CO290" t="s">
        <v>138</v>
      </c>
      <c r="CP290" t="s">
        <v>114</v>
      </c>
      <c r="CQ290" t="s">
        <v>114</v>
      </c>
      <c r="CR290" t="s">
        <v>134</v>
      </c>
      <c r="CS290" t="s">
        <v>114</v>
      </c>
      <c r="CT290" t="s">
        <v>114</v>
      </c>
      <c r="CU290" t="s">
        <v>114</v>
      </c>
      <c r="CV290" t="s">
        <v>1330</v>
      </c>
      <c r="CW290" s="5" t="str">
        <f>"+17134167461"</f>
        <v>+17134167461</v>
      </c>
      <c r="CX290" t="s">
        <v>1323</v>
      </c>
      <c r="CY290" t="s">
        <v>138</v>
      </c>
      <c r="CZ290" t="s">
        <v>139</v>
      </c>
      <c r="DA290" t="s">
        <v>134</v>
      </c>
      <c r="DB290" t="s">
        <v>114</v>
      </c>
      <c r="DC290" t="s">
        <v>114</v>
      </c>
      <c r="DD290" t="s">
        <v>134</v>
      </c>
    </row>
    <row r="291" spans="1:108" ht="15" customHeight="1" x14ac:dyDescent="0.25">
      <c r="A291" t="s">
        <v>15482</v>
      </c>
      <c r="B291" t="s">
        <v>165</v>
      </c>
      <c r="C291" s="1">
        <v>44893.568536226849</v>
      </c>
      <c r="D291" s="1">
        <v>44918</v>
      </c>
      <c r="E291" t="s">
        <v>134</v>
      </c>
      <c r="F291" t="s">
        <v>1315</v>
      </c>
      <c r="G291" t="str">
        <f>"39-3091.00"</f>
        <v>39-3091.00</v>
      </c>
      <c r="H291" t="s">
        <v>362</v>
      </c>
      <c r="I291">
        <v>99</v>
      </c>
      <c r="J291">
        <v>99</v>
      </c>
      <c r="K291" s="1">
        <v>44968</v>
      </c>
      <c r="L291" s="1">
        <v>45245</v>
      </c>
      <c r="M291" s="1">
        <v>44968</v>
      </c>
      <c r="N291" s="1">
        <v>45245</v>
      </c>
      <c r="O291" t="s">
        <v>199</v>
      </c>
      <c r="P291" t="s">
        <v>11000</v>
      </c>
      <c r="R291" t="s">
        <v>11001</v>
      </c>
      <c r="S291" t="s">
        <v>11002</v>
      </c>
      <c r="T291" t="s">
        <v>2106</v>
      </c>
      <c r="U291" t="s">
        <v>154</v>
      </c>
      <c r="V291" s="4" t="str">
        <f>"33534"</f>
        <v>33534</v>
      </c>
      <c r="W291" t="s">
        <v>120</v>
      </c>
      <c r="Y291" s="5">
        <v>18134220074</v>
      </c>
      <c r="Z291">
        <v>0</v>
      </c>
      <c r="AA291">
        <v>71119</v>
      </c>
      <c r="AB291" t="s">
        <v>11003</v>
      </c>
      <c r="AC291" t="s">
        <v>1676</v>
      </c>
      <c r="AE291" t="s">
        <v>11004</v>
      </c>
      <c r="AF291" t="s">
        <v>11001</v>
      </c>
      <c r="AG291" t="s">
        <v>11002</v>
      </c>
      <c r="AH291" t="s">
        <v>2106</v>
      </c>
      <c r="AI291" t="s">
        <v>154</v>
      </c>
      <c r="AJ291" s="4" t="str">
        <f>"33534"</f>
        <v>33534</v>
      </c>
      <c r="AK291" t="s">
        <v>120</v>
      </c>
      <c r="AM291" s="5">
        <v>18134220074</v>
      </c>
      <c r="AN291">
        <v>0</v>
      </c>
      <c r="AO291" t="s">
        <v>11005</v>
      </c>
      <c r="AP291" t="s">
        <v>256</v>
      </c>
      <c r="AQ291" t="s">
        <v>535</v>
      </c>
      <c r="AR291" t="s">
        <v>536</v>
      </c>
      <c r="AS291" t="s">
        <v>537</v>
      </c>
      <c r="AT291" t="s">
        <v>538</v>
      </c>
      <c r="AU291" t="s">
        <v>539</v>
      </c>
      <c r="AV291" t="s">
        <v>540</v>
      </c>
      <c r="AW291" t="s">
        <v>232</v>
      </c>
      <c r="AX291" s="4" t="str">
        <f>"78550"</f>
        <v>78550</v>
      </c>
      <c r="AY291" t="s">
        <v>120</v>
      </c>
      <c r="AZ291" t="s">
        <v>2835</v>
      </c>
      <c r="BA291" s="5">
        <v>19564408720</v>
      </c>
      <c r="BB291">
        <v>0</v>
      </c>
      <c r="BC291" t="s">
        <v>542</v>
      </c>
      <c r="BD291" t="s">
        <v>543</v>
      </c>
      <c r="BG291" t="s">
        <v>154</v>
      </c>
      <c r="BH291" s="1">
        <v>44892.791666666664</v>
      </c>
      <c r="BI291">
        <v>40</v>
      </c>
      <c r="BJ291">
        <v>8</v>
      </c>
      <c r="BK291">
        <v>0</v>
      </c>
      <c r="BL291">
        <v>0</v>
      </c>
      <c r="BM291">
        <v>8</v>
      </c>
      <c r="BN291">
        <v>8</v>
      </c>
      <c r="BO291">
        <v>8</v>
      </c>
      <c r="BP291">
        <v>8</v>
      </c>
      <c r="BQ291" t="str">
        <f>"1:00 PM"</f>
        <v>1:00 PM</v>
      </c>
      <c r="BR291" t="str">
        <f>"10:00 PM"</f>
        <v>10:00 PM</v>
      </c>
      <c r="BS291" t="s">
        <v>133</v>
      </c>
      <c r="BT291">
        <v>0</v>
      </c>
      <c r="BU291">
        <v>0</v>
      </c>
      <c r="BV291" t="s">
        <v>134</v>
      </c>
      <c r="BX291" s="2" t="s">
        <v>1324</v>
      </c>
      <c r="BY291" t="s">
        <v>11006</v>
      </c>
      <c r="CA291" t="s">
        <v>2106</v>
      </c>
      <c r="CB291" t="s">
        <v>154</v>
      </c>
      <c r="CC291" s="4" t="str">
        <f>"33534"</f>
        <v>33534</v>
      </c>
      <c r="CD291" t="s">
        <v>566</v>
      </c>
      <c r="CE291" t="s">
        <v>567</v>
      </c>
      <c r="CF291" s="6">
        <v>9.09</v>
      </c>
      <c r="CG291" s="6">
        <v>15.23</v>
      </c>
      <c r="CH291" s="6">
        <v>0</v>
      </c>
      <c r="CI291" s="6">
        <v>0</v>
      </c>
      <c r="CJ291" t="s">
        <v>137</v>
      </c>
      <c r="CK291" t="s">
        <v>15483</v>
      </c>
      <c r="CL291" t="s">
        <v>11007</v>
      </c>
      <c r="CO291" t="s">
        <v>138</v>
      </c>
      <c r="CP291" t="s">
        <v>114</v>
      </c>
      <c r="CQ291" t="s">
        <v>114</v>
      </c>
      <c r="CR291" t="s">
        <v>134</v>
      </c>
      <c r="CS291" t="s">
        <v>114</v>
      </c>
      <c r="CT291" t="s">
        <v>114</v>
      </c>
      <c r="CU291" t="s">
        <v>114</v>
      </c>
      <c r="CV291" t="s">
        <v>15484</v>
      </c>
      <c r="CW291" s="5" t="str">
        <f>"+18134220074"</f>
        <v>+18134220074</v>
      </c>
      <c r="CX291" t="s">
        <v>15485</v>
      </c>
      <c r="CY291" t="s">
        <v>138</v>
      </c>
      <c r="CZ291" t="s">
        <v>139</v>
      </c>
      <c r="DA291" t="s">
        <v>134</v>
      </c>
      <c r="DB291" t="s">
        <v>114</v>
      </c>
      <c r="DC291" t="s">
        <v>114</v>
      </c>
      <c r="DD291" t="s">
        <v>134</v>
      </c>
    </row>
    <row r="292" spans="1:108" ht="15" customHeight="1" x14ac:dyDescent="0.25">
      <c r="A292" t="s">
        <v>5472</v>
      </c>
      <c r="B292" t="s">
        <v>165</v>
      </c>
      <c r="C292" s="1">
        <v>44893.389920138892</v>
      </c>
      <c r="D292" s="1">
        <v>44918</v>
      </c>
      <c r="E292" t="s">
        <v>134</v>
      </c>
      <c r="F292" t="s">
        <v>334</v>
      </c>
      <c r="G292" t="str">
        <f>"37-3011.00"</f>
        <v>37-3011.00</v>
      </c>
      <c r="H292" t="s">
        <v>335</v>
      </c>
      <c r="I292">
        <v>9</v>
      </c>
      <c r="J292">
        <v>9</v>
      </c>
      <c r="K292" s="1">
        <v>44980</v>
      </c>
      <c r="L292" s="1">
        <v>45280</v>
      </c>
      <c r="M292" s="1">
        <v>44980</v>
      </c>
      <c r="N292" s="1">
        <v>45280</v>
      </c>
      <c r="O292" t="s">
        <v>117</v>
      </c>
      <c r="P292" t="s">
        <v>5473</v>
      </c>
      <c r="Q292" t="s">
        <v>5474</v>
      </c>
      <c r="R292" t="s">
        <v>5475</v>
      </c>
      <c r="S292" t="s">
        <v>5476</v>
      </c>
      <c r="T292" t="s">
        <v>5477</v>
      </c>
      <c r="U292" t="s">
        <v>232</v>
      </c>
      <c r="V292" s="4" t="str">
        <f>"77515"</f>
        <v>77515</v>
      </c>
      <c r="W292" t="s">
        <v>120</v>
      </c>
      <c r="X292" t="s">
        <v>138</v>
      </c>
      <c r="Y292" s="5">
        <v>19795490888</v>
      </c>
      <c r="AA292">
        <v>561730</v>
      </c>
      <c r="AB292" t="s">
        <v>5478</v>
      </c>
      <c r="AC292" t="s">
        <v>5479</v>
      </c>
      <c r="AD292" t="s">
        <v>138</v>
      </c>
      <c r="AE292" t="s">
        <v>252</v>
      </c>
      <c r="AF292" t="s">
        <v>5475</v>
      </c>
      <c r="AG292" t="s">
        <v>5476</v>
      </c>
      <c r="AH292" t="s">
        <v>5477</v>
      </c>
      <c r="AI292" t="s">
        <v>232</v>
      </c>
      <c r="AJ292" s="4" t="str">
        <f>"77515"</f>
        <v>77515</v>
      </c>
      <c r="AK292" t="s">
        <v>120</v>
      </c>
      <c r="AM292" s="5">
        <v>19795490888</v>
      </c>
      <c r="AO292" t="s">
        <v>5480</v>
      </c>
      <c r="AP292" t="s">
        <v>256</v>
      </c>
      <c r="AQ292" t="s">
        <v>1352</v>
      </c>
      <c r="AR292" t="s">
        <v>1353</v>
      </c>
      <c r="AS292" t="s">
        <v>138</v>
      </c>
      <c r="AT292" t="s">
        <v>1284</v>
      </c>
      <c r="AU292" t="s">
        <v>138</v>
      </c>
      <c r="AV292" t="s">
        <v>1285</v>
      </c>
      <c r="AW292" t="s">
        <v>232</v>
      </c>
      <c r="AX292" s="4" t="str">
        <f>"77414"</f>
        <v>77414</v>
      </c>
      <c r="AY292" t="s">
        <v>120</v>
      </c>
      <c r="BA292" s="5">
        <v>19793187285</v>
      </c>
      <c r="BC292" t="s">
        <v>1354</v>
      </c>
      <c r="BD292" t="s">
        <v>1287</v>
      </c>
      <c r="BG292" t="s">
        <v>232</v>
      </c>
      <c r="BH292" s="1">
        <v>44892.791666666664</v>
      </c>
      <c r="BI292">
        <v>40</v>
      </c>
      <c r="BJ292">
        <v>0</v>
      </c>
      <c r="BK292">
        <v>8</v>
      </c>
      <c r="BL292">
        <v>8</v>
      </c>
      <c r="BM292">
        <v>8</v>
      </c>
      <c r="BN292">
        <v>8</v>
      </c>
      <c r="BO292">
        <v>8</v>
      </c>
      <c r="BP292">
        <v>0</v>
      </c>
      <c r="BQ292" t="str">
        <f>"7:00 AM"</f>
        <v>7:00 AM</v>
      </c>
      <c r="BR292" t="str">
        <f>"5:30 PM"</f>
        <v>5:30 PM</v>
      </c>
      <c r="BS292" t="s">
        <v>133</v>
      </c>
      <c r="BT292">
        <v>0</v>
      </c>
      <c r="BU292">
        <v>0</v>
      </c>
      <c r="BV292" t="s">
        <v>134</v>
      </c>
      <c r="BX292" s="2" t="s">
        <v>5481</v>
      </c>
      <c r="BY292" t="s">
        <v>5475</v>
      </c>
      <c r="BZ292" t="s">
        <v>138</v>
      </c>
      <c r="CA292" t="s">
        <v>5477</v>
      </c>
      <c r="CB292" t="s">
        <v>232</v>
      </c>
      <c r="CC292" s="4" t="str">
        <f>"77515"</f>
        <v>77515</v>
      </c>
      <c r="CD292" t="s">
        <v>4126</v>
      </c>
      <c r="CE292" t="s">
        <v>873</v>
      </c>
      <c r="CF292" s="6">
        <v>15.56</v>
      </c>
      <c r="CH292" s="6">
        <v>23.34</v>
      </c>
      <c r="CJ292" t="s">
        <v>137</v>
      </c>
      <c r="CK292" t="s">
        <v>5482</v>
      </c>
      <c r="CL292" t="s">
        <v>5483</v>
      </c>
      <c r="CO292" t="s">
        <v>138</v>
      </c>
      <c r="CP292" t="s">
        <v>114</v>
      </c>
      <c r="CQ292" t="s">
        <v>114</v>
      </c>
      <c r="CR292" t="s">
        <v>114</v>
      </c>
      <c r="CS292" t="s">
        <v>114</v>
      </c>
      <c r="CT292" t="s">
        <v>114</v>
      </c>
      <c r="CU292" t="s">
        <v>134</v>
      </c>
      <c r="CV292" t="s">
        <v>1356</v>
      </c>
      <c r="CW292" s="5" t="str">
        <f>"+19795490888"</f>
        <v>+19795490888</v>
      </c>
      <c r="CX292" t="s">
        <v>5480</v>
      </c>
      <c r="CY292" t="s">
        <v>138</v>
      </c>
      <c r="CZ292" t="s">
        <v>139</v>
      </c>
      <c r="DA292" t="s">
        <v>134</v>
      </c>
      <c r="DB292" t="s">
        <v>134</v>
      </c>
      <c r="DC292" t="s">
        <v>114</v>
      </c>
      <c r="DD292" t="s">
        <v>134</v>
      </c>
    </row>
    <row r="293" spans="1:108" ht="15" customHeight="1" x14ac:dyDescent="0.25">
      <c r="A293" t="s">
        <v>7792</v>
      </c>
      <c r="B293" t="s">
        <v>165</v>
      </c>
      <c r="C293" s="1">
        <v>44888.413076273151</v>
      </c>
      <c r="D293" s="1">
        <v>44918</v>
      </c>
      <c r="E293" t="s">
        <v>134</v>
      </c>
      <c r="F293" t="s">
        <v>334</v>
      </c>
      <c r="G293" t="str">
        <f>"37-3011.00"</f>
        <v>37-3011.00</v>
      </c>
      <c r="H293" t="s">
        <v>335</v>
      </c>
      <c r="I293">
        <v>14</v>
      </c>
      <c r="J293">
        <v>14</v>
      </c>
      <c r="K293" s="1">
        <v>44978</v>
      </c>
      <c r="L293" s="1">
        <v>45260</v>
      </c>
      <c r="M293" s="1">
        <v>44978</v>
      </c>
      <c r="N293" s="1">
        <v>45260</v>
      </c>
      <c r="O293" t="s">
        <v>199</v>
      </c>
      <c r="P293" t="s">
        <v>7793</v>
      </c>
      <c r="R293" t="s">
        <v>7794</v>
      </c>
      <c r="S293" t="s">
        <v>7795</v>
      </c>
      <c r="T293" t="s">
        <v>7796</v>
      </c>
      <c r="U293" t="s">
        <v>479</v>
      </c>
      <c r="V293" s="4" t="str">
        <f>"20135"</f>
        <v>20135</v>
      </c>
      <c r="W293" t="s">
        <v>120</v>
      </c>
      <c r="Y293" s="5">
        <v>15405548228</v>
      </c>
      <c r="AA293">
        <v>561730</v>
      </c>
      <c r="AB293" t="s">
        <v>7797</v>
      </c>
      <c r="AC293" t="s">
        <v>3739</v>
      </c>
      <c r="AD293" t="s">
        <v>259</v>
      </c>
      <c r="AE293" t="s">
        <v>342</v>
      </c>
      <c r="AF293" t="s">
        <v>7794</v>
      </c>
      <c r="AG293" t="s">
        <v>7795</v>
      </c>
      <c r="AH293" t="s">
        <v>7796</v>
      </c>
      <c r="AI293" t="s">
        <v>479</v>
      </c>
      <c r="AJ293" s="4" t="str">
        <f>"20135"</f>
        <v>20135</v>
      </c>
      <c r="AK293" t="s">
        <v>120</v>
      </c>
      <c r="AM293" s="5">
        <v>15405548228</v>
      </c>
      <c r="AO293" t="s">
        <v>7798</v>
      </c>
      <c r="AP293" t="s">
        <v>256</v>
      </c>
      <c r="AQ293" t="s">
        <v>1282</v>
      </c>
      <c r="AR293" t="s">
        <v>1283</v>
      </c>
      <c r="AS293" t="s">
        <v>138</v>
      </c>
      <c r="AT293" t="s">
        <v>1284</v>
      </c>
      <c r="AU293" t="s">
        <v>138</v>
      </c>
      <c r="AV293" t="s">
        <v>1285</v>
      </c>
      <c r="AW293" t="s">
        <v>232</v>
      </c>
      <c r="AX293" s="4" t="str">
        <f>"77414"</f>
        <v>77414</v>
      </c>
      <c r="AY293" t="s">
        <v>120</v>
      </c>
      <c r="BA293" s="5">
        <v>19793187279</v>
      </c>
      <c r="BC293" t="s">
        <v>1286</v>
      </c>
      <c r="BD293" t="s">
        <v>1287</v>
      </c>
      <c r="BG293" t="s">
        <v>479</v>
      </c>
      <c r="BH293" s="1">
        <v>44887.791666666664</v>
      </c>
      <c r="BI293">
        <v>40</v>
      </c>
      <c r="BJ293">
        <v>0</v>
      </c>
      <c r="BK293">
        <v>8</v>
      </c>
      <c r="BL293">
        <v>8</v>
      </c>
      <c r="BM293">
        <v>8</v>
      </c>
      <c r="BN293">
        <v>8</v>
      </c>
      <c r="BO293">
        <v>8</v>
      </c>
      <c r="BP293">
        <v>0</v>
      </c>
      <c r="BQ293" t="str">
        <f>"7:00 AM"</f>
        <v>7:00 AM</v>
      </c>
      <c r="BR293" t="str">
        <f>"5:00 PM"</f>
        <v>5:00 PM</v>
      </c>
      <c r="BS293" t="s">
        <v>133</v>
      </c>
      <c r="BT293">
        <v>0</v>
      </c>
      <c r="BU293">
        <v>0</v>
      </c>
      <c r="BV293" t="s">
        <v>134</v>
      </c>
      <c r="BX293" s="2" t="s">
        <v>7799</v>
      </c>
      <c r="BY293" t="s">
        <v>7794</v>
      </c>
      <c r="BZ293" t="s">
        <v>7795</v>
      </c>
      <c r="CA293" t="s">
        <v>7796</v>
      </c>
      <c r="CB293" t="s">
        <v>479</v>
      </c>
      <c r="CC293" s="4" t="str">
        <f>"20135"</f>
        <v>20135</v>
      </c>
      <c r="CD293" t="s">
        <v>1938</v>
      </c>
      <c r="CE293" t="s">
        <v>355</v>
      </c>
      <c r="CF293" s="6">
        <v>18.36</v>
      </c>
      <c r="CG293" s="6">
        <v>25</v>
      </c>
      <c r="CH293" s="6">
        <v>27.54</v>
      </c>
      <c r="CI293" s="6">
        <v>37.5</v>
      </c>
      <c r="CJ293" t="s">
        <v>137</v>
      </c>
      <c r="CK293" t="s">
        <v>7800</v>
      </c>
      <c r="CL293" t="s">
        <v>7801</v>
      </c>
      <c r="CO293" t="s">
        <v>138</v>
      </c>
      <c r="CP293" t="s">
        <v>114</v>
      </c>
      <c r="CQ293" t="s">
        <v>114</v>
      </c>
      <c r="CR293" t="s">
        <v>114</v>
      </c>
      <c r="CS293" t="s">
        <v>114</v>
      </c>
      <c r="CT293" t="s">
        <v>114</v>
      </c>
      <c r="CU293" t="s">
        <v>134</v>
      </c>
      <c r="CV293" t="s">
        <v>2056</v>
      </c>
      <c r="CW293" s="5" t="str">
        <f>"+15405548228"</f>
        <v>+15405548228</v>
      </c>
      <c r="CX293" t="s">
        <v>7798</v>
      </c>
      <c r="CY293" t="s">
        <v>138</v>
      </c>
      <c r="CZ293" t="s">
        <v>139</v>
      </c>
      <c r="DA293" t="s">
        <v>134</v>
      </c>
      <c r="DB293" t="s">
        <v>134</v>
      </c>
      <c r="DC293" t="s">
        <v>114</v>
      </c>
      <c r="DD293" t="s">
        <v>134</v>
      </c>
    </row>
    <row r="294" spans="1:108" ht="15" customHeight="1" x14ac:dyDescent="0.25">
      <c r="A294" t="s">
        <v>11665</v>
      </c>
      <c r="B294" t="s">
        <v>165</v>
      </c>
      <c r="C294" s="1">
        <v>44888.393943634263</v>
      </c>
      <c r="D294" s="1">
        <v>44918</v>
      </c>
      <c r="E294" t="s">
        <v>134</v>
      </c>
      <c r="F294" t="s">
        <v>334</v>
      </c>
      <c r="G294" t="str">
        <f>"37-3011.00"</f>
        <v>37-3011.00</v>
      </c>
      <c r="H294" t="s">
        <v>335</v>
      </c>
      <c r="I294">
        <v>25</v>
      </c>
      <c r="J294">
        <v>25</v>
      </c>
      <c r="K294" s="1">
        <v>44978</v>
      </c>
      <c r="L294" s="1">
        <v>45260</v>
      </c>
      <c r="M294" s="1">
        <v>44978</v>
      </c>
      <c r="N294" s="1">
        <v>45260</v>
      </c>
      <c r="O294" t="s">
        <v>117</v>
      </c>
      <c r="P294" t="s">
        <v>11666</v>
      </c>
      <c r="Q294" t="s">
        <v>11667</v>
      </c>
      <c r="R294" t="s">
        <v>11668</v>
      </c>
      <c r="S294" t="s">
        <v>11669</v>
      </c>
      <c r="T294" t="s">
        <v>1601</v>
      </c>
      <c r="U294" t="s">
        <v>394</v>
      </c>
      <c r="V294" s="4" t="str">
        <f>"29466"</f>
        <v>29466</v>
      </c>
      <c r="W294" t="s">
        <v>120</v>
      </c>
      <c r="X294" t="s">
        <v>138</v>
      </c>
      <c r="Y294" s="5">
        <v>18438828100</v>
      </c>
      <c r="AA294">
        <v>561730</v>
      </c>
      <c r="AB294" t="s">
        <v>11670</v>
      </c>
      <c r="AC294" t="s">
        <v>6909</v>
      </c>
      <c r="AD294" t="s">
        <v>926</v>
      </c>
      <c r="AE294" t="s">
        <v>285</v>
      </c>
      <c r="AF294" t="s">
        <v>11668</v>
      </c>
      <c r="AG294" t="s">
        <v>11669</v>
      </c>
      <c r="AH294" t="s">
        <v>1601</v>
      </c>
      <c r="AI294" t="s">
        <v>394</v>
      </c>
      <c r="AJ294" s="4" t="str">
        <f>"29466"</f>
        <v>29466</v>
      </c>
      <c r="AK294" t="s">
        <v>120</v>
      </c>
      <c r="AM294" s="5">
        <v>18438828100</v>
      </c>
      <c r="AO294" t="s">
        <v>11671</v>
      </c>
      <c r="AP294" t="s">
        <v>256</v>
      </c>
      <c r="AQ294" t="s">
        <v>1282</v>
      </c>
      <c r="AR294" t="s">
        <v>1283</v>
      </c>
      <c r="AS294" t="s">
        <v>138</v>
      </c>
      <c r="AT294" t="s">
        <v>1284</v>
      </c>
      <c r="AU294" t="s">
        <v>138</v>
      </c>
      <c r="AV294" t="s">
        <v>1285</v>
      </c>
      <c r="AW294" t="s">
        <v>232</v>
      </c>
      <c r="AX294" s="4" t="str">
        <f>"77414"</f>
        <v>77414</v>
      </c>
      <c r="AY294" t="s">
        <v>120</v>
      </c>
      <c r="BA294" s="5">
        <v>19793187279</v>
      </c>
      <c r="BC294" t="s">
        <v>1286</v>
      </c>
      <c r="BD294" t="s">
        <v>1287</v>
      </c>
      <c r="BG294" t="s">
        <v>394</v>
      </c>
      <c r="BH294" s="1">
        <v>44887.791666666664</v>
      </c>
      <c r="BI294">
        <v>40</v>
      </c>
      <c r="BJ294">
        <v>0</v>
      </c>
      <c r="BK294">
        <v>8</v>
      </c>
      <c r="BL294">
        <v>8</v>
      </c>
      <c r="BM294">
        <v>8</v>
      </c>
      <c r="BN294">
        <v>8</v>
      </c>
      <c r="BO294">
        <v>8</v>
      </c>
      <c r="BP294">
        <v>0</v>
      </c>
      <c r="BQ294" t="str">
        <f>"7:30 AM"</f>
        <v>7:30 AM</v>
      </c>
      <c r="BR294" t="str">
        <f>"5:00 PM"</f>
        <v>5:00 PM</v>
      </c>
      <c r="BS294" t="s">
        <v>133</v>
      </c>
      <c r="BT294">
        <v>0</v>
      </c>
      <c r="BU294">
        <v>0</v>
      </c>
      <c r="BV294" t="s">
        <v>134</v>
      </c>
      <c r="BX294" s="2" t="s">
        <v>11672</v>
      </c>
      <c r="BY294" t="s">
        <v>11668</v>
      </c>
      <c r="BZ294" t="s">
        <v>138</v>
      </c>
      <c r="CA294" t="s">
        <v>1601</v>
      </c>
      <c r="CB294" t="s">
        <v>394</v>
      </c>
      <c r="CC294" s="4" t="str">
        <f>"29466"</f>
        <v>29466</v>
      </c>
      <c r="CD294" t="s">
        <v>1243</v>
      </c>
      <c r="CE294" t="s">
        <v>1244</v>
      </c>
      <c r="CF294" s="6">
        <v>16.09</v>
      </c>
      <c r="CG294" s="6">
        <v>20</v>
      </c>
      <c r="CH294" s="6">
        <v>24.14</v>
      </c>
      <c r="CI294" s="6">
        <v>30</v>
      </c>
      <c r="CJ294" t="s">
        <v>137</v>
      </c>
      <c r="CK294" t="s">
        <v>11673</v>
      </c>
      <c r="CL294" t="s">
        <v>11674</v>
      </c>
      <c r="CO294" t="s">
        <v>138</v>
      </c>
      <c r="CP294" t="s">
        <v>114</v>
      </c>
      <c r="CQ294" t="s">
        <v>114</v>
      </c>
      <c r="CR294" t="s">
        <v>114</v>
      </c>
      <c r="CS294" t="s">
        <v>114</v>
      </c>
      <c r="CT294" t="s">
        <v>114</v>
      </c>
      <c r="CU294" t="s">
        <v>114</v>
      </c>
      <c r="CV294" s="2" t="s">
        <v>11675</v>
      </c>
      <c r="CW294" s="5" t="str">
        <f>"+18438828100"</f>
        <v>+18438828100</v>
      </c>
      <c r="CX294" t="s">
        <v>11671</v>
      </c>
      <c r="CY294" t="s">
        <v>138</v>
      </c>
      <c r="CZ294" t="s">
        <v>139</v>
      </c>
      <c r="DA294" t="s">
        <v>134</v>
      </c>
      <c r="DB294" t="s">
        <v>134</v>
      </c>
      <c r="DC294" t="s">
        <v>114</v>
      </c>
      <c r="DD294" t="s">
        <v>134</v>
      </c>
    </row>
    <row r="295" spans="1:108" ht="15" customHeight="1" x14ac:dyDescent="0.25">
      <c r="A295" t="s">
        <v>11626</v>
      </c>
      <c r="B295" t="s">
        <v>165</v>
      </c>
      <c r="C295" s="1">
        <v>44866.70122800926</v>
      </c>
      <c r="D295" s="1">
        <v>44918</v>
      </c>
      <c r="E295" t="s">
        <v>134</v>
      </c>
      <c r="F295" t="s">
        <v>11627</v>
      </c>
      <c r="G295" t="str">
        <f>"39-2021.00"</f>
        <v>39-2021.00</v>
      </c>
      <c r="H295" t="s">
        <v>615</v>
      </c>
      <c r="I295">
        <v>3</v>
      </c>
      <c r="J295">
        <v>3</v>
      </c>
      <c r="K295" s="1">
        <v>44941</v>
      </c>
      <c r="L295" s="1">
        <v>45137</v>
      </c>
      <c r="M295" s="1">
        <v>44941</v>
      </c>
      <c r="N295" s="1">
        <v>45137</v>
      </c>
      <c r="O295" t="s">
        <v>199</v>
      </c>
      <c r="P295" t="s">
        <v>11628</v>
      </c>
      <c r="R295" t="s">
        <v>11629</v>
      </c>
      <c r="T295" t="s">
        <v>4082</v>
      </c>
      <c r="U295" t="s">
        <v>339</v>
      </c>
      <c r="V295" s="4" t="str">
        <f>"21234"</f>
        <v>21234</v>
      </c>
      <c r="W295" t="s">
        <v>120</v>
      </c>
      <c r="Y295" s="5">
        <v>13013268416</v>
      </c>
      <c r="AA295">
        <v>711212</v>
      </c>
      <c r="AB295" t="s">
        <v>11630</v>
      </c>
      <c r="AC295" t="s">
        <v>11631</v>
      </c>
      <c r="AE295" t="s">
        <v>622</v>
      </c>
      <c r="AF295" t="s">
        <v>11629</v>
      </c>
      <c r="AH295" t="s">
        <v>4082</v>
      </c>
      <c r="AI295" t="s">
        <v>339</v>
      </c>
      <c r="AJ295" s="4" t="str">
        <f>"21234"</f>
        <v>21234</v>
      </c>
      <c r="AK295" t="s">
        <v>120</v>
      </c>
      <c r="AM295" s="5">
        <v>13013268416</v>
      </c>
      <c r="AO295" t="s">
        <v>11632</v>
      </c>
      <c r="AP295" t="s">
        <v>122</v>
      </c>
      <c r="AQ295" t="s">
        <v>625</v>
      </c>
      <c r="AR295" t="s">
        <v>626</v>
      </c>
      <c r="AS295" t="s">
        <v>627</v>
      </c>
      <c r="AT295" t="s">
        <v>628</v>
      </c>
      <c r="AU295" t="s">
        <v>629</v>
      </c>
      <c r="AV295" t="s">
        <v>630</v>
      </c>
      <c r="AW295" t="s">
        <v>631</v>
      </c>
      <c r="AX295" s="4" t="str">
        <f>"73069"</f>
        <v>73069</v>
      </c>
      <c r="AY295" t="s">
        <v>120</v>
      </c>
      <c r="BA295" s="5">
        <v>14053642525</v>
      </c>
      <c r="BC295" t="s">
        <v>632</v>
      </c>
      <c r="BD295" t="s">
        <v>633</v>
      </c>
      <c r="BE295" t="s">
        <v>631</v>
      </c>
      <c r="BF295" t="s">
        <v>634</v>
      </c>
      <c r="BG295" t="s">
        <v>339</v>
      </c>
      <c r="BH295" s="1">
        <v>44857.833333333336</v>
      </c>
      <c r="BI295">
        <v>56</v>
      </c>
      <c r="BJ295">
        <v>8</v>
      </c>
      <c r="BK295">
        <v>8</v>
      </c>
      <c r="BL295">
        <v>8</v>
      </c>
      <c r="BM295">
        <v>8</v>
      </c>
      <c r="BN295">
        <v>8</v>
      </c>
      <c r="BO295">
        <v>8</v>
      </c>
      <c r="BP295">
        <v>8</v>
      </c>
      <c r="BQ295" t="str">
        <f>"5:00 AM"</f>
        <v>5:00 AM</v>
      </c>
      <c r="BR295" t="str">
        <f>"5:00 PM"</f>
        <v>5:00 PM</v>
      </c>
      <c r="BS295" t="s">
        <v>133</v>
      </c>
      <c r="BT295">
        <v>0</v>
      </c>
      <c r="BU295">
        <v>1</v>
      </c>
      <c r="BV295" t="s">
        <v>134</v>
      </c>
      <c r="BX295" s="2" t="s">
        <v>2930</v>
      </c>
      <c r="BY295" t="s">
        <v>8178</v>
      </c>
      <c r="CA295" t="s">
        <v>2690</v>
      </c>
      <c r="CB295" t="s">
        <v>339</v>
      </c>
      <c r="CC295" s="4" t="str">
        <f>"21215"</f>
        <v>21215</v>
      </c>
      <c r="CD295" t="s">
        <v>1672</v>
      </c>
      <c r="CE295" t="s">
        <v>1673</v>
      </c>
      <c r="CF295" s="6">
        <v>14.53</v>
      </c>
      <c r="CG295" s="6">
        <v>14.53</v>
      </c>
      <c r="CH295" s="6">
        <v>21.79</v>
      </c>
      <c r="CI295" s="6">
        <v>21.79</v>
      </c>
      <c r="CJ295" t="s">
        <v>137</v>
      </c>
      <c r="CL295" t="s">
        <v>11633</v>
      </c>
      <c r="CO295" t="s">
        <v>114</v>
      </c>
      <c r="CP295" t="s">
        <v>134</v>
      </c>
      <c r="CQ295" t="s">
        <v>134</v>
      </c>
      <c r="CR295" t="s">
        <v>114</v>
      </c>
      <c r="CS295" t="s">
        <v>134</v>
      </c>
      <c r="CT295" t="s">
        <v>114</v>
      </c>
      <c r="CU295" t="s">
        <v>114</v>
      </c>
      <c r="CV295" t="s">
        <v>641</v>
      </c>
      <c r="CW295" s="5" t="str">
        <f>"+13013629708"</f>
        <v>+13013629708</v>
      </c>
      <c r="CX295" t="s">
        <v>11632</v>
      </c>
      <c r="CY295" t="s">
        <v>138</v>
      </c>
      <c r="CZ295" t="s">
        <v>139</v>
      </c>
      <c r="DA295" t="s">
        <v>134</v>
      </c>
      <c r="DB295" t="s">
        <v>134</v>
      </c>
      <c r="DC295" t="s">
        <v>114</v>
      </c>
      <c r="DD295" t="s">
        <v>134</v>
      </c>
    </row>
    <row r="296" spans="1:108" ht="15" customHeight="1" x14ac:dyDescent="0.25">
      <c r="A296" t="s">
        <v>11656</v>
      </c>
      <c r="B296" t="s">
        <v>165</v>
      </c>
      <c r="C296" s="1">
        <v>44896.034637037039</v>
      </c>
      <c r="D296" s="1">
        <v>44917</v>
      </c>
      <c r="E296" t="s">
        <v>134</v>
      </c>
      <c r="F296" t="s">
        <v>1219</v>
      </c>
      <c r="G296" t="str">
        <f>"37-3011.00"</f>
        <v>37-3011.00</v>
      </c>
      <c r="H296" t="s">
        <v>335</v>
      </c>
      <c r="I296">
        <v>6</v>
      </c>
      <c r="J296">
        <v>6</v>
      </c>
      <c r="K296" s="1">
        <v>44986</v>
      </c>
      <c r="L296" s="1">
        <v>45273</v>
      </c>
      <c r="M296" s="1">
        <v>44986</v>
      </c>
      <c r="N296" s="1">
        <v>45273</v>
      </c>
      <c r="O296" t="s">
        <v>199</v>
      </c>
      <c r="P296" t="s">
        <v>11657</v>
      </c>
      <c r="R296" t="s">
        <v>11658</v>
      </c>
      <c r="T296" t="s">
        <v>2878</v>
      </c>
      <c r="U296" t="s">
        <v>697</v>
      </c>
      <c r="V296" s="4" t="str">
        <f>"63033"</f>
        <v>63033</v>
      </c>
      <c r="W296" t="s">
        <v>120</v>
      </c>
      <c r="Y296" s="5">
        <v>13142202181</v>
      </c>
      <c r="AA296">
        <v>56173</v>
      </c>
      <c r="AB296" t="s">
        <v>11659</v>
      </c>
      <c r="AC296" t="s">
        <v>1715</v>
      </c>
      <c r="AE296" t="s">
        <v>700</v>
      </c>
      <c r="AF296" t="s">
        <v>11660</v>
      </c>
      <c r="AH296" t="s">
        <v>11661</v>
      </c>
      <c r="AI296" t="s">
        <v>697</v>
      </c>
      <c r="AJ296" s="4" t="str">
        <f>"63042"</f>
        <v>63042</v>
      </c>
      <c r="AK296" t="s">
        <v>120</v>
      </c>
      <c r="AM296" s="5">
        <v>13142202181</v>
      </c>
      <c r="AO296" t="s">
        <v>138</v>
      </c>
      <c r="AP296" t="s">
        <v>256</v>
      </c>
      <c r="AQ296" t="s">
        <v>1220</v>
      </c>
      <c r="AR296" t="s">
        <v>1221</v>
      </c>
      <c r="AT296" t="s">
        <v>1222</v>
      </c>
      <c r="AV296" t="s">
        <v>1223</v>
      </c>
      <c r="AW296" t="s">
        <v>848</v>
      </c>
      <c r="AX296" s="4" t="str">
        <f>"11590"</f>
        <v>11590</v>
      </c>
      <c r="AY296" t="s">
        <v>120</v>
      </c>
      <c r="BA296" s="5">
        <v>15163307168</v>
      </c>
      <c r="BC296" t="s">
        <v>1224</v>
      </c>
      <c r="BD296" t="s">
        <v>1225</v>
      </c>
      <c r="BG296" t="s">
        <v>697</v>
      </c>
      <c r="BH296" s="1">
        <v>44850.833333333336</v>
      </c>
      <c r="BI296">
        <v>40</v>
      </c>
      <c r="BJ296">
        <v>0</v>
      </c>
      <c r="BK296">
        <v>8</v>
      </c>
      <c r="BL296">
        <v>8</v>
      </c>
      <c r="BM296">
        <v>8</v>
      </c>
      <c r="BN296">
        <v>0</v>
      </c>
      <c r="BO296">
        <v>8</v>
      </c>
      <c r="BP296">
        <v>8</v>
      </c>
      <c r="BQ296" t="str">
        <f>"8:00 AM"</f>
        <v>8:00 AM</v>
      </c>
      <c r="BR296" t="str">
        <f>"4:00 PM"</f>
        <v>4:00 PM</v>
      </c>
      <c r="BS296" t="s">
        <v>133</v>
      </c>
      <c r="BT296">
        <v>0</v>
      </c>
      <c r="BU296">
        <v>0</v>
      </c>
      <c r="BV296" t="s">
        <v>134</v>
      </c>
      <c r="BX296" t="s">
        <v>138</v>
      </c>
      <c r="BY296" t="s">
        <v>11662</v>
      </c>
      <c r="CA296" t="s">
        <v>2878</v>
      </c>
      <c r="CB296" t="s">
        <v>697</v>
      </c>
      <c r="CC296" s="4" t="str">
        <f>"63033"</f>
        <v>63033</v>
      </c>
      <c r="CD296" t="s">
        <v>712</v>
      </c>
      <c r="CE296" t="s">
        <v>713</v>
      </c>
      <c r="CF296" s="6">
        <v>16.96</v>
      </c>
      <c r="CG296" s="6">
        <v>16.96</v>
      </c>
      <c r="CH296" s="6">
        <v>25.44</v>
      </c>
      <c r="CI296" s="6">
        <v>25.44</v>
      </c>
      <c r="CJ296" t="s">
        <v>137</v>
      </c>
      <c r="CK296" t="s">
        <v>138</v>
      </c>
      <c r="CL296" t="s">
        <v>11663</v>
      </c>
      <c r="CO296" t="s">
        <v>138</v>
      </c>
      <c r="CP296" t="s">
        <v>114</v>
      </c>
      <c r="CQ296" t="s">
        <v>114</v>
      </c>
      <c r="CR296" t="s">
        <v>114</v>
      </c>
      <c r="CS296" t="s">
        <v>134</v>
      </c>
      <c r="CT296" t="s">
        <v>114</v>
      </c>
      <c r="CU296" t="s">
        <v>134</v>
      </c>
      <c r="CV296" t="s">
        <v>219</v>
      </c>
      <c r="CW296" s="5" t="str">
        <f>"+13142202181"</f>
        <v>+13142202181</v>
      </c>
      <c r="CX296" t="s">
        <v>11664</v>
      </c>
      <c r="CY296" t="s">
        <v>138</v>
      </c>
      <c r="CZ296" t="s">
        <v>139</v>
      </c>
      <c r="DA296" t="s">
        <v>134</v>
      </c>
      <c r="DB296" t="s">
        <v>134</v>
      </c>
      <c r="DC296" t="s">
        <v>114</v>
      </c>
      <c r="DD296" t="s">
        <v>134</v>
      </c>
    </row>
    <row r="297" spans="1:108" ht="15" customHeight="1" x14ac:dyDescent="0.25">
      <c r="A297" t="s">
        <v>8899</v>
      </c>
      <c r="B297" t="s">
        <v>165</v>
      </c>
      <c r="C297" s="1">
        <v>44894.395401273148</v>
      </c>
      <c r="D297" s="1">
        <v>44917</v>
      </c>
      <c r="E297" t="s">
        <v>134</v>
      </c>
      <c r="F297" t="s">
        <v>334</v>
      </c>
      <c r="G297" t="str">
        <f>"37-3011.00"</f>
        <v>37-3011.00</v>
      </c>
      <c r="H297" t="s">
        <v>335</v>
      </c>
      <c r="I297">
        <v>13</v>
      </c>
      <c r="J297">
        <v>13</v>
      </c>
      <c r="K297" s="1">
        <v>44984</v>
      </c>
      <c r="L297" s="1">
        <v>45261</v>
      </c>
      <c r="M297" s="1">
        <v>44984</v>
      </c>
      <c r="N297" s="1">
        <v>45261</v>
      </c>
      <c r="O297" t="s">
        <v>117</v>
      </c>
      <c r="P297" t="s">
        <v>5745</v>
      </c>
      <c r="R297" t="s">
        <v>5746</v>
      </c>
      <c r="S297" t="s">
        <v>5747</v>
      </c>
      <c r="T297" t="s">
        <v>2924</v>
      </c>
      <c r="U297" t="s">
        <v>631</v>
      </c>
      <c r="V297" s="4" t="str">
        <f>"73170"</f>
        <v>73170</v>
      </c>
      <c r="W297" t="s">
        <v>120</v>
      </c>
      <c r="X297" t="s">
        <v>138</v>
      </c>
      <c r="Y297" s="5">
        <v>14056207611</v>
      </c>
      <c r="AA297">
        <v>561730</v>
      </c>
      <c r="AB297" t="s">
        <v>5748</v>
      </c>
      <c r="AC297" t="s">
        <v>4411</v>
      </c>
      <c r="AD297" t="s">
        <v>138</v>
      </c>
      <c r="AE297" t="s">
        <v>342</v>
      </c>
      <c r="AF297" t="s">
        <v>5746</v>
      </c>
      <c r="AG297" t="s">
        <v>5747</v>
      </c>
      <c r="AH297" t="s">
        <v>2924</v>
      </c>
      <c r="AI297" t="s">
        <v>631</v>
      </c>
      <c r="AJ297" s="4" t="str">
        <f>"73170"</f>
        <v>73170</v>
      </c>
      <c r="AK297" t="s">
        <v>120</v>
      </c>
      <c r="AM297" s="5">
        <v>14056207611</v>
      </c>
      <c r="AO297" t="s">
        <v>5749</v>
      </c>
      <c r="AP297" t="s">
        <v>256</v>
      </c>
      <c r="AQ297" t="s">
        <v>1352</v>
      </c>
      <c r="AR297" t="s">
        <v>1353</v>
      </c>
      <c r="AS297" t="s">
        <v>138</v>
      </c>
      <c r="AT297" t="s">
        <v>1284</v>
      </c>
      <c r="AU297" t="s">
        <v>138</v>
      </c>
      <c r="AV297" t="s">
        <v>1285</v>
      </c>
      <c r="AW297" t="s">
        <v>232</v>
      </c>
      <c r="AX297" s="4" t="str">
        <f>"77414"</f>
        <v>77414</v>
      </c>
      <c r="AY297" t="s">
        <v>120</v>
      </c>
      <c r="BA297" s="5">
        <v>19793187285</v>
      </c>
      <c r="BC297" t="s">
        <v>1354</v>
      </c>
      <c r="BD297" t="s">
        <v>1287</v>
      </c>
      <c r="BG297" t="s">
        <v>631</v>
      </c>
      <c r="BH297" s="1">
        <v>44893.791666666664</v>
      </c>
      <c r="BI297">
        <v>40</v>
      </c>
      <c r="BJ297">
        <v>0</v>
      </c>
      <c r="BK297">
        <v>8</v>
      </c>
      <c r="BL297">
        <v>8</v>
      </c>
      <c r="BM297">
        <v>8</v>
      </c>
      <c r="BN297">
        <v>8</v>
      </c>
      <c r="BO297">
        <v>8</v>
      </c>
      <c r="BP297">
        <v>0</v>
      </c>
      <c r="BQ297" t="str">
        <f>"8:00 AM"</f>
        <v>8:00 AM</v>
      </c>
      <c r="BR297" t="str">
        <f>"5:00 PM"</f>
        <v>5:00 PM</v>
      </c>
      <c r="BS297" t="s">
        <v>133</v>
      </c>
      <c r="BT297">
        <v>0</v>
      </c>
      <c r="BU297">
        <v>0</v>
      </c>
      <c r="BV297" t="s">
        <v>134</v>
      </c>
      <c r="BX297" s="2" t="s">
        <v>5750</v>
      </c>
      <c r="BY297" t="s">
        <v>5751</v>
      </c>
      <c r="BZ297" t="s">
        <v>138</v>
      </c>
      <c r="CA297" t="s">
        <v>2924</v>
      </c>
      <c r="CB297" t="s">
        <v>631</v>
      </c>
      <c r="CC297" s="4" t="str">
        <f>"73169"</f>
        <v>73169</v>
      </c>
      <c r="CD297" t="s">
        <v>2925</v>
      </c>
      <c r="CE297" t="s">
        <v>2926</v>
      </c>
      <c r="CF297" s="6">
        <v>15.35</v>
      </c>
      <c r="CG297" s="6">
        <v>20</v>
      </c>
      <c r="CH297" s="6">
        <v>23.03</v>
      </c>
      <c r="CI297" s="6">
        <v>30</v>
      </c>
      <c r="CJ297" t="s">
        <v>137</v>
      </c>
      <c r="CK297" t="s">
        <v>2617</v>
      </c>
      <c r="CL297" t="s">
        <v>5752</v>
      </c>
      <c r="CO297" t="s">
        <v>138</v>
      </c>
      <c r="CP297" t="s">
        <v>114</v>
      </c>
      <c r="CQ297" t="s">
        <v>114</v>
      </c>
      <c r="CR297" t="s">
        <v>114</v>
      </c>
      <c r="CS297" t="s">
        <v>114</v>
      </c>
      <c r="CT297" t="s">
        <v>114</v>
      </c>
      <c r="CU297" t="s">
        <v>134</v>
      </c>
      <c r="CV297" t="s">
        <v>1356</v>
      </c>
      <c r="CW297" s="5" t="str">
        <f>"+14056207611"</f>
        <v>+14056207611</v>
      </c>
      <c r="CX297" t="s">
        <v>5749</v>
      </c>
      <c r="CY297" t="s">
        <v>138</v>
      </c>
      <c r="CZ297" t="s">
        <v>139</v>
      </c>
      <c r="DA297" t="s">
        <v>134</v>
      </c>
      <c r="DB297" t="s">
        <v>134</v>
      </c>
      <c r="DC297" t="s">
        <v>114</v>
      </c>
      <c r="DD297" t="s">
        <v>134</v>
      </c>
    </row>
    <row r="298" spans="1:108" ht="15" customHeight="1" x14ac:dyDescent="0.25">
      <c r="A298" t="s">
        <v>14708</v>
      </c>
      <c r="B298" t="s">
        <v>165</v>
      </c>
      <c r="C298" s="1">
        <v>44893.71936909722</v>
      </c>
      <c r="D298" s="1">
        <v>44917</v>
      </c>
      <c r="E298" t="s">
        <v>134</v>
      </c>
      <c r="F298" t="s">
        <v>5564</v>
      </c>
      <c r="G298" t="str">
        <f>"53-7062.00"</f>
        <v>53-7062.00</v>
      </c>
      <c r="H298" t="s">
        <v>245</v>
      </c>
      <c r="I298">
        <v>70</v>
      </c>
      <c r="J298">
        <v>70</v>
      </c>
      <c r="K298" s="1">
        <v>44982</v>
      </c>
      <c r="L298" s="1">
        <v>45261</v>
      </c>
      <c r="M298" s="1">
        <v>44982</v>
      </c>
      <c r="N298" s="1">
        <v>45261</v>
      </c>
      <c r="O298" t="s">
        <v>117</v>
      </c>
      <c r="P298" t="s">
        <v>14709</v>
      </c>
      <c r="R298" t="s">
        <v>14710</v>
      </c>
      <c r="S298" t="s">
        <v>138</v>
      </c>
      <c r="T298" t="s">
        <v>14711</v>
      </c>
      <c r="U298" t="s">
        <v>281</v>
      </c>
      <c r="V298" s="4" t="str">
        <f>"01890"</f>
        <v>01890</v>
      </c>
      <c r="W298" t="s">
        <v>120</v>
      </c>
      <c r="X298" t="s">
        <v>138</v>
      </c>
      <c r="Y298" s="5">
        <v>16178061160</v>
      </c>
      <c r="AA298">
        <v>484210</v>
      </c>
      <c r="AB298" t="s">
        <v>2862</v>
      </c>
      <c r="AC298" t="s">
        <v>589</v>
      </c>
      <c r="AD298" t="s">
        <v>926</v>
      </c>
      <c r="AE298" t="s">
        <v>13387</v>
      </c>
      <c r="AF298" t="s">
        <v>14710</v>
      </c>
      <c r="AG298" t="s">
        <v>138</v>
      </c>
      <c r="AH298" t="s">
        <v>14711</v>
      </c>
      <c r="AI298" t="s">
        <v>281</v>
      </c>
      <c r="AJ298" s="4" t="str">
        <f>"01890"</f>
        <v>01890</v>
      </c>
      <c r="AK298" t="s">
        <v>120</v>
      </c>
      <c r="AM298" s="5">
        <v>16178061160</v>
      </c>
      <c r="AO298" t="s">
        <v>2864</v>
      </c>
      <c r="AP298" t="s">
        <v>256</v>
      </c>
      <c r="AQ298" t="s">
        <v>4312</v>
      </c>
      <c r="AR298" t="s">
        <v>4313</v>
      </c>
      <c r="AS298" t="s">
        <v>4044</v>
      </c>
      <c r="AT298" t="s">
        <v>1284</v>
      </c>
      <c r="AU298" t="s">
        <v>138</v>
      </c>
      <c r="AV298" t="s">
        <v>1285</v>
      </c>
      <c r="AW298" t="s">
        <v>232</v>
      </c>
      <c r="AX298" s="4" t="str">
        <f>"77414"</f>
        <v>77414</v>
      </c>
      <c r="AY298" t="s">
        <v>120</v>
      </c>
      <c r="BA298" s="5">
        <v>19793187277</v>
      </c>
      <c r="BC298" t="s">
        <v>4314</v>
      </c>
      <c r="BD298" t="s">
        <v>1287</v>
      </c>
      <c r="BG298" t="s">
        <v>281</v>
      </c>
      <c r="BH298" s="1">
        <v>44892.791666666664</v>
      </c>
      <c r="BI298">
        <v>48</v>
      </c>
      <c r="BJ298">
        <v>0</v>
      </c>
      <c r="BK298">
        <v>8</v>
      </c>
      <c r="BL298">
        <v>8</v>
      </c>
      <c r="BM298">
        <v>8</v>
      </c>
      <c r="BN298">
        <v>8</v>
      </c>
      <c r="BO298">
        <v>8</v>
      </c>
      <c r="BP298">
        <v>8</v>
      </c>
      <c r="BQ298" t="str">
        <f>"7:00 AM"</f>
        <v>7:00 AM</v>
      </c>
      <c r="BR298" t="str">
        <f>"4:00 PM"</f>
        <v>4:00 PM</v>
      </c>
      <c r="BS298" t="s">
        <v>133</v>
      </c>
      <c r="BT298">
        <v>0</v>
      </c>
      <c r="BU298">
        <v>0</v>
      </c>
      <c r="BV298" t="s">
        <v>134</v>
      </c>
      <c r="BX298" s="2" t="s">
        <v>14712</v>
      </c>
      <c r="BY298" t="s">
        <v>14710</v>
      </c>
      <c r="BZ298" t="s">
        <v>138</v>
      </c>
      <c r="CA298" t="s">
        <v>14711</v>
      </c>
      <c r="CB298" t="s">
        <v>281</v>
      </c>
      <c r="CC298" s="4" t="str">
        <f>"01890"</f>
        <v>01890</v>
      </c>
      <c r="CD298" t="s">
        <v>11807</v>
      </c>
      <c r="CE298" t="s">
        <v>2630</v>
      </c>
      <c r="CF298" s="6">
        <v>19.059999999999999</v>
      </c>
      <c r="CG298" s="6">
        <v>32</v>
      </c>
      <c r="CH298" s="6">
        <v>28.59</v>
      </c>
      <c r="CI298" s="6">
        <v>48</v>
      </c>
      <c r="CJ298" t="s">
        <v>137</v>
      </c>
      <c r="CK298" t="s">
        <v>13388</v>
      </c>
      <c r="CL298" t="s">
        <v>14713</v>
      </c>
      <c r="CO298" t="s">
        <v>138</v>
      </c>
      <c r="CP298" t="s">
        <v>114</v>
      </c>
      <c r="CQ298" t="s">
        <v>114</v>
      </c>
      <c r="CR298" t="s">
        <v>114</v>
      </c>
      <c r="CS298" t="s">
        <v>114</v>
      </c>
      <c r="CT298" t="s">
        <v>114</v>
      </c>
      <c r="CU298" t="s">
        <v>134</v>
      </c>
      <c r="CV298" t="s">
        <v>2360</v>
      </c>
      <c r="CW298" s="5" t="str">
        <f>"+16178061160"</f>
        <v>+16178061160</v>
      </c>
      <c r="CX298" t="s">
        <v>2864</v>
      </c>
      <c r="CY298" t="s">
        <v>138</v>
      </c>
      <c r="CZ298" t="s">
        <v>139</v>
      </c>
      <c r="DA298" t="s">
        <v>134</v>
      </c>
      <c r="DB298" t="s">
        <v>134</v>
      </c>
      <c r="DC298" t="s">
        <v>114</v>
      </c>
      <c r="DD298" t="s">
        <v>134</v>
      </c>
    </row>
    <row r="299" spans="1:108" ht="15" customHeight="1" x14ac:dyDescent="0.25">
      <c r="A299" t="s">
        <v>16008</v>
      </c>
      <c r="B299" t="s">
        <v>165</v>
      </c>
      <c r="C299" s="1">
        <v>44893.681403587965</v>
      </c>
      <c r="D299" s="1">
        <v>44917</v>
      </c>
      <c r="E299" t="s">
        <v>134</v>
      </c>
      <c r="F299" t="s">
        <v>3920</v>
      </c>
      <c r="G299" t="str">
        <f>"35-3023.00"</f>
        <v>35-3023.00</v>
      </c>
      <c r="H299" t="s">
        <v>555</v>
      </c>
      <c r="I299">
        <v>50</v>
      </c>
      <c r="J299">
        <v>50</v>
      </c>
      <c r="K299" s="1">
        <v>44968</v>
      </c>
      <c r="L299" s="1">
        <v>45230</v>
      </c>
      <c r="M299" s="1">
        <v>44968</v>
      </c>
      <c r="N299" s="1">
        <v>45230</v>
      </c>
      <c r="O299" t="s">
        <v>199</v>
      </c>
      <c r="P299" t="s">
        <v>16009</v>
      </c>
      <c r="R299" t="s">
        <v>16010</v>
      </c>
      <c r="T299" t="s">
        <v>2106</v>
      </c>
      <c r="U299" t="s">
        <v>154</v>
      </c>
      <c r="V299" s="4" t="str">
        <f>"33534"</f>
        <v>33534</v>
      </c>
      <c r="W299" t="s">
        <v>120</v>
      </c>
      <c r="Y299" s="5">
        <v>18139954969</v>
      </c>
      <c r="Z299">
        <v>0</v>
      </c>
      <c r="AA299">
        <v>71399</v>
      </c>
      <c r="AB299" t="s">
        <v>16011</v>
      </c>
      <c r="AC299" t="s">
        <v>370</v>
      </c>
      <c r="AD299" t="s">
        <v>2149</v>
      </c>
      <c r="AE299" t="s">
        <v>342</v>
      </c>
      <c r="AF299" t="s">
        <v>16010</v>
      </c>
      <c r="AH299" t="s">
        <v>2106</v>
      </c>
      <c r="AI299" t="s">
        <v>154</v>
      </c>
      <c r="AJ299" s="4" t="str">
        <f>"33534"</f>
        <v>33534</v>
      </c>
      <c r="AK299" t="s">
        <v>120</v>
      </c>
      <c r="AM299" s="5">
        <v>18139954969</v>
      </c>
      <c r="AN299">
        <v>0</v>
      </c>
      <c r="AO299" t="s">
        <v>16012</v>
      </c>
      <c r="AP299" t="s">
        <v>256</v>
      </c>
      <c r="AQ299" t="s">
        <v>535</v>
      </c>
      <c r="AR299" t="s">
        <v>536</v>
      </c>
      <c r="AS299" t="s">
        <v>537</v>
      </c>
      <c r="AT299" t="s">
        <v>538</v>
      </c>
      <c r="AU299" t="s">
        <v>539</v>
      </c>
      <c r="AV299" t="s">
        <v>540</v>
      </c>
      <c r="AW299" t="s">
        <v>232</v>
      </c>
      <c r="AX299" s="4" t="str">
        <f>"78550"</f>
        <v>78550</v>
      </c>
      <c r="AY299" t="s">
        <v>120</v>
      </c>
      <c r="AZ299" t="s">
        <v>2835</v>
      </c>
      <c r="BA299" s="5">
        <v>19564408720</v>
      </c>
      <c r="BB299">
        <v>0</v>
      </c>
      <c r="BC299" t="s">
        <v>542</v>
      </c>
      <c r="BD299" t="s">
        <v>543</v>
      </c>
      <c r="BG299" t="s">
        <v>154</v>
      </c>
      <c r="BH299" s="1">
        <v>44892.791666666664</v>
      </c>
      <c r="BI299">
        <v>40</v>
      </c>
      <c r="BJ299">
        <v>8</v>
      </c>
      <c r="BK299">
        <v>0</v>
      </c>
      <c r="BL299">
        <v>0</v>
      </c>
      <c r="BM299">
        <v>8</v>
      </c>
      <c r="BN299">
        <v>8</v>
      </c>
      <c r="BO299">
        <v>8</v>
      </c>
      <c r="BP299">
        <v>8</v>
      </c>
      <c r="BQ299" t="str">
        <f>"1:00 PM"</f>
        <v>1:00 PM</v>
      </c>
      <c r="BR299" t="str">
        <f>"10:00 PM"</f>
        <v>10:00 PM</v>
      </c>
      <c r="BS299" t="s">
        <v>133</v>
      </c>
      <c r="BT299">
        <v>0</v>
      </c>
      <c r="BU299">
        <v>0</v>
      </c>
      <c r="BV299" t="s">
        <v>134</v>
      </c>
      <c r="BX299" s="2" t="s">
        <v>1324</v>
      </c>
      <c r="BY299" t="s">
        <v>16013</v>
      </c>
      <c r="CA299" t="s">
        <v>2106</v>
      </c>
      <c r="CB299" t="s">
        <v>154</v>
      </c>
      <c r="CC299" s="4" t="str">
        <f>"33534"</f>
        <v>33534</v>
      </c>
      <c r="CD299" t="s">
        <v>566</v>
      </c>
      <c r="CE299" t="s">
        <v>567</v>
      </c>
      <c r="CF299" s="6">
        <v>8.94</v>
      </c>
      <c r="CG299" s="6">
        <v>15.12</v>
      </c>
      <c r="CH299" s="6">
        <v>0</v>
      </c>
      <c r="CI299" s="6">
        <v>0</v>
      </c>
      <c r="CJ299" t="s">
        <v>137</v>
      </c>
      <c r="CK299" t="s">
        <v>16014</v>
      </c>
      <c r="CL299" t="s">
        <v>16015</v>
      </c>
      <c r="CO299" t="s">
        <v>138</v>
      </c>
      <c r="CP299" t="s">
        <v>114</v>
      </c>
      <c r="CQ299" t="s">
        <v>114</v>
      </c>
      <c r="CR299" t="s">
        <v>134</v>
      </c>
      <c r="CS299" t="s">
        <v>114</v>
      </c>
      <c r="CT299" t="s">
        <v>114</v>
      </c>
      <c r="CU299" t="s">
        <v>114</v>
      </c>
      <c r="CV299" t="s">
        <v>12995</v>
      </c>
      <c r="CW299" s="5" t="str">
        <f>"+18139954969"</f>
        <v>+18139954969</v>
      </c>
      <c r="CX299" t="s">
        <v>16012</v>
      </c>
      <c r="CY299" t="s">
        <v>138</v>
      </c>
      <c r="CZ299" t="s">
        <v>139</v>
      </c>
      <c r="DA299" t="s">
        <v>134</v>
      </c>
      <c r="DB299" t="s">
        <v>114</v>
      </c>
      <c r="DC299" t="s">
        <v>114</v>
      </c>
      <c r="DD299" t="s">
        <v>134</v>
      </c>
    </row>
    <row r="300" spans="1:108" ht="15" customHeight="1" x14ac:dyDescent="0.25">
      <c r="A300" t="s">
        <v>6834</v>
      </c>
      <c r="B300" t="s">
        <v>165</v>
      </c>
      <c r="C300" s="1">
        <v>44893.525457754629</v>
      </c>
      <c r="D300" s="1">
        <v>44917</v>
      </c>
      <c r="E300" t="s">
        <v>134</v>
      </c>
      <c r="F300" t="s">
        <v>334</v>
      </c>
      <c r="G300" t="str">
        <f>"37-3011.00"</f>
        <v>37-3011.00</v>
      </c>
      <c r="H300" t="s">
        <v>335</v>
      </c>
      <c r="I300">
        <v>60</v>
      </c>
      <c r="J300">
        <v>60</v>
      </c>
      <c r="K300" s="1">
        <v>44980</v>
      </c>
      <c r="L300" s="1">
        <v>45245</v>
      </c>
      <c r="M300" s="1">
        <v>44980</v>
      </c>
      <c r="N300" s="1">
        <v>45245</v>
      </c>
      <c r="O300" t="s">
        <v>117</v>
      </c>
      <c r="P300" t="s">
        <v>6835</v>
      </c>
      <c r="R300" t="s">
        <v>6836</v>
      </c>
      <c r="T300" t="s">
        <v>6837</v>
      </c>
      <c r="U300" t="s">
        <v>232</v>
      </c>
      <c r="V300" s="4" t="str">
        <f>"75094"</f>
        <v>75094</v>
      </c>
      <c r="W300" t="s">
        <v>120</v>
      </c>
      <c r="Y300" s="5">
        <v>19725160001</v>
      </c>
      <c r="AA300">
        <v>56173</v>
      </c>
      <c r="AB300" t="s">
        <v>4066</v>
      </c>
      <c r="AC300" t="s">
        <v>1043</v>
      </c>
      <c r="AE300" t="s">
        <v>4231</v>
      </c>
      <c r="AF300" t="s">
        <v>6836</v>
      </c>
      <c r="AH300" t="s">
        <v>6837</v>
      </c>
      <c r="AI300" t="s">
        <v>232</v>
      </c>
      <c r="AJ300" s="4" t="str">
        <f>"75094"</f>
        <v>75094</v>
      </c>
      <c r="AK300" t="s">
        <v>120</v>
      </c>
      <c r="AM300" s="5">
        <v>19725160001</v>
      </c>
      <c r="AO300" t="s">
        <v>6838</v>
      </c>
      <c r="AP300" t="s">
        <v>256</v>
      </c>
      <c r="AQ300" t="s">
        <v>885</v>
      </c>
      <c r="AR300" t="s">
        <v>886</v>
      </c>
      <c r="AT300" t="s">
        <v>887</v>
      </c>
      <c r="AV300" t="s">
        <v>888</v>
      </c>
      <c r="AW300" t="s">
        <v>232</v>
      </c>
      <c r="AX300" s="4" t="str">
        <f>"75098"</f>
        <v>75098</v>
      </c>
      <c r="AY300" t="s">
        <v>120</v>
      </c>
      <c r="BA300" s="5">
        <v>19724424244</v>
      </c>
      <c r="BC300" t="s">
        <v>889</v>
      </c>
      <c r="BD300" t="s">
        <v>1264</v>
      </c>
      <c r="BG300" t="s">
        <v>232</v>
      </c>
      <c r="BH300" s="1">
        <v>44892.791666666664</v>
      </c>
      <c r="BI300">
        <v>40</v>
      </c>
      <c r="BJ300">
        <v>0</v>
      </c>
      <c r="BK300">
        <v>8</v>
      </c>
      <c r="BL300">
        <v>8</v>
      </c>
      <c r="BM300">
        <v>8</v>
      </c>
      <c r="BN300">
        <v>8</v>
      </c>
      <c r="BO300">
        <v>8</v>
      </c>
      <c r="BP300">
        <v>0</v>
      </c>
      <c r="BQ300" t="str">
        <f>"7:00 AM"</f>
        <v>7:00 AM</v>
      </c>
      <c r="BR300" t="str">
        <f>"7:00 PM"</f>
        <v>7:00 PM</v>
      </c>
      <c r="BS300" t="s">
        <v>133</v>
      </c>
      <c r="BT300">
        <v>0</v>
      </c>
      <c r="BU300">
        <v>0</v>
      </c>
      <c r="BV300" t="s">
        <v>134</v>
      </c>
      <c r="BX300" t="s">
        <v>133</v>
      </c>
      <c r="BY300" t="s">
        <v>6836</v>
      </c>
      <c r="CA300" t="s">
        <v>6837</v>
      </c>
      <c r="CB300" t="s">
        <v>232</v>
      </c>
      <c r="CC300" s="4" t="str">
        <f>"75094"</f>
        <v>75094</v>
      </c>
      <c r="CD300" t="s">
        <v>3860</v>
      </c>
      <c r="CE300" t="s">
        <v>1528</v>
      </c>
      <c r="CF300" s="6">
        <v>16.3</v>
      </c>
      <c r="CG300" s="6">
        <v>18</v>
      </c>
      <c r="CH300" s="6">
        <v>24.45</v>
      </c>
      <c r="CI300" s="6">
        <v>27</v>
      </c>
      <c r="CJ300" t="s">
        <v>137</v>
      </c>
      <c r="CL300" t="s">
        <v>6839</v>
      </c>
      <c r="CO300" t="s">
        <v>138</v>
      </c>
      <c r="CP300" t="s">
        <v>114</v>
      </c>
      <c r="CQ300" t="s">
        <v>114</v>
      </c>
      <c r="CR300" t="s">
        <v>114</v>
      </c>
      <c r="CS300" t="s">
        <v>114</v>
      </c>
      <c r="CT300" t="s">
        <v>114</v>
      </c>
      <c r="CU300" t="s">
        <v>114</v>
      </c>
      <c r="CV300" s="2" t="s">
        <v>6840</v>
      </c>
      <c r="CW300" s="5" t="str">
        <f>"+19725160001"</f>
        <v>+19725160001</v>
      </c>
      <c r="CX300" t="s">
        <v>138</v>
      </c>
      <c r="CY300" t="s">
        <v>2072</v>
      </c>
      <c r="CZ300" t="s">
        <v>139</v>
      </c>
      <c r="DA300" t="s">
        <v>134</v>
      </c>
      <c r="DB300" t="s">
        <v>134</v>
      </c>
      <c r="DC300" t="s">
        <v>114</v>
      </c>
      <c r="DD300" t="s">
        <v>134</v>
      </c>
    </row>
    <row r="301" spans="1:108" ht="15" customHeight="1" x14ac:dyDescent="0.25">
      <c r="A301" t="s">
        <v>3887</v>
      </c>
      <c r="B301" t="s">
        <v>165</v>
      </c>
      <c r="C301" s="1">
        <v>44893.34884953704</v>
      </c>
      <c r="D301" s="1">
        <v>44917</v>
      </c>
      <c r="E301" t="s">
        <v>134</v>
      </c>
      <c r="F301" t="s">
        <v>334</v>
      </c>
      <c r="G301" t="str">
        <f>"37-3011.00"</f>
        <v>37-3011.00</v>
      </c>
      <c r="H301" t="s">
        <v>335</v>
      </c>
      <c r="I301">
        <v>75</v>
      </c>
      <c r="J301">
        <v>75</v>
      </c>
      <c r="K301" s="1">
        <v>44983</v>
      </c>
      <c r="L301" s="1">
        <v>45260</v>
      </c>
      <c r="M301" s="1">
        <v>44983</v>
      </c>
      <c r="N301" s="1">
        <v>45260</v>
      </c>
      <c r="O301" t="s">
        <v>117</v>
      </c>
      <c r="P301" t="s">
        <v>3888</v>
      </c>
      <c r="Q301" t="s">
        <v>3889</v>
      </c>
      <c r="R301" t="s">
        <v>3890</v>
      </c>
      <c r="T301" t="s">
        <v>3891</v>
      </c>
      <c r="U301" t="s">
        <v>181</v>
      </c>
      <c r="V301" s="4" t="str">
        <f>"80223"</f>
        <v>80223</v>
      </c>
      <c r="W301" t="s">
        <v>120</v>
      </c>
      <c r="Y301" s="5">
        <v>13038318310</v>
      </c>
      <c r="AA301">
        <v>5617</v>
      </c>
      <c r="AB301" t="s">
        <v>3892</v>
      </c>
      <c r="AC301" t="s">
        <v>3083</v>
      </c>
      <c r="AE301" t="s">
        <v>1849</v>
      </c>
      <c r="AF301" t="s">
        <v>3893</v>
      </c>
      <c r="AH301" t="s">
        <v>3891</v>
      </c>
      <c r="AI301" t="s">
        <v>181</v>
      </c>
      <c r="AJ301" s="4" t="str">
        <f>"80223"</f>
        <v>80223</v>
      </c>
      <c r="AK301" t="s">
        <v>120</v>
      </c>
      <c r="AM301" s="5">
        <v>13038318310</v>
      </c>
      <c r="AO301" t="s">
        <v>3894</v>
      </c>
      <c r="AP301" t="s">
        <v>256</v>
      </c>
      <c r="AQ301" t="s">
        <v>400</v>
      </c>
      <c r="AR301" t="s">
        <v>401</v>
      </c>
      <c r="AS301" t="s">
        <v>397</v>
      </c>
      <c r="AT301" t="s">
        <v>402</v>
      </c>
      <c r="AU301" t="s">
        <v>152</v>
      </c>
      <c r="AV301" t="s">
        <v>403</v>
      </c>
      <c r="AW301" t="s">
        <v>232</v>
      </c>
      <c r="AX301" s="4" t="str">
        <f>"75033"</f>
        <v>75033</v>
      </c>
      <c r="AY301" t="s">
        <v>120</v>
      </c>
      <c r="BA301" s="5">
        <v>19727789690</v>
      </c>
      <c r="BC301" t="s">
        <v>1239</v>
      </c>
      <c r="BD301" t="s">
        <v>405</v>
      </c>
      <c r="BG301" t="s">
        <v>181</v>
      </c>
      <c r="BH301" s="1">
        <v>44892.791666666664</v>
      </c>
      <c r="BI301">
        <v>48</v>
      </c>
      <c r="BJ301">
        <v>0</v>
      </c>
      <c r="BK301">
        <v>8</v>
      </c>
      <c r="BL301">
        <v>8</v>
      </c>
      <c r="BM301">
        <v>8</v>
      </c>
      <c r="BN301">
        <v>8</v>
      </c>
      <c r="BO301">
        <v>8</v>
      </c>
      <c r="BP301">
        <v>8</v>
      </c>
      <c r="BQ301" t="str">
        <f>"7:00 AM"</f>
        <v>7:00 AM</v>
      </c>
      <c r="BR301" t="str">
        <f>"4:00 PM"</f>
        <v>4:00 PM</v>
      </c>
      <c r="BS301" t="s">
        <v>133</v>
      </c>
      <c r="BT301">
        <v>0</v>
      </c>
      <c r="BU301">
        <v>0</v>
      </c>
      <c r="BV301" t="s">
        <v>134</v>
      </c>
      <c r="BX301" t="s">
        <v>3895</v>
      </c>
      <c r="BY301" t="s">
        <v>3896</v>
      </c>
      <c r="CA301" t="s">
        <v>180</v>
      </c>
      <c r="CB301" t="s">
        <v>181</v>
      </c>
      <c r="CC301" s="4" t="str">
        <f>"80223"</f>
        <v>80223</v>
      </c>
      <c r="CD301" t="s">
        <v>3891</v>
      </c>
      <c r="CE301" t="s">
        <v>1610</v>
      </c>
      <c r="CF301" s="6">
        <v>19.22</v>
      </c>
      <c r="CG301" s="6">
        <v>19.22</v>
      </c>
      <c r="CH301" s="6">
        <v>28.83</v>
      </c>
      <c r="CI301" s="6">
        <v>28.83</v>
      </c>
      <c r="CJ301" t="s">
        <v>137</v>
      </c>
      <c r="CK301" t="s">
        <v>950</v>
      </c>
      <c r="CL301" t="s">
        <v>3897</v>
      </c>
      <c r="CO301" t="s">
        <v>138</v>
      </c>
      <c r="CP301" t="s">
        <v>114</v>
      </c>
      <c r="CQ301" t="s">
        <v>114</v>
      </c>
      <c r="CR301" t="s">
        <v>114</v>
      </c>
      <c r="CS301" t="s">
        <v>114</v>
      </c>
      <c r="CT301" t="s">
        <v>114</v>
      </c>
      <c r="CU301" t="s">
        <v>114</v>
      </c>
      <c r="CV301" s="2" t="s">
        <v>3898</v>
      </c>
      <c r="CW301" s="5" t="str">
        <f>"+13038318310"</f>
        <v>+13038318310</v>
      </c>
      <c r="CX301" t="s">
        <v>138</v>
      </c>
      <c r="CY301" t="s">
        <v>3899</v>
      </c>
      <c r="CZ301" t="s">
        <v>139</v>
      </c>
      <c r="DA301" t="s">
        <v>134</v>
      </c>
      <c r="DB301" t="s">
        <v>114</v>
      </c>
      <c r="DC301" t="s">
        <v>114</v>
      </c>
      <c r="DD301" t="s">
        <v>134</v>
      </c>
    </row>
    <row r="302" spans="1:108" ht="15" customHeight="1" x14ac:dyDescent="0.25">
      <c r="A302" t="s">
        <v>15472</v>
      </c>
      <c r="B302" t="s">
        <v>165</v>
      </c>
      <c r="C302" s="1">
        <v>44887.466594097219</v>
      </c>
      <c r="D302" s="1">
        <v>44917</v>
      </c>
      <c r="E302" t="s">
        <v>134</v>
      </c>
      <c r="F302" t="s">
        <v>334</v>
      </c>
      <c r="G302" t="str">
        <f>"37-3011.00"</f>
        <v>37-3011.00</v>
      </c>
      <c r="H302" t="s">
        <v>335</v>
      </c>
      <c r="I302">
        <v>7</v>
      </c>
      <c r="J302">
        <v>7</v>
      </c>
      <c r="K302" s="1">
        <v>44977</v>
      </c>
      <c r="L302" s="1">
        <v>45261</v>
      </c>
      <c r="M302" s="1">
        <v>44977</v>
      </c>
      <c r="N302" s="1">
        <v>45261</v>
      </c>
      <c r="O302" t="s">
        <v>117</v>
      </c>
      <c r="P302" t="s">
        <v>7051</v>
      </c>
      <c r="R302" t="s">
        <v>7052</v>
      </c>
      <c r="S302" t="s">
        <v>7053</v>
      </c>
      <c r="T302" t="s">
        <v>7054</v>
      </c>
      <c r="U302" t="s">
        <v>232</v>
      </c>
      <c r="V302" s="4" t="str">
        <f>"78006"</f>
        <v>78006</v>
      </c>
      <c r="W302" t="s">
        <v>120</v>
      </c>
      <c r="Y302" s="5">
        <v>12108840624</v>
      </c>
      <c r="AA302">
        <v>561730</v>
      </c>
      <c r="AB302" t="s">
        <v>1778</v>
      </c>
      <c r="AC302" t="s">
        <v>7055</v>
      </c>
      <c r="AE302" t="s">
        <v>424</v>
      </c>
      <c r="AF302" t="s">
        <v>7052</v>
      </c>
      <c r="AG302" t="s">
        <v>7053</v>
      </c>
      <c r="AH302" t="s">
        <v>7054</v>
      </c>
      <c r="AI302" t="s">
        <v>232</v>
      </c>
      <c r="AJ302" s="4" t="str">
        <f>"78006"</f>
        <v>78006</v>
      </c>
      <c r="AK302" t="s">
        <v>120</v>
      </c>
      <c r="AM302" s="5">
        <v>12108840624</v>
      </c>
      <c r="AO302" t="s">
        <v>7056</v>
      </c>
      <c r="AP302" t="s">
        <v>256</v>
      </c>
      <c r="AQ302" t="s">
        <v>2327</v>
      </c>
      <c r="AR302" t="s">
        <v>1063</v>
      </c>
      <c r="AS302" t="s">
        <v>1857</v>
      </c>
      <c r="AT302" t="s">
        <v>1284</v>
      </c>
      <c r="AU302" t="s">
        <v>138</v>
      </c>
      <c r="AV302" t="s">
        <v>1285</v>
      </c>
      <c r="AW302" t="s">
        <v>232</v>
      </c>
      <c r="AX302" s="4" t="str">
        <f>"77414"</f>
        <v>77414</v>
      </c>
      <c r="AY302" t="s">
        <v>120</v>
      </c>
      <c r="BA302" s="5">
        <v>19793187280</v>
      </c>
      <c r="BC302" t="s">
        <v>2328</v>
      </c>
      <c r="BD302" t="s">
        <v>1287</v>
      </c>
      <c r="BG302" t="s">
        <v>232</v>
      </c>
      <c r="BH302" s="1">
        <v>44886.791666666664</v>
      </c>
      <c r="BI302">
        <v>40</v>
      </c>
      <c r="BJ302">
        <v>0</v>
      </c>
      <c r="BK302">
        <v>8</v>
      </c>
      <c r="BL302">
        <v>8</v>
      </c>
      <c r="BM302">
        <v>8</v>
      </c>
      <c r="BN302">
        <v>8</v>
      </c>
      <c r="BO302">
        <v>8</v>
      </c>
      <c r="BP302">
        <v>0</v>
      </c>
      <c r="BQ302" t="str">
        <f>"8:00 AM"</f>
        <v>8:00 AM</v>
      </c>
      <c r="BR302" t="str">
        <f>"5:00 PM"</f>
        <v>5:00 PM</v>
      </c>
      <c r="BS302" t="s">
        <v>133</v>
      </c>
      <c r="BT302">
        <v>0</v>
      </c>
      <c r="BU302">
        <v>0</v>
      </c>
      <c r="BV302" t="s">
        <v>134</v>
      </c>
      <c r="BX302" s="2" t="s">
        <v>7057</v>
      </c>
      <c r="BY302" t="s">
        <v>7052</v>
      </c>
      <c r="BZ302" t="s">
        <v>138</v>
      </c>
      <c r="CA302" t="s">
        <v>7054</v>
      </c>
      <c r="CB302" t="s">
        <v>232</v>
      </c>
      <c r="CC302" s="4" t="str">
        <f>"78006"</f>
        <v>78006</v>
      </c>
      <c r="CD302" t="s">
        <v>2112</v>
      </c>
      <c r="CE302" t="s">
        <v>1342</v>
      </c>
      <c r="CF302" s="6">
        <v>15.05</v>
      </c>
      <c r="CH302" s="6">
        <v>22.58</v>
      </c>
      <c r="CJ302" t="s">
        <v>137</v>
      </c>
      <c r="CK302" t="s">
        <v>138</v>
      </c>
      <c r="CL302" t="s">
        <v>7058</v>
      </c>
      <c r="CO302" t="s">
        <v>138</v>
      </c>
      <c r="CP302" t="s">
        <v>114</v>
      </c>
      <c r="CQ302" t="s">
        <v>114</v>
      </c>
      <c r="CR302" t="s">
        <v>114</v>
      </c>
      <c r="CS302" t="s">
        <v>114</v>
      </c>
      <c r="CT302" t="s">
        <v>114</v>
      </c>
      <c r="CU302" t="s">
        <v>134</v>
      </c>
      <c r="CV302" t="s">
        <v>2056</v>
      </c>
      <c r="CW302" s="5" t="str">
        <f>"+12108840624"</f>
        <v>+12108840624</v>
      </c>
      <c r="CX302" t="s">
        <v>7056</v>
      </c>
      <c r="CY302" t="s">
        <v>138</v>
      </c>
      <c r="CZ302" t="s">
        <v>139</v>
      </c>
      <c r="DA302" t="s">
        <v>134</v>
      </c>
      <c r="DB302" t="s">
        <v>134</v>
      </c>
      <c r="DC302" t="s">
        <v>114</v>
      </c>
      <c r="DD302" t="s">
        <v>134</v>
      </c>
    </row>
    <row r="303" spans="1:108" ht="15" customHeight="1" x14ac:dyDescent="0.25">
      <c r="A303" t="s">
        <v>9894</v>
      </c>
      <c r="B303" t="s">
        <v>165</v>
      </c>
      <c r="C303" s="1">
        <v>44896.436669560186</v>
      </c>
      <c r="D303" s="1">
        <v>44916</v>
      </c>
      <c r="E303" t="s">
        <v>134</v>
      </c>
      <c r="F303" t="s">
        <v>334</v>
      </c>
      <c r="G303" t="str">
        <f>"37-3011.00"</f>
        <v>37-3011.00</v>
      </c>
      <c r="H303" t="s">
        <v>335</v>
      </c>
      <c r="I303">
        <v>14</v>
      </c>
      <c r="J303">
        <v>14</v>
      </c>
      <c r="K303" s="1">
        <v>44986</v>
      </c>
      <c r="L303" s="1">
        <v>45273</v>
      </c>
      <c r="M303" s="1">
        <v>44986</v>
      </c>
      <c r="N303" s="1">
        <v>45273</v>
      </c>
      <c r="O303" t="s">
        <v>199</v>
      </c>
      <c r="P303" t="s">
        <v>9895</v>
      </c>
      <c r="R303" t="s">
        <v>9896</v>
      </c>
      <c r="S303" t="s">
        <v>138</v>
      </c>
      <c r="T303" t="s">
        <v>3739</v>
      </c>
      <c r="U303" t="s">
        <v>748</v>
      </c>
      <c r="V303" s="4" t="str">
        <f>"19087"</f>
        <v>19087</v>
      </c>
      <c r="W303" t="s">
        <v>120</v>
      </c>
      <c r="X303" t="s">
        <v>138</v>
      </c>
      <c r="Y303" s="5">
        <v>16105201742</v>
      </c>
      <c r="AA303">
        <v>561730</v>
      </c>
      <c r="AB303" t="s">
        <v>3926</v>
      </c>
      <c r="AC303" t="s">
        <v>1426</v>
      </c>
      <c r="AD303" t="s">
        <v>371</v>
      </c>
      <c r="AE303" t="s">
        <v>342</v>
      </c>
      <c r="AF303" t="s">
        <v>9896</v>
      </c>
      <c r="AG303" t="s">
        <v>138</v>
      </c>
      <c r="AH303" t="s">
        <v>3739</v>
      </c>
      <c r="AI303" t="s">
        <v>748</v>
      </c>
      <c r="AJ303" s="4" t="str">
        <f>"19087"</f>
        <v>19087</v>
      </c>
      <c r="AK303" t="s">
        <v>120</v>
      </c>
      <c r="AM303" s="5">
        <v>16105201742</v>
      </c>
      <c r="AO303" t="s">
        <v>9897</v>
      </c>
      <c r="AP303" t="s">
        <v>256</v>
      </c>
      <c r="AQ303" t="s">
        <v>2351</v>
      </c>
      <c r="AR303" t="s">
        <v>1353</v>
      </c>
      <c r="AS303" t="s">
        <v>259</v>
      </c>
      <c r="AT303" t="s">
        <v>2352</v>
      </c>
      <c r="AU303" t="s">
        <v>138</v>
      </c>
      <c r="AV303" t="s">
        <v>1285</v>
      </c>
      <c r="AW303" t="s">
        <v>232</v>
      </c>
      <c r="AX303" s="4" t="str">
        <f>"77414"</f>
        <v>77414</v>
      </c>
      <c r="AY303" t="s">
        <v>120</v>
      </c>
      <c r="BA303" s="5">
        <v>19793187283</v>
      </c>
      <c r="BC303" t="s">
        <v>2353</v>
      </c>
      <c r="BD303" t="s">
        <v>1287</v>
      </c>
      <c r="BG303" t="s">
        <v>748</v>
      </c>
      <c r="BH303" s="1">
        <v>44895.791666666664</v>
      </c>
      <c r="BI303">
        <v>40</v>
      </c>
      <c r="BJ303">
        <v>0</v>
      </c>
      <c r="BK303">
        <v>8</v>
      </c>
      <c r="BL303">
        <v>8</v>
      </c>
      <c r="BM303">
        <v>8</v>
      </c>
      <c r="BN303">
        <v>8</v>
      </c>
      <c r="BO303">
        <v>8</v>
      </c>
      <c r="BP303">
        <v>0</v>
      </c>
      <c r="BQ303" t="str">
        <f>"7:00 AM"</f>
        <v>7:00 AM</v>
      </c>
      <c r="BR303" t="str">
        <f>"3:30 PM"</f>
        <v>3:30 PM</v>
      </c>
      <c r="BS303" t="s">
        <v>133</v>
      </c>
      <c r="BT303">
        <v>0</v>
      </c>
      <c r="BU303">
        <v>0</v>
      </c>
      <c r="BV303" t="s">
        <v>134</v>
      </c>
      <c r="BX303" s="2" t="s">
        <v>2523</v>
      </c>
      <c r="BY303" t="s">
        <v>9898</v>
      </c>
      <c r="BZ303" t="s">
        <v>138</v>
      </c>
      <c r="CA303" t="s">
        <v>5502</v>
      </c>
      <c r="CB303" t="s">
        <v>748</v>
      </c>
      <c r="CC303" s="4" t="str">
        <f>"19406"</f>
        <v>19406</v>
      </c>
      <c r="CD303" t="s">
        <v>2007</v>
      </c>
      <c r="CE303" t="s">
        <v>1266</v>
      </c>
      <c r="CF303" s="6">
        <v>17.82</v>
      </c>
      <c r="CG303" s="6">
        <v>22</v>
      </c>
      <c r="CH303" s="6">
        <v>26.73</v>
      </c>
      <c r="CI303" s="6">
        <v>33</v>
      </c>
      <c r="CJ303" t="s">
        <v>137</v>
      </c>
      <c r="CK303" t="s">
        <v>9899</v>
      </c>
      <c r="CL303" t="s">
        <v>9900</v>
      </c>
      <c r="CO303" t="s">
        <v>138</v>
      </c>
      <c r="CP303" t="s">
        <v>114</v>
      </c>
      <c r="CQ303" t="s">
        <v>114</v>
      </c>
      <c r="CR303" t="s">
        <v>114</v>
      </c>
      <c r="CS303" t="s">
        <v>114</v>
      </c>
      <c r="CT303" t="s">
        <v>114</v>
      </c>
      <c r="CU303" t="s">
        <v>134</v>
      </c>
      <c r="CV303" t="s">
        <v>2056</v>
      </c>
      <c r="CW303" s="5" t="str">
        <f>"+16105201742"</f>
        <v>+16105201742</v>
      </c>
      <c r="CX303" t="s">
        <v>9901</v>
      </c>
      <c r="CY303" t="s">
        <v>138</v>
      </c>
      <c r="CZ303" t="s">
        <v>139</v>
      </c>
      <c r="DA303" t="s">
        <v>134</v>
      </c>
      <c r="DB303" t="s">
        <v>134</v>
      </c>
      <c r="DC303" t="s">
        <v>114</v>
      </c>
      <c r="DD303" t="s">
        <v>134</v>
      </c>
    </row>
    <row r="304" spans="1:108" ht="15" customHeight="1" x14ac:dyDescent="0.25">
      <c r="A304" t="s">
        <v>1275</v>
      </c>
      <c r="B304" t="s">
        <v>165</v>
      </c>
      <c r="C304" s="1">
        <v>44896.396155208335</v>
      </c>
      <c r="D304" s="1">
        <v>44916</v>
      </c>
      <c r="E304" t="s">
        <v>134</v>
      </c>
      <c r="F304" t="s">
        <v>334</v>
      </c>
      <c r="G304" t="str">
        <f>"37-3011.00"</f>
        <v>37-3011.00</v>
      </c>
      <c r="H304" t="s">
        <v>335</v>
      </c>
      <c r="I304">
        <v>12</v>
      </c>
      <c r="J304">
        <v>12</v>
      </c>
      <c r="K304" s="1">
        <v>44986</v>
      </c>
      <c r="L304" s="1">
        <v>45260</v>
      </c>
      <c r="M304" s="1">
        <v>44986</v>
      </c>
      <c r="N304" s="1">
        <v>45260</v>
      </c>
      <c r="O304" t="s">
        <v>199</v>
      </c>
      <c r="P304" t="s">
        <v>1276</v>
      </c>
      <c r="R304" t="s">
        <v>1277</v>
      </c>
      <c r="S304" t="s">
        <v>138</v>
      </c>
      <c r="T304" t="s">
        <v>1278</v>
      </c>
      <c r="U304" t="s">
        <v>1279</v>
      </c>
      <c r="V304" s="4" t="str">
        <f>"66061"</f>
        <v>66061</v>
      </c>
      <c r="W304" t="s">
        <v>120</v>
      </c>
      <c r="Y304" s="5">
        <v>19137821845</v>
      </c>
      <c r="AA304">
        <v>561730</v>
      </c>
      <c r="AB304" t="s">
        <v>942</v>
      </c>
      <c r="AC304" t="s">
        <v>1280</v>
      </c>
      <c r="AD304" t="s">
        <v>1020</v>
      </c>
      <c r="AE304" t="s">
        <v>342</v>
      </c>
      <c r="AF304" t="s">
        <v>1277</v>
      </c>
      <c r="AG304" t="s">
        <v>138</v>
      </c>
      <c r="AH304" t="s">
        <v>1278</v>
      </c>
      <c r="AI304" t="s">
        <v>1279</v>
      </c>
      <c r="AJ304" s="4" t="str">
        <f>"66061"</f>
        <v>66061</v>
      </c>
      <c r="AK304" t="s">
        <v>120</v>
      </c>
      <c r="AM304" s="5">
        <v>19137821845</v>
      </c>
      <c r="AO304" t="s">
        <v>1281</v>
      </c>
      <c r="AP304" t="s">
        <v>256</v>
      </c>
      <c r="AQ304" t="s">
        <v>1282</v>
      </c>
      <c r="AR304" t="s">
        <v>1283</v>
      </c>
      <c r="AS304" t="s">
        <v>138</v>
      </c>
      <c r="AT304" t="s">
        <v>1284</v>
      </c>
      <c r="AU304" t="s">
        <v>138</v>
      </c>
      <c r="AV304" t="s">
        <v>1285</v>
      </c>
      <c r="AW304" t="s">
        <v>232</v>
      </c>
      <c r="AX304" s="4" t="str">
        <f>"77414"</f>
        <v>77414</v>
      </c>
      <c r="AY304" t="s">
        <v>120</v>
      </c>
      <c r="BA304" s="5">
        <v>19793187279</v>
      </c>
      <c r="BC304" t="s">
        <v>1286</v>
      </c>
      <c r="BD304" t="s">
        <v>1287</v>
      </c>
      <c r="BG304" t="s">
        <v>1279</v>
      </c>
      <c r="BH304" s="1">
        <v>44895.791666666664</v>
      </c>
      <c r="BI304">
        <v>40</v>
      </c>
      <c r="BJ304">
        <v>0</v>
      </c>
      <c r="BK304">
        <v>8</v>
      </c>
      <c r="BL304">
        <v>8</v>
      </c>
      <c r="BM304">
        <v>8</v>
      </c>
      <c r="BN304">
        <v>8</v>
      </c>
      <c r="BO304">
        <v>8</v>
      </c>
      <c r="BP304">
        <v>0</v>
      </c>
      <c r="BQ304" t="str">
        <f>"8:00 AM"</f>
        <v>8:00 AM</v>
      </c>
      <c r="BR304" t="str">
        <f>"5:00 PM"</f>
        <v>5:00 PM</v>
      </c>
      <c r="BS304" t="s">
        <v>133</v>
      </c>
      <c r="BT304">
        <v>0</v>
      </c>
      <c r="BU304">
        <v>0</v>
      </c>
      <c r="BV304" t="s">
        <v>134</v>
      </c>
      <c r="BX304" s="2" t="s">
        <v>1288</v>
      </c>
      <c r="BY304" t="s">
        <v>1277</v>
      </c>
      <c r="BZ304" t="s">
        <v>138</v>
      </c>
      <c r="CA304" t="s">
        <v>1278</v>
      </c>
      <c r="CB304" t="s">
        <v>1279</v>
      </c>
      <c r="CC304" s="4" t="str">
        <f>"66061"</f>
        <v>66061</v>
      </c>
      <c r="CD304" t="s">
        <v>1289</v>
      </c>
      <c r="CE304" t="s">
        <v>1290</v>
      </c>
      <c r="CF304" s="6">
        <v>16.920000000000002</v>
      </c>
      <c r="CG304" s="6">
        <v>20.059999999999999</v>
      </c>
      <c r="CH304" s="6">
        <v>25.38</v>
      </c>
      <c r="CI304" s="6">
        <v>30.09</v>
      </c>
      <c r="CJ304" t="s">
        <v>137</v>
      </c>
      <c r="CK304" t="s">
        <v>1291</v>
      </c>
      <c r="CL304" t="s">
        <v>1292</v>
      </c>
      <c r="CO304" t="s">
        <v>138</v>
      </c>
      <c r="CP304" t="s">
        <v>114</v>
      </c>
      <c r="CQ304" t="s">
        <v>114</v>
      </c>
      <c r="CR304" t="s">
        <v>114</v>
      </c>
      <c r="CS304" t="s">
        <v>114</v>
      </c>
      <c r="CT304" t="s">
        <v>114</v>
      </c>
      <c r="CU304" t="s">
        <v>114</v>
      </c>
      <c r="CV304" s="2" t="s">
        <v>1293</v>
      </c>
      <c r="CW304" s="5" t="str">
        <f>"+19137821845"</f>
        <v>+19137821845</v>
      </c>
      <c r="CX304" t="s">
        <v>1294</v>
      </c>
      <c r="CY304" t="s">
        <v>138</v>
      </c>
      <c r="CZ304" t="s">
        <v>139</v>
      </c>
      <c r="DA304" t="s">
        <v>134</v>
      </c>
      <c r="DB304" t="s">
        <v>134</v>
      </c>
      <c r="DC304" t="s">
        <v>114</v>
      </c>
      <c r="DD304" t="s">
        <v>134</v>
      </c>
    </row>
    <row r="305" spans="1:113" ht="15" customHeight="1" x14ac:dyDescent="0.25">
      <c r="A305" t="s">
        <v>15457</v>
      </c>
      <c r="B305" t="s">
        <v>165</v>
      </c>
      <c r="C305" s="1">
        <v>44893.641718749997</v>
      </c>
      <c r="D305" s="1">
        <v>44916</v>
      </c>
      <c r="E305" t="s">
        <v>134</v>
      </c>
      <c r="F305" t="s">
        <v>15458</v>
      </c>
      <c r="G305" t="str">
        <f>"47-2061.00"</f>
        <v>47-2061.00</v>
      </c>
      <c r="H305" t="s">
        <v>1625</v>
      </c>
      <c r="I305">
        <v>36</v>
      </c>
      <c r="J305">
        <v>36</v>
      </c>
      <c r="K305" s="1">
        <v>44972</v>
      </c>
      <c r="L305" s="1">
        <v>45260</v>
      </c>
      <c r="M305" s="1">
        <v>44972</v>
      </c>
      <c r="N305" s="1">
        <v>45260</v>
      </c>
      <c r="O305" t="s">
        <v>117</v>
      </c>
      <c r="P305" t="s">
        <v>15459</v>
      </c>
      <c r="R305" t="s">
        <v>15460</v>
      </c>
      <c r="T305" t="s">
        <v>15461</v>
      </c>
      <c r="U305" t="s">
        <v>619</v>
      </c>
      <c r="V305" s="4" t="str">
        <f>"40356"</f>
        <v>40356</v>
      </c>
      <c r="W305" t="s">
        <v>120</v>
      </c>
      <c r="Y305" s="5">
        <v>18592542866</v>
      </c>
      <c r="AA305">
        <v>2381</v>
      </c>
      <c r="AB305" t="s">
        <v>10940</v>
      </c>
      <c r="AC305" t="s">
        <v>14195</v>
      </c>
      <c r="AD305" t="s">
        <v>2026</v>
      </c>
      <c r="AE305" t="s">
        <v>342</v>
      </c>
      <c r="AF305" t="s">
        <v>15460</v>
      </c>
      <c r="AH305" t="s">
        <v>15461</v>
      </c>
      <c r="AI305" t="s">
        <v>619</v>
      </c>
      <c r="AJ305" s="4" t="str">
        <f>"40356"</f>
        <v>40356</v>
      </c>
      <c r="AK305" t="s">
        <v>120</v>
      </c>
      <c r="AM305" s="5">
        <v>18592542866</v>
      </c>
      <c r="AO305" t="s">
        <v>15462</v>
      </c>
      <c r="AP305" t="s">
        <v>256</v>
      </c>
      <c r="AQ305" t="s">
        <v>1615</v>
      </c>
      <c r="AR305" t="s">
        <v>1616</v>
      </c>
      <c r="AT305" t="s">
        <v>1617</v>
      </c>
      <c r="AV305" t="s">
        <v>1618</v>
      </c>
      <c r="AW305" t="s">
        <v>444</v>
      </c>
      <c r="AX305" s="4" t="str">
        <f>"93446"</f>
        <v>93446</v>
      </c>
      <c r="AY305" t="s">
        <v>120</v>
      </c>
      <c r="AZ305" t="s">
        <v>1619</v>
      </c>
      <c r="BA305" s="5">
        <v>13217042589</v>
      </c>
      <c r="BC305" t="s">
        <v>1620</v>
      </c>
      <c r="BD305" t="s">
        <v>1621</v>
      </c>
      <c r="BG305" t="s">
        <v>619</v>
      </c>
      <c r="BH305" s="1">
        <v>44892.791666666664</v>
      </c>
      <c r="BI305">
        <v>40</v>
      </c>
      <c r="BJ305">
        <v>0</v>
      </c>
      <c r="BK305">
        <v>8</v>
      </c>
      <c r="BL305">
        <v>8</v>
      </c>
      <c r="BM305">
        <v>8</v>
      </c>
      <c r="BN305">
        <v>8</v>
      </c>
      <c r="BO305">
        <v>8</v>
      </c>
      <c r="BP305">
        <v>0</v>
      </c>
      <c r="BQ305" t="str">
        <f>"6:00 AM"</f>
        <v>6:00 AM</v>
      </c>
      <c r="BR305" t="str">
        <f>"3:00 PM"</f>
        <v>3:00 PM</v>
      </c>
      <c r="BS305" t="s">
        <v>133</v>
      </c>
      <c r="BT305">
        <v>0</v>
      </c>
      <c r="BU305">
        <v>0</v>
      </c>
      <c r="BV305" t="s">
        <v>134</v>
      </c>
      <c r="BX305" s="2" t="s">
        <v>15463</v>
      </c>
      <c r="BY305" t="s">
        <v>15460</v>
      </c>
      <c r="CA305" t="s">
        <v>15461</v>
      </c>
      <c r="CB305" t="s">
        <v>619</v>
      </c>
      <c r="CC305" s="4" t="str">
        <f>"40356"</f>
        <v>40356</v>
      </c>
      <c r="CD305" t="s">
        <v>10938</v>
      </c>
      <c r="CE305" t="s">
        <v>1708</v>
      </c>
      <c r="CF305" s="6">
        <v>20.6</v>
      </c>
      <c r="CG305" s="6">
        <v>20.6</v>
      </c>
      <c r="CH305" s="6">
        <v>30.9</v>
      </c>
      <c r="CI305" s="6">
        <v>30.9</v>
      </c>
      <c r="CJ305" t="s">
        <v>137</v>
      </c>
      <c r="CK305" t="s">
        <v>1623</v>
      </c>
      <c r="CL305" t="s">
        <v>15464</v>
      </c>
      <c r="CO305" t="s">
        <v>138</v>
      </c>
      <c r="CP305" t="s">
        <v>114</v>
      </c>
      <c r="CQ305" t="s">
        <v>114</v>
      </c>
      <c r="CR305" t="s">
        <v>114</v>
      </c>
      <c r="CS305" t="s">
        <v>114</v>
      </c>
      <c r="CT305" t="s">
        <v>114</v>
      </c>
      <c r="CU305" t="s">
        <v>114</v>
      </c>
      <c r="CV305" t="s">
        <v>15465</v>
      </c>
      <c r="CW305" s="5" t="str">
        <f>"+18592542866"</f>
        <v>+18592542866</v>
      </c>
      <c r="CX305" t="s">
        <v>138</v>
      </c>
      <c r="CY305" t="s">
        <v>15466</v>
      </c>
      <c r="CZ305" t="s">
        <v>139</v>
      </c>
      <c r="DA305" t="s">
        <v>134</v>
      </c>
      <c r="DB305" t="s">
        <v>134</v>
      </c>
      <c r="DC305" t="s">
        <v>114</v>
      </c>
      <c r="DD305" t="s">
        <v>134</v>
      </c>
    </row>
    <row r="306" spans="1:113" ht="15" customHeight="1" x14ac:dyDescent="0.25">
      <c r="A306" t="s">
        <v>11635</v>
      </c>
      <c r="B306" t="s">
        <v>165</v>
      </c>
      <c r="C306" s="1">
        <v>44889.361385416669</v>
      </c>
      <c r="D306" s="1">
        <v>44916</v>
      </c>
      <c r="E306" t="s">
        <v>134</v>
      </c>
      <c r="F306" t="s">
        <v>571</v>
      </c>
      <c r="G306" t="str">
        <f>"35-3023.00"</f>
        <v>35-3023.00</v>
      </c>
      <c r="H306" t="s">
        <v>555</v>
      </c>
      <c r="I306">
        <v>10</v>
      </c>
      <c r="J306">
        <v>10</v>
      </c>
      <c r="K306" s="1">
        <v>44979</v>
      </c>
      <c r="L306" s="1">
        <v>45013</v>
      </c>
      <c r="M306" s="1">
        <v>44979</v>
      </c>
      <c r="N306" s="1">
        <v>45013</v>
      </c>
      <c r="O306" t="s">
        <v>199</v>
      </c>
      <c r="P306" t="s">
        <v>11636</v>
      </c>
      <c r="R306" t="s">
        <v>11637</v>
      </c>
      <c r="T306" t="s">
        <v>1079</v>
      </c>
      <c r="U306" t="s">
        <v>232</v>
      </c>
      <c r="V306" s="4" t="str">
        <f>"75656"</f>
        <v>75656</v>
      </c>
      <c r="W306" t="s">
        <v>120</v>
      </c>
      <c r="Y306" s="5">
        <v>19035570237</v>
      </c>
      <c r="AA306">
        <v>7139</v>
      </c>
      <c r="AB306" t="s">
        <v>1080</v>
      </c>
      <c r="AC306" t="s">
        <v>367</v>
      </c>
      <c r="AE306" t="s">
        <v>424</v>
      </c>
      <c r="AF306" t="s">
        <v>11637</v>
      </c>
      <c r="AH306" t="s">
        <v>1079</v>
      </c>
      <c r="AI306" t="s">
        <v>232</v>
      </c>
      <c r="AJ306" s="4" t="str">
        <f>"75656"</f>
        <v>75656</v>
      </c>
      <c r="AK306" t="s">
        <v>120</v>
      </c>
      <c r="AM306" s="5">
        <v>19035570237</v>
      </c>
      <c r="AO306" t="s">
        <v>11638</v>
      </c>
      <c r="AP306" t="s">
        <v>256</v>
      </c>
      <c r="AQ306" t="s">
        <v>535</v>
      </c>
      <c r="AR306" t="s">
        <v>536</v>
      </c>
      <c r="AS306" t="s">
        <v>537</v>
      </c>
      <c r="AT306" t="s">
        <v>538</v>
      </c>
      <c r="AU306" t="s">
        <v>539</v>
      </c>
      <c r="AV306" t="s">
        <v>540</v>
      </c>
      <c r="AW306" t="s">
        <v>232</v>
      </c>
      <c r="AX306" s="4" t="str">
        <f>"78550"</f>
        <v>78550</v>
      </c>
      <c r="AY306" t="s">
        <v>120</v>
      </c>
      <c r="BA306" s="5">
        <v>19564408720</v>
      </c>
      <c r="BB306">
        <v>0</v>
      </c>
      <c r="BC306" t="s">
        <v>1022</v>
      </c>
      <c r="BD306" t="s">
        <v>543</v>
      </c>
      <c r="BG306" t="s">
        <v>232</v>
      </c>
      <c r="BH306" s="1">
        <v>44888.791666666664</v>
      </c>
      <c r="BI306">
        <v>40</v>
      </c>
      <c r="BJ306">
        <v>8</v>
      </c>
      <c r="BK306">
        <v>0</v>
      </c>
      <c r="BL306">
        <v>0</v>
      </c>
      <c r="BM306">
        <v>8</v>
      </c>
      <c r="BN306">
        <v>8</v>
      </c>
      <c r="BO306">
        <v>8</v>
      </c>
      <c r="BP306">
        <v>8</v>
      </c>
      <c r="BQ306" t="str">
        <f>"1:00 PM"</f>
        <v>1:00 PM</v>
      </c>
      <c r="BR306" t="str">
        <f>"10:00 PM"</f>
        <v>10:00 PM</v>
      </c>
      <c r="BS306" t="s">
        <v>133</v>
      </c>
      <c r="BT306">
        <v>0</v>
      </c>
      <c r="BU306">
        <v>0</v>
      </c>
      <c r="BV306" t="s">
        <v>134</v>
      </c>
      <c r="BX306" s="2" t="s">
        <v>3113</v>
      </c>
      <c r="BY306" t="s">
        <v>11637</v>
      </c>
      <c r="CA306" t="s">
        <v>1079</v>
      </c>
      <c r="CB306" t="s">
        <v>232</v>
      </c>
      <c r="CC306" s="4" t="str">
        <f>"75656"</f>
        <v>75656</v>
      </c>
      <c r="CD306" t="s">
        <v>1084</v>
      </c>
      <c r="CE306" t="s">
        <v>1085</v>
      </c>
      <c r="CF306" s="6">
        <v>9.81</v>
      </c>
      <c r="CG306" s="6">
        <v>11.5</v>
      </c>
      <c r="CJ306" t="s">
        <v>137</v>
      </c>
      <c r="CK306" t="s">
        <v>549</v>
      </c>
      <c r="CL306" t="s">
        <v>11639</v>
      </c>
      <c r="CO306" t="s">
        <v>138</v>
      </c>
      <c r="CP306" t="s">
        <v>114</v>
      </c>
      <c r="CQ306" t="s">
        <v>114</v>
      </c>
      <c r="CR306" t="s">
        <v>134</v>
      </c>
      <c r="CS306" t="s">
        <v>114</v>
      </c>
      <c r="CT306" t="s">
        <v>114</v>
      </c>
      <c r="CU306" t="s">
        <v>114</v>
      </c>
      <c r="CV306" t="s">
        <v>569</v>
      </c>
      <c r="CW306" s="5" t="str">
        <f>"+19035570237"</f>
        <v>+19035570237</v>
      </c>
      <c r="CX306" t="s">
        <v>11638</v>
      </c>
      <c r="CY306" t="s">
        <v>138</v>
      </c>
      <c r="CZ306" t="s">
        <v>139</v>
      </c>
      <c r="DA306" t="s">
        <v>134</v>
      </c>
      <c r="DB306" t="s">
        <v>114</v>
      </c>
      <c r="DC306" t="s">
        <v>114</v>
      </c>
      <c r="DD306" t="s">
        <v>134</v>
      </c>
    </row>
    <row r="307" spans="1:113" ht="15" customHeight="1" x14ac:dyDescent="0.25">
      <c r="A307" t="s">
        <v>6852</v>
      </c>
      <c r="B307" t="s">
        <v>165</v>
      </c>
      <c r="C307" s="1">
        <v>44887.666518518519</v>
      </c>
      <c r="D307" s="1">
        <v>44916</v>
      </c>
      <c r="E307" t="s">
        <v>134</v>
      </c>
      <c r="F307" t="s">
        <v>6853</v>
      </c>
      <c r="G307" t="str">
        <f>"53-7062.00"</f>
        <v>53-7062.00</v>
      </c>
      <c r="H307" t="s">
        <v>245</v>
      </c>
      <c r="I307">
        <v>4</v>
      </c>
      <c r="J307">
        <v>4</v>
      </c>
      <c r="K307" s="1">
        <v>44962</v>
      </c>
      <c r="L307" s="1">
        <v>45122</v>
      </c>
      <c r="M307" s="1">
        <v>44962</v>
      </c>
      <c r="N307" s="1">
        <v>45122</v>
      </c>
      <c r="O307" t="s">
        <v>199</v>
      </c>
      <c r="P307" t="s">
        <v>6854</v>
      </c>
      <c r="R307" t="s">
        <v>6855</v>
      </c>
      <c r="T307" t="s">
        <v>6856</v>
      </c>
      <c r="U307" t="s">
        <v>214</v>
      </c>
      <c r="V307" s="4" t="str">
        <f>"70554"</f>
        <v>70554</v>
      </c>
      <c r="W307" t="s">
        <v>120</v>
      </c>
      <c r="Y307" s="5">
        <v>13376587257</v>
      </c>
      <c r="AA307">
        <v>112512</v>
      </c>
      <c r="AB307" t="s">
        <v>6857</v>
      </c>
      <c r="AC307" t="s">
        <v>4564</v>
      </c>
      <c r="AE307" t="s">
        <v>424</v>
      </c>
      <c r="AF307" t="s">
        <v>6858</v>
      </c>
      <c r="AH307" t="s">
        <v>6856</v>
      </c>
      <c r="AI307" t="s">
        <v>214</v>
      </c>
      <c r="AJ307" s="4" t="str">
        <f>"70554"</f>
        <v>70554</v>
      </c>
      <c r="AK307" t="s">
        <v>120</v>
      </c>
      <c r="AM307" s="5">
        <v>13376587257</v>
      </c>
      <c r="AO307" t="s">
        <v>6859</v>
      </c>
      <c r="AP307" t="s">
        <v>122</v>
      </c>
      <c r="AQ307" t="s">
        <v>725</v>
      </c>
      <c r="AR307" t="s">
        <v>726</v>
      </c>
      <c r="AS307" t="s">
        <v>727</v>
      </c>
      <c r="AT307" t="s">
        <v>728</v>
      </c>
      <c r="AU307" t="s">
        <v>6860</v>
      </c>
      <c r="AV307" t="s">
        <v>730</v>
      </c>
      <c r="AW307" t="s">
        <v>214</v>
      </c>
      <c r="AX307" s="4" t="str">
        <f>"70535"</f>
        <v>70535</v>
      </c>
      <c r="AY307" t="s">
        <v>120</v>
      </c>
      <c r="BA307" s="5">
        <v>13374663722</v>
      </c>
      <c r="BC307" t="s">
        <v>731</v>
      </c>
      <c r="BD307" t="s">
        <v>6861</v>
      </c>
      <c r="BE307" t="s">
        <v>214</v>
      </c>
      <c r="BF307" t="s">
        <v>733</v>
      </c>
      <c r="BG307" t="s">
        <v>214</v>
      </c>
      <c r="BH307" s="1">
        <v>44886.791666666664</v>
      </c>
      <c r="BI307">
        <v>40</v>
      </c>
      <c r="BJ307">
        <v>0</v>
      </c>
      <c r="BK307">
        <v>8</v>
      </c>
      <c r="BL307">
        <v>8</v>
      </c>
      <c r="BM307">
        <v>8</v>
      </c>
      <c r="BN307">
        <v>8</v>
      </c>
      <c r="BO307">
        <v>8</v>
      </c>
      <c r="BP307">
        <v>0</v>
      </c>
      <c r="BQ307" t="str">
        <f>"4:30 AM"</f>
        <v>4:30 AM</v>
      </c>
      <c r="BR307" t="str">
        <f>"2:30 PM"</f>
        <v>2:30 PM</v>
      </c>
      <c r="BS307" t="s">
        <v>133</v>
      </c>
      <c r="BT307">
        <v>0</v>
      </c>
      <c r="BU307">
        <v>3</v>
      </c>
      <c r="BV307" t="s">
        <v>134</v>
      </c>
      <c r="BX307" s="2" t="s">
        <v>6862</v>
      </c>
      <c r="BY307" t="s">
        <v>6855</v>
      </c>
      <c r="CA307" t="s">
        <v>6856</v>
      </c>
      <c r="CB307" t="s">
        <v>214</v>
      </c>
      <c r="CC307" s="4" t="str">
        <f>"70554"</f>
        <v>70554</v>
      </c>
      <c r="CD307" t="s">
        <v>6863</v>
      </c>
      <c r="CE307" t="s">
        <v>4154</v>
      </c>
      <c r="CF307" s="6">
        <v>14.08</v>
      </c>
      <c r="CG307" s="6">
        <v>14.08</v>
      </c>
      <c r="CH307" s="6">
        <v>21.12</v>
      </c>
      <c r="CI307" s="6">
        <v>21.12</v>
      </c>
      <c r="CJ307" t="s">
        <v>137</v>
      </c>
      <c r="CL307" t="s">
        <v>6864</v>
      </c>
      <c r="CO307" t="s">
        <v>138</v>
      </c>
      <c r="CP307" t="s">
        <v>134</v>
      </c>
      <c r="CQ307" t="s">
        <v>114</v>
      </c>
      <c r="CR307" t="s">
        <v>114</v>
      </c>
      <c r="CS307" t="s">
        <v>114</v>
      </c>
      <c r="CT307" t="s">
        <v>114</v>
      </c>
      <c r="CU307" t="s">
        <v>114</v>
      </c>
      <c r="CV307" t="s">
        <v>6865</v>
      </c>
      <c r="CW307" s="5" t="str">
        <f>"+13376587257"</f>
        <v>+13376587257</v>
      </c>
      <c r="CX307" t="s">
        <v>6859</v>
      </c>
      <c r="CY307" t="s">
        <v>138</v>
      </c>
      <c r="CZ307" t="s">
        <v>139</v>
      </c>
      <c r="DA307" t="s">
        <v>134</v>
      </c>
      <c r="DB307" t="s">
        <v>134</v>
      </c>
      <c r="DC307" t="s">
        <v>114</v>
      </c>
      <c r="DD307" t="s">
        <v>134</v>
      </c>
    </row>
    <row r="308" spans="1:113" ht="15" customHeight="1" x14ac:dyDescent="0.25">
      <c r="A308" t="s">
        <v>16036</v>
      </c>
      <c r="B308" t="s">
        <v>165</v>
      </c>
      <c r="C308" s="1">
        <v>44884.432340624997</v>
      </c>
      <c r="D308" s="1">
        <v>44916</v>
      </c>
      <c r="E308" t="s">
        <v>134</v>
      </c>
      <c r="F308" t="s">
        <v>334</v>
      </c>
      <c r="G308" t="str">
        <f>"37-3011.00"</f>
        <v>37-3011.00</v>
      </c>
      <c r="H308" t="s">
        <v>335</v>
      </c>
      <c r="I308">
        <v>7</v>
      </c>
      <c r="J308">
        <v>7</v>
      </c>
      <c r="K308" s="1">
        <v>44974</v>
      </c>
      <c r="L308" s="1">
        <v>45246</v>
      </c>
      <c r="M308" s="1">
        <v>44974</v>
      </c>
      <c r="N308" s="1">
        <v>45246</v>
      </c>
      <c r="O308" t="s">
        <v>117</v>
      </c>
      <c r="P308" t="s">
        <v>16037</v>
      </c>
      <c r="R308" t="s">
        <v>16038</v>
      </c>
      <c r="S308" t="s">
        <v>16039</v>
      </c>
      <c r="T308" t="s">
        <v>16040</v>
      </c>
      <c r="U308" t="s">
        <v>232</v>
      </c>
      <c r="V308" s="4" t="str">
        <f>"78219"</f>
        <v>78219</v>
      </c>
      <c r="W308" t="s">
        <v>120</v>
      </c>
      <c r="Y308" s="5">
        <v>12103132770</v>
      </c>
      <c r="AA308">
        <v>561730</v>
      </c>
      <c r="AB308" t="s">
        <v>16041</v>
      </c>
      <c r="AC308" t="s">
        <v>1303</v>
      </c>
      <c r="AE308" t="s">
        <v>1710</v>
      </c>
      <c r="AF308" t="s">
        <v>16038</v>
      </c>
      <c r="AG308" t="s">
        <v>16039</v>
      </c>
      <c r="AH308" t="s">
        <v>16040</v>
      </c>
      <c r="AI308" t="s">
        <v>232</v>
      </c>
      <c r="AJ308" s="4" t="str">
        <f>"78219"</f>
        <v>78219</v>
      </c>
      <c r="AK308" t="s">
        <v>120</v>
      </c>
      <c r="AM308" s="5">
        <v>12103132770</v>
      </c>
      <c r="AO308" t="s">
        <v>16042</v>
      </c>
      <c r="AP308" t="s">
        <v>256</v>
      </c>
      <c r="AQ308" t="s">
        <v>2327</v>
      </c>
      <c r="AR308" t="s">
        <v>1063</v>
      </c>
      <c r="AS308" t="s">
        <v>1857</v>
      </c>
      <c r="AT308" t="s">
        <v>1284</v>
      </c>
      <c r="AU308" t="s">
        <v>138</v>
      </c>
      <c r="AV308" t="s">
        <v>1285</v>
      </c>
      <c r="AW308" t="s">
        <v>232</v>
      </c>
      <c r="AX308" s="4" t="str">
        <f>"77414"</f>
        <v>77414</v>
      </c>
      <c r="AY308" t="s">
        <v>120</v>
      </c>
      <c r="BA308" s="5">
        <v>19793187280</v>
      </c>
      <c r="BC308" t="s">
        <v>2328</v>
      </c>
      <c r="BD308" t="s">
        <v>1287</v>
      </c>
      <c r="BG308" t="s">
        <v>232</v>
      </c>
      <c r="BH308" s="1">
        <v>44883.791666666664</v>
      </c>
      <c r="BI308">
        <v>40</v>
      </c>
      <c r="BJ308">
        <v>0</v>
      </c>
      <c r="BK308">
        <v>8</v>
      </c>
      <c r="BL308">
        <v>8</v>
      </c>
      <c r="BM308">
        <v>8</v>
      </c>
      <c r="BN308">
        <v>8</v>
      </c>
      <c r="BO308">
        <v>8</v>
      </c>
      <c r="BP308">
        <v>0</v>
      </c>
      <c r="BQ308" t="str">
        <f>"8:00 AM"</f>
        <v>8:00 AM</v>
      </c>
      <c r="BR308" t="str">
        <f>"5:00 PM"</f>
        <v>5:00 PM</v>
      </c>
      <c r="BS308" t="s">
        <v>133</v>
      </c>
      <c r="BT308">
        <v>0</v>
      </c>
      <c r="BU308">
        <v>0</v>
      </c>
      <c r="BV308" t="s">
        <v>134</v>
      </c>
      <c r="BX308" s="2" t="s">
        <v>16043</v>
      </c>
      <c r="BY308" t="s">
        <v>16038</v>
      </c>
      <c r="BZ308" t="s">
        <v>138</v>
      </c>
      <c r="CA308" t="s">
        <v>16040</v>
      </c>
      <c r="CB308" t="s">
        <v>232</v>
      </c>
      <c r="CC308" s="4" t="str">
        <f>"78219"</f>
        <v>78219</v>
      </c>
      <c r="CD308" t="s">
        <v>2112</v>
      </c>
      <c r="CE308" t="s">
        <v>1342</v>
      </c>
      <c r="CF308" s="6">
        <v>15.05</v>
      </c>
      <c r="CH308" s="6">
        <v>22.58</v>
      </c>
      <c r="CJ308" t="s">
        <v>137</v>
      </c>
      <c r="CK308" t="s">
        <v>4820</v>
      </c>
      <c r="CL308" t="s">
        <v>16044</v>
      </c>
      <c r="CO308" t="s">
        <v>138</v>
      </c>
      <c r="CP308" t="s">
        <v>114</v>
      </c>
      <c r="CQ308" t="s">
        <v>114</v>
      </c>
      <c r="CR308" t="s">
        <v>114</v>
      </c>
      <c r="CS308" t="s">
        <v>114</v>
      </c>
      <c r="CT308" t="s">
        <v>114</v>
      </c>
      <c r="CU308" t="s">
        <v>134</v>
      </c>
      <c r="CV308" t="s">
        <v>1356</v>
      </c>
      <c r="CW308" s="5" t="str">
        <f>"+12103132770"</f>
        <v>+12103132770</v>
      </c>
      <c r="CX308" t="s">
        <v>16042</v>
      </c>
      <c r="CY308" t="s">
        <v>138</v>
      </c>
      <c r="CZ308" t="s">
        <v>139</v>
      </c>
      <c r="DA308" t="s">
        <v>134</v>
      </c>
      <c r="DB308" t="s">
        <v>134</v>
      </c>
      <c r="DC308" t="s">
        <v>114</v>
      </c>
      <c r="DD308" t="s">
        <v>134</v>
      </c>
    </row>
    <row r="309" spans="1:113" ht="15" customHeight="1" x14ac:dyDescent="0.25">
      <c r="A309" t="s">
        <v>8915</v>
      </c>
      <c r="B309" t="s">
        <v>165</v>
      </c>
      <c r="C309" s="1">
        <v>44883.753862500002</v>
      </c>
      <c r="D309" s="1">
        <v>44916</v>
      </c>
      <c r="E309" t="s">
        <v>114</v>
      </c>
      <c r="F309" t="s">
        <v>8916</v>
      </c>
      <c r="G309" t="str">
        <f>"37-3011.00"</f>
        <v>37-3011.00</v>
      </c>
      <c r="H309" t="s">
        <v>335</v>
      </c>
      <c r="I309">
        <v>26</v>
      </c>
      <c r="J309">
        <v>26</v>
      </c>
      <c r="K309" s="1">
        <v>44958</v>
      </c>
      <c r="L309" s="1">
        <v>45260</v>
      </c>
      <c r="M309" s="1">
        <v>44958</v>
      </c>
      <c r="N309" s="1">
        <v>45260</v>
      </c>
      <c r="O309" t="s">
        <v>117</v>
      </c>
      <c r="P309" t="s">
        <v>8917</v>
      </c>
      <c r="R309" t="s">
        <v>8918</v>
      </c>
      <c r="T309" t="s">
        <v>684</v>
      </c>
      <c r="U309" t="s">
        <v>232</v>
      </c>
      <c r="V309" s="4" t="str">
        <f>"78744"</f>
        <v>78744</v>
      </c>
      <c r="W309" t="s">
        <v>120</v>
      </c>
      <c r="Y309" s="5">
        <v>15125512262</v>
      </c>
      <c r="AA309">
        <v>5617</v>
      </c>
      <c r="AB309" t="s">
        <v>8919</v>
      </c>
      <c r="AC309" t="s">
        <v>1043</v>
      </c>
      <c r="AE309" t="s">
        <v>424</v>
      </c>
      <c r="AF309" t="s">
        <v>8920</v>
      </c>
      <c r="AG309" t="s">
        <v>8921</v>
      </c>
      <c r="AH309" t="s">
        <v>684</v>
      </c>
      <c r="AI309" t="s">
        <v>232</v>
      </c>
      <c r="AJ309" s="4" t="str">
        <f>"78744"</f>
        <v>78744</v>
      </c>
      <c r="AK309" t="s">
        <v>120</v>
      </c>
      <c r="AM309" s="5">
        <v>15128259096</v>
      </c>
      <c r="AO309" t="s">
        <v>8922</v>
      </c>
      <c r="AP309" t="s">
        <v>122</v>
      </c>
      <c r="AQ309" t="s">
        <v>313</v>
      </c>
      <c r="AR309" t="s">
        <v>314</v>
      </c>
      <c r="AS309" t="s">
        <v>315</v>
      </c>
      <c r="AT309" t="s">
        <v>316</v>
      </c>
      <c r="AU309" t="s">
        <v>317</v>
      </c>
      <c r="AV309" t="s">
        <v>318</v>
      </c>
      <c r="AW309" t="s">
        <v>319</v>
      </c>
      <c r="AX309" s="4" t="str">
        <f>"55402"</f>
        <v>55402</v>
      </c>
      <c r="AY309" t="s">
        <v>120</v>
      </c>
      <c r="BA309" s="5">
        <v>16124927165</v>
      </c>
      <c r="BC309" t="s">
        <v>320</v>
      </c>
      <c r="BD309" t="s">
        <v>321</v>
      </c>
      <c r="BE309" t="s">
        <v>319</v>
      </c>
      <c r="BF309" t="s">
        <v>4514</v>
      </c>
      <c r="BG309" t="s">
        <v>232</v>
      </c>
      <c r="BH309" s="1">
        <v>44882.791666666664</v>
      </c>
      <c r="BI309">
        <v>35</v>
      </c>
      <c r="BJ309">
        <v>0</v>
      </c>
      <c r="BK309">
        <v>7</v>
      </c>
      <c r="BL309">
        <v>7</v>
      </c>
      <c r="BM309">
        <v>7</v>
      </c>
      <c r="BN309">
        <v>7</v>
      </c>
      <c r="BO309">
        <v>7</v>
      </c>
      <c r="BP309">
        <v>0</v>
      </c>
      <c r="BQ309" t="str">
        <f>"7:00 AM"</f>
        <v>7:00 AM</v>
      </c>
      <c r="BR309" t="str">
        <f>"4:30 PM"</f>
        <v>4:30 PM</v>
      </c>
      <c r="BS309" t="s">
        <v>133</v>
      </c>
      <c r="BT309">
        <v>0</v>
      </c>
      <c r="BU309">
        <v>0</v>
      </c>
      <c r="BV309" t="s">
        <v>134</v>
      </c>
      <c r="BX309" s="2" t="s">
        <v>4381</v>
      </c>
      <c r="BY309" t="s">
        <v>8918</v>
      </c>
      <c r="CA309" t="s">
        <v>684</v>
      </c>
      <c r="CB309" t="s">
        <v>232</v>
      </c>
      <c r="CC309" s="4" t="str">
        <f>"78744"</f>
        <v>78744</v>
      </c>
      <c r="CD309" t="s">
        <v>948</v>
      </c>
      <c r="CE309" t="s">
        <v>949</v>
      </c>
      <c r="CF309" s="6">
        <v>16.079999999999998</v>
      </c>
      <c r="CH309" s="6">
        <v>24.12</v>
      </c>
      <c r="CJ309" t="s">
        <v>137</v>
      </c>
      <c r="CK309" t="s">
        <v>8923</v>
      </c>
      <c r="CL309" t="s">
        <v>8924</v>
      </c>
      <c r="CO309" t="s">
        <v>138</v>
      </c>
      <c r="CP309" t="s">
        <v>114</v>
      </c>
      <c r="CQ309" t="s">
        <v>114</v>
      </c>
      <c r="CR309" t="s">
        <v>114</v>
      </c>
      <c r="CS309" t="s">
        <v>114</v>
      </c>
      <c r="CT309" t="s">
        <v>114</v>
      </c>
      <c r="CU309" t="s">
        <v>134</v>
      </c>
      <c r="CV309" t="s">
        <v>4473</v>
      </c>
      <c r="CW309" s="5" t="str">
        <f>"+15125512262"</f>
        <v>+15125512262</v>
      </c>
      <c r="CX309" t="s">
        <v>8925</v>
      </c>
      <c r="CY309" t="s">
        <v>138</v>
      </c>
      <c r="CZ309" t="s">
        <v>139</v>
      </c>
      <c r="DA309" t="s">
        <v>134</v>
      </c>
      <c r="DB309" t="s">
        <v>114</v>
      </c>
      <c r="DC309" t="s">
        <v>114</v>
      </c>
      <c r="DD309" t="s">
        <v>134</v>
      </c>
    </row>
    <row r="310" spans="1:113" ht="15" customHeight="1" x14ac:dyDescent="0.25">
      <c r="A310" t="s">
        <v>16022</v>
      </c>
      <c r="B310" t="s">
        <v>165</v>
      </c>
      <c r="C310" s="1">
        <v>44883.566543749999</v>
      </c>
      <c r="D310" s="1">
        <v>44916</v>
      </c>
      <c r="E310" t="s">
        <v>134</v>
      </c>
      <c r="F310" t="s">
        <v>2068</v>
      </c>
      <c r="G310" t="str">
        <f>"35-9021.00"</f>
        <v>35-9021.00</v>
      </c>
      <c r="H310" t="s">
        <v>1910</v>
      </c>
      <c r="I310">
        <v>25</v>
      </c>
      <c r="J310">
        <v>25</v>
      </c>
      <c r="K310" s="1">
        <v>44968</v>
      </c>
      <c r="L310" s="1">
        <v>45271</v>
      </c>
      <c r="M310" s="1">
        <v>44968</v>
      </c>
      <c r="N310" s="1">
        <v>45271</v>
      </c>
      <c r="O310" t="s">
        <v>117</v>
      </c>
      <c r="P310" t="s">
        <v>12441</v>
      </c>
      <c r="Q310" t="s">
        <v>12442</v>
      </c>
      <c r="R310" t="s">
        <v>12443</v>
      </c>
      <c r="T310" t="s">
        <v>12444</v>
      </c>
      <c r="U310" t="s">
        <v>154</v>
      </c>
      <c r="V310" s="4" t="str">
        <f>"33896"</f>
        <v>33896</v>
      </c>
      <c r="W310" t="s">
        <v>120</v>
      </c>
      <c r="Y310" s="5">
        <v>14073906664</v>
      </c>
      <c r="AA310">
        <v>72111</v>
      </c>
      <c r="AB310" t="s">
        <v>2911</v>
      </c>
      <c r="AC310" t="s">
        <v>12445</v>
      </c>
      <c r="AE310" t="s">
        <v>1915</v>
      </c>
      <c r="AF310" t="s">
        <v>12443</v>
      </c>
      <c r="AH310" t="s">
        <v>12444</v>
      </c>
      <c r="AI310" t="s">
        <v>154</v>
      </c>
      <c r="AJ310" s="4" t="str">
        <f>"33896"</f>
        <v>33896</v>
      </c>
      <c r="AK310" t="s">
        <v>120</v>
      </c>
      <c r="AM310" s="5">
        <v>14073906664</v>
      </c>
      <c r="AO310" t="s">
        <v>2094</v>
      </c>
      <c r="AP310" t="s">
        <v>256</v>
      </c>
      <c r="AQ310" t="s">
        <v>400</v>
      </c>
      <c r="AR310" t="s">
        <v>401</v>
      </c>
      <c r="AS310" t="s">
        <v>397</v>
      </c>
      <c r="AT310" t="s">
        <v>402</v>
      </c>
      <c r="AU310" t="s">
        <v>152</v>
      </c>
      <c r="AV310" t="s">
        <v>403</v>
      </c>
      <c r="AW310" t="s">
        <v>232</v>
      </c>
      <c r="AX310" s="4" t="str">
        <f>"75033"</f>
        <v>75033</v>
      </c>
      <c r="AY310" t="s">
        <v>120</v>
      </c>
      <c r="BA310" s="5">
        <v>19727789690</v>
      </c>
      <c r="BC310" t="s">
        <v>1503</v>
      </c>
      <c r="BD310" t="s">
        <v>405</v>
      </c>
      <c r="BG310" t="s">
        <v>154</v>
      </c>
      <c r="BH310" s="1">
        <v>44882.791666666664</v>
      </c>
      <c r="BI310">
        <v>40</v>
      </c>
      <c r="BJ310">
        <v>8</v>
      </c>
      <c r="BK310">
        <v>0</v>
      </c>
      <c r="BL310">
        <v>0</v>
      </c>
      <c r="BM310">
        <v>8</v>
      </c>
      <c r="BN310">
        <v>8</v>
      </c>
      <c r="BO310">
        <v>8</v>
      </c>
      <c r="BP310">
        <v>8</v>
      </c>
      <c r="BQ310" t="str">
        <f>"6:00 AM"</f>
        <v>6:00 AM</v>
      </c>
      <c r="BR310" t="str">
        <f>"2:30 PM"</f>
        <v>2:30 PM</v>
      </c>
      <c r="BS310" t="s">
        <v>133</v>
      </c>
      <c r="BT310">
        <v>0</v>
      </c>
      <c r="BU310">
        <v>0</v>
      </c>
      <c r="BV310" t="s">
        <v>134</v>
      </c>
      <c r="BX310" s="2" t="s">
        <v>16023</v>
      </c>
      <c r="BY310" t="s">
        <v>12443</v>
      </c>
      <c r="CA310" t="s">
        <v>12444</v>
      </c>
      <c r="CB310" t="s">
        <v>154</v>
      </c>
      <c r="CC310" s="4" t="str">
        <f>"33896"</f>
        <v>33896</v>
      </c>
      <c r="CD310" t="s">
        <v>3158</v>
      </c>
      <c r="CE310" t="s">
        <v>3159</v>
      </c>
      <c r="CF310" s="6">
        <v>15</v>
      </c>
      <c r="CH310" s="6">
        <v>22.5</v>
      </c>
      <c r="CJ310" t="s">
        <v>137</v>
      </c>
      <c r="CK310" t="s">
        <v>2095</v>
      </c>
      <c r="CL310" t="s">
        <v>16024</v>
      </c>
      <c r="CO310" t="s">
        <v>138</v>
      </c>
      <c r="CP310" t="s">
        <v>134</v>
      </c>
      <c r="CQ310" t="s">
        <v>134</v>
      </c>
      <c r="CR310" t="s">
        <v>114</v>
      </c>
      <c r="CS310" t="s">
        <v>114</v>
      </c>
      <c r="CT310" t="s">
        <v>114</v>
      </c>
      <c r="CU310" t="s">
        <v>114</v>
      </c>
      <c r="CV310" s="2" t="s">
        <v>16025</v>
      </c>
      <c r="CW310" s="5" t="str">
        <f>"+14073906664"</f>
        <v>+14073906664</v>
      </c>
      <c r="CX310" t="s">
        <v>138</v>
      </c>
      <c r="CY310" t="s">
        <v>16026</v>
      </c>
      <c r="CZ310" t="s">
        <v>139</v>
      </c>
      <c r="DA310" t="s">
        <v>134</v>
      </c>
      <c r="DB310" t="s">
        <v>134</v>
      </c>
      <c r="DC310" t="s">
        <v>114</v>
      </c>
      <c r="DD310" t="s">
        <v>134</v>
      </c>
    </row>
    <row r="311" spans="1:113" ht="15" customHeight="1" x14ac:dyDescent="0.25">
      <c r="A311" t="s">
        <v>12440</v>
      </c>
      <c r="B311" t="s">
        <v>165</v>
      </c>
      <c r="C311" s="1">
        <v>44883.422391666667</v>
      </c>
      <c r="D311" s="1">
        <v>44916</v>
      </c>
      <c r="E311" t="s">
        <v>134</v>
      </c>
      <c r="F311" t="s">
        <v>9157</v>
      </c>
      <c r="G311" t="str">
        <f>"37-2012.00"</f>
        <v>37-2012.00</v>
      </c>
      <c r="H311" t="s">
        <v>116</v>
      </c>
      <c r="I311">
        <v>25</v>
      </c>
      <c r="J311">
        <v>25</v>
      </c>
      <c r="K311" s="1">
        <v>44968</v>
      </c>
      <c r="L311" s="1">
        <v>45271</v>
      </c>
      <c r="M311" s="1">
        <v>44968</v>
      </c>
      <c r="N311" s="1">
        <v>45271</v>
      </c>
      <c r="O311" t="s">
        <v>117</v>
      </c>
      <c r="P311" t="s">
        <v>12441</v>
      </c>
      <c r="Q311" t="s">
        <v>12442</v>
      </c>
      <c r="R311" t="s">
        <v>12443</v>
      </c>
      <c r="T311" t="s">
        <v>12444</v>
      </c>
      <c r="U311" t="s">
        <v>154</v>
      </c>
      <c r="V311" s="4" t="str">
        <f>"33896"</f>
        <v>33896</v>
      </c>
      <c r="W311" t="s">
        <v>120</v>
      </c>
      <c r="Y311" s="5">
        <v>14073906664</v>
      </c>
      <c r="AA311">
        <v>72111</v>
      </c>
      <c r="AB311" t="s">
        <v>2911</v>
      </c>
      <c r="AC311" t="s">
        <v>12445</v>
      </c>
      <c r="AE311" t="s">
        <v>1915</v>
      </c>
      <c r="AF311" t="s">
        <v>12443</v>
      </c>
      <c r="AH311" t="s">
        <v>12444</v>
      </c>
      <c r="AI311" t="s">
        <v>154</v>
      </c>
      <c r="AJ311" s="4" t="str">
        <f>"33896"</f>
        <v>33896</v>
      </c>
      <c r="AK311" t="s">
        <v>120</v>
      </c>
      <c r="AM311" s="5">
        <v>14073906664</v>
      </c>
      <c r="AO311" t="s">
        <v>2094</v>
      </c>
      <c r="AP311" t="s">
        <v>256</v>
      </c>
      <c r="AQ311" t="s">
        <v>400</v>
      </c>
      <c r="AR311" t="s">
        <v>401</v>
      </c>
      <c r="AS311" t="s">
        <v>397</v>
      </c>
      <c r="AT311" t="s">
        <v>402</v>
      </c>
      <c r="AU311" t="s">
        <v>152</v>
      </c>
      <c r="AV311" t="s">
        <v>403</v>
      </c>
      <c r="AW311" t="s">
        <v>232</v>
      </c>
      <c r="AX311" s="4" t="str">
        <f>"75033"</f>
        <v>75033</v>
      </c>
      <c r="AY311" t="s">
        <v>120</v>
      </c>
      <c r="BA311" s="5">
        <v>19727789690</v>
      </c>
      <c r="BC311" t="s">
        <v>1503</v>
      </c>
      <c r="BD311" t="s">
        <v>405</v>
      </c>
      <c r="BG311" t="s">
        <v>154</v>
      </c>
      <c r="BH311" s="1">
        <v>44882.791666666664</v>
      </c>
      <c r="BI311">
        <v>40</v>
      </c>
      <c r="BJ311">
        <v>8</v>
      </c>
      <c r="BK311">
        <v>0</v>
      </c>
      <c r="BL311">
        <v>0</v>
      </c>
      <c r="BM311">
        <v>8</v>
      </c>
      <c r="BN311">
        <v>8</v>
      </c>
      <c r="BO311">
        <v>8</v>
      </c>
      <c r="BP311">
        <v>8</v>
      </c>
      <c r="BQ311" t="str">
        <f>"8:00 AM"</f>
        <v>8:00 AM</v>
      </c>
      <c r="BR311" t="str">
        <f>"4:30 PM"</f>
        <v>4:30 PM</v>
      </c>
      <c r="BS311" t="s">
        <v>133</v>
      </c>
      <c r="BT311">
        <v>0</v>
      </c>
      <c r="BU311">
        <v>0</v>
      </c>
      <c r="BV311" t="s">
        <v>134</v>
      </c>
      <c r="BX311" s="2" t="s">
        <v>12446</v>
      </c>
      <c r="BY311" t="s">
        <v>12443</v>
      </c>
      <c r="CA311" t="s">
        <v>12444</v>
      </c>
      <c r="CB311" t="s">
        <v>154</v>
      </c>
      <c r="CC311" s="4" t="str">
        <f>"33896"</f>
        <v>33896</v>
      </c>
      <c r="CD311" t="s">
        <v>3158</v>
      </c>
      <c r="CE311" t="s">
        <v>3159</v>
      </c>
      <c r="CF311" s="6">
        <v>14</v>
      </c>
      <c r="CH311" s="6">
        <v>21</v>
      </c>
      <c r="CJ311" t="s">
        <v>137</v>
      </c>
      <c r="CK311" t="s">
        <v>2095</v>
      </c>
      <c r="CL311" t="s">
        <v>12447</v>
      </c>
      <c r="CO311" t="s">
        <v>138</v>
      </c>
      <c r="CP311" t="s">
        <v>134</v>
      </c>
      <c r="CQ311" t="s">
        <v>134</v>
      </c>
      <c r="CR311" t="s">
        <v>114</v>
      </c>
      <c r="CS311" t="s">
        <v>114</v>
      </c>
      <c r="CT311" t="s">
        <v>114</v>
      </c>
      <c r="CU311" t="s">
        <v>114</v>
      </c>
      <c r="CV311" s="2" t="s">
        <v>12448</v>
      </c>
      <c r="CW311" s="5" t="str">
        <f>"+14073906664"</f>
        <v>+14073906664</v>
      </c>
      <c r="CX311" t="s">
        <v>138</v>
      </c>
      <c r="CY311" t="s">
        <v>1913</v>
      </c>
      <c r="CZ311" t="s">
        <v>139</v>
      </c>
      <c r="DA311" t="s">
        <v>134</v>
      </c>
      <c r="DB311" t="s">
        <v>134</v>
      </c>
      <c r="DC311" t="s">
        <v>114</v>
      </c>
      <c r="DD311" t="s">
        <v>134</v>
      </c>
    </row>
    <row r="312" spans="1:113" ht="15" customHeight="1" x14ac:dyDescent="0.25">
      <c r="A312" t="s">
        <v>7827</v>
      </c>
      <c r="B312" t="s">
        <v>165</v>
      </c>
      <c r="C312" s="1">
        <v>44882.507156944448</v>
      </c>
      <c r="D312" s="1">
        <v>44916</v>
      </c>
      <c r="E312" t="s">
        <v>134</v>
      </c>
      <c r="F312" t="s">
        <v>1057</v>
      </c>
      <c r="G312" t="str">
        <f>"37-3011.00"</f>
        <v>37-3011.00</v>
      </c>
      <c r="H312" t="s">
        <v>335</v>
      </c>
      <c r="I312">
        <v>3</v>
      </c>
      <c r="J312">
        <v>3</v>
      </c>
      <c r="K312" s="1">
        <v>44972</v>
      </c>
      <c r="L312" s="1">
        <v>45245</v>
      </c>
      <c r="M312" s="1">
        <v>44972</v>
      </c>
      <c r="N312" s="1">
        <v>45245</v>
      </c>
      <c r="O312" t="s">
        <v>117</v>
      </c>
      <c r="P312" t="s">
        <v>7828</v>
      </c>
      <c r="Q312" t="s">
        <v>7829</v>
      </c>
      <c r="R312" t="s">
        <v>7830</v>
      </c>
      <c r="T312" t="s">
        <v>7831</v>
      </c>
      <c r="U312" t="s">
        <v>232</v>
      </c>
      <c r="V312" s="4" t="str">
        <f>"75022"</f>
        <v>75022</v>
      </c>
      <c r="W312" t="s">
        <v>120</v>
      </c>
      <c r="Y312" s="5">
        <v>18174910929</v>
      </c>
      <c r="AA312">
        <v>56173</v>
      </c>
      <c r="AB312" t="s">
        <v>7832</v>
      </c>
      <c r="AC312" t="s">
        <v>2093</v>
      </c>
      <c r="AE312" t="s">
        <v>252</v>
      </c>
      <c r="AF312" t="s">
        <v>7830</v>
      </c>
      <c r="AH312" t="s">
        <v>7831</v>
      </c>
      <c r="AI312" t="s">
        <v>232</v>
      </c>
      <c r="AJ312" s="4" t="str">
        <f>"75022"</f>
        <v>75022</v>
      </c>
      <c r="AK312" t="s">
        <v>120</v>
      </c>
      <c r="AM312" s="5">
        <v>18174910929</v>
      </c>
      <c r="AO312" t="s">
        <v>7833</v>
      </c>
      <c r="AP312" t="s">
        <v>256</v>
      </c>
      <c r="AQ312" t="s">
        <v>885</v>
      </c>
      <c r="AR312" t="s">
        <v>886</v>
      </c>
      <c r="AT312" t="s">
        <v>887</v>
      </c>
      <c r="AV312" t="s">
        <v>888</v>
      </c>
      <c r="AW312" t="s">
        <v>232</v>
      </c>
      <c r="AX312" s="4" t="str">
        <f>"75098"</f>
        <v>75098</v>
      </c>
      <c r="AY312" t="s">
        <v>120</v>
      </c>
      <c r="BA312" s="5">
        <v>19724424244</v>
      </c>
      <c r="BC312" t="s">
        <v>889</v>
      </c>
      <c r="BD312" t="s">
        <v>1264</v>
      </c>
      <c r="BG312" t="s">
        <v>232</v>
      </c>
      <c r="BH312" s="1">
        <v>44881.791666666664</v>
      </c>
      <c r="BI312">
        <v>40</v>
      </c>
      <c r="BJ312">
        <v>0</v>
      </c>
      <c r="BK312">
        <v>8</v>
      </c>
      <c r="BL312">
        <v>8</v>
      </c>
      <c r="BM312">
        <v>8</v>
      </c>
      <c r="BN312">
        <v>8</v>
      </c>
      <c r="BO312">
        <v>8</v>
      </c>
      <c r="BP312">
        <v>0</v>
      </c>
      <c r="BQ312" t="str">
        <f>"7:00 AM"</f>
        <v>7:00 AM</v>
      </c>
      <c r="BR312" t="str">
        <f>"6:00 PM"</f>
        <v>6:00 PM</v>
      </c>
      <c r="BS312" t="s">
        <v>133</v>
      </c>
      <c r="BT312">
        <v>0</v>
      </c>
      <c r="BU312">
        <v>0</v>
      </c>
      <c r="BV312" t="s">
        <v>134</v>
      </c>
      <c r="BX312" t="s">
        <v>219</v>
      </c>
      <c r="BY312" t="s">
        <v>7830</v>
      </c>
      <c r="CA312" t="s">
        <v>7831</v>
      </c>
      <c r="CB312" t="s">
        <v>232</v>
      </c>
      <c r="CC312" s="4" t="str">
        <f>"75022"</f>
        <v>75022</v>
      </c>
      <c r="CD312" t="s">
        <v>2071</v>
      </c>
      <c r="CE312" t="s">
        <v>1528</v>
      </c>
      <c r="CF312" s="6">
        <v>16.3</v>
      </c>
      <c r="CG312" s="6">
        <v>18.489999999999998</v>
      </c>
      <c r="CH312" s="6">
        <v>24.45</v>
      </c>
      <c r="CI312" s="6">
        <v>27.74</v>
      </c>
      <c r="CJ312" t="s">
        <v>137</v>
      </c>
      <c r="CL312" t="s">
        <v>7834</v>
      </c>
      <c r="CO312" t="s">
        <v>138</v>
      </c>
      <c r="CP312" t="s">
        <v>114</v>
      </c>
      <c r="CQ312" t="s">
        <v>114</v>
      </c>
      <c r="CR312" t="s">
        <v>114</v>
      </c>
      <c r="CS312" t="s">
        <v>114</v>
      </c>
      <c r="CT312" t="s">
        <v>114</v>
      </c>
      <c r="CU312" t="s">
        <v>114</v>
      </c>
      <c r="CV312" t="s">
        <v>219</v>
      </c>
      <c r="CW312" s="5" t="str">
        <f>"+18174910929"</f>
        <v>+18174910929</v>
      </c>
      <c r="CX312" t="s">
        <v>138</v>
      </c>
      <c r="CY312" t="s">
        <v>2072</v>
      </c>
      <c r="CZ312" t="s">
        <v>139</v>
      </c>
      <c r="DA312" t="s">
        <v>134</v>
      </c>
      <c r="DB312" t="s">
        <v>134</v>
      </c>
      <c r="DC312" t="s">
        <v>114</v>
      </c>
      <c r="DD312" t="s">
        <v>134</v>
      </c>
    </row>
    <row r="313" spans="1:113" ht="15" customHeight="1" x14ac:dyDescent="0.25">
      <c r="A313" t="s">
        <v>14714</v>
      </c>
      <c r="B313" t="s">
        <v>165</v>
      </c>
      <c r="C313" s="1">
        <v>44874.521098032405</v>
      </c>
      <c r="D313" s="1">
        <v>44916</v>
      </c>
      <c r="E313" t="s">
        <v>134</v>
      </c>
      <c r="F313" t="s">
        <v>6173</v>
      </c>
      <c r="G313" t="str">
        <f>"51-9193.00"</f>
        <v>51-9193.00</v>
      </c>
      <c r="H313" t="s">
        <v>2627</v>
      </c>
      <c r="I313">
        <v>2</v>
      </c>
      <c r="J313">
        <v>2</v>
      </c>
      <c r="K313" s="1">
        <v>44958</v>
      </c>
      <c r="L313" s="1">
        <v>45199</v>
      </c>
      <c r="M313" s="1">
        <v>44958</v>
      </c>
      <c r="N313" s="1">
        <v>45199</v>
      </c>
      <c r="O313" t="s">
        <v>117</v>
      </c>
      <c r="P313" t="s">
        <v>818</v>
      </c>
      <c r="R313" t="s">
        <v>12001</v>
      </c>
      <c r="T313" t="s">
        <v>1635</v>
      </c>
      <c r="U313" t="s">
        <v>821</v>
      </c>
      <c r="V313" s="4" t="str">
        <f>"99835"</f>
        <v>99835</v>
      </c>
      <c r="W313" t="s">
        <v>120</v>
      </c>
      <c r="Y313" s="5">
        <v>12067269900</v>
      </c>
      <c r="AA313">
        <v>3117</v>
      </c>
      <c r="AB313" t="s">
        <v>822</v>
      </c>
      <c r="AC313" t="s">
        <v>823</v>
      </c>
      <c r="AD313" t="s">
        <v>138</v>
      </c>
      <c r="AE313" t="s">
        <v>824</v>
      </c>
      <c r="AF313" t="s">
        <v>12001</v>
      </c>
      <c r="AH313" t="s">
        <v>1635</v>
      </c>
      <c r="AI313" t="s">
        <v>821</v>
      </c>
      <c r="AJ313" s="4" t="str">
        <f>"99835"</f>
        <v>99835</v>
      </c>
      <c r="AK313" t="s">
        <v>120</v>
      </c>
      <c r="AM313" s="5">
        <v>12067269900</v>
      </c>
      <c r="AO313" t="s">
        <v>825</v>
      </c>
      <c r="AP313" t="s">
        <v>256</v>
      </c>
      <c r="AQ313" t="s">
        <v>826</v>
      </c>
      <c r="AR313" t="s">
        <v>827</v>
      </c>
      <c r="AS313" t="s">
        <v>138</v>
      </c>
      <c r="AT313" t="s">
        <v>346</v>
      </c>
      <c r="AU313" t="s">
        <v>347</v>
      </c>
      <c r="AV313" t="s">
        <v>828</v>
      </c>
      <c r="AW313" t="s">
        <v>349</v>
      </c>
      <c r="AX313" s="4" t="str">
        <f>"83814"</f>
        <v>83814</v>
      </c>
      <c r="AY313" t="s">
        <v>120</v>
      </c>
      <c r="BA313" s="5">
        <v>12087772654</v>
      </c>
      <c r="BC313" t="s">
        <v>829</v>
      </c>
      <c r="BD313" t="s">
        <v>351</v>
      </c>
      <c r="BG313" t="s">
        <v>821</v>
      </c>
      <c r="BH313" s="1">
        <v>44871.791666666664</v>
      </c>
      <c r="BI313">
        <v>35</v>
      </c>
      <c r="BJ313">
        <v>0</v>
      </c>
      <c r="BK313">
        <v>7</v>
      </c>
      <c r="BL313">
        <v>7</v>
      </c>
      <c r="BM313">
        <v>7</v>
      </c>
      <c r="BN313">
        <v>7</v>
      </c>
      <c r="BO313">
        <v>7</v>
      </c>
      <c r="BP313">
        <v>0</v>
      </c>
      <c r="BQ313" t="str">
        <f>"6:00 AM"</f>
        <v>6:00 AM</v>
      </c>
      <c r="BR313" t="str">
        <f>"11:00 PM"</f>
        <v>11:00 PM</v>
      </c>
      <c r="BS313" t="s">
        <v>133</v>
      </c>
      <c r="BT313">
        <v>0</v>
      </c>
      <c r="BU313">
        <v>12</v>
      </c>
      <c r="BV313" t="s">
        <v>134</v>
      </c>
      <c r="BX313" s="2" t="s">
        <v>11677</v>
      </c>
      <c r="BY313" t="s">
        <v>13873</v>
      </c>
      <c r="CA313" t="s">
        <v>1635</v>
      </c>
      <c r="CB313" t="s">
        <v>821</v>
      </c>
      <c r="CC313" s="4" t="str">
        <f>"99835"</f>
        <v>99835</v>
      </c>
      <c r="CD313" t="s">
        <v>1636</v>
      </c>
      <c r="CE313" t="s">
        <v>832</v>
      </c>
      <c r="CF313" s="6">
        <v>20.63</v>
      </c>
      <c r="CH313" s="6">
        <v>30.95</v>
      </c>
      <c r="CJ313" t="s">
        <v>137</v>
      </c>
      <c r="CK313" t="s">
        <v>138</v>
      </c>
      <c r="CL313" t="s">
        <v>13874</v>
      </c>
      <c r="CO313" t="s">
        <v>138</v>
      </c>
      <c r="CP313" t="s">
        <v>114</v>
      </c>
      <c r="CQ313" t="s">
        <v>114</v>
      </c>
      <c r="CR313" t="s">
        <v>114</v>
      </c>
      <c r="CS313" t="s">
        <v>114</v>
      </c>
      <c r="CT313" t="s">
        <v>114</v>
      </c>
      <c r="CU313" t="s">
        <v>114</v>
      </c>
      <c r="CV313" t="s">
        <v>6176</v>
      </c>
      <c r="CW313" s="5" t="str">
        <f>"+12067269900"</f>
        <v>+12067269900</v>
      </c>
      <c r="CX313" t="s">
        <v>825</v>
      </c>
      <c r="CY313" t="s">
        <v>138</v>
      </c>
      <c r="CZ313" t="s">
        <v>139</v>
      </c>
      <c r="DA313" t="s">
        <v>134</v>
      </c>
      <c r="DB313" t="s">
        <v>114</v>
      </c>
      <c r="DC313" t="s">
        <v>114</v>
      </c>
      <c r="DD313" t="s">
        <v>134</v>
      </c>
    </row>
    <row r="314" spans="1:113" ht="15" customHeight="1" x14ac:dyDescent="0.25">
      <c r="A314" t="s">
        <v>14720</v>
      </c>
      <c r="B314" t="s">
        <v>165</v>
      </c>
      <c r="C314" s="1">
        <v>44872.655999421295</v>
      </c>
      <c r="D314" s="1">
        <v>44916</v>
      </c>
      <c r="E314" t="s">
        <v>134</v>
      </c>
      <c r="F314" t="s">
        <v>2676</v>
      </c>
      <c r="G314" t="str">
        <f>"39-9011.00"</f>
        <v>39-9011.00</v>
      </c>
      <c r="H314" t="s">
        <v>2677</v>
      </c>
      <c r="I314">
        <v>1</v>
      </c>
      <c r="J314">
        <v>1</v>
      </c>
      <c r="K314" s="1">
        <v>44949</v>
      </c>
      <c r="L314" s="1">
        <v>46022</v>
      </c>
      <c r="M314" s="1">
        <v>44949</v>
      </c>
      <c r="N314" s="1">
        <v>46022</v>
      </c>
      <c r="O314" t="s">
        <v>168</v>
      </c>
      <c r="P314" t="s">
        <v>14721</v>
      </c>
      <c r="R314" t="s">
        <v>14722</v>
      </c>
      <c r="T314" t="s">
        <v>11399</v>
      </c>
      <c r="U314" t="s">
        <v>479</v>
      </c>
      <c r="V314" s="4" t="str">
        <f>"22193"</f>
        <v>22193</v>
      </c>
      <c r="W314" t="s">
        <v>120</v>
      </c>
      <c r="Y314" s="5">
        <v>17034009053</v>
      </c>
      <c r="AA314">
        <v>624410</v>
      </c>
      <c r="AB314" t="s">
        <v>14723</v>
      </c>
      <c r="AC314" t="s">
        <v>3492</v>
      </c>
      <c r="AE314" t="s">
        <v>14724</v>
      </c>
      <c r="AF314" t="s">
        <v>14722</v>
      </c>
      <c r="AH314" t="s">
        <v>11399</v>
      </c>
      <c r="AI314" t="s">
        <v>479</v>
      </c>
      <c r="AJ314" s="4" t="str">
        <f>"22193"</f>
        <v>22193</v>
      </c>
      <c r="AK314" t="s">
        <v>120</v>
      </c>
      <c r="AM314" s="5">
        <v>17034009053</v>
      </c>
      <c r="AO314" t="s">
        <v>14725</v>
      </c>
      <c r="AP314" t="s">
        <v>122</v>
      </c>
      <c r="AQ314" t="s">
        <v>14726</v>
      </c>
      <c r="AR314" t="s">
        <v>6959</v>
      </c>
      <c r="AT314" t="s">
        <v>14727</v>
      </c>
      <c r="AU314" t="s">
        <v>11735</v>
      </c>
      <c r="AV314" t="s">
        <v>2969</v>
      </c>
      <c r="AW314" t="s">
        <v>479</v>
      </c>
      <c r="AX314" s="4" t="str">
        <f>"22310"</f>
        <v>22310</v>
      </c>
      <c r="AY314" t="s">
        <v>120</v>
      </c>
      <c r="BA314" s="5">
        <v>15712558784</v>
      </c>
      <c r="BC314" t="s">
        <v>14728</v>
      </c>
      <c r="BD314" t="s">
        <v>14729</v>
      </c>
      <c r="BE314" t="s">
        <v>697</v>
      </c>
      <c r="BF314" t="s">
        <v>10566</v>
      </c>
      <c r="BG314" t="s">
        <v>479</v>
      </c>
      <c r="BH314" s="1">
        <v>44867.833333333336</v>
      </c>
      <c r="BI314">
        <v>40</v>
      </c>
      <c r="BJ314">
        <v>0</v>
      </c>
      <c r="BK314">
        <v>8</v>
      </c>
      <c r="BL314">
        <v>8</v>
      </c>
      <c r="BM314">
        <v>8</v>
      </c>
      <c r="BN314">
        <v>8</v>
      </c>
      <c r="BO314">
        <v>8</v>
      </c>
      <c r="BP314">
        <v>0</v>
      </c>
      <c r="BQ314" t="str">
        <f>"9:00 AM"</f>
        <v>9:00 AM</v>
      </c>
      <c r="BR314" t="str">
        <f>"5:00 PM"</f>
        <v>5:00 PM</v>
      </c>
      <c r="BS314" t="s">
        <v>295</v>
      </c>
      <c r="BT314">
        <v>0</v>
      </c>
      <c r="BU314">
        <v>12</v>
      </c>
      <c r="BV314" t="s">
        <v>134</v>
      </c>
      <c r="BX314" s="2" t="s">
        <v>14730</v>
      </c>
      <c r="BY314" t="s">
        <v>14722</v>
      </c>
      <c r="CA314" t="s">
        <v>11399</v>
      </c>
      <c r="CB314" t="s">
        <v>479</v>
      </c>
      <c r="CC314" s="4" t="str">
        <f>"22193"</f>
        <v>22193</v>
      </c>
      <c r="CD314" t="s">
        <v>7895</v>
      </c>
      <c r="CE314" t="s">
        <v>355</v>
      </c>
      <c r="CF314" s="6">
        <v>16.010000000000002</v>
      </c>
      <c r="CG314" s="6">
        <v>17</v>
      </c>
      <c r="CH314" s="6">
        <v>24.02</v>
      </c>
      <c r="CI314" s="6">
        <v>25.5</v>
      </c>
      <c r="CJ314" t="s">
        <v>137</v>
      </c>
      <c r="CL314" t="s">
        <v>14731</v>
      </c>
      <c r="CO314" t="s">
        <v>138</v>
      </c>
      <c r="CP314" t="s">
        <v>134</v>
      </c>
      <c r="CQ314" t="s">
        <v>134</v>
      </c>
      <c r="CR314" t="s">
        <v>114</v>
      </c>
      <c r="CS314" t="s">
        <v>134</v>
      </c>
      <c r="CT314" t="s">
        <v>114</v>
      </c>
      <c r="CU314" t="s">
        <v>114</v>
      </c>
      <c r="CV314" t="s">
        <v>14732</v>
      </c>
      <c r="CW314" s="5" t="str">
        <f>"+17034009053"</f>
        <v>+17034009053</v>
      </c>
      <c r="CX314" t="s">
        <v>14733</v>
      </c>
      <c r="CY314" t="s">
        <v>138</v>
      </c>
      <c r="CZ314" t="s">
        <v>139</v>
      </c>
      <c r="DA314" t="s">
        <v>134</v>
      </c>
      <c r="DB314" t="s">
        <v>134</v>
      </c>
      <c r="DC314" t="s">
        <v>114</v>
      </c>
      <c r="DD314" t="s">
        <v>134</v>
      </c>
      <c r="DE314" t="s">
        <v>14726</v>
      </c>
      <c r="DF314" t="s">
        <v>6959</v>
      </c>
      <c r="DH314" t="s">
        <v>14734</v>
      </c>
      <c r="DI314" t="s">
        <v>14728</v>
      </c>
    </row>
    <row r="315" spans="1:113" ht="15" customHeight="1" x14ac:dyDescent="0.25">
      <c r="A315" t="s">
        <v>14019</v>
      </c>
      <c r="B315" t="s">
        <v>165</v>
      </c>
      <c r="C315" s="1">
        <v>44872.638644675928</v>
      </c>
      <c r="D315" s="1">
        <v>44916</v>
      </c>
      <c r="E315" t="s">
        <v>134</v>
      </c>
      <c r="F315" t="s">
        <v>817</v>
      </c>
      <c r="G315" t="str">
        <f>"51-3022.00"</f>
        <v>51-3022.00</v>
      </c>
      <c r="H315" t="s">
        <v>817</v>
      </c>
      <c r="I315">
        <v>70</v>
      </c>
      <c r="J315">
        <v>70</v>
      </c>
      <c r="K315" s="1">
        <v>44958</v>
      </c>
      <c r="L315" s="1">
        <v>45199</v>
      </c>
      <c r="M315" s="1">
        <v>44958</v>
      </c>
      <c r="N315" s="1">
        <v>45199</v>
      </c>
      <c r="O315" t="s">
        <v>117</v>
      </c>
      <c r="P315" t="s">
        <v>818</v>
      </c>
      <c r="R315" t="s">
        <v>12001</v>
      </c>
      <c r="T315" t="s">
        <v>1635</v>
      </c>
      <c r="U315" t="s">
        <v>821</v>
      </c>
      <c r="V315" s="4" t="str">
        <f>"99835"</f>
        <v>99835</v>
      </c>
      <c r="W315" t="s">
        <v>120</v>
      </c>
      <c r="Y315" s="5">
        <v>12067269900</v>
      </c>
      <c r="AA315">
        <v>31171</v>
      </c>
      <c r="AB315" t="s">
        <v>822</v>
      </c>
      <c r="AC315" t="s">
        <v>823</v>
      </c>
      <c r="AD315" t="s">
        <v>138</v>
      </c>
      <c r="AE315" t="s">
        <v>824</v>
      </c>
      <c r="AF315" t="s">
        <v>12001</v>
      </c>
      <c r="AH315" t="s">
        <v>1635</v>
      </c>
      <c r="AI315" t="s">
        <v>821</v>
      </c>
      <c r="AJ315" s="4" t="str">
        <f>"99835"</f>
        <v>99835</v>
      </c>
      <c r="AK315" t="s">
        <v>120</v>
      </c>
      <c r="AM315" s="5">
        <v>12067269900</v>
      </c>
      <c r="AO315" t="s">
        <v>825</v>
      </c>
      <c r="AP315" t="s">
        <v>256</v>
      </c>
      <c r="AQ315" t="s">
        <v>826</v>
      </c>
      <c r="AR315" t="s">
        <v>827</v>
      </c>
      <c r="AS315" t="s">
        <v>138</v>
      </c>
      <c r="AT315" t="s">
        <v>346</v>
      </c>
      <c r="AU315" t="s">
        <v>347</v>
      </c>
      <c r="AV315" t="s">
        <v>828</v>
      </c>
      <c r="AW315" t="s">
        <v>349</v>
      </c>
      <c r="AX315" s="4" t="str">
        <f>"83814"</f>
        <v>83814</v>
      </c>
      <c r="AY315" t="s">
        <v>120</v>
      </c>
      <c r="BA315" s="5">
        <v>12087772654</v>
      </c>
      <c r="BC315" t="s">
        <v>829</v>
      </c>
      <c r="BD315" t="s">
        <v>351</v>
      </c>
      <c r="BG315" t="s">
        <v>821</v>
      </c>
      <c r="BH315" s="1">
        <v>44871.791666666664</v>
      </c>
      <c r="BI315">
        <v>35</v>
      </c>
      <c r="BJ315">
        <v>0</v>
      </c>
      <c r="BK315">
        <v>7</v>
      </c>
      <c r="BL315">
        <v>7</v>
      </c>
      <c r="BM315">
        <v>7</v>
      </c>
      <c r="BN315">
        <v>7</v>
      </c>
      <c r="BO315">
        <v>7</v>
      </c>
      <c r="BP315">
        <v>0</v>
      </c>
      <c r="BQ315" t="str">
        <f>"6:00 AM"</f>
        <v>6:00 AM</v>
      </c>
      <c r="BR315" t="str">
        <f>"11:00 PM"</f>
        <v>11:00 PM</v>
      </c>
      <c r="BS315" t="s">
        <v>133</v>
      </c>
      <c r="BT315">
        <v>0</v>
      </c>
      <c r="BU315">
        <v>0</v>
      </c>
      <c r="BV315" t="s">
        <v>134</v>
      </c>
      <c r="BX315" s="2" t="s">
        <v>11677</v>
      </c>
      <c r="BY315" t="s">
        <v>12001</v>
      </c>
      <c r="CA315" t="s">
        <v>1635</v>
      </c>
      <c r="CB315" t="s">
        <v>821</v>
      </c>
      <c r="CC315" s="4" t="str">
        <f>"99835"</f>
        <v>99835</v>
      </c>
      <c r="CD315" t="s">
        <v>1636</v>
      </c>
      <c r="CE315" t="s">
        <v>832</v>
      </c>
      <c r="CF315" s="6">
        <v>18.059999999999999</v>
      </c>
      <c r="CH315" s="6">
        <v>27.09</v>
      </c>
      <c r="CJ315" t="s">
        <v>137</v>
      </c>
      <c r="CK315" t="s">
        <v>138</v>
      </c>
      <c r="CL315" t="s">
        <v>14020</v>
      </c>
      <c r="CO315" t="s">
        <v>138</v>
      </c>
      <c r="CP315" t="s">
        <v>114</v>
      </c>
      <c r="CQ315" t="s">
        <v>114</v>
      </c>
      <c r="CR315" t="s">
        <v>114</v>
      </c>
      <c r="CS315" t="s">
        <v>114</v>
      </c>
      <c r="CT315" t="s">
        <v>114</v>
      </c>
      <c r="CU315" t="s">
        <v>114</v>
      </c>
      <c r="CV315" t="s">
        <v>6176</v>
      </c>
      <c r="CW315" s="5" t="str">
        <f>"+12067269900"</f>
        <v>+12067269900</v>
      </c>
      <c r="CX315" t="s">
        <v>825</v>
      </c>
      <c r="CY315" t="s">
        <v>138</v>
      </c>
      <c r="CZ315" t="s">
        <v>139</v>
      </c>
      <c r="DA315" t="s">
        <v>134</v>
      </c>
      <c r="DB315" t="s">
        <v>114</v>
      </c>
      <c r="DC315" t="s">
        <v>114</v>
      </c>
      <c r="DD315" t="s">
        <v>134</v>
      </c>
    </row>
    <row r="316" spans="1:113" ht="15" customHeight="1" x14ac:dyDescent="0.25">
      <c r="A316" t="s">
        <v>16658</v>
      </c>
      <c r="B316" t="s">
        <v>165</v>
      </c>
      <c r="C316" s="1">
        <v>44859.620198263889</v>
      </c>
      <c r="D316" s="1">
        <v>44916</v>
      </c>
      <c r="E316" t="s">
        <v>114</v>
      </c>
      <c r="F316" t="s">
        <v>16659</v>
      </c>
      <c r="G316" t="str">
        <f>"51-3092.00"</f>
        <v>51-3092.00</v>
      </c>
      <c r="H316" t="s">
        <v>2816</v>
      </c>
      <c r="I316">
        <v>1</v>
      </c>
      <c r="J316">
        <v>1</v>
      </c>
      <c r="K316" s="1">
        <v>44946</v>
      </c>
      <c r="L316" s="1">
        <v>45199</v>
      </c>
      <c r="M316" s="1">
        <v>44946</v>
      </c>
      <c r="N316" s="1">
        <v>45199</v>
      </c>
      <c r="O316" t="s">
        <v>199</v>
      </c>
      <c r="P316" t="s">
        <v>10978</v>
      </c>
      <c r="R316" t="s">
        <v>10979</v>
      </c>
      <c r="S316" t="s">
        <v>2709</v>
      </c>
      <c r="T316" t="s">
        <v>1632</v>
      </c>
      <c r="U316" t="s">
        <v>792</v>
      </c>
      <c r="V316" s="4" t="str">
        <f>"98109"</f>
        <v>98109</v>
      </c>
      <c r="W316" t="s">
        <v>120</v>
      </c>
      <c r="Y316" s="5">
        <v>12067269900</v>
      </c>
      <c r="AA316">
        <v>311710</v>
      </c>
      <c r="AB316" t="s">
        <v>1481</v>
      </c>
      <c r="AC316" t="s">
        <v>10980</v>
      </c>
      <c r="AD316" t="s">
        <v>10981</v>
      </c>
      <c r="AE316" t="s">
        <v>10982</v>
      </c>
      <c r="AF316" t="s">
        <v>10979</v>
      </c>
      <c r="AG316" t="s">
        <v>2709</v>
      </c>
      <c r="AH316" t="s">
        <v>1632</v>
      </c>
      <c r="AI316" t="s">
        <v>792</v>
      </c>
      <c r="AJ316" s="4" t="str">
        <f>"98109"</f>
        <v>98109</v>
      </c>
      <c r="AK316" t="s">
        <v>120</v>
      </c>
      <c r="AM316" s="5">
        <v>12068124238</v>
      </c>
      <c r="AO316" t="s">
        <v>10983</v>
      </c>
      <c r="AP316" t="s">
        <v>122</v>
      </c>
      <c r="AQ316" t="s">
        <v>10984</v>
      </c>
      <c r="AR316" t="s">
        <v>10985</v>
      </c>
      <c r="AT316" t="s">
        <v>10986</v>
      </c>
      <c r="AU316" t="s">
        <v>10987</v>
      </c>
      <c r="AV316" t="s">
        <v>10988</v>
      </c>
      <c r="AW316" t="s">
        <v>792</v>
      </c>
      <c r="AX316" s="4" t="str">
        <f>"98043"</f>
        <v>98043</v>
      </c>
      <c r="AY316" t="s">
        <v>120</v>
      </c>
      <c r="BA316" s="5">
        <v>12064305108</v>
      </c>
      <c r="BB316">
        <v>10</v>
      </c>
      <c r="BC316" t="s">
        <v>10989</v>
      </c>
      <c r="BD316" t="s">
        <v>10990</v>
      </c>
      <c r="BE316" t="s">
        <v>792</v>
      </c>
      <c r="BF316" t="s">
        <v>322</v>
      </c>
      <c r="BG316" t="s">
        <v>821</v>
      </c>
      <c r="BH316" s="1">
        <v>44858.833333333336</v>
      </c>
      <c r="BI316">
        <v>80</v>
      </c>
      <c r="BJ316">
        <v>10</v>
      </c>
      <c r="BK316">
        <v>12</v>
      </c>
      <c r="BL316">
        <v>12</v>
      </c>
      <c r="BM316">
        <v>12</v>
      </c>
      <c r="BN316">
        <v>12</v>
      </c>
      <c r="BO316">
        <v>12</v>
      </c>
      <c r="BP316">
        <v>10</v>
      </c>
      <c r="BQ316" t="str">
        <f>"9:00 AM"</f>
        <v>9:00 AM</v>
      </c>
      <c r="BR316" t="str">
        <f>"11:00 PM"</f>
        <v>11:00 PM</v>
      </c>
      <c r="BS316" t="s">
        <v>133</v>
      </c>
      <c r="BT316">
        <v>0</v>
      </c>
      <c r="BU316">
        <v>24</v>
      </c>
      <c r="BV316" t="s">
        <v>134</v>
      </c>
      <c r="BX316" s="2" t="s">
        <v>16660</v>
      </c>
      <c r="BY316" t="s">
        <v>10991</v>
      </c>
      <c r="CA316" t="s">
        <v>820</v>
      </c>
      <c r="CB316" t="s">
        <v>821</v>
      </c>
      <c r="CC316" s="4" t="str">
        <f>"99615"</f>
        <v>99615</v>
      </c>
      <c r="CD316" t="s">
        <v>831</v>
      </c>
      <c r="CE316" t="s">
        <v>832</v>
      </c>
      <c r="CF316" s="6">
        <v>23.99</v>
      </c>
      <c r="CG316" s="6">
        <v>37</v>
      </c>
      <c r="CH316" s="6">
        <v>35.99</v>
      </c>
      <c r="CI316" s="6">
        <v>55.5</v>
      </c>
      <c r="CJ316" t="s">
        <v>137</v>
      </c>
      <c r="CK316" t="s">
        <v>10992</v>
      </c>
      <c r="CL316" t="s">
        <v>16661</v>
      </c>
      <c r="CO316" t="s">
        <v>138</v>
      </c>
      <c r="CP316" t="s">
        <v>114</v>
      </c>
      <c r="CQ316" t="s">
        <v>134</v>
      </c>
      <c r="CR316" t="s">
        <v>114</v>
      </c>
      <c r="CS316" t="s">
        <v>134</v>
      </c>
      <c r="CT316" t="s">
        <v>114</v>
      </c>
      <c r="CU316" t="s">
        <v>114</v>
      </c>
      <c r="CV316" s="2" t="s">
        <v>16662</v>
      </c>
      <c r="CW316" s="5" t="str">
        <f>"+12068124238"</f>
        <v>+12068124238</v>
      </c>
      <c r="CX316" t="s">
        <v>10983</v>
      </c>
      <c r="CY316" t="s">
        <v>10993</v>
      </c>
      <c r="CZ316" t="s">
        <v>139</v>
      </c>
      <c r="DA316" t="s">
        <v>134</v>
      </c>
      <c r="DB316" t="s">
        <v>134</v>
      </c>
      <c r="DC316" t="s">
        <v>114</v>
      </c>
      <c r="DD316" t="s">
        <v>134</v>
      </c>
    </row>
    <row r="317" spans="1:113" ht="15" customHeight="1" x14ac:dyDescent="0.25">
      <c r="A317" t="s">
        <v>9877</v>
      </c>
      <c r="B317" t="s">
        <v>165</v>
      </c>
      <c r="C317" s="1">
        <v>44846.48344074074</v>
      </c>
      <c r="D317" s="1">
        <v>44916</v>
      </c>
      <c r="E317" t="s">
        <v>134</v>
      </c>
      <c r="F317" t="s">
        <v>2320</v>
      </c>
      <c r="G317" t="str">
        <f>"51-3022.00"</f>
        <v>51-3022.00</v>
      </c>
      <c r="H317" t="s">
        <v>817</v>
      </c>
      <c r="I317">
        <v>3</v>
      </c>
      <c r="J317">
        <v>3</v>
      </c>
      <c r="K317" s="1">
        <v>44921</v>
      </c>
      <c r="L317" s="1">
        <v>45036</v>
      </c>
      <c r="M317" s="1">
        <v>44921</v>
      </c>
      <c r="N317" s="1">
        <v>45036</v>
      </c>
      <c r="O317" t="s">
        <v>199</v>
      </c>
      <c r="P317" t="s">
        <v>9878</v>
      </c>
      <c r="R317" t="s">
        <v>9879</v>
      </c>
      <c r="T317" t="s">
        <v>9880</v>
      </c>
      <c r="U317" t="s">
        <v>154</v>
      </c>
      <c r="V317" s="4" t="str">
        <f>"33960"</f>
        <v>33960</v>
      </c>
      <c r="W317" t="s">
        <v>120</v>
      </c>
      <c r="Y317" s="5">
        <v>18636343262</v>
      </c>
      <c r="AA317">
        <v>114210</v>
      </c>
      <c r="AB317" t="s">
        <v>9881</v>
      </c>
      <c r="AC317" t="s">
        <v>2249</v>
      </c>
      <c r="AE317" t="s">
        <v>424</v>
      </c>
      <c r="AF317" t="s">
        <v>9879</v>
      </c>
      <c r="AH317" t="s">
        <v>9880</v>
      </c>
      <c r="AI317" t="s">
        <v>154</v>
      </c>
      <c r="AJ317" s="4" t="str">
        <f>"33960"</f>
        <v>33960</v>
      </c>
      <c r="AK317" t="s">
        <v>120</v>
      </c>
      <c r="AM317" s="5">
        <v>18636343262</v>
      </c>
      <c r="AO317" t="s">
        <v>9882</v>
      </c>
      <c r="AP317" t="s">
        <v>122</v>
      </c>
      <c r="AQ317" t="s">
        <v>725</v>
      </c>
      <c r="AR317" t="s">
        <v>726</v>
      </c>
      <c r="AS317" t="s">
        <v>727</v>
      </c>
      <c r="AT317" t="s">
        <v>9883</v>
      </c>
      <c r="AU317" t="s">
        <v>1808</v>
      </c>
      <c r="AV317" t="s">
        <v>730</v>
      </c>
      <c r="AW317" t="s">
        <v>214</v>
      </c>
      <c r="AX317" s="4" t="str">
        <f>"70535"</f>
        <v>70535</v>
      </c>
      <c r="AY317" t="s">
        <v>120</v>
      </c>
      <c r="BA317" s="5">
        <v>13374663722</v>
      </c>
      <c r="BC317" t="s">
        <v>731</v>
      </c>
      <c r="BD317" t="s">
        <v>732</v>
      </c>
      <c r="BE317" t="s">
        <v>214</v>
      </c>
      <c r="BF317" t="s">
        <v>733</v>
      </c>
      <c r="BG317" t="s">
        <v>154</v>
      </c>
      <c r="BH317" s="1">
        <v>44845.833333333336</v>
      </c>
      <c r="BI317">
        <v>40</v>
      </c>
      <c r="BJ317">
        <v>0</v>
      </c>
      <c r="BK317">
        <v>8</v>
      </c>
      <c r="BL317">
        <v>8</v>
      </c>
      <c r="BM317">
        <v>8</v>
      </c>
      <c r="BN317">
        <v>8</v>
      </c>
      <c r="BO317">
        <v>8</v>
      </c>
      <c r="BP317">
        <v>0</v>
      </c>
      <c r="BQ317" t="str">
        <f>"7:00 AM"</f>
        <v>7:00 AM</v>
      </c>
      <c r="BR317" t="str">
        <f>"4:00 PM"</f>
        <v>4:00 PM</v>
      </c>
      <c r="BS317" t="s">
        <v>133</v>
      </c>
      <c r="BT317">
        <v>0</v>
      </c>
      <c r="BU317">
        <v>0</v>
      </c>
      <c r="BV317" t="s">
        <v>134</v>
      </c>
      <c r="BX317" t="s">
        <v>2154</v>
      </c>
      <c r="BY317" t="s">
        <v>9879</v>
      </c>
      <c r="CA317" t="s">
        <v>9880</v>
      </c>
      <c r="CB317" t="s">
        <v>154</v>
      </c>
      <c r="CC317" s="4" t="str">
        <f>"33960"</f>
        <v>33960</v>
      </c>
      <c r="CD317" t="s">
        <v>1051</v>
      </c>
      <c r="CE317" t="s">
        <v>1052</v>
      </c>
      <c r="CF317" s="6">
        <v>16.34</v>
      </c>
      <c r="CG317" s="6">
        <v>16.34</v>
      </c>
      <c r="CH317" s="6">
        <v>24.51</v>
      </c>
      <c r="CI317" s="6">
        <v>24.51</v>
      </c>
      <c r="CJ317" t="s">
        <v>137</v>
      </c>
      <c r="CK317" t="s">
        <v>9884</v>
      </c>
      <c r="CL317" t="s">
        <v>9885</v>
      </c>
      <c r="CO317" t="s">
        <v>138</v>
      </c>
      <c r="CP317" t="s">
        <v>114</v>
      </c>
      <c r="CQ317" t="s">
        <v>114</v>
      </c>
      <c r="CR317" t="s">
        <v>114</v>
      </c>
      <c r="CS317" t="s">
        <v>114</v>
      </c>
      <c r="CT317" t="s">
        <v>114</v>
      </c>
      <c r="CU317" t="s">
        <v>114</v>
      </c>
      <c r="CV317" t="s">
        <v>9886</v>
      </c>
      <c r="CW317" s="5" t="str">
        <f>"+18636343262"</f>
        <v>+18636343262</v>
      </c>
      <c r="CX317" t="s">
        <v>9882</v>
      </c>
      <c r="CY317" t="s">
        <v>138</v>
      </c>
      <c r="CZ317" t="s">
        <v>139</v>
      </c>
      <c r="DA317" t="s">
        <v>134</v>
      </c>
      <c r="DB317" t="s">
        <v>134</v>
      </c>
      <c r="DC317" t="s">
        <v>114</v>
      </c>
      <c r="DD317" t="s">
        <v>134</v>
      </c>
    </row>
    <row r="318" spans="1:113" ht="15" customHeight="1" x14ac:dyDescent="0.25">
      <c r="A318" t="s">
        <v>14704</v>
      </c>
      <c r="B318" t="s">
        <v>165</v>
      </c>
      <c r="C318" s="1">
        <v>44896.431311574073</v>
      </c>
      <c r="D318" s="1">
        <v>44915</v>
      </c>
      <c r="E318" t="s">
        <v>134</v>
      </c>
      <c r="F318" t="s">
        <v>4392</v>
      </c>
      <c r="G318" t="str">
        <f>"37-3011.00"</f>
        <v>37-3011.00</v>
      </c>
      <c r="H318" t="s">
        <v>335</v>
      </c>
      <c r="I318">
        <v>10</v>
      </c>
      <c r="J318">
        <v>10</v>
      </c>
      <c r="K318" s="1">
        <v>44986</v>
      </c>
      <c r="L318" s="1">
        <v>45260</v>
      </c>
      <c r="M318" s="1">
        <v>44986</v>
      </c>
      <c r="N318" s="1">
        <v>45260</v>
      </c>
      <c r="O318" t="s">
        <v>117</v>
      </c>
      <c r="P318" t="s">
        <v>2530</v>
      </c>
      <c r="R318" t="s">
        <v>2531</v>
      </c>
      <c r="T318" t="s">
        <v>2532</v>
      </c>
      <c r="U318" t="s">
        <v>214</v>
      </c>
      <c r="V318" s="4" t="str">
        <f>"70087"</f>
        <v>70087</v>
      </c>
      <c r="W318" t="s">
        <v>120</v>
      </c>
      <c r="Y318" s="5">
        <v>15042756617</v>
      </c>
      <c r="AA318">
        <v>56173</v>
      </c>
      <c r="AB318" t="s">
        <v>2533</v>
      </c>
      <c r="AC318" t="s">
        <v>2534</v>
      </c>
      <c r="AE318" t="s">
        <v>342</v>
      </c>
      <c r="AF318" t="s">
        <v>2531</v>
      </c>
      <c r="AH318" t="s">
        <v>2532</v>
      </c>
      <c r="AI318" t="s">
        <v>214</v>
      </c>
      <c r="AJ318" s="4" t="str">
        <f>"70087"</f>
        <v>70087</v>
      </c>
      <c r="AK318" t="s">
        <v>120</v>
      </c>
      <c r="AM318" s="5">
        <v>15042756617</v>
      </c>
      <c r="AO318" t="s">
        <v>2535</v>
      </c>
      <c r="AP318" t="s">
        <v>256</v>
      </c>
      <c r="AQ318" t="s">
        <v>2435</v>
      </c>
      <c r="AR318" t="s">
        <v>2436</v>
      </c>
      <c r="AT318" t="s">
        <v>477</v>
      </c>
      <c r="AV318" t="s">
        <v>478</v>
      </c>
      <c r="AW318" t="s">
        <v>479</v>
      </c>
      <c r="AX318" s="4" t="str">
        <f>"22903"</f>
        <v>22903</v>
      </c>
      <c r="AY318" t="s">
        <v>120</v>
      </c>
      <c r="BA318" s="5">
        <v>14342634300</v>
      </c>
      <c r="BC318" t="s">
        <v>2437</v>
      </c>
      <c r="BD318" t="s">
        <v>481</v>
      </c>
      <c r="BG318" t="s">
        <v>214</v>
      </c>
      <c r="BH318" s="1">
        <v>44895.791666666664</v>
      </c>
      <c r="BI318">
        <v>46.25</v>
      </c>
      <c r="BJ318">
        <v>0</v>
      </c>
      <c r="BK318">
        <v>9.25</v>
      </c>
      <c r="BL318">
        <v>9.25</v>
      </c>
      <c r="BM318">
        <v>9.25</v>
      </c>
      <c r="BN318">
        <v>9.25</v>
      </c>
      <c r="BO318">
        <v>9.25</v>
      </c>
      <c r="BP318">
        <v>0</v>
      </c>
      <c r="BQ318" t="str">
        <f>"6:15 AM"</f>
        <v>6:15 AM</v>
      </c>
      <c r="BR318" t="str">
        <f>"4:00 PM"</f>
        <v>4:00 PM</v>
      </c>
      <c r="BS318" t="s">
        <v>133</v>
      </c>
      <c r="BT318">
        <v>0</v>
      </c>
      <c r="BU318">
        <v>0</v>
      </c>
      <c r="BV318" t="s">
        <v>134</v>
      </c>
      <c r="BX318" s="2" t="s">
        <v>2536</v>
      </c>
      <c r="BY318" t="s">
        <v>14705</v>
      </c>
      <c r="CA318" t="s">
        <v>2252</v>
      </c>
      <c r="CB318" t="s">
        <v>214</v>
      </c>
      <c r="CC318" s="4" t="str">
        <f>"70807"</f>
        <v>70807</v>
      </c>
      <c r="CD318" t="s">
        <v>2247</v>
      </c>
      <c r="CE318" t="s">
        <v>737</v>
      </c>
      <c r="CF318" s="6">
        <v>14.87</v>
      </c>
      <c r="CH318" s="6">
        <v>22.31</v>
      </c>
      <c r="CJ318" t="s">
        <v>137</v>
      </c>
      <c r="CK318" t="s">
        <v>487</v>
      </c>
      <c r="CL318" t="s">
        <v>14706</v>
      </c>
      <c r="CO318" t="s">
        <v>138</v>
      </c>
      <c r="CP318" t="s">
        <v>114</v>
      </c>
      <c r="CQ318" t="s">
        <v>134</v>
      </c>
      <c r="CR318" t="s">
        <v>114</v>
      </c>
      <c r="CS318" t="s">
        <v>134</v>
      </c>
      <c r="CT318" t="s">
        <v>114</v>
      </c>
      <c r="CU318" t="s">
        <v>114</v>
      </c>
      <c r="CV318" t="s">
        <v>14707</v>
      </c>
      <c r="CW318" s="5" t="str">
        <f>"N/A"</f>
        <v>N/A</v>
      </c>
      <c r="CX318" t="s">
        <v>2535</v>
      </c>
      <c r="CY318" t="s">
        <v>2539</v>
      </c>
      <c r="CZ318" t="s">
        <v>139</v>
      </c>
      <c r="DA318" t="s">
        <v>134</v>
      </c>
      <c r="DB318" t="s">
        <v>114</v>
      </c>
      <c r="DC318" t="s">
        <v>114</v>
      </c>
      <c r="DD318" t="s">
        <v>134</v>
      </c>
      <c r="DE318" t="s">
        <v>2129</v>
      </c>
      <c r="DF318" t="s">
        <v>2130</v>
      </c>
      <c r="DG318" t="s">
        <v>2540</v>
      </c>
      <c r="DH318" t="s">
        <v>481</v>
      </c>
      <c r="DI318" t="s">
        <v>2437</v>
      </c>
    </row>
    <row r="319" spans="1:113" ht="15" customHeight="1" x14ac:dyDescent="0.25">
      <c r="A319" t="s">
        <v>16016</v>
      </c>
      <c r="B319" t="s">
        <v>165</v>
      </c>
      <c r="C319" s="1">
        <v>44890.498361805556</v>
      </c>
      <c r="D319" s="1">
        <v>44915</v>
      </c>
      <c r="E319" t="s">
        <v>134</v>
      </c>
      <c r="F319" t="s">
        <v>16017</v>
      </c>
      <c r="G319" t="str">
        <f>"47-3012.00"</f>
        <v>47-3012.00</v>
      </c>
      <c r="H319" t="s">
        <v>2563</v>
      </c>
      <c r="I319">
        <v>8</v>
      </c>
      <c r="J319">
        <v>8</v>
      </c>
      <c r="K319" s="1">
        <v>44974</v>
      </c>
      <c r="L319" s="1">
        <v>45246</v>
      </c>
      <c r="M319" s="1">
        <v>44974</v>
      </c>
      <c r="N319" s="1">
        <v>45246</v>
      </c>
      <c r="O319" t="s">
        <v>117</v>
      </c>
      <c r="P319" t="s">
        <v>16018</v>
      </c>
      <c r="R319" t="s">
        <v>16019</v>
      </c>
      <c r="T319" t="s">
        <v>1630</v>
      </c>
      <c r="U319" t="s">
        <v>232</v>
      </c>
      <c r="V319" s="4" t="str">
        <f>"75401"</f>
        <v>75401</v>
      </c>
      <c r="W319" t="s">
        <v>120</v>
      </c>
      <c r="Y319" s="5">
        <v>19034557734</v>
      </c>
      <c r="AA319">
        <v>3371</v>
      </c>
      <c r="AB319" t="s">
        <v>1696</v>
      </c>
      <c r="AC319" t="s">
        <v>2376</v>
      </c>
      <c r="AE319" t="s">
        <v>342</v>
      </c>
      <c r="AF319" t="s">
        <v>16020</v>
      </c>
      <c r="AH319" t="s">
        <v>1630</v>
      </c>
      <c r="AI319" t="s">
        <v>232</v>
      </c>
      <c r="AJ319" s="4" t="str">
        <f>"75401"</f>
        <v>75401</v>
      </c>
      <c r="AK319" t="s">
        <v>120</v>
      </c>
      <c r="AM319" s="5">
        <v>19034557734</v>
      </c>
      <c r="AO319" t="s">
        <v>138</v>
      </c>
      <c r="AP319" t="s">
        <v>256</v>
      </c>
      <c r="AQ319" t="s">
        <v>4076</v>
      </c>
      <c r="AR319" t="s">
        <v>726</v>
      </c>
      <c r="AT319" t="s">
        <v>4115</v>
      </c>
      <c r="AV319" t="s">
        <v>4116</v>
      </c>
      <c r="AW319" t="s">
        <v>232</v>
      </c>
      <c r="AX319" s="4" t="str">
        <f>"75442"</f>
        <v>75442</v>
      </c>
      <c r="AY319" t="s">
        <v>120</v>
      </c>
      <c r="BA319" s="5">
        <v>14692388392</v>
      </c>
      <c r="BC319" t="s">
        <v>4117</v>
      </c>
      <c r="BD319" t="s">
        <v>4118</v>
      </c>
      <c r="BG319" t="s">
        <v>232</v>
      </c>
      <c r="BH319" s="1">
        <v>44889.791666666664</v>
      </c>
      <c r="BI319">
        <v>40</v>
      </c>
      <c r="BJ319">
        <v>0</v>
      </c>
      <c r="BK319">
        <v>8</v>
      </c>
      <c r="BL319">
        <v>8</v>
      </c>
      <c r="BM319">
        <v>8</v>
      </c>
      <c r="BN319">
        <v>8</v>
      </c>
      <c r="BO319">
        <v>8</v>
      </c>
      <c r="BP319">
        <v>0</v>
      </c>
      <c r="BQ319" t="str">
        <f>"8:00 AM"</f>
        <v>8:00 AM</v>
      </c>
      <c r="BR319" t="str">
        <f>"5:00 PM"</f>
        <v>5:00 PM</v>
      </c>
      <c r="BS319" t="s">
        <v>133</v>
      </c>
      <c r="BT319">
        <v>0</v>
      </c>
      <c r="BU319">
        <v>0</v>
      </c>
      <c r="BV319" t="s">
        <v>134</v>
      </c>
      <c r="BX319" s="2" t="s">
        <v>8429</v>
      </c>
      <c r="BY319" t="s">
        <v>16019</v>
      </c>
      <c r="CA319" t="s">
        <v>1630</v>
      </c>
      <c r="CB319" t="s">
        <v>232</v>
      </c>
      <c r="CC319" s="4" t="str">
        <f>"75401"</f>
        <v>75401</v>
      </c>
      <c r="CD319" t="s">
        <v>2712</v>
      </c>
      <c r="CE319" t="s">
        <v>1528</v>
      </c>
      <c r="CF319" s="6">
        <v>17.920000000000002</v>
      </c>
      <c r="CG319" s="6">
        <v>17.920000000000002</v>
      </c>
      <c r="CH319" s="6">
        <v>26.88</v>
      </c>
      <c r="CI319" s="6">
        <v>26.88</v>
      </c>
      <c r="CJ319" t="s">
        <v>137</v>
      </c>
      <c r="CK319" t="s">
        <v>4119</v>
      </c>
      <c r="CL319" t="s">
        <v>16021</v>
      </c>
      <c r="CO319" t="s">
        <v>138</v>
      </c>
      <c r="CP319" t="s">
        <v>134</v>
      </c>
      <c r="CQ319" t="s">
        <v>114</v>
      </c>
      <c r="CR319" t="s">
        <v>114</v>
      </c>
      <c r="CS319" t="s">
        <v>114</v>
      </c>
      <c r="CT319" t="s">
        <v>114</v>
      </c>
      <c r="CU319" t="s">
        <v>134</v>
      </c>
      <c r="CV319" t="s">
        <v>4121</v>
      </c>
      <c r="CW319" s="5" t="str">
        <f>"+19034557734"</f>
        <v>+19034557734</v>
      </c>
      <c r="CX319" t="s">
        <v>138</v>
      </c>
      <c r="CY319" t="s">
        <v>6675</v>
      </c>
      <c r="CZ319" t="s">
        <v>139</v>
      </c>
      <c r="DA319" t="s">
        <v>134</v>
      </c>
      <c r="DB319" t="s">
        <v>134</v>
      </c>
      <c r="DC319" t="s">
        <v>114</v>
      </c>
      <c r="DD319" t="s">
        <v>134</v>
      </c>
    </row>
    <row r="320" spans="1:113" ht="15" customHeight="1" x14ac:dyDescent="0.25">
      <c r="A320" t="s">
        <v>16646</v>
      </c>
      <c r="B320" t="s">
        <v>165</v>
      </c>
      <c r="C320" s="1">
        <v>44890.474872800929</v>
      </c>
      <c r="D320" s="1">
        <v>44915</v>
      </c>
      <c r="E320" t="s">
        <v>134</v>
      </c>
      <c r="F320" t="s">
        <v>334</v>
      </c>
      <c r="G320" t="str">
        <f>"37-3011.00"</f>
        <v>37-3011.00</v>
      </c>
      <c r="H320" t="s">
        <v>335</v>
      </c>
      <c r="I320">
        <v>24</v>
      </c>
      <c r="J320">
        <v>24</v>
      </c>
      <c r="K320" s="1">
        <v>44972</v>
      </c>
      <c r="L320" s="1">
        <v>45244</v>
      </c>
      <c r="M320" s="1">
        <v>44972</v>
      </c>
      <c r="N320" s="1">
        <v>45244</v>
      </c>
      <c r="O320" t="s">
        <v>117</v>
      </c>
      <c r="P320" t="s">
        <v>16647</v>
      </c>
      <c r="R320" t="s">
        <v>16648</v>
      </c>
      <c r="T320" t="s">
        <v>4031</v>
      </c>
      <c r="U320" t="s">
        <v>232</v>
      </c>
      <c r="V320" s="4" t="str">
        <f>"75067"</f>
        <v>75067</v>
      </c>
      <c r="W320" t="s">
        <v>120</v>
      </c>
      <c r="Y320" s="5">
        <v>19723177489</v>
      </c>
      <c r="AA320">
        <v>5617</v>
      </c>
      <c r="AB320" t="s">
        <v>16649</v>
      </c>
      <c r="AC320" t="s">
        <v>2506</v>
      </c>
      <c r="AE320" t="s">
        <v>342</v>
      </c>
      <c r="AF320" t="s">
        <v>16648</v>
      </c>
      <c r="AH320" t="s">
        <v>4031</v>
      </c>
      <c r="AI320" t="s">
        <v>232</v>
      </c>
      <c r="AJ320" s="4" t="str">
        <f>"75067"</f>
        <v>75067</v>
      </c>
      <c r="AK320" t="s">
        <v>120</v>
      </c>
      <c r="AM320" s="5">
        <v>19723177489</v>
      </c>
      <c r="AO320" t="s">
        <v>138</v>
      </c>
      <c r="AP320" t="s">
        <v>256</v>
      </c>
      <c r="AQ320" t="s">
        <v>4076</v>
      </c>
      <c r="AR320" t="s">
        <v>726</v>
      </c>
      <c r="AT320" t="s">
        <v>4115</v>
      </c>
      <c r="AV320" t="s">
        <v>4116</v>
      </c>
      <c r="AW320" t="s">
        <v>232</v>
      </c>
      <c r="AX320" s="4" t="str">
        <f>"75442"</f>
        <v>75442</v>
      </c>
      <c r="AY320" t="s">
        <v>120</v>
      </c>
      <c r="BA320" s="5">
        <v>14692388392</v>
      </c>
      <c r="BC320" t="s">
        <v>4117</v>
      </c>
      <c r="BD320" t="s">
        <v>4118</v>
      </c>
      <c r="BG320" t="s">
        <v>232</v>
      </c>
      <c r="BH320" s="1">
        <v>44889.791666666664</v>
      </c>
      <c r="BI320">
        <v>40</v>
      </c>
      <c r="BJ320">
        <v>0</v>
      </c>
      <c r="BK320">
        <v>8</v>
      </c>
      <c r="BL320">
        <v>8</v>
      </c>
      <c r="BM320">
        <v>8</v>
      </c>
      <c r="BN320">
        <v>8</v>
      </c>
      <c r="BO320">
        <v>8</v>
      </c>
      <c r="BP320">
        <v>0</v>
      </c>
      <c r="BQ320" t="str">
        <f>"8:00 AM"</f>
        <v>8:00 AM</v>
      </c>
      <c r="BR320" t="str">
        <f>"5:00 PM"</f>
        <v>5:00 PM</v>
      </c>
      <c r="BS320" t="s">
        <v>133</v>
      </c>
      <c r="BT320">
        <v>0</v>
      </c>
      <c r="BU320">
        <v>3</v>
      </c>
      <c r="BV320" t="s">
        <v>134</v>
      </c>
      <c r="BX320" s="2" t="s">
        <v>16650</v>
      </c>
      <c r="BY320" t="s">
        <v>16648</v>
      </c>
      <c r="CA320" t="s">
        <v>4031</v>
      </c>
      <c r="CB320" t="s">
        <v>232</v>
      </c>
      <c r="CC320" s="4" t="str">
        <f>"75067"</f>
        <v>75067</v>
      </c>
      <c r="CD320" t="s">
        <v>2071</v>
      </c>
      <c r="CE320" t="s">
        <v>1528</v>
      </c>
      <c r="CF320" s="6">
        <v>16.3</v>
      </c>
      <c r="CG320" s="6">
        <v>16.3</v>
      </c>
      <c r="CH320" s="6">
        <v>24.45</v>
      </c>
      <c r="CI320" s="6">
        <v>24.45</v>
      </c>
      <c r="CJ320" t="s">
        <v>137</v>
      </c>
      <c r="CK320" t="s">
        <v>4119</v>
      </c>
      <c r="CL320" t="s">
        <v>16651</v>
      </c>
      <c r="CO320" t="s">
        <v>138</v>
      </c>
      <c r="CP320" t="s">
        <v>114</v>
      </c>
      <c r="CQ320" t="s">
        <v>114</v>
      </c>
      <c r="CR320" t="s">
        <v>114</v>
      </c>
      <c r="CS320" t="s">
        <v>114</v>
      </c>
      <c r="CT320" t="s">
        <v>114</v>
      </c>
      <c r="CU320" t="s">
        <v>134</v>
      </c>
      <c r="CV320" t="s">
        <v>4121</v>
      </c>
      <c r="CW320" s="5" t="str">
        <f>"+19723177489"</f>
        <v>+19723177489</v>
      </c>
      <c r="CX320" t="s">
        <v>138</v>
      </c>
      <c r="CY320" t="s">
        <v>6675</v>
      </c>
      <c r="CZ320" t="s">
        <v>139</v>
      </c>
      <c r="DA320" t="s">
        <v>134</v>
      </c>
      <c r="DB320" t="s">
        <v>134</v>
      </c>
      <c r="DC320" t="s">
        <v>114</v>
      </c>
      <c r="DD320" t="s">
        <v>134</v>
      </c>
    </row>
    <row r="321" spans="1:113" ht="15" customHeight="1" x14ac:dyDescent="0.25">
      <c r="A321" t="s">
        <v>3862</v>
      </c>
      <c r="B321" t="s">
        <v>165</v>
      </c>
      <c r="C321" s="1">
        <v>44889.366428587964</v>
      </c>
      <c r="D321" s="1">
        <v>44915</v>
      </c>
      <c r="E321" t="s">
        <v>134</v>
      </c>
      <c r="F321" t="s">
        <v>1662</v>
      </c>
      <c r="G321" t="str">
        <f>"37-3011.00"</f>
        <v>37-3011.00</v>
      </c>
      <c r="H321" t="s">
        <v>335</v>
      </c>
      <c r="I321">
        <v>25</v>
      </c>
      <c r="J321">
        <v>25</v>
      </c>
      <c r="K321" s="1">
        <v>44979</v>
      </c>
      <c r="L321" s="1">
        <v>45275</v>
      </c>
      <c r="M321" s="1">
        <v>44979</v>
      </c>
      <c r="N321" s="1">
        <v>45275</v>
      </c>
      <c r="O321" t="s">
        <v>117</v>
      </c>
      <c r="P321" t="s">
        <v>3863</v>
      </c>
      <c r="R321" t="s">
        <v>3864</v>
      </c>
      <c r="T321" t="s">
        <v>1665</v>
      </c>
      <c r="U321" t="s">
        <v>657</v>
      </c>
      <c r="V321" s="4" t="str">
        <f>"37204"</f>
        <v>37204</v>
      </c>
      <c r="W321" t="s">
        <v>120</v>
      </c>
      <c r="Y321" s="5">
        <v>16152929600</v>
      </c>
      <c r="AA321">
        <v>56173</v>
      </c>
      <c r="AB321" t="s">
        <v>3865</v>
      </c>
      <c r="AC321" t="s">
        <v>370</v>
      </c>
      <c r="AE321" t="s">
        <v>342</v>
      </c>
      <c r="AF321" t="s">
        <v>3864</v>
      </c>
      <c r="AH321" t="s">
        <v>1665</v>
      </c>
      <c r="AI321" t="s">
        <v>657</v>
      </c>
      <c r="AJ321" s="4" t="str">
        <f>"37204"</f>
        <v>37204</v>
      </c>
      <c r="AK321" t="s">
        <v>120</v>
      </c>
      <c r="AM321" s="5">
        <v>16152929600</v>
      </c>
      <c r="AO321" t="s">
        <v>3866</v>
      </c>
      <c r="AP321" t="s">
        <v>256</v>
      </c>
      <c r="AQ321" t="s">
        <v>475</v>
      </c>
      <c r="AR321" t="s">
        <v>476</v>
      </c>
      <c r="AT321" t="s">
        <v>477</v>
      </c>
      <c r="AV321" t="s">
        <v>478</v>
      </c>
      <c r="AW321" t="s">
        <v>479</v>
      </c>
      <c r="AX321" s="4" t="str">
        <f>"22903"</f>
        <v>22903</v>
      </c>
      <c r="AY321" t="s">
        <v>120</v>
      </c>
      <c r="BA321" s="5">
        <v>14342634300</v>
      </c>
      <c r="BC321" t="s">
        <v>480</v>
      </c>
      <c r="BD321" t="s">
        <v>481</v>
      </c>
      <c r="BG321" t="s">
        <v>657</v>
      </c>
      <c r="BH321" s="1">
        <v>44888.791666666664</v>
      </c>
      <c r="BI321">
        <v>40</v>
      </c>
      <c r="BJ321">
        <v>0</v>
      </c>
      <c r="BK321">
        <v>8</v>
      </c>
      <c r="BL321">
        <v>8</v>
      </c>
      <c r="BM321">
        <v>8</v>
      </c>
      <c r="BN321">
        <v>8</v>
      </c>
      <c r="BO321">
        <v>8</v>
      </c>
      <c r="BP321">
        <v>0</v>
      </c>
      <c r="BQ321" t="str">
        <f>"6:45 AM"</f>
        <v>6:45 AM</v>
      </c>
      <c r="BR321" t="str">
        <f>"3:30 PM"</f>
        <v>3:30 PM</v>
      </c>
      <c r="BS321" t="s">
        <v>133</v>
      </c>
      <c r="BT321">
        <v>0</v>
      </c>
      <c r="BU321">
        <v>3</v>
      </c>
      <c r="BV321" t="s">
        <v>134</v>
      </c>
      <c r="BX321" s="2" t="s">
        <v>3867</v>
      </c>
      <c r="BY321" t="s">
        <v>3868</v>
      </c>
      <c r="CA321" t="s">
        <v>1665</v>
      </c>
      <c r="CB321" t="s">
        <v>657</v>
      </c>
      <c r="CC321" s="4" t="str">
        <f>"37204"</f>
        <v>37204</v>
      </c>
      <c r="CD321" t="s">
        <v>1666</v>
      </c>
      <c r="CE321" t="s">
        <v>1667</v>
      </c>
      <c r="CF321" s="6">
        <v>16.04</v>
      </c>
      <c r="CH321" s="6">
        <v>24.06</v>
      </c>
      <c r="CJ321" t="s">
        <v>137</v>
      </c>
      <c r="CK321" t="s">
        <v>487</v>
      </c>
      <c r="CL321" t="s">
        <v>3869</v>
      </c>
      <c r="CO321" t="s">
        <v>138</v>
      </c>
      <c r="CP321" t="s">
        <v>114</v>
      </c>
      <c r="CQ321" t="s">
        <v>134</v>
      </c>
      <c r="CR321" t="s">
        <v>114</v>
      </c>
      <c r="CS321" t="s">
        <v>134</v>
      </c>
      <c r="CT321" t="s">
        <v>114</v>
      </c>
      <c r="CU321" t="s">
        <v>114</v>
      </c>
      <c r="CV321" t="s">
        <v>3870</v>
      </c>
      <c r="CW321" s="5" t="str">
        <f>"N/A"</f>
        <v>N/A</v>
      </c>
      <c r="CX321" t="s">
        <v>3871</v>
      </c>
      <c r="CY321" t="s">
        <v>1668</v>
      </c>
      <c r="CZ321" t="s">
        <v>139</v>
      </c>
      <c r="DA321" t="s">
        <v>134</v>
      </c>
      <c r="DB321" t="s">
        <v>114</v>
      </c>
      <c r="DC321" t="s">
        <v>114</v>
      </c>
      <c r="DD321" t="s">
        <v>134</v>
      </c>
      <c r="DE321" t="s">
        <v>492</v>
      </c>
      <c r="DF321" t="s">
        <v>493</v>
      </c>
      <c r="DH321" t="s">
        <v>481</v>
      </c>
      <c r="DI321" t="s">
        <v>480</v>
      </c>
    </row>
    <row r="322" spans="1:113" ht="15" customHeight="1" x14ac:dyDescent="0.25">
      <c r="A322" t="s">
        <v>11653</v>
      </c>
      <c r="B322" t="s">
        <v>165</v>
      </c>
      <c r="C322" s="1">
        <v>44889.028212152778</v>
      </c>
      <c r="D322" s="1">
        <v>44915</v>
      </c>
      <c r="E322" t="s">
        <v>134</v>
      </c>
      <c r="F322" t="s">
        <v>11654</v>
      </c>
      <c r="G322" t="str">
        <f>"37-2012.00"</f>
        <v>37-2012.00</v>
      </c>
      <c r="H322" t="s">
        <v>116</v>
      </c>
      <c r="I322">
        <v>105</v>
      </c>
      <c r="J322">
        <v>105</v>
      </c>
      <c r="K322" s="1">
        <v>44964</v>
      </c>
      <c r="L322" s="1">
        <v>45266</v>
      </c>
      <c r="M322" s="1">
        <v>44964</v>
      </c>
      <c r="N322" s="1">
        <v>45266</v>
      </c>
      <c r="O322" t="s">
        <v>117</v>
      </c>
      <c r="P322" t="s">
        <v>1231</v>
      </c>
      <c r="Q322" t="s">
        <v>1232</v>
      </c>
      <c r="R322" t="s">
        <v>1233</v>
      </c>
      <c r="T322" t="s">
        <v>1234</v>
      </c>
      <c r="U322" t="s">
        <v>394</v>
      </c>
      <c r="V322" s="4" t="str">
        <f t="shared" ref="V322:V327" si="20">"29455"</f>
        <v>29455</v>
      </c>
      <c r="W322" t="s">
        <v>120</v>
      </c>
      <c r="Y322" s="5">
        <v>18437682700</v>
      </c>
      <c r="AA322">
        <v>7211</v>
      </c>
      <c r="AB322" t="s">
        <v>1235</v>
      </c>
      <c r="AC322" t="s">
        <v>1236</v>
      </c>
      <c r="AE322" t="s">
        <v>398</v>
      </c>
      <c r="AF322" t="s">
        <v>1237</v>
      </c>
      <c r="AH322" t="s">
        <v>1234</v>
      </c>
      <c r="AI322" t="s">
        <v>394</v>
      </c>
      <c r="AJ322" s="4" t="str">
        <f t="shared" ref="AJ322:AJ327" si="21">"29455"</f>
        <v>29455</v>
      </c>
      <c r="AK322" t="s">
        <v>120</v>
      </c>
      <c r="AM322" s="5">
        <v>18437682700</v>
      </c>
      <c r="AO322" t="s">
        <v>1238</v>
      </c>
      <c r="AP322" t="s">
        <v>256</v>
      </c>
      <c r="AQ322" t="s">
        <v>400</v>
      </c>
      <c r="AR322" t="s">
        <v>401</v>
      </c>
      <c r="AS322" t="s">
        <v>397</v>
      </c>
      <c r="AT322" t="s">
        <v>402</v>
      </c>
      <c r="AU322" t="s">
        <v>152</v>
      </c>
      <c r="AV322" t="s">
        <v>403</v>
      </c>
      <c r="AW322" t="s">
        <v>232</v>
      </c>
      <c r="AX322" s="4" t="str">
        <f t="shared" ref="AX322:AX327" si="22">"75033"</f>
        <v>75033</v>
      </c>
      <c r="AY322" t="s">
        <v>120</v>
      </c>
      <c r="BA322" s="5">
        <v>19727789690</v>
      </c>
      <c r="BC322" t="s">
        <v>1239</v>
      </c>
      <c r="BD322" t="s">
        <v>405</v>
      </c>
      <c r="BG322" t="s">
        <v>394</v>
      </c>
      <c r="BH322" s="1">
        <v>44888.791666666664</v>
      </c>
      <c r="BI322">
        <v>40</v>
      </c>
      <c r="BJ322">
        <v>8</v>
      </c>
      <c r="BK322">
        <v>8</v>
      </c>
      <c r="BL322">
        <v>0</v>
      </c>
      <c r="BM322">
        <v>8</v>
      </c>
      <c r="BN322">
        <v>0</v>
      </c>
      <c r="BO322">
        <v>8</v>
      </c>
      <c r="BP322">
        <v>8</v>
      </c>
      <c r="BQ322" t="str">
        <f>"7:00 AM"</f>
        <v>7:00 AM</v>
      </c>
      <c r="BR322" t="str">
        <f>"3:00 PM"</f>
        <v>3:00 PM</v>
      </c>
      <c r="BS322" t="s">
        <v>133</v>
      </c>
      <c r="BT322">
        <v>0</v>
      </c>
      <c r="BU322">
        <v>0</v>
      </c>
      <c r="BV322" t="s">
        <v>134</v>
      </c>
      <c r="BX322" t="s">
        <v>1240</v>
      </c>
      <c r="BY322" t="s">
        <v>1241</v>
      </c>
      <c r="CA322" t="s">
        <v>1242</v>
      </c>
      <c r="CB322" t="s">
        <v>394</v>
      </c>
      <c r="CC322" s="4" t="str">
        <f t="shared" ref="CC322:CC327" si="23">"29455"</f>
        <v>29455</v>
      </c>
      <c r="CD322" t="s">
        <v>1243</v>
      </c>
      <c r="CE322" t="s">
        <v>1244</v>
      </c>
      <c r="CF322" s="6">
        <v>16</v>
      </c>
      <c r="CG322" s="6">
        <v>22</v>
      </c>
      <c r="CH322" s="6">
        <v>24</v>
      </c>
      <c r="CI322" s="6">
        <v>33</v>
      </c>
      <c r="CJ322" t="s">
        <v>137</v>
      </c>
      <c r="CK322" t="s">
        <v>950</v>
      </c>
      <c r="CL322" t="s">
        <v>11655</v>
      </c>
      <c r="CO322" t="s">
        <v>138</v>
      </c>
      <c r="CP322" t="s">
        <v>134</v>
      </c>
      <c r="CQ322" t="s">
        <v>114</v>
      </c>
      <c r="CR322" t="s">
        <v>114</v>
      </c>
      <c r="CS322" t="s">
        <v>114</v>
      </c>
      <c r="CT322" t="s">
        <v>114</v>
      </c>
      <c r="CU322" t="s">
        <v>114</v>
      </c>
      <c r="CV322" s="2" t="s">
        <v>1246</v>
      </c>
      <c r="CW322" s="5" t="str">
        <f t="shared" ref="CW322:CW327" si="24">"+18437682700"</f>
        <v>+18437682700</v>
      </c>
      <c r="CX322" t="s">
        <v>138</v>
      </c>
      <c r="CY322" t="s">
        <v>1247</v>
      </c>
      <c r="CZ322" t="s">
        <v>139</v>
      </c>
      <c r="DA322" t="s">
        <v>134</v>
      </c>
      <c r="DB322" t="s">
        <v>114</v>
      </c>
      <c r="DC322" t="s">
        <v>114</v>
      </c>
      <c r="DD322" t="s">
        <v>134</v>
      </c>
    </row>
    <row r="323" spans="1:113" ht="15" customHeight="1" x14ac:dyDescent="0.25">
      <c r="A323" t="s">
        <v>5435</v>
      </c>
      <c r="B323" t="s">
        <v>165</v>
      </c>
      <c r="C323" s="1">
        <v>44889.024278009259</v>
      </c>
      <c r="D323" s="1">
        <v>44915</v>
      </c>
      <c r="E323" t="s">
        <v>134</v>
      </c>
      <c r="F323" t="s">
        <v>388</v>
      </c>
      <c r="G323" t="str">
        <f>"35-3031.00"</f>
        <v>35-3031.00</v>
      </c>
      <c r="H323" t="s">
        <v>389</v>
      </c>
      <c r="I323">
        <v>79</v>
      </c>
      <c r="J323">
        <v>79</v>
      </c>
      <c r="K323" s="1">
        <v>44964</v>
      </c>
      <c r="L323" s="1">
        <v>45260</v>
      </c>
      <c r="M323" s="1">
        <v>44964</v>
      </c>
      <c r="N323" s="1">
        <v>45260</v>
      </c>
      <c r="O323" t="s">
        <v>117</v>
      </c>
      <c r="P323" t="s">
        <v>1231</v>
      </c>
      <c r="Q323" t="s">
        <v>1232</v>
      </c>
      <c r="R323" t="s">
        <v>1233</v>
      </c>
      <c r="T323" t="s">
        <v>1234</v>
      </c>
      <c r="U323" t="s">
        <v>394</v>
      </c>
      <c r="V323" s="4" t="str">
        <f t="shared" si="20"/>
        <v>29455</v>
      </c>
      <c r="W323" t="s">
        <v>120</v>
      </c>
      <c r="Y323" s="5">
        <v>18437682700</v>
      </c>
      <c r="AA323">
        <v>7211</v>
      </c>
      <c r="AB323" t="s">
        <v>1235</v>
      </c>
      <c r="AC323" t="s">
        <v>1236</v>
      </c>
      <c r="AE323" t="s">
        <v>398</v>
      </c>
      <c r="AF323" t="s">
        <v>1237</v>
      </c>
      <c r="AH323" t="s">
        <v>1234</v>
      </c>
      <c r="AI323" t="s">
        <v>394</v>
      </c>
      <c r="AJ323" s="4" t="str">
        <f t="shared" si="21"/>
        <v>29455</v>
      </c>
      <c r="AK323" t="s">
        <v>120</v>
      </c>
      <c r="AM323" s="5">
        <v>18437682700</v>
      </c>
      <c r="AO323" t="s">
        <v>1238</v>
      </c>
      <c r="AP323" t="s">
        <v>256</v>
      </c>
      <c r="AQ323" t="s">
        <v>400</v>
      </c>
      <c r="AR323" t="s">
        <v>401</v>
      </c>
      <c r="AS323" t="s">
        <v>397</v>
      </c>
      <c r="AT323" t="s">
        <v>402</v>
      </c>
      <c r="AU323" t="s">
        <v>152</v>
      </c>
      <c r="AV323" t="s">
        <v>403</v>
      </c>
      <c r="AW323" t="s">
        <v>232</v>
      </c>
      <c r="AX323" s="4" t="str">
        <f t="shared" si="22"/>
        <v>75033</v>
      </c>
      <c r="AY323" t="s">
        <v>120</v>
      </c>
      <c r="BA323" s="5">
        <v>19727789690</v>
      </c>
      <c r="BC323" t="s">
        <v>1239</v>
      </c>
      <c r="BD323" t="s">
        <v>405</v>
      </c>
      <c r="BG323" t="s">
        <v>394</v>
      </c>
      <c r="BH323" s="1">
        <v>44888.791666666664</v>
      </c>
      <c r="BI323">
        <v>40</v>
      </c>
      <c r="BJ323">
        <v>8</v>
      </c>
      <c r="BK323">
        <v>8</v>
      </c>
      <c r="BL323">
        <v>0</v>
      </c>
      <c r="BM323">
        <v>8</v>
      </c>
      <c r="BN323">
        <v>0</v>
      </c>
      <c r="BO323">
        <v>8</v>
      </c>
      <c r="BP323">
        <v>8</v>
      </c>
      <c r="BQ323" t="str">
        <f>"5:00 AM"</f>
        <v>5:00 AM</v>
      </c>
      <c r="BR323" t="str">
        <f>"1:00 PM"</f>
        <v>1:00 PM</v>
      </c>
      <c r="BS323" t="s">
        <v>133</v>
      </c>
      <c r="BT323">
        <v>0</v>
      </c>
      <c r="BU323">
        <v>0</v>
      </c>
      <c r="BV323" t="s">
        <v>134</v>
      </c>
      <c r="BX323" t="s">
        <v>5436</v>
      </c>
      <c r="BY323" t="s">
        <v>1241</v>
      </c>
      <c r="CA323" t="s">
        <v>1242</v>
      </c>
      <c r="CB323" t="s">
        <v>394</v>
      </c>
      <c r="CC323" s="4" t="str">
        <f t="shared" si="23"/>
        <v>29455</v>
      </c>
      <c r="CD323" t="s">
        <v>1243</v>
      </c>
      <c r="CE323" t="s">
        <v>1244</v>
      </c>
      <c r="CF323" s="6">
        <v>11.48</v>
      </c>
      <c r="CG323" s="6">
        <v>18</v>
      </c>
      <c r="CH323" s="6">
        <v>17.22</v>
      </c>
      <c r="CI323" s="6">
        <v>27</v>
      </c>
      <c r="CJ323" t="s">
        <v>137</v>
      </c>
      <c r="CK323" t="s">
        <v>950</v>
      </c>
      <c r="CL323" t="s">
        <v>5437</v>
      </c>
      <c r="CO323" t="s">
        <v>138</v>
      </c>
      <c r="CP323" t="s">
        <v>134</v>
      </c>
      <c r="CQ323" t="s">
        <v>114</v>
      </c>
      <c r="CR323" t="s">
        <v>114</v>
      </c>
      <c r="CS323" t="s">
        <v>114</v>
      </c>
      <c r="CT323" t="s">
        <v>114</v>
      </c>
      <c r="CU323" t="s">
        <v>114</v>
      </c>
      <c r="CV323" s="2" t="s">
        <v>1246</v>
      </c>
      <c r="CW323" s="5" t="str">
        <f t="shared" si="24"/>
        <v>+18437682700</v>
      </c>
      <c r="CX323" t="s">
        <v>138</v>
      </c>
      <c r="CY323" t="s">
        <v>1247</v>
      </c>
      <c r="CZ323" t="s">
        <v>139</v>
      </c>
      <c r="DA323" t="s">
        <v>134</v>
      </c>
      <c r="DB323" t="s">
        <v>114</v>
      </c>
      <c r="DC323" t="s">
        <v>114</v>
      </c>
      <c r="DD323" t="s">
        <v>134</v>
      </c>
    </row>
    <row r="324" spans="1:113" ht="15" customHeight="1" x14ac:dyDescent="0.25">
      <c r="A324" t="s">
        <v>10788</v>
      </c>
      <c r="B324" t="s">
        <v>165</v>
      </c>
      <c r="C324" s="1">
        <v>44889.021472685185</v>
      </c>
      <c r="D324" s="1">
        <v>44915</v>
      </c>
      <c r="E324" t="s">
        <v>134</v>
      </c>
      <c r="F324" t="s">
        <v>2144</v>
      </c>
      <c r="G324" t="str">
        <f>"35-2021.00"</f>
        <v>35-2021.00</v>
      </c>
      <c r="H324" t="s">
        <v>718</v>
      </c>
      <c r="I324">
        <v>23</v>
      </c>
      <c r="J324">
        <v>23</v>
      </c>
      <c r="K324" s="1">
        <v>44964</v>
      </c>
      <c r="L324" s="1">
        <v>45260</v>
      </c>
      <c r="M324" s="1">
        <v>44964</v>
      </c>
      <c r="N324" s="1">
        <v>45260</v>
      </c>
      <c r="O324" t="s">
        <v>117</v>
      </c>
      <c r="P324" t="s">
        <v>1231</v>
      </c>
      <c r="Q324" t="s">
        <v>1232</v>
      </c>
      <c r="R324" t="s">
        <v>1233</v>
      </c>
      <c r="T324" t="s">
        <v>1234</v>
      </c>
      <c r="U324" t="s">
        <v>394</v>
      </c>
      <c r="V324" s="4" t="str">
        <f t="shared" si="20"/>
        <v>29455</v>
      </c>
      <c r="W324" t="s">
        <v>120</v>
      </c>
      <c r="Y324" s="5">
        <v>18437682700</v>
      </c>
      <c r="AA324">
        <v>7211</v>
      </c>
      <c r="AB324" t="s">
        <v>1235</v>
      </c>
      <c r="AC324" t="s">
        <v>1236</v>
      </c>
      <c r="AE324" t="s">
        <v>398</v>
      </c>
      <c r="AF324" t="s">
        <v>1237</v>
      </c>
      <c r="AH324" t="s">
        <v>1234</v>
      </c>
      <c r="AI324" t="s">
        <v>394</v>
      </c>
      <c r="AJ324" s="4" t="str">
        <f t="shared" si="21"/>
        <v>29455</v>
      </c>
      <c r="AK324" t="s">
        <v>120</v>
      </c>
      <c r="AM324" s="5">
        <v>18437682700</v>
      </c>
      <c r="AO324" t="s">
        <v>1238</v>
      </c>
      <c r="AP324" t="s">
        <v>256</v>
      </c>
      <c r="AQ324" t="s">
        <v>400</v>
      </c>
      <c r="AR324" t="s">
        <v>401</v>
      </c>
      <c r="AS324" t="s">
        <v>397</v>
      </c>
      <c r="AT324" t="s">
        <v>402</v>
      </c>
      <c r="AU324" t="s">
        <v>152</v>
      </c>
      <c r="AV324" t="s">
        <v>403</v>
      </c>
      <c r="AW324" t="s">
        <v>232</v>
      </c>
      <c r="AX324" s="4" t="str">
        <f t="shared" si="22"/>
        <v>75033</v>
      </c>
      <c r="AY324" t="s">
        <v>120</v>
      </c>
      <c r="BA324" s="5">
        <v>19727789690</v>
      </c>
      <c r="BC324" t="s">
        <v>1239</v>
      </c>
      <c r="BD324" t="s">
        <v>405</v>
      </c>
      <c r="BG324" t="s">
        <v>394</v>
      </c>
      <c r="BH324" s="1">
        <v>44888.791666666664</v>
      </c>
      <c r="BI324">
        <v>40</v>
      </c>
      <c r="BJ324">
        <v>8</v>
      </c>
      <c r="BK324">
        <v>8</v>
      </c>
      <c r="BL324">
        <v>0</v>
      </c>
      <c r="BM324">
        <v>8</v>
      </c>
      <c r="BN324">
        <v>0</v>
      </c>
      <c r="BO324">
        <v>8</v>
      </c>
      <c r="BP324">
        <v>8</v>
      </c>
      <c r="BQ324" t="str">
        <f>"5:00 AM"</f>
        <v>5:00 AM</v>
      </c>
      <c r="BR324" t="str">
        <f>"1:00 PM"</f>
        <v>1:00 PM</v>
      </c>
      <c r="BS324" t="s">
        <v>133</v>
      </c>
      <c r="BT324">
        <v>0</v>
      </c>
      <c r="BU324">
        <v>0</v>
      </c>
      <c r="BV324" t="s">
        <v>134</v>
      </c>
      <c r="BX324" t="s">
        <v>1240</v>
      </c>
      <c r="BY324" t="s">
        <v>1241</v>
      </c>
      <c r="CA324" t="s">
        <v>1242</v>
      </c>
      <c r="CB324" t="s">
        <v>394</v>
      </c>
      <c r="CC324" s="4" t="str">
        <f t="shared" si="23"/>
        <v>29455</v>
      </c>
      <c r="CD324" t="s">
        <v>1243</v>
      </c>
      <c r="CE324" t="s">
        <v>1244</v>
      </c>
      <c r="CF324" s="6">
        <v>15</v>
      </c>
      <c r="CG324" s="6">
        <v>20</v>
      </c>
      <c r="CH324" s="6">
        <v>22.5</v>
      </c>
      <c r="CI324" s="6">
        <v>30</v>
      </c>
      <c r="CJ324" t="s">
        <v>137</v>
      </c>
      <c r="CK324" t="s">
        <v>950</v>
      </c>
      <c r="CL324" t="s">
        <v>10789</v>
      </c>
      <c r="CO324" t="s">
        <v>138</v>
      </c>
      <c r="CP324" t="s">
        <v>134</v>
      </c>
      <c r="CQ324" t="s">
        <v>114</v>
      </c>
      <c r="CR324" t="s">
        <v>114</v>
      </c>
      <c r="CS324" t="s">
        <v>114</v>
      </c>
      <c r="CT324" t="s">
        <v>114</v>
      </c>
      <c r="CU324" t="s">
        <v>114</v>
      </c>
      <c r="CV324" s="2" t="s">
        <v>1246</v>
      </c>
      <c r="CW324" s="5" t="str">
        <f t="shared" si="24"/>
        <v>+18437682700</v>
      </c>
      <c r="CX324" t="s">
        <v>138</v>
      </c>
      <c r="CY324" t="s">
        <v>10790</v>
      </c>
      <c r="CZ324" t="s">
        <v>139</v>
      </c>
      <c r="DA324" t="s">
        <v>134</v>
      </c>
      <c r="DB324" t="s">
        <v>114</v>
      </c>
      <c r="DC324" t="s">
        <v>114</v>
      </c>
      <c r="DD324" t="s">
        <v>134</v>
      </c>
    </row>
    <row r="325" spans="1:113" ht="15" customHeight="1" x14ac:dyDescent="0.25">
      <c r="A325" t="s">
        <v>1228</v>
      </c>
      <c r="B325" t="s">
        <v>165</v>
      </c>
      <c r="C325" s="1">
        <v>44889.018382060189</v>
      </c>
      <c r="D325" s="1">
        <v>44915</v>
      </c>
      <c r="E325" t="s">
        <v>134</v>
      </c>
      <c r="F325" t="s">
        <v>1229</v>
      </c>
      <c r="G325" t="str">
        <f>"35-9031.00"</f>
        <v>35-9031.00</v>
      </c>
      <c r="H325" t="s">
        <v>1230</v>
      </c>
      <c r="I325">
        <v>10</v>
      </c>
      <c r="J325">
        <v>10</v>
      </c>
      <c r="K325" s="1">
        <v>44964</v>
      </c>
      <c r="L325" s="1">
        <v>45260</v>
      </c>
      <c r="M325" s="1">
        <v>44964</v>
      </c>
      <c r="N325" s="1">
        <v>45260</v>
      </c>
      <c r="O325" t="s">
        <v>117</v>
      </c>
      <c r="P325" t="s">
        <v>1231</v>
      </c>
      <c r="Q325" t="s">
        <v>1232</v>
      </c>
      <c r="R325" t="s">
        <v>1233</v>
      </c>
      <c r="T325" t="s">
        <v>1234</v>
      </c>
      <c r="U325" t="s">
        <v>394</v>
      </c>
      <c r="V325" s="4" t="str">
        <f t="shared" si="20"/>
        <v>29455</v>
      </c>
      <c r="W325" t="s">
        <v>120</v>
      </c>
      <c r="Y325" s="5">
        <v>18437682700</v>
      </c>
      <c r="AA325">
        <v>7211</v>
      </c>
      <c r="AB325" t="s">
        <v>1235</v>
      </c>
      <c r="AC325" t="s">
        <v>1236</v>
      </c>
      <c r="AE325" t="s">
        <v>398</v>
      </c>
      <c r="AF325" t="s">
        <v>1237</v>
      </c>
      <c r="AH325" t="s">
        <v>1234</v>
      </c>
      <c r="AI325" t="s">
        <v>394</v>
      </c>
      <c r="AJ325" s="4" t="str">
        <f t="shared" si="21"/>
        <v>29455</v>
      </c>
      <c r="AK325" t="s">
        <v>120</v>
      </c>
      <c r="AM325" s="5">
        <v>18437682700</v>
      </c>
      <c r="AO325" t="s">
        <v>1238</v>
      </c>
      <c r="AP325" t="s">
        <v>256</v>
      </c>
      <c r="AQ325" t="s">
        <v>400</v>
      </c>
      <c r="AR325" t="s">
        <v>401</v>
      </c>
      <c r="AS325" t="s">
        <v>397</v>
      </c>
      <c r="AT325" t="s">
        <v>402</v>
      </c>
      <c r="AU325" t="s">
        <v>152</v>
      </c>
      <c r="AV325" t="s">
        <v>403</v>
      </c>
      <c r="AW325" t="s">
        <v>232</v>
      </c>
      <c r="AX325" s="4" t="str">
        <f t="shared" si="22"/>
        <v>75033</v>
      </c>
      <c r="AY325" t="s">
        <v>120</v>
      </c>
      <c r="BA325" s="5">
        <v>19727789690</v>
      </c>
      <c r="BC325" t="s">
        <v>1239</v>
      </c>
      <c r="BD325" t="s">
        <v>405</v>
      </c>
      <c r="BG325" t="s">
        <v>394</v>
      </c>
      <c r="BH325" s="1">
        <v>44888.791666666664</v>
      </c>
      <c r="BI325">
        <v>40</v>
      </c>
      <c r="BJ325">
        <v>8</v>
      </c>
      <c r="BK325">
        <v>8</v>
      </c>
      <c r="BL325">
        <v>0</v>
      </c>
      <c r="BM325">
        <v>8</v>
      </c>
      <c r="BN325">
        <v>0</v>
      </c>
      <c r="BO325">
        <v>8</v>
      </c>
      <c r="BP325">
        <v>8</v>
      </c>
      <c r="BQ325" t="str">
        <f>"5:00 AM"</f>
        <v>5:00 AM</v>
      </c>
      <c r="BR325" t="str">
        <f>"1:00 PM"</f>
        <v>1:00 PM</v>
      </c>
      <c r="BS325" t="s">
        <v>133</v>
      </c>
      <c r="BT325">
        <v>0</v>
      </c>
      <c r="BU325">
        <v>0</v>
      </c>
      <c r="BV325" t="s">
        <v>134</v>
      </c>
      <c r="BX325" t="s">
        <v>1240</v>
      </c>
      <c r="BY325" t="s">
        <v>1241</v>
      </c>
      <c r="CA325" t="s">
        <v>1242</v>
      </c>
      <c r="CB325" t="s">
        <v>394</v>
      </c>
      <c r="CC325" s="4" t="str">
        <f t="shared" si="23"/>
        <v>29455</v>
      </c>
      <c r="CD325" t="s">
        <v>1243</v>
      </c>
      <c r="CE325" t="s">
        <v>1244</v>
      </c>
      <c r="CF325" s="6">
        <v>15</v>
      </c>
      <c r="CG325" s="6">
        <v>23</v>
      </c>
      <c r="CH325" s="6">
        <v>22.5</v>
      </c>
      <c r="CI325" s="6">
        <v>34.5</v>
      </c>
      <c r="CJ325" t="s">
        <v>137</v>
      </c>
      <c r="CK325" t="s">
        <v>950</v>
      </c>
      <c r="CL325" t="s">
        <v>1245</v>
      </c>
      <c r="CO325" t="s">
        <v>138</v>
      </c>
      <c r="CP325" t="s">
        <v>134</v>
      </c>
      <c r="CQ325" t="s">
        <v>114</v>
      </c>
      <c r="CR325" t="s">
        <v>114</v>
      </c>
      <c r="CS325" t="s">
        <v>114</v>
      </c>
      <c r="CT325" t="s">
        <v>114</v>
      </c>
      <c r="CU325" t="s">
        <v>114</v>
      </c>
      <c r="CV325" s="2" t="s">
        <v>1246</v>
      </c>
      <c r="CW325" s="5" t="str">
        <f t="shared" si="24"/>
        <v>+18437682700</v>
      </c>
      <c r="CX325" t="s">
        <v>138</v>
      </c>
      <c r="CY325" t="s">
        <v>1247</v>
      </c>
      <c r="CZ325" t="s">
        <v>139</v>
      </c>
      <c r="DA325" t="s">
        <v>134</v>
      </c>
      <c r="DB325" t="s">
        <v>114</v>
      </c>
      <c r="DC325" t="s">
        <v>114</v>
      </c>
      <c r="DD325" t="s">
        <v>134</v>
      </c>
    </row>
    <row r="326" spans="1:113" ht="15" customHeight="1" x14ac:dyDescent="0.25">
      <c r="A326" t="s">
        <v>10783</v>
      </c>
      <c r="B326" t="s">
        <v>165</v>
      </c>
      <c r="C326" s="1">
        <v>44889.015416782408</v>
      </c>
      <c r="D326" s="1">
        <v>44915</v>
      </c>
      <c r="E326" t="s">
        <v>134</v>
      </c>
      <c r="F326" t="s">
        <v>1331</v>
      </c>
      <c r="G326" t="str">
        <f>"35-2014.00"</f>
        <v>35-2014.00</v>
      </c>
      <c r="H326" t="s">
        <v>915</v>
      </c>
      <c r="I326">
        <v>38</v>
      </c>
      <c r="J326">
        <v>38</v>
      </c>
      <c r="K326" s="1">
        <v>44964</v>
      </c>
      <c r="L326" s="1">
        <v>45260</v>
      </c>
      <c r="M326" s="1">
        <v>44964</v>
      </c>
      <c r="N326" s="1">
        <v>45260</v>
      </c>
      <c r="O326" t="s">
        <v>117</v>
      </c>
      <c r="P326" t="s">
        <v>1231</v>
      </c>
      <c r="Q326" t="s">
        <v>1232</v>
      </c>
      <c r="R326" t="s">
        <v>1233</v>
      </c>
      <c r="T326" t="s">
        <v>1234</v>
      </c>
      <c r="U326" t="s">
        <v>394</v>
      </c>
      <c r="V326" s="4" t="str">
        <f t="shared" si="20"/>
        <v>29455</v>
      </c>
      <c r="W326" t="s">
        <v>120</v>
      </c>
      <c r="Y326" s="5">
        <v>18437682700</v>
      </c>
      <c r="AA326">
        <v>7211</v>
      </c>
      <c r="AB326" t="s">
        <v>1235</v>
      </c>
      <c r="AC326" t="s">
        <v>1236</v>
      </c>
      <c r="AE326" t="s">
        <v>398</v>
      </c>
      <c r="AF326" t="s">
        <v>1237</v>
      </c>
      <c r="AH326" t="s">
        <v>1234</v>
      </c>
      <c r="AI326" t="s">
        <v>394</v>
      </c>
      <c r="AJ326" s="4" t="str">
        <f t="shared" si="21"/>
        <v>29455</v>
      </c>
      <c r="AK326" t="s">
        <v>120</v>
      </c>
      <c r="AM326" s="5">
        <v>18437682700</v>
      </c>
      <c r="AO326" t="s">
        <v>1238</v>
      </c>
      <c r="AP326" t="s">
        <v>256</v>
      </c>
      <c r="AQ326" t="s">
        <v>400</v>
      </c>
      <c r="AR326" t="s">
        <v>401</v>
      </c>
      <c r="AS326" t="s">
        <v>397</v>
      </c>
      <c r="AT326" t="s">
        <v>402</v>
      </c>
      <c r="AU326" t="s">
        <v>152</v>
      </c>
      <c r="AV326" t="s">
        <v>403</v>
      </c>
      <c r="AW326" t="s">
        <v>232</v>
      </c>
      <c r="AX326" s="4" t="str">
        <f t="shared" si="22"/>
        <v>75033</v>
      </c>
      <c r="AY326" t="s">
        <v>120</v>
      </c>
      <c r="BA326" s="5">
        <v>19727789690</v>
      </c>
      <c r="BC326" t="s">
        <v>1239</v>
      </c>
      <c r="BD326" t="s">
        <v>405</v>
      </c>
      <c r="BG326" t="s">
        <v>394</v>
      </c>
      <c r="BH326" s="1">
        <v>44888.791666666664</v>
      </c>
      <c r="BI326">
        <v>40</v>
      </c>
      <c r="BJ326">
        <v>8</v>
      </c>
      <c r="BK326">
        <v>8</v>
      </c>
      <c r="BL326">
        <v>0</v>
      </c>
      <c r="BM326">
        <v>8</v>
      </c>
      <c r="BN326">
        <v>0</v>
      </c>
      <c r="BO326">
        <v>8</v>
      </c>
      <c r="BP326">
        <v>8</v>
      </c>
      <c r="BQ326" t="str">
        <f>"5:00 AM"</f>
        <v>5:00 AM</v>
      </c>
      <c r="BR326" t="str">
        <f>"1:00 PM"</f>
        <v>1:00 PM</v>
      </c>
      <c r="BS326" t="s">
        <v>133</v>
      </c>
      <c r="BT326">
        <v>0</v>
      </c>
      <c r="BU326">
        <v>0</v>
      </c>
      <c r="BV326" t="s">
        <v>134</v>
      </c>
      <c r="BX326" t="s">
        <v>1240</v>
      </c>
      <c r="BY326" t="s">
        <v>1241</v>
      </c>
      <c r="CA326" t="s">
        <v>1242</v>
      </c>
      <c r="CB326" t="s">
        <v>394</v>
      </c>
      <c r="CC326" s="4" t="str">
        <f t="shared" si="23"/>
        <v>29455</v>
      </c>
      <c r="CD326" t="s">
        <v>1243</v>
      </c>
      <c r="CE326" t="s">
        <v>1244</v>
      </c>
      <c r="CF326" s="6">
        <v>15</v>
      </c>
      <c r="CG326" s="6">
        <v>24</v>
      </c>
      <c r="CH326" s="6">
        <v>22.5</v>
      </c>
      <c r="CI326" s="6">
        <v>36</v>
      </c>
      <c r="CJ326" t="s">
        <v>137</v>
      </c>
      <c r="CK326" t="s">
        <v>950</v>
      </c>
      <c r="CL326" t="s">
        <v>10784</v>
      </c>
      <c r="CO326" t="s">
        <v>138</v>
      </c>
      <c r="CP326" t="s">
        <v>134</v>
      </c>
      <c r="CQ326" t="s">
        <v>114</v>
      </c>
      <c r="CR326" t="s">
        <v>114</v>
      </c>
      <c r="CS326" t="s">
        <v>114</v>
      </c>
      <c r="CT326" t="s">
        <v>114</v>
      </c>
      <c r="CU326" t="s">
        <v>114</v>
      </c>
      <c r="CV326" s="2" t="s">
        <v>1246</v>
      </c>
      <c r="CW326" s="5" t="str">
        <f t="shared" si="24"/>
        <v>+18437682700</v>
      </c>
      <c r="CX326" t="s">
        <v>138</v>
      </c>
      <c r="CY326" t="s">
        <v>5548</v>
      </c>
      <c r="CZ326" t="s">
        <v>139</v>
      </c>
      <c r="DA326" t="s">
        <v>134</v>
      </c>
      <c r="DB326" t="s">
        <v>114</v>
      </c>
      <c r="DC326" t="s">
        <v>114</v>
      </c>
      <c r="DD326" t="s">
        <v>134</v>
      </c>
    </row>
    <row r="327" spans="1:113" ht="15" customHeight="1" x14ac:dyDescent="0.25">
      <c r="A327" t="s">
        <v>14742</v>
      </c>
      <c r="B327" t="s">
        <v>165</v>
      </c>
      <c r="C327" s="1">
        <v>44889.011969907406</v>
      </c>
      <c r="D327" s="1">
        <v>44915</v>
      </c>
      <c r="E327" t="s">
        <v>134</v>
      </c>
      <c r="F327" t="s">
        <v>14743</v>
      </c>
      <c r="G327" t="str">
        <f>"39-6011.00"</f>
        <v>39-6011.00</v>
      </c>
      <c r="H327" t="s">
        <v>4298</v>
      </c>
      <c r="I327">
        <v>9</v>
      </c>
      <c r="J327">
        <v>9</v>
      </c>
      <c r="K327" s="1">
        <v>44964</v>
      </c>
      <c r="L327" s="1">
        <v>45260</v>
      </c>
      <c r="M327" s="1">
        <v>44964</v>
      </c>
      <c r="N327" s="1">
        <v>45260</v>
      </c>
      <c r="O327" t="s">
        <v>117</v>
      </c>
      <c r="P327" t="s">
        <v>1231</v>
      </c>
      <c r="Q327" t="s">
        <v>1232</v>
      </c>
      <c r="R327" t="s">
        <v>1233</v>
      </c>
      <c r="T327" t="s">
        <v>1234</v>
      </c>
      <c r="U327" t="s">
        <v>394</v>
      </c>
      <c r="V327" s="4" t="str">
        <f t="shared" si="20"/>
        <v>29455</v>
      </c>
      <c r="W327" t="s">
        <v>120</v>
      </c>
      <c r="Y327" s="5">
        <v>18437682700</v>
      </c>
      <c r="AA327">
        <v>7211</v>
      </c>
      <c r="AB327" t="s">
        <v>1235</v>
      </c>
      <c r="AC327" t="s">
        <v>1236</v>
      </c>
      <c r="AE327" t="s">
        <v>398</v>
      </c>
      <c r="AF327" t="s">
        <v>1237</v>
      </c>
      <c r="AH327" t="s">
        <v>1234</v>
      </c>
      <c r="AI327" t="s">
        <v>394</v>
      </c>
      <c r="AJ327" s="4" t="str">
        <f t="shared" si="21"/>
        <v>29455</v>
      </c>
      <c r="AK327" t="s">
        <v>120</v>
      </c>
      <c r="AM327" s="5">
        <v>18437682700</v>
      </c>
      <c r="AO327" t="s">
        <v>1238</v>
      </c>
      <c r="AP327" t="s">
        <v>256</v>
      </c>
      <c r="AQ327" t="s">
        <v>400</v>
      </c>
      <c r="AR327" t="s">
        <v>401</v>
      </c>
      <c r="AS327" t="s">
        <v>397</v>
      </c>
      <c r="AT327" t="s">
        <v>402</v>
      </c>
      <c r="AU327" t="s">
        <v>152</v>
      </c>
      <c r="AV327" t="s">
        <v>403</v>
      </c>
      <c r="AW327" t="s">
        <v>232</v>
      </c>
      <c r="AX327" s="4" t="str">
        <f t="shared" si="22"/>
        <v>75033</v>
      </c>
      <c r="AY327" t="s">
        <v>120</v>
      </c>
      <c r="BA327" s="5">
        <v>19727789690</v>
      </c>
      <c r="BC327" t="s">
        <v>1239</v>
      </c>
      <c r="BD327" t="s">
        <v>405</v>
      </c>
      <c r="BG327" t="s">
        <v>394</v>
      </c>
      <c r="BH327" s="1">
        <v>44888.791666666664</v>
      </c>
      <c r="BI327">
        <v>40</v>
      </c>
      <c r="BJ327">
        <v>8</v>
      </c>
      <c r="BK327">
        <v>8</v>
      </c>
      <c r="BL327">
        <v>0</v>
      </c>
      <c r="BM327">
        <v>8</v>
      </c>
      <c r="BN327">
        <v>0</v>
      </c>
      <c r="BO327">
        <v>8</v>
      </c>
      <c r="BP327">
        <v>8</v>
      </c>
      <c r="BQ327" t="str">
        <f>"7:00 AM"</f>
        <v>7:00 AM</v>
      </c>
      <c r="BR327" t="str">
        <f>"3:00 PM"</f>
        <v>3:00 PM</v>
      </c>
      <c r="BS327" t="s">
        <v>133</v>
      </c>
      <c r="BT327">
        <v>0</v>
      </c>
      <c r="BU327">
        <v>0</v>
      </c>
      <c r="BV327" t="s">
        <v>134</v>
      </c>
      <c r="BX327" t="s">
        <v>14744</v>
      </c>
      <c r="BY327" t="s">
        <v>1241</v>
      </c>
      <c r="CA327" t="s">
        <v>1242</v>
      </c>
      <c r="CB327" t="s">
        <v>394</v>
      </c>
      <c r="CC327" s="4" t="str">
        <f t="shared" si="23"/>
        <v>29455</v>
      </c>
      <c r="CD327" t="s">
        <v>1243</v>
      </c>
      <c r="CE327" t="s">
        <v>1244</v>
      </c>
      <c r="CF327" s="6">
        <v>12.04</v>
      </c>
      <c r="CG327" s="6">
        <v>17</v>
      </c>
      <c r="CH327" s="6">
        <v>18.059999999999999</v>
      </c>
      <c r="CI327" s="6">
        <v>25.5</v>
      </c>
      <c r="CJ327" t="s">
        <v>137</v>
      </c>
      <c r="CK327" t="s">
        <v>950</v>
      </c>
      <c r="CL327" t="s">
        <v>14745</v>
      </c>
      <c r="CO327" t="s">
        <v>138</v>
      </c>
      <c r="CP327" t="s">
        <v>134</v>
      </c>
      <c r="CQ327" t="s">
        <v>114</v>
      </c>
      <c r="CR327" t="s">
        <v>114</v>
      </c>
      <c r="CS327" t="s">
        <v>114</v>
      </c>
      <c r="CT327" t="s">
        <v>114</v>
      </c>
      <c r="CU327" t="s">
        <v>114</v>
      </c>
      <c r="CV327" s="2" t="s">
        <v>1246</v>
      </c>
      <c r="CW327" s="5" t="str">
        <f t="shared" si="24"/>
        <v>+18437682700</v>
      </c>
      <c r="CX327" t="s">
        <v>138</v>
      </c>
      <c r="CY327" t="s">
        <v>5548</v>
      </c>
      <c r="CZ327" t="s">
        <v>139</v>
      </c>
      <c r="DA327" t="s">
        <v>134</v>
      </c>
      <c r="DB327" t="s">
        <v>114</v>
      </c>
      <c r="DC327" t="s">
        <v>114</v>
      </c>
      <c r="DD327" t="s">
        <v>134</v>
      </c>
    </row>
    <row r="328" spans="1:113" ht="15" customHeight="1" x14ac:dyDescent="0.25">
      <c r="A328" t="s">
        <v>14769</v>
      </c>
      <c r="B328" t="s">
        <v>165</v>
      </c>
      <c r="C328" s="1">
        <v>44888.677372337967</v>
      </c>
      <c r="D328" s="1">
        <v>44915</v>
      </c>
      <c r="E328" t="s">
        <v>134</v>
      </c>
      <c r="F328" t="s">
        <v>334</v>
      </c>
      <c r="G328" t="str">
        <f>"37-3012.00"</f>
        <v>37-3012.00</v>
      </c>
      <c r="H328" t="s">
        <v>3129</v>
      </c>
      <c r="I328">
        <v>50</v>
      </c>
      <c r="J328">
        <v>50</v>
      </c>
      <c r="K328" s="1">
        <v>44963</v>
      </c>
      <c r="L328" s="1">
        <v>45244</v>
      </c>
      <c r="M328" s="1">
        <v>44963</v>
      </c>
      <c r="N328" s="1">
        <v>45244</v>
      </c>
      <c r="O328" t="s">
        <v>117</v>
      </c>
      <c r="P328" t="s">
        <v>14770</v>
      </c>
      <c r="R328" t="s">
        <v>14771</v>
      </c>
      <c r="S328" t="s">
        <v>8879</v>
      </c>
      <c r="T328" t="s">
        <v>2857</v>
      </c>
      <c r="U328" t="s">
        <v>119</v>
      </c>
      <c r="V328" s="4" t="str">
        <f>"28269"</f>
        <v>28269</v>
      </c>
      <c r="W328" t="s">
        <v>120</v>
      </c>
      <c r="Y328" s="5">
        <v>17045090020</v>
      </c>
      <c r="AA328">
        <v>56173</v>
      </c>
      <c r="AB328" t="s">
        <v>942</v>
      </c>
      <c r="AC328" t="s">
        <v>943</v>
      </c>
      <c r="AE328" t="s">
        <v>2205</v>
      </c>
      <c r="AF328" t="s">
        <v>14771</v>
      </c>
      <c r="AG328" t="s">
        <v>8880</v>
      </c>
      <c r="AH328" t="s">
        <v>2857</v>
      </c>
      <c r="AI328" t="s">
        <v>119</v>
      </c>
      <c r="AJ328" s="4" t="str">
        <f>"28269"</f>
        <v>28269</v>
      </c>
      <c r="AK328" t="s">
        <v>120</v>
      </c>
      <c r="AM328" s="5">
        <v>17045090020</v>
      </c>
      <c r="AN328">
        <v>114</v>
      </c>
      <c r="AO328" t="s">
        <v>945</v>
      </c>
      <c r="AP328" t="s">
        <v>256</v>
      </c>
      <c r="AQ328" t="s">
        <v>475</v>
      </c>
      <c r="AR328" t="s">
        <v>476</v>
      </c>
      <c r="AT328" t="s">
        <v>477</v>
      </c>
      <c r="AV328" t="s">
        <v>478</v>
      </c>
      <c r="AW328" t="s">
        <v>479</v>
      </c>
      <c r="AX328" s="4" t="str">
        <f>"22903"</f>
        <v>22903</v>
      </c>
      <c r="AY328" t="s">
        <v>120</v>
      </c>
      <c r="BA328" s="5">
        <v>14342634300</v>
      </c>
      <c r="BC328" t="s">
        <v>480</v>
      </c>
      <c r="BD328" t="s">
        <v>481</v>
      </c>
      <c r="BG328" t="s">
        <v>119</v>
      </c>
      <c r="BH328" s="1">
        <v>44887.791666666664</v>
      </c>
      <c r="BI328">
        <v>40</v>
      </c>
      <c r="BJ328">
        <v>0</v>
      </c>
      <c r="BK328">
        <v>8</v>
      </c>
      <c r="BL328">
        <v>8</v>
      </c>
      <c r="BM328">
        <v>8</v>
      </c>
      <c r="BN328">
        <v>8</v>
      </c>
      <c r="BO328">
        <v>8</v>
      </c>
      <c r="BP328">
        <v>0</v>
      </c>
      <c r="BQ328" t="str">
        <f>"7:00 AM"</f>
        <v>7:00 AM</v>
      </c>
      <c r="BR328" t="str">
        <f>"4:00 PM"</f>
        <v>4:00 PM</v>
      </c>
      <c r="BS328" t="s">
        <v>133</v>
      </c>
      <c r="BT328">
        <v>0</v>
      </c>
      <c r="BU328">
        <v>0</v>
      </c>
      <c r="BV328" t="s">
        <v>134</v>
      </c>
      <c r="BX328" s="2" t="s">
        <v>3969</v>
      </c>
      <c r="BY328" t="s">
        <v>14771</v>
      </c>
      <c r="CA328" t="s">
        <v>2857</v>
      </c>
      <c r="CB328" t="s">
        <v>119</v>
      </c>
      <c r="CC328" s="4" t="str">
        <f>"28269"</f>
        <v>28269</v>
      </c>
      <c r="CD328" t="s">
        <v>1403</v>
      </c>
      <c r="CE328" t="s">
        <v>1404</v>
      </c>
      <c r="CF328" s="6">
        <v>18.8</v>
      </c>
      <c r="CH328" s="6">
        <v>28.2</v>
      </c>
      <c r="CJ328" t="s">
        <v>137</v>
      </c>
      <c r="CK328" t="s">
        <v>487</v>
      </c>
      <c r="CL328" t="s">
        <v>14772</v>
      </c>
      <c r="CO328" t="s">
        <v>138</v>
      </c>
      <c r="CP328" t="s">
        <v>114</v>
      </c>
      <c r="CQ328" t="s">
        <v>134</v>
      </c>
      <c r="CR328" t="s">
        <v>114</v>
      </c>
      <c r="CS328" t="s">
        <v>114</v>
      </c>
      <c r="CT328" t="s">
        <v>114</v>
      </c>
      <c r="CU328" t="s">
        <v>114</v>
      </c>
      <c r="CV328" t="s">
        <v>10766</v>
      </c>
      <c r="CW328" s="5" t="str">
        <f>"+17045090020"</f>
        <v>+17045090020</v>
      </c>
      <c r="CX328" t="s">
        <v>138</v>
      </c>
      <c r="CY328" t="s">
        <v>2142</v>
      </c>
      <c r="CZ328" t="s">
        <v>139</v>
      </c>
      <c r="DA328" t="s">
        <v>134</v>
      </c>
      <c r="DB328" t="s">
        <v>114</v>
      </c>
      <c r="DC328" t="s">
        <v>114</v>
      </c>
      <c r="DD328" t="s">
        <v>134</v>
      </c>
      <c r="DE328" t="s">
        <v>492</v>
      </c>
      <c r="DF328" t="s">
        <v>493</v>
      </c>
      <c r="DH328" t="s">
        <v>481</v>
      </c>
      <c r="DI328" t="s">
        <v>480</v>
      </c>
    </row>
    <row r="329" spans="1:113" ht="15" customHeight="1" x14ac:dyDescent="0.25">
      <c r="A329" t="s">
        <v>16643</v>
      </c>
      <c r="B329" t="s">
        <v>165</v>
      </c>
      <c r="C329" s="1">
        <v>44888.474828935185</v>
      </c>
      <c r="D329" s="1">
        <v>44915</v>
      </c>
      <c r="E329" t="s">
        <v>134</v>
      </c>
      <c r="F329" t="s">
        <v>334</v>
      </c>
      <c r="G329" t="str">
        <f>"37-3011.00"</f>
        <v>37-3011.00</v>
      </c>
      <c r="H329" t="s">
        <v>335</v>
      </c>
      <c r="I329">
        <v>35</v>
      </c>
      <c r="J329">
        <v>35</v>
      </c>
      <c r="K329" s="1">
        <v>44978</v>
      </c>
      <c r="L329" s="1">
        <v>45260</v>
      </c>
      <c r="M329" s="1">
        <v>44978</v>
      </c>
      <c r="N329" s="1">
        <v>45260</v>
      </c>
      <c r="O329" t="s">
        <v>117</v>
      </c>
      <c r="P329" t="s">
        <v>4426</v>
      </c>
      <c r="R329" t="s">
        <v>4427</v>
      </c>
      <c r="S329" t="s">
        <v>138</v>
      </c>
      <c r="T329" t="s">
        <v>4410</v>
      </c>
      <c r="U329" t="s">
        <v>1349</v>
      </c>
      <c r="V329" s="4" t="str">
        <f>"72223"</f>
        <v>72223</v>
      </c>
      <c r="W329" t="s">
        <v>120</v>
      </c>
      <c r="X329" t="s">
        <v>138</v>
      </c>
      <c r="Y329" s="5">
        <v>15018684666</v>
      </c>
      <c r="AA329">
        <v>561730</v>
      </c>
      <c r="AB329" t="s">
        <v>2325</v>
      </c>
      <c r="AC329" t="s">
        <v>4428</v>
      </c>
      <c r="AD329" t="s">
        <v>138</v>
      </c>
      <c r="AE329" t="s">
        <v>285</v>
      </c>
      <c r="AF329" t="s">
        <v>4427</v>
      </c>
      <c r="AG329" t="s">
        <v>138</v>
      </c>
      <c r="AH329" t="s">
        <v>4410</v>
      </c>
      <c r="AI329" t="s">
        <v>1349</v>
      </c>
      <c r="AJ329" s="4" t="str">
        <f>"72223"</f>
        <v>72223</v>
      </c>
      <c r="AK329" t="s">
        <v>120</v>
      </c>
      <c r="AM329" s="5">
        <v>15018684666</v>
      </c>
      <c r="AO329" t="s">
        <v>4429</v>
      </c>
      <c r="AP329" t="s">
        <v>256</v>
      </c>
      <c r="AQ329" t="s">
        <v>1282</v>
      </c>
      <c r="AR329" t="s">
        <v>1283</v>
      </c>
      <c r="AS329" t="s">
        <v>138</v>
      </c>
      <c r="AT329" t="s">
        <v>1284</v>
      </c>
      <c r="AU329" t="s">
        <v>138</v>
      </c>
      <c r="AV329" t="s">
        <v>1285</v>
      </c>
      <c r="AW329" t="s">
        <v>232</v>
      </c>
      <c r="AX329" s="4" t="str">
        <f>"77414"</f>
        <v>77414</v>
      </c>
      <c r="AY329" t="s">
        <v>120</v>
      </c>
      <c r="BA329" s="5">
        <v>19793187279</v>
      </c>
      <c r="BC329" t="s">
        <v>1286</v>
      </c>
      <c r="BD329" t="s">
        <v>1287</v>
      </c>
      <c r="BG329" t="s">
        <v>1349</v>
      </c>
      <c r="BH329" s="1">
        <v>44887.791666666664</v>
      </c>
      <c r="BI329">
        <v>40</v>
      </c>
      <c r="BJ329">
        <v>0</v>
      </c>
      <c r="BK329">
        <v>8</v>
      </c>
      <c r="BL329">
        <v>8</v>
      </c>
      <c r="BM329">
        <v>8</v>
      </c>
      <c r="BN329">
        <v>8</v>
      </c>
      <c r="BO329">
        <v>8</v>
      </c>
      <c r="BP329">
        <v>0</v>
      </c>
      <c r="BQ329" t="str">
        <f>"7:30 AM"</f>
        <v>7:30 AM</v>
      </c>
      <c r="BR329" t="str">
        <f>"4:00 PM"</f>
        <v>4:00 PM</v>
      </c>
      <c r="BS329" t="s">
        <v>133</v>
      </c>
      <c r="BT329">
        <v>0</v>
      </c>
      <c r="BU329">
        <v>0</v>
      </c>
      <c r="BV329" t="s">
        <v>134</v>
      </c>
      <c r="BX329" s="2" t="s">
        <v>16644</v>
      </c>
      <c r="BY329" t="s">
        <v>4427</v>
      </c>
      <c r="BZ329" t="s">
        <v>138</v>
      </c>
      <c r="CA329" t="s">
        <v>4410</v>
      </c>
      <c r="CB329" t="s">
        <v>1349</v>
      </c>
      <c r="CC329" s="4" t="str">
        <f>"72223"</f>
        <v>72223</v>
      </c>
      <c r="CD329" t="s">
        <v>4412</v>
      </c>
      <c r="CE329" t="s">
        <v>4413</v>
      </c>
      <c r="CF329" s="6">
        <v>14.33</v>
      </c>
      <c r="CG329" s="6">
        <v>19</v>
      </c>
      <c r="CH329" s="6">
        <v>21.5</v>
      </c>
      <c r="CI329" s="6">
        <v>28.5</v>
      </c>
      <c r="CJ329" t="s">
        <v>137</v>
      </c>
      <c r="CK329" t="s">
        <v>4430</v>
      </c>
      <c r="CL329" t="s">
        <v>4431</v>
      </c>
      <c r="CO329" t="s">
        <v>138</v>
      </c>
      <c r="CP329" t="s">
        <v>114</v>
      </c>
      <c r="CQ329" t="s">
        <v>114</v>
      </c>
      <c r="CR329" t="s">
        <v>114</v>
      </c>
      <c r="CS329" t="s">
        <v>114</v>
      </c>
      <c r="CT329" t="s">
        <v>114</v>
      </c>
      <c r="CU329" t="s">
        <v>134</v>
      </c>
      <c r="CV329" t="s">
        <v>15669</v>
      </c>
      <c r="CW329" s="5" t="str">
        <f>"+15018684666"</f>
        <v>+15018684666</v>
      </c>
      <c r="CX329" t="s">
        <v>4432</v>
      </c>
      <c r="CY329" t="s">
        <v>138</v>
      </c>
      <c r="CZ329" t="s">
        <v>139</v>
      </c>
      <c r="DA329" t="s">
        <v>134</v>
      </c>
      <c r="DB329" t="s">
        <v>134</v>
      </c>
      <c r="DC329" t="s">
        <v>114</v>
      </c>
      <c r="DD329" t="s">
        <v>134</v>
      </c>
    </row>
    <row r="330" spans="1:113" ht="15" customHeight="1" x14ac:dyDescent="0.25">
      <c r="A330" t="s">
        <v>16002</v>
      </c>
      <c r="B330" t="s">
        <v>165</v>
      </c>
      <c r="C330" s="1">
        <v>44887.902516666669</v>
      </c>
      <c r="D330" s="1">
        <v>44915</v>
      </c>
      <c r="E330" t="s">
        <v>134</v>
      </c>
      <c r="F330" t="s">
        <v>10802</v>
      </c>
      <c r="G330" t="str">
        <f>"35-2021.00"</f>
        <v>35-2021.00</v>
      </c>
      <c r="H330" t="s">
        <v>718</v>
      </c>
      <c r="I330">
        <v>4</v>
      </c>
      <c r="J330">
        <v>4</v>
      </c>
      <c r="K330" s="1">
        <v>44962</v>
      </c>
      <c r="L330" s="1">
        <v>45260</v>
      </c>
      <c r="M330" s="1">
        <v>44962</v>
      </c>
      <c r="N330" s="1">
        <v>45260</v>
      </c>
      <c r="O330" t="s">
        <v>117</v>
      </c>
      <c r="P330" t="s">
        <v>15495</v>
      </c>
      <c r="R330" t="s">
        <v>15496</v>
      </c>
      <c r="T330" t="s">
        <v>4646</v>
      </c>
      <c r="U330" t="s">
        <v>1750</v>
      </c>
      <c r="V330" s="4" t="str">
        <f>"68845"</f>
        <v>68845</v>
      </c>
      <c r="W330" t="s">
        <v>120</v>
      </c>
      <c r="Y330" s="5">
        <v>13084405810</v>
      </c>
      <c r="AA330">
        <v>721110</v>
      </c>
      <c r="AB330" t="s">
        <v>10233</v>
      </c>
      <c r="AC330" t="s">
        <v>5235</v>
      </c>
      <c r="AE330" t="s">
        <v>1526</v>
      </c>
      <c r="AF330" t="s">
        <v>15496</v>
      </c>
      <c r="AH330" t="s">
        <v>4646</v>
      </c>
      <c r="AI330" t="s">
        <v>1750</v>
      </c>
      <c r="AJ330" s="4" t="str">
        <f>"68845"</f>
        <v>68845</v>
      </c>
      <c r="AK330" t="s">
        <v>120</v>
      </c>
      <c r="AM330" s="5">
        <v>13084405810</v>
      </c>
      <c r="AO330" t="s">
        <v>1574</v>
      </c>
      <c r="AP330" t="s">
        <v>256</v>
      </c>
      <c r="AQ330" t="s">
        <v>2145</v>
      </c>
      <c r="AR330" t="s">
        <v>1965</v>
      </c>
      <c r="AT330" t="s">
        <v>1943</v>
      </c>
      <c r="AU330" t="s">
        <v>1944</v>
      </c>
      <c r="AV330" t="s">
        <v>1945</v>
      </c>
      <c r="AW330" t="s">
        <v>631</v>
      </c>
      <c r="AX330" s="4" t="str">
        <f>"74136"</f>
        <v>74136</v>
      </c>
      <c r="AY330" t="s">
        <v>120</v>
      </c>
      <c r="AZ330" t="s">
        <v>5588</v>
      </c>
      <c r="BA330" s="5">
        <v>19189065212</v>
      </c>
      <c r="BC330" t="s">
        <v>5589</v>
      </c>
      <c r="BD330" t="s">
        <v>1947</v>
      </c>
      <c r="BG330" t="s">
        <v>1750</v>
      </c>
      <c r="BH330" s="1">
        <v>44886.791666666664</v>
      </c>
      <c r="BI330">
        <v>40</v>
      </c>
      <c r="BJ330">
        <v>0</v>
      </c>
      <c r="BK330">
        <v>8</v>
      </c>
      <c r="BL330">
        <v>8</v>
      </c>
      <c r="BM330">
        <v>8</v>
      </c>
      <c r="BN330">
        <v>8</v>
      </c>
      <c r="BO330">
        <v>8</v>
      </c>
      <c r="BP330">
        <v>0</v>
      </c>
      <c r="BQ330" t="str">
        <f>"9:00 AM"</f>
        <v>9:00 AM</v>
      </c>
      <c r="BR330" t="str">
        <f>"5:00 PM"</f>
        <v>5:00 PM</v>
      </c>
      <c r="BS330" t="s">
        <v>133</v>
      </c>
      <c r="BT330">
        <v>0</v>
      </c>
      <c r="BU330">
        <v>0</v>
      </c>
      <c r="BV330" t="s">
        <v>134</v>
      </c>
      <c r="BX330" s="2" t="s">
        <v>16003</v>
      </c>
      <c r="BY330" t="s">
        <v>15497</v>
      </c>
      <c r="CA330" t="s">
        <v>4646</v>
      </c>
      <c r="CB330" t="s">
        <v>1750</v>
      </c>
      <c r="CC330" s="4" t="str">
        <f>"68847"</f>
        <v>68847</v>
      </c>
      <c r="CD330" t="s">
        <v>4650</v>
      </c>
      <c r="CE330" t="s">
        <v>2772</v>
      </c>
      <c r="CF330" s="6">
        <v>12.27</v>
      </c>
      <c r="CG330" s="6">
        <v>12.27</v>
      </c>
      <c r="CH330" s="6">
        <v>18.41</v>
      </c>
      <c r="CI330" s="6">
        <v>18.41</v>
      </c>
      <c r="CJ330" t="s">
        <v>137</v>
      </c>
      <c r="CK330" t="s">
        <v>1948</v>
      </c>
      <c r="CL330" t="s">
        <v>16004</v>
      </c>
      <c r="CO330" t="s">
        <v>138</v>
      </c>
      <c r="CP330" t="s">
        <v>114</v>
      </c>
      <c r="CQ330" t="s">
        <v>134</v>
      </c>
      <c r="CR330" t="s">
        <v>114</v>
      </c>
      <c r="CS330" t="s">
        <v>114</v>
      </c>
      <c r="CT330" t="s">
        <v>114</v>
      </c>
      <c r="CU330" t="s">
        <v>114</v>
      </c>
      <c r="CV330" s="2" t="s">
        <v>16005</v>
      </c>
      <c r="CW330" s="5" t="str">
        <f>"+13084405810"</f>
        <v>+13084405810</v>
      </c>
      <c r="CX330" t="s">
        <v>138</v>
      </c>
      <c r="CY330" t="s">
        <v>8131</v>
      </c>
      <c r="CZ330" t="s">
        <v>139</v>
      </c>
      <c r="DA330" t="s">
        <v>134</v>
      </c>
      <c r="DB330" t="s">
        <v>114</v>
      </c>
      <c r="DC330" t="s">
        <v>114</v>
      </c>
      <c r="DD330" t="s">
        <v>134</v>
      </c>
    </row>
    <row r="331" spans="1:113" ht="15" customHeight="1" x14ac:dyDescent="0.25">
      <c r="A331" t="s">
        <v>16639</v>
      </c>
      <c r="B331" t="s">
        <v>165</v>
      </c>
      <c r="C331" s="1">
        <v>44887.895360300929</v>
      </c>
      <c r="D331" s="1">
        <v>44915</v>
      </c>
      <c r="E331" t="s">
        <v>134</v>
      </c>
      <c r="F331" t="s">
        <v>334</v>
      </c>
      <c r="G331" t="str">
        <f>"49-9099.00"</f>
        <v>49-9099.00</v>
      </c>
      <c r="H331" t="s">
        <v>4721</v>
      </c>
      <c r="I331">
        <v>4</v>
      </c>
      <c r="J331">
        <v>4</v>
      </c>
      <c r="K331" s="1">
        <v>44962</v>
      </c>
      <c r="L331" s="1">
        <v>45260</v>
      </c>
      <c r="M331" s="1">
        <v>44962</v>
      </c>
      <c r="N331" s="1">
        <v>45260</v>
      </c>
      <c r="O331" t="s">
        <v>117</v>
      </c>
      <c r="P331" t="s">
        <v>15495</v>
      </c>
      <c r="R331" t="s">
        <v>15496</v>
      </c>
      <c r="T331" t="s">
        <v>4646</v>
      </c>
      <c r="U331" t="s">
        <v>1750</v>
      </c>
      <c r="V331" s="4" t="str">
        <f>"68845"</f>
        <v>68845</v>
      </c>
      <c r="W331" t="s">
        <v>120</v>
      </c>
      <c r="Y331" s="5">
        <v>13084405810</v>
      </c>
      <c r="AA331">
        <v>721110</v>
      </c>
      <c r="AB331" t="s">
        <v>10233</v>
      </c>
      <c r="AC331" t="s">
        <v>5235</v>
      </c>
      <c r="AE331" t="s">
        <v>1526</v>
      </c>
      <c r="AF331" t="s">
        <v>15496</v>
      </c>
      <c r="AH331" t="s">
        <v>4646</v>
      </c>
      <c r="AI331" t="s">
        <v>1750</v>
      </c>
      <c r="AJ331" s="4" t="str">
        <f>"68845"</f>
        <v>68845</v>
      </c>
      <c r="AK331" t="s">
        <v>120</v>
      </c>
      <c r="AM331" s="5">
        <v>13084405810</v>
      </c>
      <c r="AO331" t="s">
        <v>1574</v>
      </c>
      <c r="AP331" t="s">
        <v>256</v>
      </c>
      <c r="AQ331" t="s">
        <v>2145</v>
      </c>
      <c r="AR331" t="s">
        <v>1965</v>
      </c>
      <c r="AT331" t="s">
        <v>1943</v>
      </c>
      <c r="AU331" t="s">
        <v>1944</v>
      </c>
      <c r="AV331" t="s">
        <v>1945</v>
      </c>
      <c r="AW331" t="s">
        <v>631</v>
      </c>
      <c r="AX331" s="4" t="str">
        <f>"74136"</f>
        <v>74136</v>
      </c>
      <c r="AY331" t="s">
        <v>120</v>
      </c>
      <c r="AZ331" t="s">
        <v>5588</v>
      </c>
      <c r="BA331" s="5">
        <v>19189065212</v>
      </c>
      <c r="BC331" t="s">
        <v>5589</v>
      </c>
      <c r="BD331" t="s">
        <v>1947</v>
      </c>
      <c r="BG331" t="s">
        <v>1750</v>
      </c>
      <c r="BH331" s="1">
        <v>44886.791666666664</v>
      </c>
      <c r="BI331">
        <v>40</v>
      </c>
      <c r="BJ331">
        <v>0</v>
      </c>
      <c r="BK331">
        <v>8</v>
      </c>
      <c r="BL331">
        <v>8</v>
      </c>
      <c r="BM331">
        <v>8</v>
      </c>
      <c r="BN331">
        <v>8</v>
      </c>
      <c r="BO331">
        <v>8</v>
      </c>
      <c r="BP331">
        <v>0</v>
      </c>
      <c r="BQ331" t="str">
        <f>"9:00 AM"</f>
        <v>9:00 AM</v>
      </c>
      <c r="BR331" t="str">
        <f>"5:00 PM"</f>
        <v>5:00 PM</v>
      </c>
      <c r="BS331" t="s">
        <v>133</v>
      </c>
      <c r="BT331">
        <v>0</v>
      </c>
      <c r="BU331">
        <v>0</v>
      </c>
      <c r="BV331" t="s">
        <v>134</v>
      </c>
      <c r="BX331" s="2" t="s">
        <v>16640</v>
      </c>
      <c r="BY331" t="s">
        <v>15497</v>
      </c>
      <c r="CA331" t="s">
        <v>4646</v>
      </c>
      <c r="CB331" t="s">
        <v>1750</v>
      </c>
      <c r="CC331" s="4" t="str">
        <f>"68847"</f>
        <v>68847</v>
      </c>
      <c r="CD331" t="s">
        <v>4650</v>
      </c>
      <c r="CE331" t="s">
        <v>2772</v>
      </c>
      <c r="CF331" s="6">
        <v>16.71</v>
      </c>
      <c r="CG331" s="6">
        <v>16.71</v>
      </c>
      <c r="CH331" s="6">
        <v>25.07</v>
      </c>
      <c r="CI331" s="6">
        <v>25.07</v>
      </c>
      <c r="CJ331" t="s">
        <v>137</v>
      </c>
      <c r="CK331" t="s">
        <v>1948</v>
      </c>
      <c r="CL331" t="s">
        <v>16641</v>
      </c>
      <c r="CO331" t="s">
        <v>138</v>
      </c>
      <c r="CP331" t="s">
        <v>114</v>
      </c>
      <c r="CQ331" t="s">
        <v>134</v>
      </c>
      <c r="CR331" t="s">
        <v>114</v>
      </c>
      <c r="CS331" t="s">
        <v>114</v>
      </c>
      <c r="CT331" t="s">
        <v>114</v>
      </c>
      <c r="CU331" t="s">
        <v>114</v>
      </c>
      <c r="CV331" s="2" t="s">
        <v>16642</v>
      </c>
      <c r="CW331" s="5" t="str">
        <f>"+13084405810"</f>
        <v>+13084405810</v>
      </c>
      <c r="CX331" t="s">
        <v>138</v>
      </c>
      <c r="CY331" t="s">
        <v>8131</v>
      </c>
      <c r="CZ331" t="s">
        <v>139</v>
      </c>
      <c r="DA331" t="s">
        <v>134</v>
      </c>
      <c r="DB331" t="s">
        <v>114</v>
      </c>
      <c r="DC331" t="s">
        <v>114</v>
      </c>
      <c r="DD331" t="s">
        <v>134</v>
      </c>
    </row>
    <row r="332" spans="1:113" ht="15" customHeight="1" x14ac:dyDescent="0.25">
      <c r="A332" t="s">
        <v>6866</v>
      </c>
      <c r="B332" t="s">
        <v>165</v>
      </c>
      <c r="C332" s="1">
        <v>44887.666432638885</v>
      </c>
      <c r="D332" s="1">
        <v>44915</v>
      </c>
      <c r="E332" t="s">
        <v>134</v>
      </c>
      <c r="F332" t="s">
        <v>6867</v>
      </c>
      <c r="G332" t="str">
        <f>"37-3011.00"</f>
        <v>37-3011.00</v>
      </c>
      <c r="H332" t="s">
        <v>335</v>
      </c>
      <c r="I332">
        <v>10</v>
      </c>
      <c r="J332">
        <v>10</v>
      </c>
      <c r="K332" s="1">
        <v>44975</v>
      </c>
      <c r="L332" s="1">
        <v>45277</v>
      </c>
      <c r="M332" s="1">
        <v>44975</v>
      </c>
      <c r="N332" s="1">
        <v>45277</v>
      </c>
      <c r="O332" t="s">
        <v>117</v>
      </c>
      <c r="P332" t="s">
        <v>6868</v>
      </c>
      <c r="R332" t="s">
        <v>6869</v>
      </c>
      <c r="T332" t="s">
        <v>6870</v>
      </c>
      <c r="U332" t="s">
        <v>697</v>
      </c>
      <c r="V332" s="4" t="str">
        <f>"65721"</f>
        <v>65721</v>
      </c>
      <c r="W332" t="s">
        <v>120</v>
      </c>
      <c r="Y332" s="5">
        <v>14178612784</v>
      </c>
      <c r="AA332">
        <v>56173</v>
      </c>
      <c r="AB332" t="s">
        <v>6871</v>
      </c>
      <c r="AC332" t="s">
        <v>6872</v>
      </c>
      <c r="AE332" t="s">
        <v>700</v>
      </c>
      <c r="AF332" t="s">
        <v>6869</v>
      </c>
      <c r="AH332" t="s">
        <v>6870</v>
      </c>
      <c r="AI332" t="s">
        <v>697</v>
      </c>
      <c r="AJ332" s="4" t="str">
        <f>"65721"</f>
        <v>65721</v>
      </c>
      <c r="AK332" t="s">
        <v>120</v>
      </c>
      <c r="AM332" s="5">
        <v>14178612784</v>
      </c>
      <c r="AO332" t="s">
        <v>6873</v>
      </c>
      <c r="AP332" t="s">
        <v>122</v>
      </c>
      <c r="AQ332" t="s">
        <v>1250</v>
      </c>
      <c r="AR332" t="s">
        <v>1251</v>
      </c>
      <c r="AS332" t="s">
        <v>259</v>
      </c>
      <c r="AT332" t="s">
        <v>1252</v>
      </c>
      <c r="AV332" t="s">
        <v>1253</v>
      </c>
      <c r="AW332" t="s">
        <v>657</v>
      </c>
      <c r="AX332" s="4" t="str">
        <f>"37110"</f>
        <v>37110</v>
      </c>
      <c r="AY332" t="s">
        <v>120</v>
      </c>
      <c r="BA332" s="5">
        <v>19312747811</v>
      </c>
      <c r="BC332" t="s">
        <v>1254</v>
      </c>
      <c r="BD332" t="s">
        <v>1255</v>
      </c>
      <c r="BE332" t="s">
        <v>657</v>
      </c>
      <c r="BF332" t="s">
        <v>1256</v>
      </c>
      <c r="BG332" t="s">
        <v>697</v>
      </c>
      <c r="BH332" s="1">
        <v>44885.791666666664</v>
      </c>
      <c r="BI332">
        <v>40</v>
      </c>
      <c r="BJ332">
        <v>0</v>
      </c>
      <c r="BK332">
        <v>8</v>
      </c>
      <c r="BL332">
        <v>8</v>
      </c>
      <c r="BM332">
        <v>8</v>
      </c>
      <c r="BN332">
        <v>8</v>
      </c>
      <c r="BO332">
        <v>8</v>
      </c>
      <c r="BP332">
        <v>0</v>
      </c>
      <c r="BQ332" t="str">
        <f>"7:00 AM"</f>
        <v>7:00 AM</v>
      </c>
      <c r="BR332" t="str">
        <f>"4:00 PM"</f>
        <v>4:00 PM</v>
      </c>
      <c r="BS332" t="s">
        <v>133</v>
      </c>
      <c r="BT332">
        <v>0</v>
      </c>
      <c r="BU332">
        <v>0</v>
      </c>
      <c r="BV332" t="s">
        <v>134</v>
      </c>
      <c r="BX332" s="2" t="s">
        <v>6874</v>
      </c>
      <c r="BY332" t="s">
        <v>6869</v>
      </c>
      <c r="CA332" t="s">
        <v>6870</v>
      </c>
      <c r="CB332" t="s">
        <v>697</v>
      </c>
      <c r="CC332" s="4" t="str">
        <f>"65721"</f>
        <v>65721</v>
      </c>
      <c r="CD332" t="s">
        <v>1940</v>
      </c>
      <c r="CE332" t="s">
        <v>1364</v>
      </c>
      <c r="CF332" s="6">
        <v>14.84</v>
      </c>
      <c r="CH332" s="6">
        <v>22.26</v>
      </c>
      <c r="CJ332" t="s">
        <v>137</v>
      </c>
      <c r="CL332" t="s">
        <v>6875</v>
      </c>
      <c r="CM332" t="s">
        <v>6876</v>
      </c>
      <c r="CO332" t="s">
        <v>138</v>
      </c>
      <c r="CP332" t="s">
        <v>114</v>
      </c>
      <c r="CQ332" t="s">
        <v>114</v>
      </c>
      <c r="CR332" t="s">
        <v>114</v>
      </c>
      <c r="CS332" t="s">
        <v>134</v>
      </c>
      <c r="CT332" t="s">
        <v>114</v>
      </c>
      <c r="CU332" t="s">
        <v>134</v>
      </c>
      <c r="CV332" t="s">
        <v>1574</v>
      </c>
      <c r="CW332" s="5" t="str">
        <f>"+14178612784"</f>
        <v>+14178612784</v>
      </c>
      <c r="CX332" t="s">
        <v>6877</v>
      </c>
      <c r="CY332" t="s">
        <v>138</v>
      </c>
      <c r="CZ332" t="s">
        <v>139</v>
      </c>
      <c r="DA332" t="s">
        <v>134</v>
      </c>
      <c r="DB332" t="s">
        <v>134</v>
      </c>
      <c r="DC332" t="s">
        <v>114</v>
      </c>
      <c r="DD332" t="s">
        <v>134</v>
      </c>
    </row>
    <row r="333" spans="1:113" ht="15" customHeight="1" x14ac:dyDescent="0.25">
      <c r="A333" t="s">
        <v>5440</v>
      </c>
      <c r="B333" t="s">
        <v>165</v>
      </c>
      <c r="C333" s="1">
        <v>44883.668459722219</v>
      </c>
      <c r="D333" s="1">
        <v>44915</v>
      </c>
      <c r="E333" t="s">
        <v>114</v>
      </c>
      <c r="F333" t="s">
        <v>5441</v>
      </c>
      <c r="G333" t="str">
        <f>"39-3091.00"</f>
        <v>39-3091.00</v>
      </c>
      <c r="H333" t="s">
        <v>362</v>
      </c>
      <c r="I333">
        <v>16</v>
      </c>
      <c r="J333">
        <v>16</v>
      </c>
      <c r="K333" s="1">
        <v>44958</v>
      </c>
      <c r="L333" s="1">
        <v>45031</v>
      </c>
      <c r="M333" s="1">
        <v>44958</v>
      </c>
      <c r="N333" s="1">
        <v>45031</v>
      </c>
      <c r="O333" t="s">
        <v>199</v>
      </c>
      <c r="P333" t="s">
        <v>5442</v>
      </c>
      <c r="Q333" t="s">
        <v>5443</v>
      </c>
      <c r="R333" t="s">
        <v>5444</v>
      </c>
      <c r="T333" t="s">
        <v>5445</v>
      </c>
      <c r="U333" t="s">
        <v>1846</v>
      </c>
      <c r="V333" s="4" t="str">
        <f>"05751"</f>
        <v>05751</v>
      </c>
      <c r="W333" t="s">
        <v>120</v>
      </c>
      <c r="Y333" s="5">
        <v>18024226100</v>
      </c>
      <c r="AA333">
        <v>721110</v>
      </c>
      <c r="AB333" t="s">
        <v>4394</v>
      </c>
      <c r="AC333" t="s">
        <v>2130</v>
      </c>
      <c r="AE333" t="s">
        <v>5446</v>
      </c>
      <c r="AF333" t="s">
        <v>5444</v>
      </c>
      <c r="AH333" t="s">
        <v>5445</v>
      </c>
      <c r="AI333" t="s">
        <v>1846</v>
      </c>
      <c r="AJ333" s="4" t="str">
        <f>"05751"</f>
        <v>05751</v>
      </c>
      <c r="AK333" t="s">
        <v>120</v>
      </c>
      <c r="AM333" s="5">
        <v>18024226100</v>
      </c>
      <c r="AO333" t="s">
        <v>5447</v>
      </c>
      <c r="AP333" t="s">
        <v>122</v>
      </c>
      <c r="AQ333" t="s">
        <v>753</v>
      </c>
      <c r="AR333" t="s">
        <v>754</v>
      </c>
      <c r="AS333" t="s">
        <v>755</v>
      </c>
      <c r="AT333" t="s">
        <v>756</v>
      </c>
      <c r="AU333" t="s">
        <v>757</v>
      </c>
      <c r="AV333" t="s">
        <v>758</v>
      </c>
      <c r="AW333" t="s">
        <v>281</v>
      </c>
      <c r="AX333" s="4" t="str">
        <f>"01701"</f>
        <v>01701</v>
      </c>
      <c r="AY333" t="s">
        <v>120</v>
      </c>
      <c r="BA333" s="5">
        <v>16179399444</v>
      </c>
      <c r="BC333" t="s">
        <v>759</v>
      </c>
      <c r="BD333" t="s">
        <v>760</v>
      </c>
      <c r="BE333" t="s">
        <v>281</v>
      </c>
      <c r="BF333" t="s">
        <v>761</v>
      </c>
      <c r="BG333" t="s">
        <v>1846</v>
      </c>
      <c r="BH333" s="1">
        <v>44882.791666666664</v>
      </c>
      <c r="BI333">
        <v>35</v>
      </c>
      <c r="BJ333">
        <v>0</v>
      </c>
      <c r="BK333">
        <v>7</v>
      </c>
      <c r="BL333">
        <v>7</v>
      </c>
      <c r="BM333">
        <v>7</v>
      </c>
      <c r="BN333">
        <v>7</v>
      </c>
      <c r="BO333">
        <v>7</v>
      </c>
      <c r="BP333">
        <v>0</v>
      </c>
      <c r="BQ333" t="str">
        <f>"6:00 AM"</f>
        <v>6:00 AM</v>
      </c>
      <c r="BR333" t="str">
        <f>"1:00 PM"</f>
        <v>1:00 PM</v>
      </c>
      <c r="BS333" t="s">
        <v>133</v>
      </c>
      <c r="BT333">
        <v>0</v>
      </c>
      <c r="BU333">
        <v>3</v>
      </c>
      <c r="BV333" t="s">
        <v>134</v>
      </c>
      <c r="BX333" s="2" t="s">
        <v>5448</v>
      </c>
      <c r="BY333" t="s">
        <v>5444</v>
      </c>
      <c r="CA333" t="s">
        <v>5445</v>
      </c>
      <c r="CB333" t="s">
        <v>1846</v>
      </c>
      <c r="CC333" s="4" t="str">
        <f>"05751"</f>
        <v>05751</v>
      </c>
      <c r="CD333" t="s">
        <v>5449</v>
      </c>
      <c r="CE333" t="s">
        <v>2849</v>
      </c>
      <c r="CF333" s="6">
        <v>17</v>
      </c>
      <c r="CG333" s="6">
        <v>32</v>
      </c>
      <c r="CH333" s="6">
        <v>25.5</v>
      </c>
      <c r="CI333" s="6">
        <v>48</v>
      </c>
      <c r="CJ333" t="s">
        <v>137</v>
      </c>
      <c r="CK333" t="s">
        <v>5450</v>
      </c>
      <c r="CL333" t="s">
        <v>5451</v>
      </c>
      <c r="CO333" t="s">
        <v>138</v>
      </c>
      <c r="CP333" t="s">
        <v>114</v>
      </c>
      <c r="CQ333" t="s">
        <v>134</v>
      </c>
      <c r="CR333" t="s">
        <v>114</v>
      </c>
      <c r="CS333" t="s">
        <v>114</v>
      </c>
      <c r="CT333" t="s">
        <v>114</v>
      </c>
      <c r="CU333" t="s">
        <v>114</v>
      </c>
      <c r="CV333" s="2" t="s">
        <v>5452</v>
      </c>
      <c r="CW333" s="5" t="str">
        <f>"+18024226100"</f>
        <v>+18024226100</v>
      </c>
      <c r="CX333" t="s">
        <v>5447</v>
      </c>
      <c r="CY333" t="s">
        <v>138</v>
      </c>
      <c r="CZ333" t="s">
        <v>139</v>
      </c>
      <c r="DA333" t="s">
        <v>134</v>
      </c>
      <c r="DB333" t="s">
        <v>114</v>
      </c>
      <c r="DC333" t="s">
        <v>114</v>
      </c>
      <c r="DD333" t="s">
        <v>134</v>
      </c>
    </row>
    <row r="334" spans="1:113" ht="15" customHeight="1" x14ac:dyDescent="0.25">
      <c r="A334" t="s">
        <v>15492</v>
      </c>
      <c r="B334" t="s">
        <v>165</v>
      </c>
      <c r="C334" s="1">
        <v>44883.607373726853</v>
      </c>
      <c r="D334" s="1">
        <v>44915</v>
      </c>
      <c r="E334" t="s">
        <v>134</v>
      </c>
      <c r="F334" t="s">
        <v>334</v>
      </c>
      <c r="G334" t="str">
        <f>"37-3011.00"</f>
        <v>37-3011.00</v>
      </c>
      <c r="H334" t="s">
        <v>335</v>
      </c>
      <c r="I334">
        <v>11</v>
      </c>
      <c r="J334">
        <v>11</v>
      </c>
      <c r="K334" s="1">
        <v>44970</v>
      </c>
      <c r="L334" s="1">
        <v>45272</v>
      </c>
      <c r="M334" s="1">
        <v>44970</v>
      </c>
      <c r="N334" s="1">
        <v>45272</v>
      </c>
      <c r="O334" t="s">
        <v>199</v>
      </c>
      <c r="P334" t="s">
        <v>12575</v>
      </c>
      <c r="R334" t="s">
        <v>12576</v>
      </c>
      <c r="S334" t="s">
        <v>12577</v>
      </c>
      <c r="T334" t="s">
        <v>4237</v>
      </c>
      <c r="U334" t="s">
        <v>232</v>
      </c>
      <c r="V334" s="4" t="str">
        <f>"76571"</f>
        <v>76571</v>
      </c>
      <c r="W334" t="s">
        <v>120</v>
      </c>
      <c r="Y334" s="5">
        <v>12544109921</v>
      </c>
      <c r="AA334">
        <v>561730</v>
      </c>
      <c r="AB334" t="s">
        <v>12578</v>
      </c>
      <c r="AC334" t="s">
        <v>5943</v>
      </c>
      <c r="AD334" t="s">
        <v>138</v>
      </c>
      <c r="AE334" t="s">
        <v>424</v>
      </c>
      <c r="AF334" t="s">
        <v>12576</v>
      </c>
      <c r="AG334" t="s">
        <v>12579</v>
      </c>
      <c r="AH334" t="s">
        <v>4237</v>
      </c>
      <c r="AI334" t="s">
        <v>232</v>
      </c>
      <c r="AJ334" s="4" t="str">
        <f>"76571"</f>
        <v>76571</v>
      </c>
      <c r="AK334" t="s">
        <v>120</v>
      </c>
      <c r="AM334" s="5">
        <v>12544109921</v>
      </c>
      <c r="AO334" t="s">
        <v>12580</v>
      </c>
      <c r="AP334" t="s">
        <v>256</v>
      </c>
      <c r="AQ334" t="s">
        <v>2048</v>
      </c>
      <c r="AR334" t="s">
        <v>2049</v>
      </c>
      <c r="AS334" t="s">
        <v>1378</v>
      </c>
      <c r="AT334" t="s">
        <v>2050</v>
      </c>
      <c r="AU334" t="s">
        <v>138</v>
      </c>
      <c r="AV334" t="s">
        <v>1285</v>
      </c>
      <c r="AW334" t="s">
        <v>232</v>
      </c>
      <c r="AX334" s="4" t="str">
        <f>"77414"</f>
        <v>77414</v>
      </c>
      <c r="AY334" t="s">
        <v>120</v>
      </c>
      <c r="BA334" s="5">
        <v>19793187278</v>
      </c>
      <c r="BC334" t="s">
        <v>2051</v>
      </c>
      <c r="BD334" t="s">
        <v>1287</v>
      </c>
      <c r="BG334" t="s">
        <v>232</v>
      </c>
      <c r="BH334" s="1">
        <v>44882.791666666664</v>
      </c>
      <c r="BI334">
        <v>40</v>
      </c>
      <c r="BJ334">
        <v>0</v>
      </c>
      <c r="BK334">
        <v>8</v>
      </c>
      <c r="BL334">
        <v>8</v>
      </c>
      <c r="BM334">
        <v>8</v>
      </c>
      <c r="BN334">
        <v>8</v>
      </c>
      <c r="BO334">
        <v>8</v>
      </c>
      <c r="BP334">
        <v>0</v>
      </c>
      <c r="BQ334" t="str">
        <f>"7:00 AM"</f>
        <v>7:00 AM</v>
      </c>
      <c r="BR334" t="str">
        <f>"4:00 PM"</f>
        <v>4:00 PM</v>
      </c>
      <c r="BS334" t="s">
        <v>133</v>
      </c>
      <c r="BT334">
        <v>0</v>
      </c>
      <c r="BU334">
        <v>0</v>
      </c>
      <c r="BV334" t="s">
        <v>134</v>
      </c>
      <c r="BX334" s="2" t="s">
        <v>15493</v>
      </c>
      <c r="BY334" t="s">
        <v>12576</v>
      </c>
      <c r="BZ334" t="s">
        <v>138</v>
      </c>
      <c r="CA334" t="s">
        <v>4237</v>
      </c>
      <c r="CB334" t="s">
        <v>232</v>
      </c>
      <c r="CC334" s="4" t="str">
        <f>"76571"</f>
        <v>76571</v>
      </c>
      <c r="CD334" t="s">
        <v>4240</v>
      </c>
      <c r="CE334" t="s">
        <v>4241</v>
      </c>
      <c r="CF334" s="6">
        <v>14.58</v>
      </c>
      <c r="CG334" s="6">
        <v>19</v>
      </c>
      <c r="CH334" s="6">
        <v>21.87</v>
      </c>
      <c r="CI334" s="6">
        <v>28.5</v>
      </c>
      <c r="CJ334" t="s">
        <v>137</v>
      </c>
      <c r="CK334" t="s">
        <v>2617</v>
      </c>
      <c r="CL334" t="s">
        <v>12581</v>
      </c>
      <c r="CO334" t="s">
        <v>138</v>
      </c>
      <c r="CP334" t="s">
        <v>114</v>
      </c>
      <c r="CQ334" t="s">
        <v>114</v>
      </c>
      <c r="CR334" t="s">
        <v>114</v>
      </c>
      <c r="CS334" t="s">
        <v>114</v>
      </c>
      <c r="CT334" t="s">
        <v>114</v>
      </c>
      <c r="CU334" t="s">
        <v>114</v>
      </c>
      <c r="CV334" t="s">
        <v>12582</v>
      </c>
      <c r="CW334" s="5" t="str">
        <f>"+12544109921"</f>
        <v>+12544109921</v>
      </c>
      <c r="CX334" t="s">
        <v>12583</v>
      </c>
      <c r="CY334" t="s">
        <v>138</v>
      </c>
      <c r="CZ334" t="s">
        <v>139</v>
      </c>
      <c r="DA334" t="s">
        <v>134</v>
      </c>
      <c r="DB334" t="s">
        <v>134</v>
      </c>
      <c r="DC334" t="s">
        <v>114</v>
      </c>
      <c r="DD334" t="s">
        <v>134</v>
      </c>
    </row>
    <row r="335" spans="1:113" ht="15" customHeight="1" x14ac:dyDescent="0.25">
      <c r="A335" t="s">
        <v>11634</v>
      </c>
      <c r="B335" t="s">
        <v>165</v>
      </c>
      <c r="C335" s="1">
        <v>44883.388787615739</v>
      </c>
      <c r="D335" s="1">
        <v>44915</v>
      </c>
      <c r="E335" t="s">
        <v>134</v>
      </c>
      <c r="F335" t="s">
        <v>334</v>
      </c>
      <c r="G335" t="str">
        <f>"37-3011.00"</f>
        <v>37-3011.00</v>
      </c>
      <c r="H335" t="s">
        <v>335</v>
      </c>
      <c r="I335">
        <v>9</v>
      </c>
      <c r="J335">
        <v>9</v>
      </c>
      <c r="K335" s="1">
        <v>44972</v>
      </c>
      <c r="L335" s="1">
        <v>45260</v>
      </c>
      <c r="M335" s="1">
        <v>44972</v>
      </c>
      <c r="N335" s="1">
        <v>45260</v>
      </c>
      <c r="O335" t="s">
        <v>199</v>
      </c>
      <c r="P335" t="s">
        <v>4494</v>
      </c>
      <c r="R335" t="s">
        <v>4495</v>
      </c>
      <c r="S335" t="s">
        <v>138</v>
      </c>
      <c r="T335" t="s">
        <v>4496</v>
      </c>
      <c r="U335" t="s">
        <v>1003</v>
      </c>
      <c r="V335" s="4" t="str">
        <f>"08340"</f>
        <v>08340</v>
      </c>
      <c r="W335" t="s">
        <v>120</v>
      </c>
      <c r="X335" t="s">
        <v>138</v>
      </c>
      <c r="Y335" s="5">
        <v>16094764659</v>
      </c>
      <c r="AA335">
        <v>561730</v>
      </c>
      <c r="AB335" t="s">
        <v>4497</v>
      </c>
      <c r="AC335" t="s">
        <v>1907</v>
      </c>
      <c r="AE335" t="s">
        <v>4498</v>
      </c>
      <c r="AF335" t="s">
        <v>4495</v>
      </c>
      <c r="AG335" t="s">
        <v>138</v>
      </c>
      <c r="AH335" t="s">
        <v>4496</v>
      </c>
      <c r="AI335" t="s">
        <v>1003</v>
      </c>
      <c r="AJ335" s="4" t="str">
        <f>"08340"</f>
        <v>08340</v>
      </c>
      <c r="AK335" t="s">
        <v>120</v>
      </c>
      <c r="AM335" s="5">
        <v>16094764659</v>
      </c>
      <c r="AO335" t="s">
        <v>4499</v>
      </c>
      <c r="AP335" t="s">
        <v>256</v>
      </c>
      <c r="AQ335" t="s">
        <v>2362</v>
      </c>
      <c r="AR335" t="s">
        <v>1907</v>
      </c>
      <c r="AS335" t="s">
        <v>1857</v>
      </c>
      <c r="AT335" t="s">
        <v>1284</v>
      </c>
      <c r="AU335" t="s">
        <v>138</v>
      </c>
      <c r="AV335" t="s">
        <v>1285</v>
      </c>
      <c r="AW335" t="s">
        <v>232</v>
      </c>
      <c r="AX335" s="4" t="str">
        <f>"77414"</f>
        <v>77414</v>
      </c>
      <c r="AY335" t="s">
        <v>120</v>
      </c>
      <c r="BA335" s="5">
        <v>19793187282</v>
      </c>
      <c r="BC335" t="s">
        <v>2363</v>
      </c>
      <c r="BD335" t="s">
        <v>1287</v>
      </c>
      <c r="BG335" t="s">
        <v>1003</v>
      </c>
      <c r="BH335" s="1">
        <v>44881.791666666664</v>
      </c>
      <c r="BI335">
        <v>40</v>
      </c>
      <c r="BJ335">
        <v>0</v>
      </c>
      <c r="BK335">
        <v>8</v>
      </c>
      <c r="BL335">
        <v>8</v>
      </c>
      <c r="BM335">
        <v>8</v>
      </c>
      <c r="BN335">
        <v>8</v>
      </c>
      <c r="BO335">
        <v>8</v>
      </c>
      <c r="BP335">
        <v>0</v>
      </c>
      <c r="BQ335" t="str">
        <f>"8:00 AM"</f>
        <v>8:00 AM</v>
      </c>
      <c r="BR335" t="str">
        <f>"4:00 PM"</f>
        <v>4:00 PM</v>
      </c>
      <c r="BS335" t="s">
        <v>133</v>
      </c>
      <c r="BT335">
        <v>0</v>
      </c>
      <c r="BU335">
        <v>0</v>
      </c>
      <c r="BV335" t="s">
        <v>134</v>
      </c>
      <c r="BX335" s="2" t="s">
        <v>4500</v>
      </c>
      <c r="BY335" t="s">
        <v>4501</v>
      </c>
      <c r="BZ335" t="s">
        <v>138</v>
      </c>
      <c r="CA335" t="s">
        <v>4496</v>
      </c>
      <c r="CB335" t="s">
        <v>1003</v>
      </c>
      <c r="CC335" s="4" t="str">
        <f>"08340"</f>
        <v>08340</v>
      </c>
      <c r="CD335" t="s">
        <v>4502</v>
      </c>
      <c r="CE335" t="s">
        <v>4503</v>
      </c>
      <c r="CF335" s="6">
        <v>17.399999999999999</v>
      </c>
      <c r="CG335" s="6">
        <v>20</v>
      </c>
      <c r="CH335" s="6">
        <v>26.1</v>
      </c>
      <c r="CI335" s="6">
        <v>30</v>
      </c>
      <c r="CJ335" t="s">
        <v>137</v>
      </c>
      <c r="CK335" t="s">
        <v>4504</v>
      </c>
      <c r="CL335" t="s">
        <v>4505</v>
      </c>
      <c r="CO335" t="s">
        <v>138</v>
      </c>
      <c r="CP335" t="s">
        <v>114</v>
      </c>
      <c r="CQ335" t="s">
        <v>114</v>
      </c>
      <c r="CR335" t="s">
        <v>114</v>
      </c>
      <c r="CS335" t="s">
        <v>114</v>
      </c>
      <c r="CT335" t="s">
        <v>114</v>
      </c>
      <c r="CU335" t="s">
        <v>114</v>
      </c>
      <c r="CV335" t="s">
        <v>2381</v>
      </c>
      <c r="CW335" s="5" t="str">
        <f>"+16094764659"</f>
        <v>+16094764659</v>
      </c>
      <c r="CX335" t="s">
        <v>4499</v>
      </c>
      <c r="CY335" t="s">
        <v>138</v>
      </c>
      <c r="CZ335" t="s">
        <v>139</v>
      </c>
      <c r="DA335" t="s">
        <v>134</v>
      </c>
      <c r="DB335" t="s">
        <v>134</v>
      </c>
      <c r="DC335" t="s">
        <v>114</v>
      </c>
      <c r="DD335" t="s">
        <v>134</v>
      </c>
    </row>
    <row r="336" spans="1:113" ht="15" customHeight="1" x14ac:dyDescent="0.25">
      <c r="A336" t="s">
        <v>5453</v>
      </c>
      <c r="B336" t="s">
        <v>165</v>
      </c>
      <c r="C336" s="1">
        <v>44882.419365740738</v>
      </c>
      <c r="D336" s="1">
        <v>44915</v>
      </c>
      <c r="E336" t="s">
        <v>134</v>
      </c>
      <c r="F336" t="s">
        <v>334</v>
      </c>
      <c r="G336" t="str">
        <f>"37-3011.00"</f>
        <v>37-3011.00</v>
      </c>
      <c r="H336" t="s">
        <v>335</v>
      </c>
      <c r="I336">
        <v>5</v>
      </c>
      <c r="J336">
        <v>5</v>
      </c>
      <c r="K336" s="1">
        <v>44972</v>
      </c>
      <c r="L336" s="1">
        <v>45275</v>
      </c>
      <c r="M336" s="1">
        <v>44972</v>
      </c>
      <c r="N336" s="1">
        <v>45275</v>
      </c>
      <c r="O336" t="s">
        <v>117</v>
      </c>
      <c r="P336" t="s">
        <v>5454</v>
      </c>
      <c r="R336" t="s">
        <v>5455</v>
      </c>
      <c r="T336" t="s">
        <v>1945</v>
      </c>
      <c r="U336" t="s">
        <v>631</v>
      </c>
      <c r="V336" s="4" t="str">
        <f>"74037"</f>
        <v>74037</v>
      </c>
      <c r="W336" t="s">
        <v>120</v>
      </c>
      <c r="Y336" s="5">
        <v>19186123189</v>
      </c>
      <c r="AA336">
        <v>56173</v>
      </c>
      <c r="AB336" t="s">
        <v>5456</v>
      </c>
      <c r="AC336" t="s">
        <v>1350</v>
      </c>
      <c r="AE336" t="s">
        <v>1710</v>
      </c>
      <c r="AF336" t="s">
        <v>5455</v>
      </c>
      <c r="AH336" t="s">
        <v>1945</v>
      </c>
      <c r="AI336" t="s">
        <v>631</v>
      </c>
      <c r="AJ336" s="4" t="str">
        <f>"74037"</f>
        <v>74037</v>
      </c>
      <c r="AK336" t="s">
        <v>120</v>
      </c>
      <c r="AM336" s="5">
        <v>19186123189</v>
      </c>
      <c r="AO336" t="s">
        <v>1574</v>
      </c>
      <c r="AP336" t="s">
        <v>256</v>
      </c>
      <c r="AQ336" t="s">
        <v>1941</v>
      </c>
      <c r="AR336" t="s">
        <v>1942</v>
      </c>
      <c r="AT336" t="s">
        <v>1943</v>
      </c>
      <c r="AU336" t="s">
        <v>1944</v>
      </c>
      <c r="AV336" t="s">
        <v>1945</v>
      </c>
      <c r="AW336" t="s">
        <v>631</v>
      </c>
      <c r="AX336" s="4" t="str">
        <f>"74136"</f>
        <v>74136</v>
      </c>
      <c r="AY336" t="s">
        <v>120</v>
      </c>
      <c r="BA336" s="5">
        <v>19189065212</v>
      </c>
      <c r="BC336" t="s">
        <v>1946</v>
      </c>
      <c r="BD336" t="s">
        <v>1947</v>
      </c>
      <c r="BG336" t="s">
        <v>631</v>
      </c>
      <c r="BH336" s="1">
        <v>44868.833333333336</v>
      </c>
      <c r="BI336">
        <v>40</v>
      </c>
      <c r="BJ336">
        <v>0</v>
      </c>
      <c r="BK336">
        <v>7</v>
      </c>
      <c r="BL336">
        <v>7</v>
      </c>
      <c r="BM336">
        <v>7</v>
      </c>
      <c r="BN336">
        <v>7</v>
      </c>
      <c r="BO336">
        <v>7</v>
      </c>
      <c r="BP336">
        <v>5</v>
      </c>
      <c r="BQ336" t="str">
        <f>"7:00 AM"</f>
        <v>7:00 AM</v>
      </c>
      <c r="BR336" t="str">
        <f>"5:00 PM"</f>
        <v>5:00 PM</v>
      </c>
      <c r="BS336" t="s">
        <v>133</v>
      </c>
      <c r="BT336">
        <v>0</v>
      </c>
      <c r="BU336">
        <v>0</v>
      </c>
      <c r="BV336" t="s">
        <v>134</v>
      </c>
      <c r="BX336" s="2" t="s">
        <v>5457</v>
      </c>
      <c r="BY336" t="s">
        <v>5455</v>
      </c>
      <c r="CA336" t="s">
        <v>1945</v>
      </c>
      <c r="CB336" t="s">
        <v>631</v>
      </c>
      <c r="CC336" s="4" t="str">
        <f>"74037"</f>
        <v>74037</v>
      </c>
      <c r="CD336" t="s">
        <v>2290</v>
      </c>
      <c r="CE336" t="s">
        <v>2291</v>
      </c>
      <c r="CF336" s="6">
        <v>15.3</v>
      </c>
      <c r="CG336" s="6">
        <v>15.3</v>
      </c>
      <c r="CH336" s="6">
        <v>22.95</v>
      </c>
      <c r="CI336" s="6">
        <v>22.95</v>
      </c>
      <c r="CJ336" t="s">
        <v>137</v>
      </c>
      <c r="CK336" t="s">
        <v>1948</v>
      </c>
      <c r="CL336" t="s">
        <v>5458</v>
      </c>
      <c r="CO336" t="s">
        <v>138</v>
      </c>
      <c r="CP336" t="s">
        <v>114</v>
      </c>
      <c r="CQ336" t="s">
        <v>114</v>
      </c>
      <c r="CR336" t="s">
        <v>114</v>
      </c>
      <c r="CS336" t="s">
        <v>114</v>
      </c>
      <c r="CT336" t="s">
        <v>114</v>
      </c>
      <c r="CU336" t="s">
        <v>114</v>
      </c>
      <c r="CV336" s="2" t="s">
        <v>1949</v>
      </c>
      <c r="CW336" s="5" t="str">
        <f>"+19186123189"</f>
        <v>+19186123189</v>
      </c>
      <c r="CX336" t="s">
        <v>138</v>
      </c>
      <c r="CY336" t="s">
        <v>4200</v>
      </c>
      <c r="CZ336" t="s">
        <v>139</v>
      </c>
      <c r="DA336" t="s">
        <v>134</v>
      </c>
      <c r="DB336" t="s">
        <v>114</v>
      </c>
      <c r="DC336" t="s">
        <v>114</v>
      </c>
      <c r="DD336" t="s">
        <v>134</v>
      </c>
    </row>
    <row r="337" spans="1:113" ht="15" customHeight="1" x14ac:dyDescent="0.25">
      <c r="A337" t="s">
        <v>6881</v>
      </c>
      <c r="B337" t="s">
        <v>165</v>
      </c>
      <c r="C337" s="1">
        <v>44882.044168749999</v>
      </c>
      <c r="D337" s="1">
        <v>44915</v>
      </c>
      <c r="E337" t="s">
        <v>134</v>
      </c>
      <c r="F337" t="s">
        <v>334</v>
      </c>
      <c r="G337" t="str">
        <f>"37-3011.00"</f>
        <v>37-3011.00</v>
      </c>
      <c r="H337" t="s">
        <v>335</v>
      </c>
      <c r="I337">
        <v>28</v>
      </c>
      <c r="J337">
        <v>28</v>
      </c>
      <c r="K337" s="1">
        <v>44972</v>
      </c>
      <c r="L337" s="1">
        <v>45274</v>
      </c>
      <c r="M337" s="1">
        <v>44972</v>
      </c>
      <c r="N337" s="1">
        <v>45274</v>
      </c>
      <c r="O337" t="s">
        <v>117</v>
      </c>
      <c r="P337" t="s">
        <v>6882</v>
      </c>
      <c r="R337" t="s">
        <v>6883</v>
      </c>
      <c r="T337" t="s">
        <v>2581</v>
      </c>
      <c r="U337" t="s">
        <v>154</v>
      </c>
      <c r="V337" s="4" t="str">
        <f>"32514"</f>
        <v>32514</v>
      </c>
      <c r="W337" t="s">
        <v>120</v>
      </c>
      <c r="Y337" s="5">
        <v>18504336770</v>
      </c>
      <c r="AA337">
        <v>56173</v>
      </c>
      <c r="AB337" t="s">
        <v>3367</v>
      </c>
      <c r="AC337" t="s">
        <v>1435</v>
      </c>
      <c r="AE337" t="s">
        <v>342</v>
      </c>
      <c r="AF337" t="s">
        <v>6883</v>
      </c>
      <c r="AH337" t="s">
        <v>2581</v>
      </c>
      <c r="AI337" t="s">
        <v>154</v>
      </c>
      <c r="AJ337" s="4" t="str">
        <f>"32514"</f>
        <v>32514</v>
      </c>
      <c r="AK337" t="s">
        <v>120</v>
      </c>
      <c r="AM337" s="5">
        <v>18504336770</v>
      </c>
      <c r="AO337" t="s">
        <v>6884</v>
      </c>
      <c r="AP337" t="s">
        <v>256</v>
      </c>
      <c r="AQ337" t="s">
        <v>344</v>
      </c>
      <c r="AR337" t="s">
        <v>345</v>
      </c>
      <c r="AT337" t="s">
        <v>346</v>
      </c>
      <c r="AU337" t="s">
        <v>347</v>
      </c>
      <c r="AV337" t="s">
        <v>348</v>
      </c>
      <c r="AW337" t="s">
        <v>349</v>
      </c>
      <c r="AX337" s="4" t="str">
        <f>"83814"</f>
        <v>83814</v>
      </c>
      <c r="AY337" t="s">
        <v>120</v>
      </c>
      <c r="BA337" s="5">
        <v>12087772654</v>
      </c>
      <c r="BC337" t="s">
        <v>350</v>
      </c>
      <c r="BD337" t="s">
        <v>351</v>
      </c>
      <c r="BG337" t="s">
        <v>154</v>
      </c>
      <c r="BH337" s="1">
        <v>44864.833333333336</v>
      </c>
      <c r="BI337">
        <v>40</v>
      </c>
      <c r="BJ337">
        <v>0</v>
      </c>
      <c r="BK337">
        <v>8</v>
      </c>
      <c r="BL337">
        <v>8</v>
      </c>
      <c r="BM337">
        <v>8</v>
      </c>
      <c r="BN337">
        <v>8</v>
      </c>
      <c r="BO337">
        <v>8</v>
      </c>
      <c r="BP337">
        <v>0</v>
      </c>
      <c r="BQ337" t="str">
        <f>"7:00 AM"</f>
        <v>7:00 AM</v>
      </c>
      <c r="BR337" t="str">
        <f>"5:00 PM"</f>
        <v>5:00 PM</v>
      </c>
      <c r="BS337" t="s">
        <v>133</v>
      </c>
      <c r="BT337">
        <v>0</v>
      </c>
      <c r="BU337">
        <v>0</v>
      </c>
      <c r="BV337" t="s">
        <v>134</v>
      </c>
      <c r="BX337" s="2" t="s">
        <v>2209</v>
      </c>
      <c r="BY337" t="s">
        <v>6885</v>
      </c>
      <c r="CA337" t="s">
        <v>2581</v>
      </c>
      <c r="CB337" t="s">
        <v>154</v>
      </c>
      <c r="CC337" s="4" t="str">
        <f>"32514"</f>
        <v>32514</v>
      </c>
      <c r="CD337" t="s">
        <v>2582</v>
      </c>
      <c r="CE337" t="s">
        <v>2583</v>
      </c>
      <c r="CF337" s="6">
        <v>14.81</v>
      </c>
      <c r="CH337" s="6">
        <v>22.22</v>
      </c>
      <c r="CJ337" t="s">
        <v>137</v>
      </c>
      <c r="CL337" t="s">
        <v>6886</v>
      </c>
      <c r="CO337" t="s">
        <v>138</v>
      </c>
      <c r="CP337" t="s">
        <v>114</v>
      </c>
      <c r="CQ337" t="s">
        <v>114</v>
      </c>
      <c r="CR337" t="s">
        <v>114</v>
      </c>
      <c r="CS337" t="s">
        <v>114</v>
      </c>
      <c r="CT337" t="s">
        <v>114</v>
      </c>
      <c r="CU337" t="s">
        <v>114</v>
      </c>
      <c r="CV337" t="s">
        <v>6887</v>
      </c>
      <c r="CW337" s="5" t="str">
        <f>"+18504336770"</f>
        <v>+18504336770</v>
      </c>
      <c r="CX337" t="s">
        <v>6884</v>
      </c>
      <c r="CY337" t="s">
        <v>138</v>
      </c>
      <c r="CZ337" t="s">
        <v>139</v>
      </c>
      <c r="DA337" t="s">
        <v>134</v>
      </c>
      <c r="DB337" t="s">
        <v>134</v>
      </c>
      <c r="DC337" t="s">
        <v>114</v>
      </c>
      <c r="DD337" t="s">
        <v>134</v>
      </c>
    </row>
    <row r="338" spans="1:113" ht="15" customHeight="1" x14ac:dyDescent="0.25">
      <c r="A338" t="s">
        <v>7823</v>
      </c>
      <c r="B338" t="s">
        <v>165</v>
      </c>
      <c r="C338" s="1">
        <v>44879.971829282411</v>
      </c>
      <c r="D338" s="1">
        <v>44915</v>
      </c>
      <c r="E338" t="s">
        <v>114</v>
      </c>
      <c r="F338" t="s">
        <v>1747</v>
      </c>
      <c r="G338" t="str">
        <f>"37-3011.00"</f>
        <v>37-3011.00</v>
      </c>
      <c r="H338" t="s">
        <v>335</v>
      </c>
      <c r="I338">
        <v>14</v>
      </c>
      <c r="J338">
        <v>14</v>
      </c>
      <c r="K338" s="1">
        <v>44963</v>
      </c>
      <c r="L338" s="1">
        <v>45138</v>
      </c>
      <c r="M338" s="1">
        <v>44963</v>
      </c>
      <c r="N338" s="1">
        <v>45138</v>
      </c>
      <c r="O338" t="s">
        <v>199</v>
      </c>
      <c r="P338" t="s">
        <v>1748</v>
      </c>
      <c r="R338" t="s">
        <v>1749</v>
      </c>
      <c r="T338" t="s">
        <v>1190</v>
      </c>
      <c r="U338" t="s">
        <v>1750</v>
      </c>
      <c r="V338" s="4" t="str">
        <f>"68512"</f>
        <v>68512</v>
      </c>
      <c r="W338" t="s">
        <v>120</v>
      </c>
      <c r="Y338" s="5">
        <v>14024236653</v>
      </c>
      <c r="AA338">
        <v>237990</v>
      </c>
      <c r="AB338" t="s">
        <v>1751</v>
      </c>
      <c r="AC338" t="s">
        <v>1752</v>
      </c>
      <c r="AE338" t="s">
        <v>1753</v>
      </c>
      <c r="AF338" t="s">
        <v>1749</v>
      </c>
      <c r="AH338" t="s">
        <v>1190</v>
      </c>
      <c r="AI338" t="s">
        <v>1750</v>
      </c>
      <c r="AJ338" s="4" t="str">
        <f>"68512"</f>
        <v>68512</v>
      </c>
      <c r="AK338" t="s">
        <v>120</v>
      </c>
      <c r="AM338" s="5">
        <v>14024236653</v>
      </c>
      <c r="AO338" t="s">
        <v>1754</v>
      </c>
      <c r="AP338" t="s">
        <v>122</v>
      </c>
      <c r="AQ338" t="s">
        <v>1755</v>
      </c>
      <c r="AR338" t="s">
        <v>1682</v>
      </c>
      <c r="AS338" t="s">
        <v>1756</v>
      </c>
      <c r="AT338" t="s">
        <v>1757</v>
      </c>
      <c r="AU338" t="s">
        <v>1758</v>
      </c>
      <c r="AV338" t="s">
        <v>1759</v>
      </c>
      <c r="AW338" t="s">
        <v>232</v>
      </c>
      <c r="AX338" s="4" t="str">
        <f>"75234"</f>
        <v>75234</v>
      </c>
      <c r="AY338" t="s">
        <v>120</v>
      </c>
      <c r="BA338" s="5">
        <v>19722416445</v>
      </c>
      <c r="BC338" t="s">
        <v>1760</v>
      </c>
      <c r="BD338" t="s">
        <v>1761</v>
      </c>
      <c r="BE338" t="s">
        <v>232</v>
      </c>
      <c r="BF338" t="s">
        <v>870</v>
      </c>
      <c r="BG338" t="s">
        <v>129</v>
      </c>
      <c r="BH338" s="1">
        <v>44871.791666666664</v>
      </c>
      <c r="BI338">
        <v>40</v>
      </c>
      <c r="BJ338">
        <v>5</v>
      </c>
      <c r="BK338">
        <v>6</v>
      </c>
      <c r="BL338">
        <v>6</v>
      </c>
      <c r="BM338">
        <v>6</v>
      </c>
      <c r="BN338">
        <v>6</v>
      </c>
      <c r="BO338">
        <v>6</v>
      </c>
      <c r="BP338">
        <v>5</v>
      </c>
      <c r="BQ338" t="str">
        <f>"6:00 AM"</f>
        <v>6:00 AM</v>
      </c>
      <c r="BR338" t="str">
        <f>"2:30 PM"</f>
        <v>2:30 PM</v>
      </c>
      <c r="BS338" t="s">
        <v>133</v>
      </c>
      <c r="BT338">
        <v>0</v>
      </c>
      <c r="BU338">
        <v>6</v>
      </c>
      <c r="BV338" t="s">
        <v>134</v>
      </c>
      <c r="BX338" s="2" t="s">
        <v>1762</v>
      </c>
      <c r="BY338" t="s">
        <v>7824</v>
      </c>
      <c r="BZ338" t="s">
        <v>1764</v>
      </c>
      <c r="CA338" t="s">
        <v>7825</v>
      </c>
      <c r="CB338" t="s">
        <v>129</v>
      </c>
      <c r="CC338" s="4" t="str">
        <f>"31561"</f>
        <v>31561</v>
      </c>
      <c r="CD338" t="s">
        <v>7065</v>
      </c>
      <c r="CE338" t="s">
        <v>7066</v>
      </c>
      <c r="CF338" s="6">
        <v>14.31</v>
      </c>
      <c r="CH338" s="6">
        <v>21.47</v>
      </c>
      <c r="CJ338" t="s">
        <v>137</v>
      </c>
      <c r="CK338" t="s">
        <v>1768</v>
      </c>
      <c r="CL338" t="s">
        <v>7826</v>
      </c>
      <c r="CO338" t="s">
        <v>138</v>
      </c>
      <c r="CP338" t="s">
        <v>114</v>
      </c>
      <c r="CQ338" t="s">
        <v>134</v>
      </c>
      <c r="CR338" t="s">
        <v>114</v>
      </c>
      <c r="CS338" t="s">
        <v>134</v>
      </c>
      <c r="CT338" t="s">
        <v>114</v>
      </c>
      <c r="CU338" t="s">
        <v>114</v>
      </c>
      <c r="CV338" t="s">
        <v>1770</v>
      </c>
      <c r="CW338" s="5" t="str">
        <f>"+18553006690"</f>
        <v>+18553006690</v>
      </c>
      <c r="CX338" t="s">
        <v>138</v>
      </c>
      <c r="CY338" t="s">
        <v>1771</v>
      </c>
      <c r="CZ338" t="s">
        <v>139</v>
      </c>
      <c r="DA338" t="s">
        <v>134</v>
      </c>
      <c r="DB338" t="s">
        <v>134</v>
      </c>
      <c r="DC338" t="s">
        <v>114</v>
      </c>
      <c r="DD338" t="s">
        <v>134</v>
      </c>
    </row>
    <row r="339" spans="1:113" ht="15" customHeight="1" x14ac:dyDescent="0.25">
      <c r="A339" t="s">
        <v>15494</v>
      </c>
      <c r="B339" t="s">
        <v>165</v>
      </c>
      <c r="C339" s="1">
        <v>44868.515691203706</v>
      </c>
      <c r="D339" s="1">
        <v>44915</v>
      </c>
      <c r="E339" t="s">
        <v>134</v>
      </c>
      <c r="F339" t="s">
        <v>116</v>
      </c>
      <c r="G339" t="str">
        <f>"37-2012.00"</f>
        <v>37-2012.00</v>
      </c>
      <c r="H339" t="s">
        <v>116</v>
      </c>
      <c r="I339">
        <v>60</v>
      </c>
      <c r="J339">
        <v>60</v>
      </c>
      <c r="K339" s="1">
        <v>44958</v>
      </c>
      <c r="L339" s="1">
        <v>45260</v>
      </c>
      <c r="M339" s="1">
        <v>44958</v>
      </c>
      <c r="N339" s="1">
        <v>45260</v>
      </c>
      <c r="O339" t="s">
        <v>117</v>
      </c>
      <c r="P339" t="s">
        <v>15495</v>
      </c>
      <c r="R339" t="s">
        <v>15496</v>
      </c>
      <c r="T339" t="s">
        <v>4646</v>
      </c>
      <c r="U339" t="s">
        <v>1750</v>
      </c>
      <c r="V339" s="4" t="str">
        <f>"68845"</f>
        <v>68845</v>
      </c>
      <c r="W339" t="s">
        <v>120</v>
      </c>
      <c r="Y339" s="5">
        <v>13084405810</v>
      </c>
      <c r="AA339">
        <v>721110</v>
      </c>
      <c r="AB339" t="s">
        <v>10233</v>
      </c>
      <c r="AC339" t="s">
        <v>5235</v>
      </c>
      <c r="AE339" t="s">
        <v>1526</v>
      </c>
      <c r="AF339" t="s">
        <v>15496</v>
      </c>
      <c r="AH339" t="s">
        <v>4646</v>
      </c>
      <c r="AI339" t="s">
        <v>1750</v>
      </c>
      <c r="AJ339" s="4" t="str">
        <f>"68845"</f>
        <v>68845</v>
      </c>
      <c r="AK339" t="s">
        <v>120</v>
      </c>
      <c r="AM339" s="5">
        <v>13084405810</v>
      </c>
      <c r="AO339" t="s">
        <v>1574</v>
      </c>
      <c r="AP339" t="s">
        <v>256</v>
      </c>
      <c r="AQ339" t="s">
        <v>2145</v>
      </c>
      <c r="AR339" t="s">
        <v>1965</v>
      </c>
      <c r="AT339" t="s">
        <v>14415</v>
      </c>
      <c r="AV339" t="s">
        <v>1945</v>
      </c>
      <c r="AW339" t="s">
        <v>631</v>
      </c>
      <c r="AX339" s="4" t="str">
        <f>"74132"</f>
        <v>74132</v>
      </c>
      <c r="AY339" t="s">
        <v>120</v>
      </c>
      <c r="AZ339" t="s">
        <v>5588</v>
      </c>
      <c r="BA339" s="5">
        <v>19189065212</v>
      </c>
      <c r="BC339" t="s">
        <v>5589</v>
      </c>
      <c r="BD339" t="s">
        <v>1947</v>
      </c>
      <c r="BG339" t="s">
        <v>1750</v>
      </c>
      <c r="BH339" s="1">
        <v>44867.833333333336</v>
      </c>
      <c r="BI339">
        <v>40</v>
      </c>
      <c r="BJ339">
        <v>0</v>
      </c>
      <c r="BK339">
        <v>8</v>
      </c>
      <c r="BL339">
        <v>8</v>
      </c>
      <c r="BM339">
        <v>8</v>
      </c>
      <c r="BN339">
        <v>8</v>
      </c>
      <c r="BO339">
        <v>8</v>
      </c>
      <c r="BP339">
        <v>0</v>
      </c>
      <c r="BQ339" t="str">
        <f>"9:00 AM"</f>
        <v>9:00 AM</v>
      </c>
      <c r="BR339" t="str">
        <f>"5:00 PM"</f>
        <v>5:00 PM</v>
      </c>
      <c r="BS339" t="s">
        <v>133</v>
      </c>
      <c r="BT339">
        <v>0</v>
      </c>
      <c r="BU339">
        <v>0</v>
      </c>
      <c r="BV339" t="s">
        <v>134</v>
      </c>
      <c r="BX339" s="2" t="s">
        <v>14416</v>
      </c>
      <c r="BY339" t="s">
        <v>15497</v>
      </c>
      <c r="CA339" t="s">
        <v>4646</v>
      </c>
      <c r="CB339" t="s">
        <v>1750</v>
      </c>
      <c r="CC339" s="4" t="str">
        <f>"68847"</f>
        <v>68847</v>
      </c>
      <c r="CD339" t="s">
        <v>4650</v>
      </c>
      <c r="CE339" t="s">
        <v>2772</v>
      </c>
      <c r="CF339" s="6">
        <v>12.61</v>
      </c>
      <c r="CG339" s="6">
        <v>12.61</v>
      </c>
      <c r="CH339" s="6">
        <v>18.920000000000002</v>
      </c>
      <c r="CI339" s="6">
        <v>18.920000000000002</v>
      </c>
      <c r="CJ339" t="s">
        <v>137</v>
      </c>
      <c r="CK339" t="s">
        <v>1948</v>
      </c>
      <c r="CL339" t="s">
        <v>15498</v>
      </c>
      <c r="CO339" t="s">
        <v>138</v>
      </c>
      <c r="CP339" t="s">
        <v>114</v>
      </c>
      <c r="CQ339" t="s">
        <v>134</v>
      </c>
      <c r="CR339" t="s">
        <v>114</v>
      </c>
      <c r="CS339" t="s">
        <v>114</v>
      </c>
      <c r="CT339" t="s">
        <v>114</v>
      </c>
      <c r="CU339" t="s">
        <v>114</v>
      </c>
      <c r="CV339" s="2" t="s">
        <v>14420</v>
      </c>
      <c r="CW339" s="5" t="str">
        <f>"+13084405810"</f>
        <v>+13084405810</v>
      </c>
      <c r="CX339" t="s">
        <v>138</v>
      </c>
      <c r="CY339" t="s">
        <v>8131</v>
      </c>
      <c r="CZ339" t="s">
        <v>139</v>
      </c>
      <c r="DA339" t="s">
        <v>134</v>
      </c>
      <c r="DB339" t="s">
        <v>114</v>
      </c>
      <c r="DC339" t="s">
        <v>114</v>
      </c>
      <c r="DD339" t="s">
        <v>134</v>
      </c>
    </row>
    <row r="340" spans="1:113" ht="15" customHeight="1" x14ac:dyDescent="0.25">
      <c r="A340" t="s">
        <v>8876</v>
      </c>
      <c r="B340" t="s">
        <v>165</v>
      </c>
      <c r="C340" s="1">
        <v>44888.701628009258</v>
      </c>
      <c r="D340" s="1">
        <v>44914</v>
      </c>
      <c r="E340" t="s">
        <v>134</v>
      </c>
      <c r="F340" t="s">
        <v>334</v>
      </c>
      <c r="G340" t="str">
        <f>"37-3012.00"</f>
        <v>37-3012.00</v>
      </c>
      <c r="H340" t="s">
        <v>3129</v>
      </c>
      <c r="I340">
        <v>45</v>
      </c>
      <c r="J340">
        <v>45</v>
      </c>
      <c r="K340" s="1">
        <v>44963</v>
      </c>
      <c r="L340" s="1">
        <v>45244</v>
      </c>
      <c r="M340" s="1">
        <v>44963</v>
      </c>
      <c r="N340" s="1">
        <v>45244</v>
      </c>
      <c r="O340" t="s">
        <v>117</v>
      </c>
      <c r="P340" t="s">
        <v>8877</v>
      </c>
      <c r="R340" t="s">
        <v>8878</v>
      </c>
      <c r="S340" t="s">
        <v>8879</v>
      </c>
      <c r="T340" t="s">
        <v>4390</v>
      </c>
      <c r="U340" t="s">
        <v>119</v>
      </c>
      <c r="V340" s="4" t="str">
        <f>"27703"</f>
        <v>27703</v>
      </c>
      <c r="W340" t="s">
        <v>120</v>
      </c>
      <c r="Y340" s="5">
        <v>17045090020</v>
      </c>
      <c r="AA340">
        <v>56173</v>
      </c>
      <c r="AB340" t="s">
        <v>942</v>
      </c>
      <c r="AC340" t="s">
        <v>943</v>
      </c>
      <c r="AE340" t="s">
        <v>2205</v>
      </c>
      <c r="AF340" t="s">
        <v>8878</v>
      </c>
      <c r="AG340" t="s">
        <v>8880</v>
      </c>
      <c r="AH340" t="s">
        <v>4390</v>
      </c>
      <c r="AI340" t="s">
        <v>119</v>
      </c>
      <c r="AJ340" s="4" t="str">
        <f>"27703"</f>
        <v>27703</v>
      </c>
      <c r="AK340" t="s">
        <v>120</v>
      </c>
      <c r="AM340" s="5">
        <v>17045090020</v>
      </c>
      <c r="AN340">
        <v>114</v>
      </c>
      <c r="AO340" t="s">
        <v>945</v>
      </c>
      <c r="AP340" t="s">
        <v>256</v>
      </c>
      <c r="AQ340" t="s">
        <v>475</v>
      </c>
      <c r="AR340" t="s">
        <v>476</v>
      </c>
      <c r="AT340" t="s">
        <v>477</v>
      </c>
      <c r="AV340" t="s">
        <v>478</v>
      </c>
      <c r="AW340" t="s">
        <v>479</v>
      </c>
      <c r="AX340" s="4" t="str">
        <f>"22903"</f>
        <v>22903</v>
      </c>
      <c r="AY340" t="s">
        <v>120</v>
      </c>
      <c r="BA340" s="5">
        <v>14342634300</v>
      </c>
      <c r="BC340" t="s">
        <v>480</v>
      </c>
      <c r="BD340" t="s">
        <v>481</v>
      </c>
      <c r="BG340" t="s">
        <v>119</v>
      </c>
      <c r="BH340" s="1">
        <v>44887.791666666664</v>
      </c>
      <c r="BI340">
        <v>40</v>
      </c>
      <c r="BJ340">
        <v>0</v>
      </c>
      <c r="BK340">
        <v>8</v>
      </c>
      <c r="BL340">
        <v>8</v>
      </c>
      <c r="BM340">
        <v>8</v>
      </c>
      <c r="BN340">
        <v>8</v>
      </c>
      <c r="BO340">
        <v>8</v>
      </c>
      <c r="BP340">
        <v>0</v>
      </c>
      <c r="BQ340" t="str">
        <f>"7:00 AM"</f>
        <v>7:00 AM</v>
      </c>
      <c r="BR340" t="str">
        <f>"4:00 PM"</f>
        <v>4:00 PM</v>
      </c>
      <c r="BS340" t="s">
        <v>133</v>
      </c>
      <c r="BT340">
        <v>0</v>
      </c>
      <c r="BU340">
        <v>0</v>
      </c>
      <c r="BV340" t="s">
        <v>134</v>
      </c>
      <c r="BX340" s="2" t="s">
        <v>3969</v>
      </c>
      <c r="BY340" t="s">
        <v>8878</v>
      </c>
      <c r="CA340" t="s">
        <v>4390</v>
      </c>
      <c r="CB340" t="s">
        <v>119</v>
      </c>
      <c r="CC340" s="4" t="str">
        <f>"27703"</f>
        <v>27703</v>
      </c>
      <c r="CD340" t="s">
        <v>4391</v>
      </c>
      <c r="CE340" t="s">
        <v>3791</v>
      </c>
      <c r="CF340" s="6">
        <v>18.100000000000001</v>
      </c>
      <c r="CH340" s="6">
        <v>27.15</v>
      </c>
      <c r="CJ340" t="s">
        <v>137</v>
      </c>
      <c r="CK340" t="s">
        <v>487</v>
      </c>
      <c r="CL340" t="s">
        <v>8881</v>
      </c>
      <c r="CO340" t="s">
        <v>138</v>
      </c>
      <c r="CP340" t="s">
        <v>114</v>
      </c>
      <c r="CQ340" t="s">
        <v>134</v>
      </c>
      <c r="CR340" t="s">
        <v>114</v>
      </c>
      <c r="CS340" t="s">
        <v>114</v>
      </c>
      <c r="CT340" t="s">
        <v>114</v>
      </c>
      <c r="CU340" t="s">
        <v>114</v>
      </c>
      <c r="CV340" t="s">
        <v>8882</v>
      </c>
      <c r="CW340" s="5" t="str">
        <f>"+17045090020"</f>
        <v>+17045090020</v>
      </c>
      <c r="CX340" t="s">
        <v>138</v>
      </c>
      <c r="CY340" t="s">
        <v>2142</v>
      </c>
      <c r="CZ340" t="s">
        <v>139</v>
      </c>
      <c r="DA340" t="s">
        <v>134</v>
      </c>
      <c r="DB340" t="s">
        <v>114</v>
      </c>
      <c r="DC340" t="s">
        <v>114</v>
      </c>
      <c r="DD340" t="s">
        <v>134</v>
      </c>
      <c r="DE340" t="s">
        <v>492</v>
      </c>
      <c r="DF340" t="s">
        <v>493</v>
      </c>
      <c r="DH340" t="s">
        <v>481</v>
      </c>
      <c r="DI340" t="s">
        <v>480</v>
      </c>
    </row>
    <row r="341" spans="1:113" ht="15" customHeight="1" x14ac:dyDescent="0.25">
      <c r="A341" t="s">
        <v>10759</v>
      </c>
      <c r="B341" t="s">
        <v>165</v>
      </c>
      <c r="C341" s="1">
        <v>44888.692256249997</v>
      </c>
      <c r="D341" s="1">
        <v>44914</v>
      </c>
      <c r="E341" t="s">
        <v>134</v>
      </c>
      <c r="F341" t="s">
        <v>334</v>
      </c>
      <c r="G341" t="str">
        <f>"37-3012.00"</f>
        <v>37-3012.00</v>
      </c>
      <c r="H341" t="s">
        <v>3129</v>
      </c>
      <c r="I341">
        <v>60</v>
      </c>
      <c r="J341">
        <v>60</v>
      </c>
      <c r="K341" s="1">
        <v>44963</v>
      </c>
      <c r="L341" s="1">
        <v>45244</v>
      </c>
      <c r="M341" s="1">
        <v>44963</v>
      </c>
      <c r="N341" s="1">
        <v>45244</v>
      </c>
      <c r="O341" t="s">
        <v>117</v>
      </c>
      <c r="P341" t="s">
        <v>10760</v>
      </c>
      <c r="R341" t="s">
        <v>10761</v>
      </c>
      <c r="S341" t="s">
        <v>10762</v>
      </c>
      <c r="T341" t="s">
        <v>10763</v>
      </c>
      <c r="U341" t="s">
        <v>657</v>
      </c>
      <c r="V341" s="4" t="str">
        <f>"37013"</f>
        <v>37013</v>
      </c>
      <c r="W341" t="s">
        <v>120</v>
      </c>
      <c r="Y341" s="5">
        <v>16157812077</v>
      </c>
      <c r="AA341">
        <v>56173</v>
      </c>
      <c r="AB341" t="s">
        <v>942</v>
      </c>
      <c r="AC341" t="s">
        <v>943</v>
      </c>
      <c r="AE341" t="s">
        <v>2205</v>
      </c>
      <c r="AF341" t="s">
        <v>10761</v>
      </c>
      <c r="AG341" t="s">
        <v>10764</v>
      </c>
      <c r="AH341" t="s">
        <v>10763</v>
      </c>
      <c r="AI341" t="s">
        <v>657</v>
      </c>
      <c r="AJ341" s="4" t="str">
        <f>"37013"</f>
        <v>37013</v>
      </c>
      <c r="AK341" t="s">
        <v>120</v>
      </c>
      <c r="AM341" s="5">
        <v>16157812077</v>
      </c>
      <c r="AO341" t="s">
        <v>945</v>
      </c>
      <c r="AP341" t="s">
        <v>256</v>
      </c>
      <c r="AQ341" t="s">
        <v>475</v>
      </c>
      <c r="AR341" t="s">
        <v>476</v>
      </c>
      <c r="AT341" t="s">
        <v>477</v>
      </c>
      <c r="AV341" t="s">
        <v>478</v>
      </c>
      <c r="AW341" t="s">
        <v>479</v>
      </c>
      <c r="AX341" s="4" t="str">
        <f>"22903"</f>
        <v>22903</v>
      </c>
      <c r="AY341" t="s">
        <v>120</v>
      </c>
      <c r="BA341" s="5">
        <v>14342634300</v>
      </c>
      <c r="BC341" t="s">
        <v>480</v>
      </c>
      <c r="BD341" t="s">
        <v>481</v>
      </c>
      <c r="BG341" t="s">
        <v>657</v>
      </c>
      <c r="BH341" s="1">
        <v>44887.791666666664</v>
      </c>
      <c r="BI341">
        <v>40</v>
      </c>
      <c r="BJ341">
        <v>0</v>
      </c>
      <c r="BK341">
        <v>8</v>
      </c>
      <c r="BL341">
        <v>8</v>
      </c>
      <c r="BM341">
        <v>8</v>
      </c>
      <c r="BN341">
        <v>8</v>
      </c>
      <c r="BO341">
        <v>8</v>
      </c>
      <c r="BP341">
        <v>0</v>
      </c>
      <c r="BQ341" t="str">
        <f>"7:00 AM"</f>
        <v>7:00 AM</v>
      </c>
      <c r="BR341" t="str">
        <f>"4:00 PM"</f>
        <v>4:00 PM</v>
      </c>
      <c r="BS341" t="s">
        <v>133</v>
      </c>
      <c r="BT341">
        <v>0</v>
      </c>
      <c r="BU341">
        <v>0</v>
      </c>
      <c r="BV341" t="s">
        <v>134</v>
      </c>
      <c r="BX341" s="2" t="s">
        <v>3969</v>
      </c>
      <c r="BY341" t="s">
        <v>10761</v>
      </c>
      <c r="CA341" t="s">
        <v>10763</v>
      </c>
      <c r="CB341" t="s">
        <v>657</v>
      </c>
      <c r="CC341" s="4" t="str">
        <f>"37013"</f>
        <v>37013</v>
      </c>
      <c r="CD341" t="s">
        <v>1666</v>
      </c>
      <c r="CE341" t="s">
        <v>1667</v>
      </c>
      <c r="CF341" s="6">
        <v>16.68</v>
      </c>
      <c r="CH341" s="6">
        <v>25.02</v>
      </c>
      <c r="CJ341" t="s">
        <v>137</v>
      </c>
      <c r="CK341" t="s">
        <v>487</v>
      </c>
      <c r="CL341" t="s">
        <v>10765</v>
      </c>
      <c r="CO341" t="s">
        <v>138</v>
      </c>
      <c r="CP341" t="s">
        <v>114</v>
      </c>
      <c r="CQ341" t="s">
        <v>134</v>
      </c>
      <c r="CR341" t="s">
        <v>114</v>
      </c>
      <c r="CS341" t="s">
        <v>114</v>
      </c>
      <c r="CT341" t="s">
        <v>114</v>
      </c>
      <c r="CU341" t="s">
        <v>114</v>
      </c>
      <c r="CV341" t="s">
        <v>10766</v>
      </c>
      <c r="CW341" s="5" t="str">
        <f>"+16157812077"</f>
        <v>+16157812077</v>
      </c>
      <c r="CX341" t="s">
        <v>138</v>
      </c>
      <c r="CY341" t="s">
        <v>6983</v>
      </c>
      <c r="CZ341" t="s">
        <v>139</v>
      </c>
      <c r="DA341" t="s">
        <v>134</v>
      </c>
      <c r="DB341" t="s">
        <v>114</v>
      </c>
      <c r="DC341" t="s">
        <v>114</v>
      </c>
      <c r="DD341" t="s">
        <v>134</v>
      </c>
      <c r="DE341" t="s">
        <v>492</v>
      </c>
      <c r="DF341" t="s">
        <v>493</v>
      </c>
      <c r="DH341" t="s">
        <v>481</v>
      </c>
      <c r="DI341" t="s">
        <v>480</v>
      </c>
    </row>
    <row r="342" spans="1:113" ht="15" customHeight="1" x14ac:dyDescent="0.25">
      <c r="A342" t="s">
        <v>13302</v>
      </c>
      <c r="B342" t="s">
        <v>165</v>
      </c>
      <c r="C342" s="1">
        <v>44888.623107870371</v>
      </c>
      <c r="D342" s="1">
        <v>44914</v>
      </c>
      <c r="E342" t="s">
        <v>134</v>
      </c>
      <c r="F342" t="s">
        <v>334</v>
      </c>
      <c r="G342" t="str">
        <f>"37-3011.00"</f>
        <v>37-3011.00</v>
      </c>
      <c r="H342" t="s">
        <v>335</v>
      </c>
      <c r="I342">
        <v>9</v>
      </c>
      <c r="J342">
        <v>9</v>
      </c>
      <c r="K342" s="1">
        <v>44977</v>
      </c>
      <c r="L342" s="1">
        <v>45250</v>
      </c>
      <c r="M342" s="1">
        <v>44977</v>
      </c>
      <c r="N342" s="1">
        <v>45250</v>
      </c>
      <c r="O342" t="s">
        <v>117</v>
      </c>
      <c r="P342" t="s">
        <v>13303</v>
      </c>
      <c r="R342" t="s">
        <v>13304</v>
      </c>
      <c r="T342" t="s">
        <v>2089</v>
      </c>
      <c r="U342" t="s">
        <v>232</v>
      </c>
      <c r="V342" s="4" t="str">
        <f>"75002"</f>
        <v>75002</v>
      </c>
      <c r="W342" t="s">
        <v>120</v>
      </c>
      <c r="Y342" s="5">
        <v>12144574177</v>
      </c>
      <c r="AA342">
        <v>56173</v>
      </c>
      <c r="AB342" t="s">
        <v>13305</v>
      </c>
      <c r="AC342" t="s">
        <v>2367</v>
      </c>
      <c r="AE342" t="s">
        <v>424</v>
      </c>
      <c r="AF342" t="s">
        <v>13304</v>
      </c>
      <c r="AH342" t="s">
        <v>2089</v>
      </c>
      <c r="AI342" t="s">
        <v>232</v>
      </c>
      <c r="AJ342" s="4" t="str">
        <f>"75002"</f>
        <v>75002</v>
      </c>
      <c r="AK342" t="s">
        <v>120</v>
      </c>
      <c r="AM342" s="5">
        <v>12144574177</v>
      </c>
      <c r="AO342" t="s">
        <v>13306</v>
      </c>
      <c r="AP342" t="s">
        <v>256</v>
      </c>
      <c r="AQ342" t="s">
        <v>885</v>
      </c>
      <c r="AR342" t="s">
        <v>886</v>
      </c>
      <c r="AT342" t="s">
        <v>887</v>
      </c>
      <c r="AV342" t="s">
        <v>13307</v>
      </c>
      <c r="AW342" t="s">
        <v>232</v>
      </c>
      <c r="AX342" s="4" t="str">
        <f>"75098"</f>
        <v>75098</v>
      </c>
      <c r="AY342" t="s">
        <v>120</v>
      </c>
      <c r="BA342" s="5">
        <v>19724424244</v>
      </c>
      <c r="BC342" t="s">
        <v>889</v>
      </c>
      <c r="BD342" t="s">
        <v>1264</v>
      </c>
      <c r="BG342" t="s">
        <v>232</v>
      </c>
      <c r="BH342" s="1">
        <v>44887.791666666664</v>
      </c>
      <c r="BI342">
        <v>40</v>
      </c>
      <c r="BJ342">
        <v>0</v>
      </c>
      <c r="BK342">
        <v>8</v>
      </c>
      <c r="BL342">
        <v>8</v>
      </c>
      <c r="BM342">
        <v>8</v>
      </c>
      <c r="BN342">
        <v>8</v>
      </c>
      <c r="BO342">
        <v>8</v>
      </c>
      <c r="BP342">
        <v>0</v>
      </c>
      <c r="BQ342" t="str">
        <f>"7:00 AM"</f>
        <v>7:00 AM</v>
      </c>
      <c r="BR342" t="str">
        <f>"5:00 PM"</f>
        <v>5:00 PM</v>
      </c>
      <c r="BS342" t="s">
        <v>133</v>
      </c>
      <c r="BT342">
        <v>0</v>
      </c>
      <c r="BU342">
        <v>0</v>
      </c>
      <c r="BV342" t="s">
        <v>134</v>
      </c>
      <c r="BX342" t="s">
        <v>219</v>
      </c>
      <c r="BY342" t="s">
        <v>13304</v>
      </c>
      <c r="CA342" t="s">
        <v>2089</v>
      </c>
      <c r="CB342" t="s">
        <v>232</v>
      </c>
      <c r="CC342" s="4" t="str">
        <f>"75002"</f>
        <v>75002</v>
      </c>
      <c r="CD342" t="s">
        <v>3860</v>
      </c>
      <c r="CE342" t="s">
        <v>1528</v>
      </c>
      <c r="CF342" s="6">
        <v>16.3</v>
      </c>
      <c r="CG342" s="6">
        <v>18.5</v>
      </c>
      <c r="CH342" s="6">
        <v>24.45</v>
      </c>
      <c r="CI342" s="6">
        <v>27.75</v>
      </c>
      <c r="CJ342" t="s">
        <v>137</v>
      </c>
      <c r="CK342" t="s">
        <v>2086</v>
      </c>
      <c r="CL342" t="s">
        <v>13308</v>
      </c>
      <c r="CO342" t="s">
        <v>138</v>
      </c>
      <c r="CP342" t="s">
        <v>114</v>
      </c>
      <c r="CQ342" t="s">
        <v>114</v>
      </c>
      <c r="CR342" t="s">
        <v>114</v>
      </c>
      <c r="CS342" t="s">
        <v>114</v>
      </c>
      <c r="CT342" t="s">
        <v>114</v>
      </c>
      <c r="CU342" t="s">
        <v>114</v>
      </c>
      <c r="CV342" t="s">
        <v>13309</v>
      </c>
      <c r="CW342" s="5" t="str">
        <f>"+12144574177"</f>
        <v>+12144574177</v>
      </c>
      <c r="CX342" t="s">
        <v>138</v>
      </c>
      <c r="CY342" t="s">
        <v>2072</v>
      </c>
      <c r="CZ342" t="s">
        <v>139</v>
      </c>
      <c r="DA342" t="s">
        <v>134</v>
      </c>
      <c r="DB342" t="s">
        <v>134</v>
      </c>
      <c r="DC342" t="s">
        <v>114</v>
      </c>
      <c r="DD342" t="s">
        <v>134</v>
      </c>
    </row>
    <row r="343" spans="1:113" ht="15" customHeight="1" x14ac:dyDescent="0.25">
      <c r="A343" t="s">
        <v>10776</v>
      </c>
      <c r="B343" t="s">
        <v>165</v>
      </c>
      <c r="C343" s="1">
        <v>44888.522930208332</v>
      </c>
      <c r="D343" s="1">
        <v>44914</v>
      </c>
      <c r="E343" t="s">
        <v>134</v>
      </c>
      <c r="F343" t="s">
        <v>334</v>
      </c>
      <c r="G343" t="str">
        <f>"37-3011.00"</f>
        <v>37-3011.00</v>
      </c>
      <c r="H343" t="s">
        <v>335</v>
      </c>
      <c r="I343">
        <v>20</v>
      </c>
      <c r="J343">
        <v>20</v>
      </c>
      <c r="K343" s="1">
        <v>44977</v>
      </c>
      <c r="L343" s="1">
        <v>45269</v>
      </c>
      <c r="M343" s="1">
        <v>44977</v>
      </c>
      <c r="N343" s="1">
        <v>45269</v>
      </c>
      <c r="O343" t="s">
        <v>117</v>
      </c>
      <c r="P343" t="s">
        <v>10777</v>
      </c>
      <c r="R343" t="s">
        <v>10778</v>
      </c>
      <c r="S343" t="s">
        <v>10779</v>
      </c>
      <c r="T343" t="s">
        <v>10780</v>
      </c>
      <c r="U343" t="s">
        <v>697</v>
      </c>
      <c r="V343" s="4" t="str">
        <f>"65079"</f>
        <v>65079</v>
      </c>
      <c r="W343" t="s">
        <v>120</v>
      </c>
      <c r="X343" t="s">
        <v>138</v>
      </c>
      <c r="Y343" s="5">
        <v>19136818041</v>
      </c>
      <c r="AA343">
        <v>561730</v>
      </c>
      <c r="AB343" t="s">
        <v>5428</v>
      </c>
      <c r="AC343" t="s">
        <v>5429</v>
      </c>
      <c r="AD343" t="s">
        <v>1487</v>
      </c>
      <c r="AE343" t="s">
        <v>342</v>
      </c>
      <c r="AF343" t="s">
        <v>10778</v>
      </c>
      <c r="AG343" t="s">
        <v>10779</v>
      </c>
      <c r="AH343" t="s">
        <v>10780</v>
      </c>
      <c r="AI343" t="s">
        <v>697</v>
      </c>
      <c r="AJ343" s="4" t="str">
        <f>"65079"</f>
        <v>65079</v>
      </c>
      <c r="AK343" t="s">
        <v>120</v>
      </c>
      <c r="AM343" s="5">
        <v>19136818041</v>
      </c>
      <c r="AO343" t="s">
        <v>5430</v>
      </c>
      <c r="AP343" t="s">
        <v>256</v>
      </c>
      <c r="AQ343" t="s">
        <v>4312</v>
      </c>
      <c r="AR343" t="s">
        <v>4313</v>
      </c>
      <c r="AS343" t="s">
        <v>4044</v>
      </c>
      <c r="AT343" t="s">
        <v>1284</v>
      </c>
      <c r="AU343" t="s">
        <v>138</v>
      </c>
      <c r="AV343" t="s">
        <v>1285</v>
      </c>
      <c r="AW343" t="s">
        <v>232</v>
      </c>
      <c r="AX343" s="4" t="str">
        <f>"77414"</f>
        <v>77414</v>
      </c>
      <c r="AY343" t="s">
        <v>120</v>
      </c>
      <c r="BA343" s="5">
        <v>19793187277</v>
      </c>
      <c r="BC343" t="s">
        <v>4314</v>
      </c>
      <c r="BD343" t="s">
        <v>1287</v>
      </c>
      <c r="BG343" t="s">
        <v>697</v>
      </c>
      <c r="BH343" s="1">
        <v>44887.791666666664</v>
      </c>
      <c r="BI343">
        <v>40</v>
      </c>
      <c r="BJ343">
        <v>0</v>
      </c>
      <c r="BK343">
        <v>8</v>
      </c>
      <c r="BL343">
        <v>8</v>
      </c>
      <c r="BM343">
        <v>8</v>
      </c>
      <c r="BN343">
        <v>8</v>
      </c>
      <c r="BO343">
        <v>8</v>
      </c>
      <c r="BP343">
        <v>0</v>
      </c>
      <c r="BQ343" t="str">
        <f>"7:30 AM"</f>
        <v>7:30 AM</v>
      </c>
      <c r="BR343" t="str">
        <f>"4:30 PM"</f>
        <v>4:30 PM</v>
      </c>
      <c r="BS343" t="s">
        <v>133</v>
      </c>
      <c r="BT343">
        <v>0</v>
      </c>
      <c r="BU343">
        <v>0</v>
      </c>
      <c r="BV343" t="s">
        <v>134</v>
      </c>
      <c r="BX343" s="2" t="s">
        <v>10781</v>
      </c>
      <c r="BY343" t="s">
        <v>10778</v>
      </c>
      <c r="BZ343" t="s">
        <v>138</v>
      </c>
      <c r="CA343" t="s">
        <v>10780</v>
      </c>
      <c r="CB343" t="s">
        <v>697</v>
      </c>
      <c r="CC343" s="4" t="str">
        <f>"65079"</f>
        <v>65079</v>
      </c>
      <c r="CD343" t="s">
        <v>3837</v>
      </c>
      <c r="CE343" t="s">
        <v>4051</v>
      </c>
      <c r="CF343" s="6">
        <v>14.09</v>
      </c>
      <c r="CG343" s="6">
        <v>16</v>
      </c>
      <c r="CH343" s="6">
        <v>21.14</v>
      </c>
      <c r="CI343" s="6">
        <v>24</v>
      </c>
      <c r="CJ343" t="s">
        <v>137</v>
      </c>
      <c r="CK343" t="s">
        <v>4317</v>
      </c>
      <c r="CL343" t="s">
        <v>10782</v>
      </c>
      <c r="CO343" t="s">
        <v>138</v>
      </c>
      <c r="CP343" t="s">
        <v>114</v>
      </c>
      <c r="CQ343" t="s">
        <v>114</v>
      </c>
      <c r="CR343" t="s">
        <v>114</v>
      </c>
      <c r="CS343" t="s">
        <v>114</v>
      </c>
      <c r="CT343" t="s">
        <v>114</v>
      </c>
      <c r="CU343" t="s">
        <v>114</v>
      </c>
      <c r="CV343" t="s">
        <v>5433</v>
      </c>
      <c r="CW343" s="5" t="str">
        <f>"+19136818041"</f>
        <v>+19136818041</v>
      </c>
      <c r="CX343" t="s">
        <v>5430</v>
      </c>
      <c r="CY343" t="s">
        <v>138</v>
      </c>
      <c r="CZ343" t="s">
        <v>139</v>
      </c>
      <c r="DA343" t="s">
        <v>134</v>
      </c>
      <c r="DB343" t="s">
        <v>134</v>
      </c>
      <c r="DC343" t="s">
        <v>114</v>
      </c>
      <c r="DD343" t="s">
        <v>134</v>
      </c>
    </row>
    <row r="344" spans="1:113" ht="15" customHeight="1" x14ac:dyDescent="0.25">
      <c r="A344" t="s">
        <v>15473</v>
      </c>
      <c r="B344" t="s">
        <v>165</v>
      </c>
      <c r="C344" s="1">
        <v>44888.504273495368</v>
      </c>
      <c r="D344" s="1">
        <v>44914</v>
      </c>
      <c r="E344" t="s">
        <v>134</v>
      </c>
      <c r="F344" t="s">
        <v>571</v>
      </c>
      <c r="G344" t="str">
        <f>"35-3023.00"</f>
        <v>35-3023.00</v>
      </c>
      <c r="H344" t="s">
        <v>555</v>
      </c>
      <c r="I344">
        <v>5</v>
      </c>
      <c r="J344">
        <v>5</v>
      </c>
      <c r="K344" s="1">
        <v>44967</v>
      </c>
      <c r="L344" s="1">
        <v>45217</v>
      </c>
      <c r="M344" s="1">
        <v>44967</v>
      </c>
      <c r="N344" s="1">
        <v>45217</v>
      </c>
      <c r="O344" t="s">
        <v>199</v>
      </c>
      <c r="P344" t="s">
        <v>15474</v>
      </c>
      <c r="Q344" t="s">
        <v>15475</v>
      </c>
      <c r="R344" t="s">
        <v>15476</v>
      </c>
      <c r="T344" t="s">
        <v>15477</v>
      </c>
      <c r="U344" t="s">
        <v>444</v>
      </c>
      <c r="V344" s="4" t="str">
        <f>"93644"</f>
        <v>93644</v>
      </c>
      <c r="W344" t="s">
        <v>120</v>
      </c>
      <c r="Y344" s="5">
        <v>15597606230</v>
      </c>
      <c r="AA344">
        <v>7139</v>
      </c>
      <c r="AB344" t="s">
        <v>3645</v>
      </c>
      <c r="AC344" t="s">
        <v>15478</v>
      </c>
      <c r="AE344" t="s">
        <v>424</v>
      </c>
      <c r="AF344" t="s">
        <v>15476</v>
      </c>
      <c r="AH344" t="s">
        <v>15479</v>
      </c>
      <c r="AI344" t="s">
        <v>444</v>
      </c>
      <c r="AJ344" s="4" t="str">
        <f>"93644"</f>
        <v>93644</v>
      </c>
      <c r="AK344" t="s">
        <v>120</v>
      </c>
      <c r="AM344" s="5">
        <v>15597606230</v>
      </c>
      <c r="AO344" t="s">
        <v>15480</v>
      </c>
      <c r="AP344" t="s">
        <v>256</v>
      </c>
      <c r="AQ344" t="s">
        <v>535</v>
      </c>
      <c r="AR344" t="s">
        <v>536</v>
      </c>
      <c r="AS344" t="s">
        <v>537</v>
      </c>
      <c r="AT344" t="s">
        <v>538</v>
      </c>
      <c r="AU344" t="s">
        <v>539</v>
      </c>
      <c r="AV344" t="s">
        <v>540</v>
      </c>
      <c r="AW344" t="s">
        <v>232</v>
      </c>
      <c r="AX344" s="4" t="str">
        <f>"78550"</f>
        <v>78550</v>
      </c>
      <c r="AY344" t="s">
        <v>120</v>
      </c>
      <c r="BA344" s="5">
        <v>19564408720</v>
      </c>
      <c r="BB344">
        <v>0</v>
      </c>
      <c r="BC344" t="s">
        <v>563</v>
      </c>
      <c r="BD344" t="s">
        <v>543</v>
      </c>
      <c r="BG344" t="s">
        <v>444</v>
      </c>
      <c r="BH344" s="1">
        <v>44887.791666666664</v>
      </c>
      <c r="BI344">
        <v>40</v>
      </c>
      <c r="BJ344">
        <v>8</v>
      </c>
      <c r="BK344">
        <v>0</v>
      </c>
      <c r="BL344">
        <v>0</v>
      </c>
      <c r="BM344">
        <v>8</v>
      </c>
      <c r="BN344">
        <v>8</v>
      </c>
      <c r="BO344">
        <v>8</v>
      </c>
      <c r="BP344">
        <v>8</v>
      </c>
      <c r="BQ344" t="str">
        <f>"1:00 PM"</f>
        <v>1:00 PM</v>
      </c>
      <c r="BR344" t="str">
        <f>"10:00 PM"</f>
        <v>10:00 PM</v>
      </c>
      <c r="BS344" t="s">
        <v>133</v>
      </c>
      <c r="BT344">
        <v>0</v>
      </c>
      <c r="BU344">
        <v>0</v>
      </c>
      <c r="BV344" t="s">
        <v>134</v>
      </c>
      <c r="BX344" s="2" t="s">
        <v>3113</v>
      </c>
      <c r="BY344" t="s">
        <v>15476</v>
      </c>
      <c r="CA344" t="s">
        <v>15477</v>
      </c>
      <c r="CB344" t="s">
        <v>444</v>
      </c>
      <c r="CC344" s="4" t="str">
        <f>"93644"</f>
        <v>93644</v>
      </c>
      <c r="CD344" t="s">
        <v>1851</v>
      </c>
      <c r="CE344" t="s">
        <v>1852</v>
      </c>
      <c r="CF344" s="6">
        <v>15.5</v>
      </c>
      <c r="CG344" s="6">
        <v>15.5</v>
      </c>
      <c r="CJ344" t="s">
        <v>137</v>
      </c>
      <c r="CK344" t="s">
        <v>549</v>
      </c>
      <c r="CL344" t="s">
        <v>15481</v>
      </c>
      <c r="CO344" t="s">
        <v>138</v>
      </c>
      <c r="CP344" t="s">
        <v>114</v>
      </c>
      <c r="CQ344" t="s">
        <v>114</v>
      </c>
      <c r="CR344" t="s">
        <v>134</v>
      </c>
      <c r="CS344" t="s">
        <v>114</v>
      </c>
      <c r="CT344" t="s">
        <v>114</v>
      </c>
      <c r="CU344" t="s">
        <v>114</v>
      </c>
      <c r="CV344" t="s">
        <v>5919</v>
      </c>
      <c r="CW344" s="5" t="str">
        <f>"+15597606230"</f>
        <v>+15597606230</v>
      </c>
      <c r="CX344" t="s">
        <v>15480</v>
      </c>
      <c r="CY344" t="s">
        <v>138</v>
      </c>
      <c r="CZ344" t="s">
        <v>139</v>
      </c>
      <c r="DA344" t="s">
        <v>134</v>
      </c>
      <c r="DB344" t="s">
        <v>134</v>
      </c>
      <c r="DC344" t="s">
        <v>114</v>
      </c>
      <c r="DD344" t="s">
        <v>134</v>
      </c>
    </row>
    <row r="345" spans="1:113" ht="15" customHeight="1" x14ac:dyDescent="0.25">
      <c r="A345" t="s">
        <v>7856</v>
      </c>
      <c r="B345" t="s">
        <v>165</v>
      </c>
      <c r="C345" s="1">
        <v>44888.123448495367</v>
      </c>
      <c r="D345" s="1">
        <v>44914</v>
      </c>
      <c r="E345" t="s">
        <v>134</v>
      </c>
      <c r="F345" t="s">
        <v>2245</v>
      </c>
      <c r="G345" t="str">
        <f>"37-3011.00"</f>
        <v>37-3011.00</v>
      </c>
      <c r="H345" t="s">
        <v>335</v>
      </c>
      <c r="I345">
        <v>10</v>
      </c>
      <c r="J345">
        <v>10</v>
      </c>
      <c r="K345" s="1">
        <v>44972</v>
      </c>
      <c r="L345" s="1">
        <v>45260</v>
      </c>
      <c r="M345" s="1">
        <v>44972</v>
      </c>
      <c r="N345" s="1">
        <v>45260</v>
      </c>
      <c r="O345" t="s">
        <v>117</v>
      </c>
      <c r="P345" t="s">
        <v>7857</v>
      </c>
      <c r="R345" t="s">
        <v>7858</v>
      </c>
      <c r="T345" t="s">
        <v>374</v>
      </c>
      <c r="U345" t="s">
        <v>339</v>
      </c>
      <c r="V345" s="4" t="str">
        <f>"21401"</f>
        <v>21401</v>
      </c>
      <c r="W345" t="s">
        <v>120</v>
      </c>
      <c r="Y345" s="5">
        <v>14432218449</v>
      </c>
      <c r="AA345">
        <v>5617</v>
      </c>
      <c r="AB345" t="s">
        <v>5106</v>
      </c>
      <c r="AC345" t="s">
        <v>4188</v>
      </c>
      <c r="AE345" t="s">
        <v>252</v>
      </c>
      <c r="AF345" t="s">
        <v>7859</v>
      </c>
      <c r="AH345" t="s">
        <v>374</v>
      </c>
      <c r="AI345" t="s">
        <v>339</v>
      </c>
      <c r="AJ345" s="4" t="str">
        <f>"21401"</f>
        <v>21401</v>
      </c>
      <c r="AK345" t="s">
        <v>120</v>
      </c>
      <c r="AM345" s="5">
        <v>14432218449</v>
      </c>
      <c r="AO345" t="s">
        <v>7860</v>
      </c>
      <c r="AP345" t="s">
        <v>256</v>
      </c>
      <c r="AQ345" t="s">
        <v>1615</v>
      </c>
      <c r="AR345" t="s">
        <v>1616</v>
      </c>
      <c r="AT345" t="s">
        <v>1617</v>
      </c>
      <c r="AV345" t="s">
        <v>1618</v>
      </c>
      <c r="AW345" t="s">
        <v>444</v>
      </c>
      <c r="AX345" s="4" t="str">
        <f>"93446"</f>
        <v>93446</v>
      </c>
      <c r="AY345" t="s">
        <v>120</v>
      </c>
      <c r="AZ345" t="s">
        <v>1619</v>
      </c>
      <c r="BA345" s="5">
        <v>13217042589</v>
      </c>
      <c r="BC345" t="s">
        <v>1620</v>
      </c>
      <c r="BD345" t="s">
        <v>1621</v>
      </c>
      <c r="BG345" t="s">
        <v>339</v>
      </c>
      <c r="BH345" s="1">
        <v>44886.791666666664</v>
      </c>
      <c r="BI345">
        <v>40</v>
      </c>
      <c r="BJ345">
        <v>0</v>
      </c>
      <c r="BK345">
        <v>8</v>
      </c>
      <c r="BL345">
        <v>8</v>
      </c>
      <c r="BM345">
        <v>8</v>
      </c>
      <c r="BN345">
        <v>8</v>
      </c>
      <c r="BO345">
        <v>8</v>
      </c>
      <c r="BP345">
        <v>0</v>
      </c>
      <c r="BQ345" t="str">
        <f>"7:00 AM"</f>
        <v>7:00 AM</v>
      </c>
      <c r="BR345" t="str">
        <f>"4:00 PM"</f>
        <v>4:00 PM</v>
      </c>
      <c r="BS345" t="s">
        <v>133</v>
      </c>
      <c r="BT345">
        <v>0</v>
      </c>
      <c r="BU345">
        <v>3</v>
      </c>
      <c r="BV345" t="s">
        <v>134</v>
      </c>
      <c r="BX345" s="2" t="s">
        <v>7861</v>
      </c>
      <c r="BY345" t="s">
        <v>7862</v>
      </c>
      <c r="CA345" t="s">
        <v>5659</v>
      </c>
      <c r="CB345" t="s">
        <v>339</v>
      </c>
      <c r="CC345" s="4" t="str">
        <f>"20774"</f>
        <v>20774</v>
      </c>
      <c r="CD345" t="s">
        <v>1102</v>
      </c>
      <c r="CE345" t="s">
        <v>355</v>
      </c>
      <c r="CF345" s="6">
        <v>18.36</v>
      </c>
      <c r="CG345" s="6">
        <v>18.36</v>
      </c>
      <c r="CH345" s="6">
        <v>27.54</v>
      </c>
      <c r="CI345" s="6">
        <v>27.54</v>
      </c>
      <c r="CJ345" t="s">
        <v>137</v>
      </c>
      <c r="CK345" t="s">
        <v>1623</v>
      </c>
      <c r="CL345" t="s">
        <v>7863</v>
      </c>
      <c r="CO345" t="s">
        <v>138</v>
      </c>
      <c r="CP345" t="s">
        <v>114</v>
      </c>
      <c r="CQ345" t="s">
        <v>114</v>
      </c>
      <c r="CR345" t="s">
        <v>114</v>
      </c>
      <c r="CS345" t="s">
        <v>114</v>
      </c>
      <c r="CT345" t="s">
        <v>114</v>
      </c>
      <c r="CU345" t="s">
        <v>114</v>
      </c>
      <c r="CV345" s="2" t="s">
        <v>7864</v>
      </c>
      <c r="CW345" s="5" t="str">
        <f>"+12027067608"</f>
        <v>+12027067608</v>
      </c>
      <c r="CX345" t="s">
        <v>7865</v>
      </c>
      <c r="CY345" t="s">
        <v>138</v>
      </c>
      <c r="CZ345" t="s">
        <v>139</v>
      </c>
      <c r="DA345" t="s">
        <v>134</v>
      </c>
      <c r="DB345" t="s">
        <v>134</v>
      </c>
      <c r="DC345" t="s">
        <v>114</v>
      </c>
      <c r="DD345" t="s">
        <v>134</v>
      </c>
    </row>
    <row r="346" spans="1:113" ht="15" customHeight="1" x14ac:dyDescent="0.25">
      <c r="A346" t="s">
        <v>5425</v>
      </c>
      <c r="B346" t="s">
        <v>165</v>
      </c>
      <c r="C346" s="1">
        <v>44887.715508796296</v>
      </c>
      <c r="D346" s="1">
        <v>44914</v>
      </c>
      <c r="E346" t="s">
        <v>134</v>
      </c>
      <c r="F346" t="s">
        <v>334</v>
      </c>
      <c r="G346" t="str">
        <f>"37-3011.00"</f>
        <v>37-3011.00</v>
      </c>
      <c r="H346" t="s">
        <v>335</v>
      </c>
      <c r="I346">
        <v>18</v>
      </c>
      <c r="J346">
        <v>18</v>
      </c>
      <c r="K346" s="1">
        <v>44977</v>
      </c>
      <c r="L346" s="1">
        <v>45269</v>
      </c>
      <c r="M346" s="1">
        <v>44977</v>
      </c>
      <c r="N346" s="1">
        <v>45269</v>
      </c>
      <c r="O346" t="s">
        <v>117</v>
      </c>
      <c r="P346" t="s">
        <v>5426</v>
      </c>
      <c r="R346" t="s">
        <v>5427</v>
      </c>
      <c r="S346" t="s">
        <v>138</v>
      </c>
      <c r="T346" t="s">
        <v>4444</v>
      </c>
      <c r="U346" t="s">
        <v>1279</v>
      </c>
      <c r="V346" s="4" t="str">
        <f>"66085"</f>
        <v>66085</v>
      </c>
      <c r="W346" t="s">
        <v>120</v>
      </c>
      <c r="X346" t="s">
        <v>138</v>
      </c>
      <c r="Y346" s="5">
        <v>19136818041</v>
      </c>
      <c r="AA346">
        <v>561730</v>
      </c>
      <c r="AB346" t="s">
        <v>5428</v>
      </c>
      <c r="AC346" t="s">
        <v>5429</v>
      </c>
      <c r="AD346" t="s">
        <v>1487</v>
      </c>
      <c r="AE346" t="s">
        <v>342</v>
      </c>
      <c r="AF346" t="s">
        <v>5427</v>
      </c>
      <c r="AG346" t="s">
        <v>138</v>
      </c>
      <c r="AH346" t="s">
        <v>4444</v>
      </c>
      <c r="AI346" t="s">
        <v>1279</v>
      </c>
      <c r="AJ346" s="4" t="str">
        <f>"66085"</f>
        <v>66085</v>
      </c>
      <c r="AK346" t="s">
        <v>120</v>
      </c>
      <c r="AM346" s="5">
        <v>19136818041</v>
      </c>
      <c r="AO346" t="s">
        <v>5430</v>
      </c>
      <c r="AP346" t="s">
        <v>256</v>
      </c>
      <c r="AQ346" t="s">
        <v>4312</v>
      </c>
      <c r="AR346" t="s">
        <v>4313</v>
      </c>
      <c r="AS346" t="s">
        <v>4044</v>
      </c>
      <c r="AT346" t="s">
        <v>1284</v>
      </c>
      <c r="AU346" t="s">
        <v>138</v>
      </c>
      <c r="AV346" t="s">
        <v>1285</v>
      </c>
      <c r="AW346" t="s">
        <v>232</v>
      </c>
      <c r="AX346" s="4" t="str">
        <f>"77414"</f>
        <v>77414</v>
      </c>
      <c r="AY346" t="s">
        <v>120</v>
      </c>
      <c r="BA346" s="5">
        <v>19793187277</v>
      </c>
      <c r="BC346" t="s">
        <v>4314</v>
      </c>
      <c r="BD346" t="s">
        <v>1287</v>
      </c>
      <c r="BG346" t="s">
        <v>1279</v>
      </c>
      <c r="BH346" s="1">
        <v>44886.791666666664</v>
      </c>
      <c r="BI346">
        <v>40</v>
      </c>
      <c r="BJ346">
        <v>0</v>
      </c>
      <c r="BK346">
        <v>8</v>
      </c>
      <c r="BL346">
        <v>8</v>
      </c>
      <c r="BM346">
        <v>8</v>
      </c>
      <c r="BN346">
        <v>8</v>
      </c>
      <c r="BO346">
        <v>8</v>
      </c>
      <c r="BP346">
        <v>0</v>
      </c>
      <c r="BQ346" t="str">
        <f>"7:30 AM"</f>
        <v>7:30 AM</v>
      </c>
      <c r="BR346" t="str">
        <f>"4:30 PM"</f>
        <v>4:30 PM</v>
      </c>
      <c r="BS346" t="s">
        <v>133</v>
      </c>
      <c r="BT346">
        <v>0</v>
      </c>
      <c r="BU346">
        <v>0</v>
      </c>
      <c r="BV346" t="s">
        <v>134</v>
      </c>
      <c r="BX346" s="2" t="s">
        <v>5431</v>
      </c>
      <c r="BY346" t="s">
        <v>5427</v>
      </c>
      <c r="BZ346" t="s">
        <v>138</v>
      </c>
      <c r="CA346" t="s">
        <v>4444</v>
      </c>
      <c r="CB346" t="s">
        <v>1279</v>
      </c>
      <c r="CC346" s="4" t="str">
        <f>"66085"</f>
        <v>66085</v>
      </c>
      <c r="CD346" t="s">
        <v>1289</v>
      </c>
      <c r="CE346" t="s">
        <v>1290</v>
      </c>
      <c r="CF346" s="6">
        <v>16.920000000000002</v>
      </c>
      <c r="CG346" s="6">
        <v>19.559999999999999</v>
      </c>
      <c r="CH346" s="6">
        <v>25.38</v>
      </c>
      <c r="CI346" s="6">
        <v>29.34</v>
      </c>
      <c r="CJ346" t="s">
        <v>137</v>
      </c>
      <c r="CK346" t="s">
        <v>4317</v>
      </c>
      <c r="CL346" t="s">
        <v>5432</v>
      </c>
      <c r="CO346" t="s">
        <v>138</v>
      </c>
      <c r="CP346" t="s">
        <v>114</v>
      </c>
      <c r="CQ346" t="s">
        <v>114</v>
      </c>
      <c r="CR346" t="s">
        <v>114</v>
      </c>
      <c r="CS346" t="s">
        <v>114</v>
      </c>
      <c r="CT346" t="s">
        <v>114</v>
      </c>
      <c r="CU346" t="s">
        <v>114</v>
      </c>
      <c r="CV346" t="s">
        <v>5433</v>
      </c>
      <c r="CW346" s="5" t="str">
        <f>"+19136818041"</f>
        <v>+19136818041</v>
      </c>
      <c r="CX346" t="s">
        <v>5430</v>
      </c>
      <c r="CY346" t="s">
        <v>138</v>
      </c>
      <c r="CZ346" t="s">
        <v>139</v>
      </c>
      <c r="DA346" t="s">
        <v>134</v>
      </c>
      <c r="DB346" t="s">
        <v>134</v>
      </c>
      <c r="DC346" t="s">
        <v>114</v>
      </c>
      <c r="DD346" t="s">
        <v>134</v>
      </c>
    </row>
    <row r="347" spans="1:113" ht="15" customHeight="1" x14ac:dyDescent="0.25">
      <c r="A347" t="s">
        <v>5415</v>
      </c>
      <c r="B347" t="s">
        <v>165</v>
      </c>
      <c r="C347" s="1">
        <v>44887.609098032408</v>
      </c>
      <c r="D347" s="1">
        <v>44914</v>
      </c>
      <c r="E347" t="s">
        <v>134</v>
      </c>
      <c r="F347" t="s">
        <v>5416</v>
      </c>
      <c r="G347" t="str">
        <f>"37-3011.00"</f>
        <v>37-3011.00</v>
      </c>
      <c r="H347" t="s">
        <v>335</v>
      </c>
      <c r="I347">
        <v>8</v>
      </c>
      <c r="J347">
        <v>8</v>
      </c>
      <c r="K347" s="1">
        <v>44962</v>
      </c>
      <c r="L347" s="1">
        <v>45031</v>
      </c>
      <c r="M347" s="1">
        <v>44962</v>
      </c>
      <c r="N347" s="1">
        <v>45031</v>
      </c>
      <c r="O347" t="s">
        <v>199</v>
      </c>
      <c r="P347" t="s">
        <v>5417</v>
      </c>
      <c r="R347" t="s">
        <v>5418</v>
      </c>
      <c r="T347" t="s">
        <v>5419</v>
      </c>
      <c r="U347" t="s">
        <v>1414</v>
      </c>
      <c r="V347" s="4" t="str">
        <f>"48313"</f>
        <v>48313</v>
      </c>
      <c r="W347" t="s">
        <v>120</v>
      </c>
      <c r="Y347" s="5">
        <v>15862687699</v>
      </c>
      <c r="AA347">
        <v>488490</v>
      </c>
      <c r="AB347" t="s">
        <v>5420</v>
      </c>
      <c r="AC347" t="s">
        <v>2361</v>
      </c>
      <c r="AE347" t="s">
        <v>1526</v>
      </c>
      <c r="AF347" t="s">
        <v>5418</v>
      </c>
      <c r="AH347" t="s">
        <v>5419</v>
      </c>
      <c r="AI347" t="s">
        <v>1414</v>
      </c>
      <c r="AJ347" s="4" t="str">
        <f>"48313"</f>
        <v>48313</v>
      </c>
      <c r="AK347" t="s">
        <v>120</v>
      </c>
      <c r="AM347" s="5">
        <v>15862687699</v>
      </c>
      <c r="AO347" t="s">
        <v>5421</v>
      </c>
      <c r="AP347" t="s">
        <v>122</v>
      </c>
      <c r="AQ347" t="s">
        <v>2315</v>
      </c>
      <c r="AR347" t="s">
        <v>2316</v>
      </c>
      <c r="AS347" t="s">
        <v>2317</v>
      </c>
      <c r="AT347" t="s">
        <v>2001</v>
      </c>
      <c r="AV347" t="s">
        <v>2002</v>
      </c>
      <c r="AW347" t="s">
        <v>1147</v>
      </c>
      <c r="AX347" s="4" t="str">
        <f>"54301"</f>
        <v>54301</v>
      </c>
      <c r="AY347" t="s">
        <v>120</v>
      </c>
      <c r="BA347" s="5">
        <v>18004140978</v>
      </c>
      <c r="BC347" t="s">
        <v>2318</v>
      </c>
      <c r="BD347" t="s">
        <v>2003</v>
      </c>
      <c r="BE347" t="s">
        <v>479</v>
      </c>
      <c r="BF347" t="s">
        <v>2319</v>
      </c>
      <c r="BG347" t="s">
        <v>1414</v>
      </c>
      <c r="BH347" s="1">
        <v>44886.791666666664</v>
      </c>
      <c r="BI347">
        <v>40</v>
      </c>
      <c r="BJ347">
        <v>0</v>
      </c>
      <c r="BK347">
        <v>8</v>
      </c>
      <c r="BL347">
        <v>8</v>
      </c>
      <c r="BM347">
        <v>8</v>
      </c>
      <c r="BN347">
        <v>8</v>
      </c>
      <c r="BO347">
        <v>8</v>
      </c>
      <c r="BP347">
        <v>0</v>
      </c>
      <c r="BQ347" t="str">
        <f>"7:30 AM"</f>
        <v>7:30 AM</v>
      </c>
      <c r="BR347" t="str">
        <f>"5:30 PM"</f>
        <v>5:30 PM</v>
      </c>
      <c r="BS347" t="s">
        <v>133</v>
      </c>
      <c r="BT347">
        <v>0</v>
      </c>
      <c r="BU347">
        <v>0</v>
      </c>
      <c r="BV347" t="s">
        <v>134</v>
      </c>
      <c r="BX347" s="2" t="s">
        <v>5422</v>
      </c>
      <c r="BY347" t="s">
        <v>5418</v>
      </c>
      <c r="CA347" t="s">
        <v>5419</v>
      </c>
      <c r="CB347" t="s">
        <v>1414</v>
      </c>
      <c r="CC347" s="4" t="str">
        <f>"48313"</f>
        <v>48313</v>
      </c>
      <c r="CD347" t="s">
        <v>2448</v>
      </c>
      <c r="CE347" t="s">
        <v>1814</v>
      </c>
      <c r="CF347" s="6">
        <v>16.62</v>
      </c>
      <c r="CH347" s="6">
        <v>24.93</v>
      </c>
      <c r="CJ347" t="s">
        <v>137</v>
      </c>
      <c r="CK347" t="s">
        <v>487</v>
      </c>
      <c r="CL347" t="s">
        <v>5423</v>
      </c>
      <c r="CO347" t="s">
        <v>138</v>
      </c>
      <c r="CP347" t="s">
        <v>114</v>
      </c>
      <c r="CQ347" t="s">
        <v>114</v>
      </c>
      <c r="CR347" t="s">
        <v>114</v>
      </c>
      <c r="CS347" t="s">
        <v>114</v>
      </c>
      <c r="CT347" t="s">
        <v>114</v>
      </c>
      <c r="CU347" t="s">
        <v>114</v>
      </c>
      <c r="CV347" t="s">
        <v>5424</v>
      </c>
      <c r="CW347" s="5" t="str">
        <f>"+15862687699"</f>
        <v>+15862687699</v>
      </c>
      <c r="CX347" t="s">
        <v>5421</v>
      </c>
      <c r="CY347" t="s">
        <v>138</v>
      </c>
      <c r="CZ347" t="s">
        <v>139</v>
      </c>
      <c r="DA347" t="s">
        <v>134</v>
      </c>
      <c r="DB347" t="s">
        <v>134</v>
      </c>
      <c r="DC347" t="s">
        <v>114</v>
      </c>
      <c r="DD347" t="s">
        <v>134</v>
      </c>
    </row>
    <row r="348" spans="1:113" ht="15" customHeight="1" x14ac:dyDescent="0.25">
      <c r="A348" t="s">
        <v>11640</v>
      </c>
      <c r="B348" t="s">
        <v>165</v>
      </c>
      <c r="C348" s="1">
        <v>44887.438831481479</v>
      </c>
      <c r="D348" s="1">
        <v>44914</v>
      </c>
      <c r="E348" t="s">
        <v>134</v>
      </c>
      <c r="F348" t="s">
        <v>334</v>
      </c>
      <c r="G348" t="str">
        <f>"37-3011.00"</f>
        <v>37-3011.00</v>
      </c>
      <c r="H348" t="s">
        <v>335</v>
      </c>
      <c r="I348">
        <v>35</v>
      </c>
      <c r="J348">
        <v>35</v>
      </c>
      <c r="K348" s="1">
        <v>44972</v>
      </c>
      <c r="L348" s="1">
        <v>45260</v>
      </c>
      <c r="M348" s="1">
        <v>44972</v>
      </c>
      <c r="N348" s="1">
        <v>45260</v>
      </c>
      <c r="O348" t="s">
        <v>117</v>
      </c>
      <c r="P348" t="s">
        <v>11641</v>
      </c>
      <c r="R348" t="s">
        <v>11642</v>
      </c>
      <c r="S348" t="s">
        <v>11643</v>
      </c>
      <c r="T348" t="s">
        <v>10062</v>
      </c>
      <c r="U348" t="s">
        <v>1349</v>
      </c>
      <c r="V348" s="4" t="str">
        <f>"72916"</f>
        <v>72916</v>
      </c>
      <c r="W348" t="s">
        <v>120</v>
      </c>
      <c r="Y348" s="5">
        <v>14796466517</v>
      </c>
      <c r="AA348">
        <v>56173</v>
      </c>
      <c r="AB348" t="s">
        <v>11644</v>
      </c>
      <c r="AC348" t="s">
        <v>2594</v>
      </c>
      <c r="AE348" t="s">
        <v>342</v>
      </c>
      <c r="AF348" t="s">
        <v>11645</v>
      </c>
      <c r="AG348" t="s">
        <v>11646</v>
      </c>
      <c r="AH348" t="s">
        <v>10062</v>
      </c>
      <c r="AI348" t="s">
        <v>1349</v>
      </c>
      <c r="AJ348" s="4" t="str">
        <f>"72916"</f>
        <v>72916</v>
      </c>
      <c r="AK348" t="s">
        <v>120</v>
      </c>
      <c r="AM348" s="5">
        <v>14796466517</v>
      </c>
      <c r="AO348" t="s">
        <v>11647</v>
      </c>
      <c r="AP348" t="s">
        <v>256</v>
      </c>
      <c r="AQ348" t="s">
        <v>1731</v>
      </c>
      <c r="AR348" t="s">
        <v>1732</v>
      </c>
      <c r="AS348" t="s">
        <v>1733</v>
      </c>
      <c r="AT348" t="s">
        <v>1734</v>
      </c>
      <c r="AU348" t="s">
        <v>1735</v>
      </c>
      <c r="AV348" t="s">
        <v>1736</v>
      </c>
      <c r="AW348" t="s">
        <v>479</v>
      </c>
      <c r="AX348" s="4" t="str">
        <f>"24521"</f>
        <v>24521</v>
      </c>
      <c r="AY348" t="s">
        <v>120</v>
      </c>
      <c r="BA348" s="5">
        <v>14349460035</v>
      </c>
      <c r="BB348">
        <v>11</v>
      </c>
      <c r="BC348" t="s">
        <v>1737</v>
      </c>
      <c r="BD348" t="s">
        <v>1738</v>
      </c>
      <c r="BG348" t="s">
        <v>1349</v>
      </c>
      <c r="BH348" s="1">
        <v>44886.791666666664</v>
      </c>
      <c r="BI348">
        <v>35</v>
      </c>
      <c r="BJ348">
        <v>0</v>
      </c>
      <c r="BK348">
        <v>7</v>
      </c>
      <c r="BL348">
        <v>7</v>
      </c>
      <c r="BM348">
        <v>7</v>
      </c>
      <c r="BN348">
        <v>7</v>
      </c>
      <c r="BO348">
        <v>7</v>
      </c>
      <c r="BP348">
        <v>0</v>
      </c>
      <c r="BQ348" t="str">
        <f>"8:00 AM"</f>
        <v>8:00 AM</v>
      </c>
      <c r="BR348" t="str">
        <f>"5:30 PM"</f>
        <v>5:30 PM</v>
      </c>
      <c r="BS348" t="s">
        <v>133</v>
      </c>
      <c r="BT348">
        <v>0</v>
      </c>
      <c r="BU348">
        <v>0</v>
      </c>
      <c r="BV348" t="s">
        <v>134</v>
      </c>
      <c r="BX348" t="s">
        <v>11648</v>
      </c>
      <c r="BY348" t="s">
        <v>11649</v>
      </c>
      <c r="CA348" t="s">
        <v>11650</v>
      </c>
      <c r="CB348" t="s">
        <v>1349</v>
      </c>
      <c r="CC348" s="4" t="str">
        <f>"72916"</f>
        <v>72916</v>
      </c>
      <c r="CD348" t="s">
        <v>10063</v>
      </c>
      <c r="CE348" t="s">
        <v>10064</v>
      </c>
      <c r="CF348" s="6">
        <v>15.3</v>
      </c>
      <c r="CG348" s="6">
        <v>15.3</v>
      </c>
      <c r="CH348" s="6">
        <v>22.95</v>
      </c>
      <c r="CI348" s="6">
        <v>22.95</v>
      </c>
      <c r="CJ348" t="s">
        <v>137</v>
      </c>
      <c r="CK348" t="s">
        <v>2162</v>
      </c>
      <c r="CL348" t="s">
        <v>11651</v>
      </c>
      <c r="CO348" t="s">
        <v>138</v>
      </c>
      <c r="CP348" t="s">
        <v>114</v>
      </c>
      <c r="CQ348" t="s">
        <v>114</v>
      </c>
      <c r="CR348" t="s">
        <v>114</v>
      </c>
      <c r="CS348" t="s">
        <v>134</v>
      </c>
      <c r="CT348" t="s">
        <v>114</v>
      </c>
      <c r="CU348" t="s">
        <v>134</v>
      </c>
      <c r="CV348" t="s">
        <v>11652</v>
      </c>
      <c r="CW348" s="5" t="str">
        <f>"+14796466517"</f>
        <v>+14796466517</v>
      </c>
      <c r="CX348" t="s">
        <v>11647</v>
      </c>
      <c r="CY348" t="s">
        <v>138</v>
      </c>
      <c r="CZ348" t="s">
        <v>139</v>
      </c>
      <c r="DA348" t="s">
        <v>134</v>
      </c>
      <c r="DB348" t="s">
        <v>114</v>
      </c>
      <c r="DC348" t="s">
        <v>114</v>
      </c>
      <c r="DD348" t="s">
        <v>134</v>
      </c>
    </row>
    <row r="349" spans="1:113" ht="15" customHeight="1" x14ac:dyDescent="0.25">
      <c r="A349" t="s">
        <v>14773</v>
      </c>
      <c r="B349" t="s">
        <v>165</v>
      </c>
      <c r="C349" s="1">
        <v>44887.401149189813</v>
      </c>
      <c r="D349" s="1">
        <v>44914</v>
      </c>
      <c r="E349" t="s">
        <v>134</v>
      </c>
      <c r="F349" t="s">
        <v>334</v>
      </c>
      <c r="G349" t="str">
        <f>"37-3011.00"</f>
        <v>37-3011.00</v>
      </c>
      <c r="H349" t="s">
        <v>335</v>
      </c>
      <c r="I349">
        <v>5</v>
      </c>
      <c r="J349">
        <v>5</v>
      </c>
      <c r="K349" s="1">
        <v>44977</v>
      </c>
      <c r="L349" s="1">
        <v>45279</v>
      </c>
      <c r="M349" s="1">
        <v>44977</v>
      </c>
      <c r="N349" s="1">
        <v>45279</v>
      </c>
      <c r="O349" t="s">
        <v>117</v>
      </c>
      <c r="P349" t="s">
        <v>14774</v>
      </c>
      <c r="Q349" t="s">
        <v>14775</v>
      </c>
      <c r="R349" t="s">
        <v>14776</v>
      </c>
      <c r="S349" t="s">
        <v>138</v>
      </c>
      <c r="T349" t="s">
        <v>4270</v>
      </c>
      <c r="U349" t="s">
        <v>479</v>
      </c>
      <c r="V349" s="4" t="str">
        <f>"22079"</f>
        <v>22079</v>
      </c>
      <c r="W349" t="s">
        <v>120</v>
      </c>
      <c r="X349" t="s">
        <v>138</v>
      </c>
      <c r="Y349" s="5">
        <v>17033390067</v>
      </c>
      <c r="AA349">
        <v>561730</v>
      </c>
      <c r="AB349" t="s">
        <v>14777</v>
      </c>
      <c r="AC349" t="s">
        <v>1649</v>
      </c>
      <c r="AD349" t="s">
        <v>1685</v>
      </c>
      <c r="AE349" t="s">
        <v>342</v>
      </c>
      <c r="AF349" t="s">
        <v>14776</v>
      </c>
      <c r="AG349" t="s">
        <v>138</v>
      </c>
      <c r="AH349" t="s">
        <v>4270</v>
      </c>
      <c r="AI349" t="s">
        <v>479</v>
      </c>
      <c r="AJ349" s="4" t="str">
        <f>"22079"</f>
        <v>22079</v>
      </c>
      <c r="AK349" t="s">
        <v>120</v>
      </c>
      <c r="AM349" s="5">
        <v>17033390067</v>
      </c>
      <c r="AO349" t="s">
        <v>14778</v>
      </c>
      <c r="AP349" t="s">
        <v>256</v>
      </c>
      <c r="AQ349" t="s">
        <v>2048</v>
      </c>
      <c r="AR349" t="s">
        <v>2049</v>
      </c>
      <c r="AS349" t="s">
        <v>1378</v>
      </c>
      <c r="AT349" t="s">
        <v>2050</v>
      </c>
      <c r="AU349" t="s">
        <v>138</v>
      </c>
      <c r="AV349" t="s">
        <v>1285</v>
      </c>
      <c r="AW349" t="s">
        <v>232</v>
      </c>
      <c r="AX349" s="4" t="str">
        <f>"77414"</f>
        <v>77414</v>
      </c>
      <c r="AY349" t="s">
        <v>120</v>
      </c>
      <c r="BA349" s="5">
        <v>19793187278</v>
      </c>
      <c r="BC349" t="s">
        <v>2051</v>
      </c>
      <c r="BD349" t="s">
        <v>1287</v>
      </c>
      <c r="BG349" t="s">
        <v>479</v>
      </c>
      <c r="BH349" s="1">
        <v>44886.791666666664</v>
      </c>
      <c r="BI349">
        <v>40</v>
      </c>
      <c r="BJ349">
        <v>0</v>
      </c>
      <c r="BK349">
        <v>10</v>
      </c>
      <c r="BL349">
        <v>10</v>
      </c>
      <c r="BM349">
        <v>10</v>
      </c>
      <c r="BN349">
        <v>10</v>
      </c>
      <c r="BO349">
        <v>0</v>
      </c>
      <c r="BP349">
        <v>0</v>
      </c>
      <c r="BQ349" t="str">
        <f>"7:00 AM"</f>
        <v>7:00 AM</v>
      </c>
      <c r="BR349" t="str">
        <f>"5:30 PM"</f>
        <v>5:30 PM</v>
      </c>
      <c r="BS349" t="s">
        <v>133</v>
      </c>
      <c r="BT349">
        <v>0</v>
      </c>
      <c r="BU349">
        <v>0</v>
      </c>
      <c r="BV349" t="s">
        <v>134</v>
      </c>
      <c r="BX349" s="2" t="s">
        <v>14779</v>
      </c>
      <c r="BY349" t="s">
        <v>14776</v>
      </c>
      <c r="BZ349" t="s">
        <v>138</v>
      </c>
      <c r="CA349" t="s">
        <v>4270</v>
      </c>
      <c r="CB349" t="s">
        <v>479</v>
      </c>
      <c r="CC349" s="4" t="str">
        <f>"22079"</f>
        <v>22079</v>
      </c>
      <c r="CD349" t="s">
        <v>2631</v>
      </c>
      <c r="CE349" t="s">
        <v>355</v>
      </c>
      <c r="CF349" s="6">
        <v>18.36</v>
      </c>
      <c r="CG349" s="6">
        <v>18.8</v>
      </c>
      <c r="CH349" s="6">
        <v>27.54</v>
      </c>
      <c r="CI349" s="6">
        <v>28.2</v>
      </c>
      <c r="CJ349" t="s">
        <v>137</v>
      </c>
      <c r="CK349" t="s">
        <v>14780</v>
      </c>
      <c r="CL349" t="s">
        <v>14781</v>
      </c>
      <c r="CO349" t="s">
        <v>138</v>
      </c>
      <c r="CP349" t="s">
        <v>114</v>
      </c>
      <c r="CQ349" t="s">
        <v>114</v>
      </c>
      <c r="CR349" t="s">
        <v>114</v>
      </c>
      <c r="CS349" t="s">
        <v>114</v>
      </c>
      <c r="CT349" t="s">
        <v>114</v>
      </c>
      <c r="CU349" t="s">
        <v>134</v>
      </c>
      <c r="CV349" t="s">
        <v>2056</v>
      </c>
      <c r="CW349" s="5" t="str">
        <f>"N/A"</f>
        <v>N/A</v>
      </c>
      <c r="CX349" t="s">
        <v>14778</v>
      </c>
      <c r="CY349" t="s">
        <v>14782</v>
      </c>
      <c r="CZ349" t="s">
        <v>139</v>
      </c>
      <c r="DA349" t="s">
        <v>134</v>
      </c>
      <c r="DB349" t="s">
        <v>134</v>
      </c>
      <c r="DC349" t="s">
        <v>114</v>
      </c>
      <c r="DD349" t="s">
        <v>134</v>
      </c>
    </row>
    <row r="350" spans="1:113" ht="15" customHeight="1" x14ac:dyDescent="0.25">
      <c r="A350" t="s">
        <v>7845</v>
      </c>
      <c r="B350" t="s">
        <v>165</v>
      </c>
      <c r="C350" s="1">
        <v>44882.829929629632</v>
      </c>
      <c r="D350" s="1">
        <v>44914</v>
      </c>
      <c r="E350" t="s">
        <v>134</v>
      </c>
      <c r="F350" t="s">
        <v>1704</v>
      </c>
      <c r="G350" t="str">
        <f>"35-2014.00"</f>
        <v>35-2014.00</v>
      </c>
      <c r="H350" t="s">
        <v>915</v>
      </c>
      <c r="I350">
        <v>4</v>
      </c>
      <c r="J350">
        <v>4</v>
      </c>
      <c r="K350" s="1">
        <v>44972</v>
      </c>
      <c r="L350" s="1">
        <v>45275</v>
      </c>
      <c r="M350" s="1">
        <v>44972</v>
      </c>
      <c r="N350" s="1">
        <v>45275</v>
      </c>
      <c r="O350" t="s">
        <v>117</v>
      </c>
      <c r="P350" t="s">
        <v>7846</v>
      </c>
      <c r="Q350" t="s">
        <v>7847</v>
      </c>
      <c r="R350" t="s">
        <v>7848</v>
      </c>
      <c r="T350" t="s">
        <v>7849</v>
      </c>
      <c r="U350" t="s">
        <v>792</v>
      </c>
      <c r="V350" s="4" t="str">
        <f>"98250"</f>
        <v>98250</v>
      </c>
      <c r="W350" t="s">
        <v>120</v>
      </c>
      <c r="Y350" s="5">
        <v>13603178537</v>
      </c>
      <c r="AA350">
        <v>72251</v>
      </c>
      <c r="AB350" t="s">
        <v>1469</v>
      </c>
      <c r="AC350" t="s">
        <v>2534</v>
      </c>
      <c r="AE350" t="s">
        <v>424</v>
      </c>
      <c r="AF350" t="s">
        <v>7848</v>
      </c>
      <c r="AH350" t="s">
        <v>7849</v>
      </c>
      <c r="AI350" t="s">
        <v>792</v>
      </c>
      <c r="AJ350" s="4" t="str">
        <f>"98250"</f>
        <v>98250</v>
      </c>
      <c r="AK350" t="s">
        <v>120</v>
      </c>
      <c r="AM350" s="5">
        <v>13603178537</v>
      </c>
      <c r="AO350" t="s">
        <v>7850</v>
      </c>
      <c r="AP350" t="s">
        <v>256</v>
      </c>
      <c r="AQ350" t="s">
        <v>1615</v>
      </c>
      <c r="AR350" t="s">
        <v>1616</v>
      </c>
      <c r="AT350" t="s">
        <v>1617</v>
      </c>
      <c r="AV350" t="s">
        <v>1618</v>
      </c>
      <c r="AW350" t="s">
        <v>444</v>
      </c>
      <c r="AX350" s="4" t="str">
        <f>"93446"</f>
        <v>93446</v>
      </c>
      <c r="AY350" t="s">
        <v>120</v>
      </c>
      <c r="AZ350" t="s">
        <v>1619</v>
      </c>
      <c r="BA350" s="5">
        <v>13217042589</v>
      </c>
      <c r="BC350" t="s">
        <v>1620</v>
      </c>
      <c r="BD350" t="s">
        <v>1621</v>
      </c>
      <c r="BG350" t="s">
        <v>792</v>
      </c>
      <c r="BH350" s="1">
        <v>44874.791666666664</v>
      </c>
      <c r="BI350">
        <v>40</v>
      </c>
      <c r="BJ350">
        <v>0</v>
      </c>
      <c r="BK350">
        <v>8</v>
      </c>
      <c r="BL350">
        <v>8</v>
      </c>
      <c r="BM350">
        <v>8</v>
      </c>
      <c r="BN350">
        <v>8</v>
      </c>
      <c r="BO350">
        <v>8</v>
      </c>
      <c r="BP350">
        <v>0</v>
      </c>
      <c r="BQ350" t="str">
        <f>"7:00 AM"</f>
        <v>7:00 AM</v>
      </c>
      <c r="BR350" t="str">
        <f>"12:00 PM"</f>
        <v>12:00 PM</v>
      </c>
      <c r="BS350" t="s">
        <v>133</v>
      </c>
      <c r="BT350">
        <v>0</v>
      </c>
      <c r="BU350">
        <v>0</v>
      </c>
      <c r="BV350" t="s">
        <v>134</v>
      </c>
      <c r="BX350" s="2" t="s">
        <v>7851</v>
      </c>
      <c r="BY350" t="s">
        <v>7848</v>
      </c>
      <c r="CA350" t="s">
        <v>7849</v>
      </c>
      <c r="CB350" t="s">
        <v>792</v>
      </c>
      <c r="CC350" s="4" t="str">
        <f>"98250"</f>
        <v>98250</v>
      </c>
      <c r="CD350" t="s">
        <v>1784</v>
      </c>
      <c r="CE350" t="s">
        <v>7852</v>
      </c>
      <c r="CF350" s="6">
        <v>17.62</v>
      </c>
      <c r="CG350" s="6">
        <v>17.62</v>
      </c>
      <c r="CH350" s="6">
        <v>26.43</v>
      </c>
      <c r="CI350" s="6">
        <v>26.43</v>
      </c>
      <c r="CJ350" t="s">
        <v>137</v>
      </c>
      <c r="CK350" t="s">
        <v>7853</v>
      </c>
      <c r="CL350" t="s">
        <v>7854</v>
      </c>
      <c r="CO350" t="s">
        <v>138</v>
      </c>
      <c r="CP350" t="s">
        <v>134</v>
      </c>
      <c r="CQ350" t="s">
        <v>134</v>
      </c>
      <c r="CR350" t="s">
        <v>114</v>
      </c>
      <c r="CS350" t="s">
        <v>114</v>
      </c>
      <c r="CT350" t="s">
        <v>114</v>
      </c>
      <c r="CU350" t="s">
        <v>114</v>
      </c>
      <c r="CV350" t="s">
        <v>7855</v>
      </c>
      <c r="CW350" s="5" t="str">
        <f>"+13603178537"</f>
        <v>+13603178537</v>
      </c>
      <c r="CX350" t="s">
        <v>7850</v>
      </c>
      <c r="CY350" t="s">
        <v>138</v>
      </c>
      <c r="CZ350" t="s">
        <v>139</v>
      </c>
      <c r="DA350" t="s">
        <v>134</v>
      </c>
      <c r="DB350" t="s">
        <v>134</v>
      </c>
      <c r="DC350" t="s">
        <v>114</v>
      </c>
      <c r="DD350" t="s">
        <v>134</v>
      </c>
    </row>
    <row r="351" spans="1:113" ht="15" customHeight="1" x14ac:dyDescent="0.25">
      <c r="A351" t="s">
        <v>12449</v>
      </c>
      <c r="B351" t="s">
        <v>165</v>
      </c>
      <c r="C351" s="1">
        <v>44882.572747453705</v>
      </c>
      <c r="D351" s="1">
        <v>44914</v>
      </c>
      <c r="E351" t="s">
        <v>134</v>
      </c>
      <c r="F351" t="s">
        <v>1296</v>
      </c>
      <c r="G351" t="str">
        <f t="shared" ref="G351:G360" si="25">"37-3011.00"</f>
        <v>37-3011.00</v>
      </c>
      <c r="H351" t="s">
        <v>335</v>
      </c>
      <c r="I351">
        <v>12</v>
      </c>
      <c r="J351">
        <v>12</v>
      </c>
      <c r="K351" s="1">
        <v>44958</v>
      </c>
      <c r="L351" s="1">
        <v>45260</v>
      </c>
      <c r="M351" s="1">
        <v>44958</v>
      </c>
      <c r="N351" s="1">
        <v>45260</v>
      </c>
      <c r="O351" t="s">
        <v>117</v>
      </c>
      <c r="P351" t="s">
        <v>12450</v>
      </c>
      <c r="R351" t="s">
        <v>12451</v>
      </c>
      <c r="T351" t="s">
        <v>12452</v>
      </c>
      <c r="U351" t="s">
        <v>339</v>
      </c>
      <c r="V351" s="4" t="str">
        <f>"21035"</f>
        <v>21035</v>
      </c>
      <c r="W351" t="s">
        <v>120</v>
      </c>
      <c r="Y351" s="5">
        <v>17033789300</v>
      </c>
      <c r="AA351">
        <v>56173</v>
      </c>
      <c r="AB351" t="s">
        <v>2578</v>
      </c>
      <c r="AC351" t="s">
        <v>4062</v>
      </c>
      <c r="AE351" t="s">
        <v>12453</v>
      </c>
      <c r="AF351" t="s">
        <v>12454</v>
      </c>
      <c r="AH351" t="s">
        <v>12455</v>
      </c>
      <c r="AI351" t="s">
        <v>339</v>
      </c>
      <c r="AJ351" s="4" t="str">
        <f>"21035"</f>
        <v>21035</v>
      </c>
      <c r="AK351" t="s">
        <v>120</v>
      </c>
      <c r="AM351" s="5">
        <v>17033789300</v>
      </c>
      <c r="AO351" t="s">
        <v>12456</v>
      </c>
      <c r="AP351" t="s">
        <v>256</v>
      </c>
      <c r="AQ351" t="s">
        <v>1731</v>
      </c>
      <c r="AR351" t="s">
        <v>1732</v>
      </c>
      <c r="AS351" t="s">
        <v>1733</v>
      </c>
      <c r="AT351" t="s">
        <v>1734</v>
      </c>
      <c r="AU351" t="s">
        <v>1735</v>
      </c>
      <c r="AV351" t="s">
        <v>1736</v>
      </c>
      <c r="AW351" t="s">
        <v>479</v>
      </c>
      <c r="AX351" s="4" t="str">
        <f>"24521"</f>
        <v>24521</v>
      </c>
      <c r="AY351" t="s">
        <v>120</v>
      </c>
      <c r="BA351" s="5">
        <v>14349460035</v>
      </c>
      <c r="BB351">
        <v>11</v>
      </c>
      <c r="BC351" t="s">
        <v>1737</v>
      </c>
      <c r="BD351" t="s">
        <v>1738</v>
      </c>
      <c r="BG351" t="s">
        <v>339</v>
      </c>
      <c r="BH351" s="1">
        <v>44881.791666666664</v>
      </c>
      <c r="BI351">
        <v>35</v>
      </c>
      <c r="BJ351">
        <v>0</v>
      </c>
      <c r="BK351">
        <v>7</v>
      </c>
      <c r="BL351">
        <v>7</v>
      </c>
      <c r="BM351">
        <v>7</v>
      </c>
      <c r="BN351">
        <v>7</v>
      </c>
      <c r="BO351">
        <v>7</v>
      </c>
      <c r="BP351">
        <v>0</v>
      </c>
      <c r="BQ351" t="str">
        <f>"7:00 AM"</f>
        <v>7:00 AM</v>
      </c>
      <c r="BR351" t="str">
        <f>"2:30 PM"</f>
        <v>2:30 PM</v>
      </c>
      <c r="BS351" t="s">
        <v>133</v>
      </c>
      <c r="BT351">
        <v>0</v>
      </c>
      <c r="BU351">
        <v>0</v>
      </c>
      <c r="BV351" t="s">
        <v>134</v>
      </c>
      <c r="BX351" s="2" t="s">
        <v>12457</v>
      </c>
      <c r="BY351" t="s">
        <v>12458</v>
      </c>
      <c r="CA351" t="s">
        <v>12455</v>
      </c>
      <c r="CB351" t="s">
        <v>339</v>
      </c>
      <c r="CC351" s="4" t="str">
        <f>"21035"</f>
        <v>21035</v>
      </c>
      <c r="CD351" t="s">
        <v>4594</v>
      </c>
      <c r="CE351" t="s">
        <v>1673</v>
      </c>
      <c r="CF351" s="6">
        <v>18.36</v>
      </c>
      <c r="CG351" s="6">
        <v>18.36</v>
      </c>
      <c r="CH351" s="6">
        <v>27.54</v>
      </c>
      <c r="CI351" s="6">
        <v>27.54</v>
      </c>
      <c r="CJ351" t="s">
        <v>137</v>
      </c>
      <c r="CK351" t="s">
        <v>12459</v>
      </c>
      <c r="CL351" t="s">
        <v>12460</v>
      </c>
      <c r="CO351" t="s">
        <v>138</v>
      </c>
      <c r="CP351" t="s">
        <v>114</v>
      </c>
      <c r="CQ351" t="s">
        <v>114</v>
      </c>
      <c r="CR351" t="s">
        <v>114</v>
      </c>
      <c r="CS351" t="s">
        <v>134</v>
      </c>
      <c r="CT351" t="s">
        <v>114</v>
      </c>
      <c r="CU351" t="s">
        <v>114</v>
      </c>
      <c r="CV351" t="s">
        <v>11652</v>
      </c>
      <c r="CW351" s="5" t="str">
        <f>"N/A"</f>
        <v>N/A</v>
      </c>
      <c r="CX351" t="s">
        <v>12461</v>
      </c>
      <c r="CY351" t="s">
        <v>12462</v>
      </c>
      <c r="CZ351" t="s">
        <v>139</v>
      </c>
      <c r="DA351" t="s">
        <v>134</v>
      </c>
      <c r="DB351" t="s">
        <v>114</v>
      </c>
      <c r="DC351" t="s">
        <v>114</v>
      </c>
      <c r="DD351" t="s">
        <v>134</v>
      </c>
    </row>
    <row r="352" spans="1:113" ht="15" customHeight="1" x14ac:dyDescent="0.25">
      <c r="A352" t="s">
        <v>13266</v>
      </c>
      <c r="B352" t="s">
        <v>165</v>
      </c>
      <c r="C352" s="1">
        <v>44882.526515509257</v>
      </c>
      <c r="D352" s="1">
        <v>44914</v>
      </c>
      <c r="E352" t="s">
        <v>134</v>
      </c>
      <c r="F352" t="s">
        <v>2219</v>
      </c>
      <c r="G352" t="str">
        <f t="shared" si="25"/>
        <v>37-3011.00</v>
      </c>
      <c r="H352" t="s">
        <v>335</v>
      </c>
      <c r="I352">
        <v>15</v>
      </c>
      <c r="J352">
        <v>15</v>
      </c>
      <c r="K352" s="1">
        <v>44972</v>
      </c>
      <c r="L352" s="1">
        <v>45245</v>
      </c>
      <c r="M352" s="1">
        <v>44972</v>
      </c>
      <c r="N352" s="1">
        <v>45245</v>
      </c>
      <c r="O352" t="s">
        <v>199</v>
      </c>
      <c r="P352" t="s">
        <v>13267</v>
      </c>
      <c r="R352" t="s">
        <v>13268</v>
      </c>
      <c r="T352" t="s">
        <v>4562</v>
      </c>
      <c r="U352" t="s">
        <v>479</v>
      </c>
      <c r="V352" s="4" t="str">
        <f>"23454"</f>
        <v>23454</v>
      </c>
      <c r="W352" t="s">
        <v>120</v>
      </c>
      <c r="Y352" s="5">
        <v>17575027724</v>
      </c>
      <c r="AA352">
        <v>56173</v>
      </c>
      <c r="AB352" t="s">
        <v>3524</v>
      </c>
      <c r="AC352" t="s">
        <v>13269</v>
      </c>
      <c r="AE352" t="s">
        <v>2475</v>
      </c>
      <c r="AF352" t="s">
        <v>13270</v>
      </c>
      <c r="AH352" t="s">
        <v>13271</v>
      </c>
      <c r="AI352" t="s">
        <v>479</v>
      </c>
      <c r="AJ352" s="4" t="str">
        <f>"23454"</f>
        <v>23454</v>
      </c>
      <c r="AK352" t="s">
        <v>120</v>
      </c>
      <c r="AM352" s="5">
        <v>17572544940</v>
      </c>
      <c r="AO352" t="s">
        <v>13272</v>
      </c>
      <c r="AP352" t="s">
        <v>256</v>
      </c>
      <c r="AQ352" t="s">
        <v>1898</v>
      </c>
      <c r="AR352" t="s">
        <v>1899</v>
      </c>
      <c r="AS352" t="s">
        <v>1900</v>
      </c>
      <c r="AT352" t="s">
        <v>1901</v>
      </c>
      <c r="AV352" t="s">
        <v>1902</v>
      </c>
      <c r="AW352" t="s">
        <v>479</v>
      </c>
      <c r="AX352" s="4" t="str">
        <f>"23223"</f>
        <v>23223</v>
      </c>
      <c r="AY352" t="s">
        <v>120</v>
      </c>
      <c r="BA352" s="5">
        <v>18043019607</v>
      </c>
      <c r="BC352" t="s">
        <v>1903</v>
      </c>
      <c r="BD352" t="s">
        <v>1904</v>
      </c>
      <c r="BG352" t="s">
        <v>479</v>
      </c>
      <c r="BH352" s="1">
        <v>44878.791666666664</v>
      </c>
      <c r="BI352">
        <v>45</v>
      </c>
      <c r="BJ352">
        <v>0</v>
      </c>
      <c r="BK352">
        <v>9</v>
      </c>
      <c r="BL352">
        <v>9</v>
      </c>
      <c r="BM352">
        <v>9</v>
      </c>
      <c r="BN352">
        <v>9</v>
      </c>
      <c r="BO352">
        <v>9</v>
      </c>
      <c r="BP352">
        <v>0</v>
      </c>
      <c r="BQ352" t="str">
        <f>"7:30 AM"</f>
        <v>7:30 AM</v>
      </c>
      <c r="BR352" t="str">
        <f>"4:30 PM"</f>
        <v>4:30 PM</v>
      </c>
      <c r="BS352" t="s">
        <v>133</v>
      </c>
      <c r="BT352">
        <v>0</v>
      </c>
      <c r="BU352">
        <v>3</v>
      </c>
      <c r="BV352" t="s">
        <v>134</v>
      </c>
      <c r="BX352" t="s">
        <v>13273</v>
      </c>
      <c r="BY352" t="s">
        <v>13274</v>
      </c>
      <c r="CA352" t="s">
        <v>4562</v>
      </c>
      <c r="CB352" t="s">
        <v>479</v>
      </c>
      <c r="CC352" s="4" t="str">
        <f>"23450"</f>
        <v>23450</v>
      </c>
      <c r="CD352" t="s">
        <v>4566</v>
      </c>
      <c r="CE352" t="s">
        <v>1687</v>
      </c>
      <c r="CF352" s="6">
        <v>15.16</v>
      </c>
      <c r="CG352" s="6">
        <v>15.16</v>
      </c>
      <c r="CH352" s="6">
        <v>22.74</v>
      </c>
      <c r="CI352" s="6">
        <v>22.74</v>
      </c>
      <c r="CJ352" t="s">
        <v>137</v>
      </c>
      <c r="CK352" t="s">
        <v>13275</v>
      </c>
      <c r="CL352" t="s">
        <v>13276</v>
      </c>
      <c r="CO352" t="s">
        <v>138</v>
      </c>
      <c r="CP352" t="s">
        <v>134</v>
      </c>
      <c r="CQ352" t="s">
        <v>114</v>
      </c>
      <c r="CR352" t="s">
        <v>114</v>
      </c>
      <c r="CS352" t="s">
        <v>134</v>
      </c>
      <c r="CT352" t="s">
        <v>114</v>
      </c>
      <c r="CU352" t="s">
        <v>134</v>
      </c>
      <c r="CV352" t="s">
        <v>2222</v>
      </c>
      <c r="CW352" s="5" t="str">
        <f>"+17572544940"</f>
        <v>+17572544940</v>
      </c>
      <c r="CX352" t="s">
        <v>13277</v>
      </c>
      <c r="CY352" t="s">
        <v>138</v>
      </c>
      <c r="CZ352" t="s">
        <v>139</v>
      </c>
      <c r="DA352" t="s">
        <v>134</v>
      </c>
      <c r="DB352" t="s">
        <v>114</v>
      </c>
      <c r="DC352" t="s">
        <v>114</v>
      </c>
      <c r="DD352" t="s">
        <v>134</v>
      </c>
      <c r="DE352" t="s">
        <v>1898</v>
      </c>
      <c r="DF352" t="s">
        <v>1899</v>
      </c>
      <c r="DG352" t="s">
        <v>1905</v>
      </c>
      <c r="DH352" t="s">
        <v>1904</v>
      </c>
      <c r="DI352" t="s">
        <v>1903</v>
      </c>
    </row>
    <row r="353" spans="1:113" ht="15" customHeight="1" x14ac:dyDescent="0.25">
      <c r="A353" t="s">
        <v>10767</v>
      </c>
      <c r="B353" t="s">
        <v>165</v>
      </c>
      <c r="C353" s="1">
        <v>44882.526324652776</v>
      </c>
      <c r="D353" s="1">
        <v>44914</v>
      </c>
      <c r="E353" t="s">
        <v>134</v>
      </c>
      <c r="F353" t="s">
        <v>2219</v>
      </c>
      <c r="G353" t="str">
        <f t="shared" si="25"/>
        <v>37-3011.00</v>
      </c>
      <c r="H353" t="s">
        <v>335</v>
      </c>
      <c r="I353">
        <v>10</v>
      </c>
      <c r="J353">
        <v>10</v>
      </c>
      <c r="K353" s="1">
        <v>44972</v>
      </c>
      <c r="L353" s="1">
        <v>45275</v>
      </c>
      <c r="M353" s="1">
        <v>44972</v>
      </c>
      <c r="N353" s="1">
        <v>45275</v>
      </c>
      <c r="O353" t="s">
        <v>199</v>
      </c>
      <c r="P353" t="s">
        <v>10768</v>
      </c>
      <c r="R353" t="s">
        <v>10769</v>
      </c>
      <c r="T353" t="s">
        <v>10770</v>
      </c>
      <c r="U353" t="s">
        <v>748</v>
      </c>
      <c r="V353" s="4" t="str">
        <f>"18074"</f>
        <v>18074</v>
      </c>
      <c r="W353" t="s">
        <v>120</v>
      </c>
      <c r="Y353" s="5">
        <v>12157832620</v>
      </c>
      <c r="AA353">
        <v>5617</v>
      </c>
      <c r="AB353" t="s">
        <v>10771</v>
      </c>
      <c r="AC353" t="s">
        <v>2147</v>
      </c>
      <c r="AD353" t="s">
        <v>1897</v>
      </c>
      <c r="AE353" t="s">
        <v>2494</v>
      </c>
      <c r="AF353" t="s">
        <v>10769</v>
      </c>
      <c r="AH353" t="s">
        <v>10770</v>
      </c>
      <c r="AI353" t="s">
        <v>748</v>
      </c>
      <c r="AJ353" s="4" t="str">
        <f>"18074"</f>
        <v>18074</v>
      </c>
      <c r="AK353" t="s">
        <v>120</v>
      </c>
      <c r="AM353" s="5">
        <v>12157823262</v>
      </c>
      <c r="AO353" t="s">
        <v>10772</v>
      </c>
      <c r="AP353" t="s">
        <v>256</v>
      </c>
      <c r="AQ353" t="s">
        <v>1898</v>
      </c>
      <c r="AR353" t="s">
        <v>1899</v>
      </c>
      <c r="AS353" t="s">
        <v>1900</v>
      </c>
      <c r="AT353" t="s">
        <v>1901</v>
      </c>
      <c r="AV353" t="s">
        <v>1902</v>
      </c>
      <c r="AW353" t="s">
        <v>479</v>
      </c>
      <c r="AX353" s="4" t="str">
        <f>"23223"</f>
        <v>23223</v>
      </c>
      <c r="AY353" t="s">
        <v>120</v>
      </c>
      <c r="BA353" s="5">
        <v>18043019607</v>
      </c>
      <c r="BC353" t="s">
        <v>1903</v>
      </c>
      <c r="BD353" t="s">
        <v>1904</v>
      </c>
      <c r="BG353" t="s">
        <v>748</v>
      </c>
      <c r="BH353" s="1">
        <v>44881.791666666664</v>
      </c>
      <c r="BI353">
        <v>40</v>
      </c>
      <c r="BJ353">
        <v>0</v>
      </c>
      <c r="BK353">
        <v>8</v>
      </c>
      <c r="BL353">
        <v>8</v>
      </c>
      <c r="BM353">
        <v>8</v>
      </c>
      <c r="BN353">
        <v>8</v>
      </c>
      <c r="BO353">
        <v>8</v>
      </c>
      <c r="BP353">
        <v>0</v>
      </c>
      <c r="BQ353" t="str">
        <f>"7:00 AM"</f>
        <v>7:00 AM</v>
      </c>
      <c r="BR353" t="str">
        <f>"3:00 PM"</f>
        <v>3:00 PM</v>
      </c>
      <c r="BS353" t="s">
        <v>133</v>
      </c>
      <c r="BT353">
        <v>0</v>
      </c>
      <c r="BU353">
        <v>3</v>
      </c>
      <c r="BV353" t="s">
        <v>134</v>
      </c>
      <c r="BX353" t="s">
        <v>10773</v>
      </c>
      <c r="BY353" t="s">
        <v>10769</v>
      </c>
      <c r="CA353" t="s">
        <v>10770</v>
      </c>
      <c r="CB353" t="s">
        <v>748</v>
      </c>
      <c r="CC353" s="4" t="str">
        <f>"18074"</f>
        <v>18074</v>
      </c>
      <c r="CD353" t="s">
        <v>2007</v>
      </c>
      <c r="CE353" t="s">
        <v>1266</v>
      </c>
      <c r="CF353" s="6">
        <v>17.82</v>
      </c>
      <c r="CG353" s="6">
        <v>17.82</v>
      </c>
      <c r="CH353" s="6">
        <v>26.73</v>
      </c>
      <c r="CI353" s="6">
        <v>26.73</v>
      </c>
      <c r="CJ353" t="s">
        <v>137</v>
      </c>
      <c r="CK353" t="s">
        <v>2785</v>
      </c>
      <c r="CL353" t="s">
        <v>10774</v>
      </c>
      <c r="CO353" t="s">
        <v>138</v>
      </c>
      <c r="CP353" t="s">
        <v>114</v>
      </c>
      <c r="CQ353" t="s">
        <v>114</v>
      </c>
      <c r="CR353" t="s">
        <v>114</v>
      </c>
      <c r="CS353" t="s">
        <v>134</v>
      </c>
      <c r="CT353" t="s">
        <v>114</v>
      </c>
      <c r="CU353" t="s">
        <v>134</v>
      </c>
      <c r="CV353" t="s">
        <v>2222</v>
      </c>
      <c r="CW353" s="5" t="str">
        <f>"+12157832620"</f>
        <v>+12157832620</v>
      </c>
      <c r="CX353" t="s">
        <v>10775</v>
      </c>
      <c r="CY353" t="s">
        <v>138</v>
      </c>
      <c r="CZ353" t="s">
        <v>139</v>
      </c>
      <c r="DA353" t="s">
        <v>134</v>
      </c>
      <c r="DB353" t="s">
        <v>114</v>
      </c>
      <c r="DC353" t="s">
        <v>114</v>
      </c>
      <c r="DD353" t="s">
        <v>134</v>
      </c>
      <c r="DE353" t="s">
        <v>1898</v>
      </c>
      <c r="DF353" t="s">
        <v>1899</v>
      </c>
      <c r="DG353" t="s">
        <v>1905</v>
      </c>
      <c r="DH353" t="s">
        <v>1904</v>
      </c>
      <c r="DI353" t="s">
        <v>1903</v>
      </c>
    </row>
    <row r="354" spans="1:113" ht="15" customHeight="1" x14ac:dyDescent="0.25">
      <c r="A354" t="s">
        <v>3853</v>
      </c>
      <c r="B354" t="s">
        <v>165</v>
      </c>
      <c r="C354" s="1">
        <v>44882.449767361111</v>
      </c>
      <c r="D354" s="1">
        <v>44914</v>
      </c>
      <c r="E354" t="s">
        <v>134</v>
      </c>
      <c r="F354" t="s">
        <v>334</v>
      </c>
      <c r="G354" t="str">
        <f t="shared" si="25"/>
        <v>37-3011.00</v>
      </c>
      <c r="H354" t="s">
        <v>335</v>
      </c>
      <c r="I354">
        <v>4</v>
      </c>
      <c r="J354">
        <v>4</v>
      </c>
      <c r="K354" s="1">
        <v>44972</v>
      </c>
      <c r="L354" s="1">
        <v>45244</v>
      </c>
      <c r="M354" s="1">
        <v>44972</v>
      </c>
      <c r="N354" s="1">
        <v>45244</v>
      </c>
      <c r="O354" t="s">
        <v>199</v>
      </c>
      <c r="P354" t="s">
        <v>3854</v>
      </c>
      <c r="R354" t="s">
        <v>3855</v>
      </c>
      <c r="T354" t="s">
        <v>3856</v>
      </c>
      <c r="U354" t="s">
        <v>232</v>
      </c>
      <c r="V354" s="4" t="str">
        <f>"75009"</f>
        <v>75009</v>
      </c>
      <c r="W354" t="s">
        <v>120</v>
      </c>
      <c r="Y354" s="5">
        <v>12142938520</v>
      </c>
      <c r="AA354">
        <v>56173</v>
      </c>
      <c r="AB354" t="s">
        <v>3857</v>
      </c>
      <c r="AC354" t="s">
        <v>3858</v>
      </c>
      <c r="AE354" t="s">
        <v>424</v>
      </c>
      <c r="AF354" t="s">
        <v>3855</v>
      </c>
      <c r="AH354" t="s">
        <v>3856</v>
      </c>
      <c r="AI354" t="s">
        <v>232</v>
      </c>
      <c r="AJ354" s="4" t="str">
        <f>"75009"</f>
        <v>75009</v>
      </c>
      <c r="AK354" t="s">
        <v>120</v>
      </c>
      <c r="AM354" s="5">
        <v>12142938520</v>
      </c>
      <c r="AO354" t="s">
        <v>3859</v>
      </c>
      <c r="AP354" t="s">
        <v>256</v>
      </c>
      <c r="AQ354" t="s">
        <v>885</v>
      </c>
      <c r="AR354" t="s">
        <v>886</v>
      </c>
      <c r="AT354" t="s">
        <v>887</v>
      </c>
      <c r="AV354" t="s">
        <v>888</v>
      </c>
      <c r="AW354" t="s">
        <v>232</v>
      </c>
      <c r="AX354" s="4" t="str">
        <f>"75009"</f>
        <v>75009</v>
      </c>
      <c r="AY354" t="s">
        <v>120</v>
      </c>
      <c r="BA354" s="5">
        <v>19724424244</v>
      </c>
      <c r="BC354" t="s">
        <v>889</v>
      </c>
      <c r="BD354" t="s">
        <v>1264</v>
      </c>
      <c r="BG354" t="s">
        <v>232</v>
      </c>
      <c r="BH354" s="1">
        <v>44881.791666666664</v>
      </c>
      <c r="BI354">
        <v>40</v>
      </c>
      <c r="BJ354">
        <v>0</v>
      </c>
      <c r="BK354">
        <v>8</v>
      </c>
      <c r="BL354">
        <v>8</v>
      </c>
      <c r="BM354">
        <v>8</v>
      </c>
      <c r="BN354">
        <v>8</v>
      </c>
      <c r="BO354">
        <v>8</v>
      </c>
      <c r="BP354">
        <v>0</v>
      </c>
      <c r="BQ354" t="str">
        <f>"8:00 AM"</f>
        <v>8:00 AM</v>
      </c>
      <c r="BR354" t="str">
        <f>"3:30 PM"</f>
        <v>3:30 PM</v>
      </c>
      <c r="BS354" t="s">
        <v>133</v>
      </c>
      <c r="BT354">
        <v>0</v>
      </c>
      <c r="BU354">
        <v>0</v>
      </c>
      <c r="BV354" t="s">
        <v>134</v>
      </c>
      <c r="BX354" t="s">
        <v>219</v>
      </c>
      <c r="BY354" t="s">
        <v>3855</v>
      </c>
      <c r="CA354" t="s">
        <v>3856</v>
      </c>
      <c r="CB354" t="s">
        <v>232</v>
      </c>
      <c r="CC354" s="4" t="str">
        <f>"75009"</f>
        <v>75009</v>
      </c>
      <c r="CD354" t="s">
        <v>3860</v>
      </c>
      <c r="CE354" t="s">
        <v>1528</v>
      </c>
      <c r="CF354" s="6">
        <v>16.3</v>
      </c>
      <c r="CG354" s="6">
        <v>18.3</v>
      </c>
      <c r="CH354" s="6">
        <v>24.45</v>
      </c>
      <c r="CI354" s="6">
        <v>27.45</v>
      </c>
      <c r="CJ354" t="s">
        <v>137</v>
      </c>
      <c r="CL354" t="s">
        <v>3861</v>
      </c>
      <c r="CO354" t="s">
        <v>138</v>
      </c>
      <c r="CP354" t="s">
        <v>114</v>
      </c>
      <c r="CQ354" t="s">
        <v>114</v>
      </c>
      <c r="CR354" t="s">
        <v>114</v>
      </c>
      <c r="CS354" t="s">
        <v>114</v>
      </c>
      <c r="CT354" t="s">
        <v>114</v>
      </c>
      <c r="CU354" t="s">
        <v>114</v>
      </c>
      <c r="CV354" t="s">
        <v>219</v>
      </c>
      <c r="CW354" s="5" t="str">
        <f>"+12142938520"</f>
        <v>+12142938520</v>
      </c>
      <c r="CX354" t="s">
        <v>138</v>
      </c>
      <c r="CY354" t="s">
        <v>2072</v>
      </c>
      <c r="CZ354" t="s">
        <v>139</v>
      </c>
      <c r="DA354" t="s">
        <v>134</v>
      </c>
      <c r="DB354" t="s">
        <v>134</v>
      </c>
      <c r="DC354" t="s">
        <v>114</v>
      </c>
      <c r="DD354" t="s">
        <v>134</v>
      </c>
    </row>
    <row r="355" spans="1:113" ht="15" customHeight="1" x14ac:dyDescent="0.25">
      <c r="A355" t="s">
        <v>10785</v>
      </c>
      <c r="B355" t="s">
        <v>165</v>
      </c>
      <c r="C355" s="1">
        <v>44882.390293171295</v>
      </c>
      <c r="D355" s="1">
        <v>44914</v>
      </c>
      <c r="E355" t="s">
        <v>114</v>
      </c>
      <c r="F355" t="s">
        <v>1437</v>
      </c>
      <c r="G355" t="str">
        <f t="shared" si="25"/>
        <v>37-3011.00</v>
      </c>
      <c r="H355" t="s">
        <v>335</v>
      </c>
      <c r="I355">
        <v>12</v>
      </c>
      <c r="J355">
        <v>12</v>
      </c>
      <c r="K355" s="1">
        <v>44972</v>
      </c>
      <c r="L355" s="1">
        <v>45245</v>
      </c>
      <c r="M355" s="1">
        <v>44972</v>
      </c>
      <c r="N355" s="1">
        <v>45245</v>
      </c>
      <c r="O355" t="s">
        <v>199</v>
      </c>
      <c r="P355" t="s">
        <v>5485</v>
      </c>
      <c r="Q355" t="s">
        <v>5486</v>
      </c>
      <c r="R355" t="s">
        <v>5487</v>
      </c>
      <c r="T355" t="s">
        <v>5488</v>
      </c>
      <c r="U355" t="s">
        <v>203</v>
      </c>
      <c r="V355" s="4" t="str">
        <f>"36804"</f>
        <v>36804</v>
      </c>
      <c r="W355" t="s">
        <v>120</v>
      </c>
      <c r="Y355" s="5">
        <v>13347496565</v>
      </c>
      <c r="AA355">
        <v>5617</v>
      </c>
      <c r="AB355" t="s">
        <v>5489</v>
      </c>
      <c r="AC355" t="s">
        <v>5490</v>
      </c>
      <c r="AE355" t="s">
        <v>342</v>
      </c>
      <c r="AF355" t="s">
        <v>5487</v>
      </c>
      <c r="AH355" t="s">
        <v>5488</v>
      </c>
      <c r="AI355" t="s">
        <v>203</v>
      </c>
      <c r="AJ355" s="4" t="str">
        <f>"36804"</f>
        <v>36804</v>
      </c>
      <c r="AK355" t="s">
        <v>120</v>
      </c>
      <c r="AM355" s="5">
        <v>13347496565</v>
      </c>
      <c r="AO355" t="s">
        <v>5491</v>
      </c>
      <c r="AP355" t="s">
        <v>122</v>
      </c>
      <c r="AQ355" t="s">
        <v>1867</v>
      </c>
      <c r="AR355" t="s">
        <v>1868</v>
      </c>
      <c r="AS355" t="s">
        <v>1869</v>
      </c>
      <c r="AT355" t="s">
        <v>1870</v>
      </c>
      <c r="AU355" t="s">
        <v>1871</v>
      </c>
      <c r="AV355" t="s">
        <v>1872</v>
      </c>
      <c r="AW355" t="s">
        <v>1003</v>
      </c>
      <c r="AX355" s="4" t="str">
        <f>"08034"</f>
        <v>08034</v>
      </c>
      <c r="AY355" t="s">
        <v>120</v>
      </c>
      <c r="AZ355" t="s">
        <v>1873</v>
      </c>
      <c r="BA355" s="5">
        <v>18562819750</v>
      </c>
      <c r="BC355" t="s">
        <v>1874</v>
      </c>
      <c r="BD355" t="s">
        <v>1875</v>
      </c>
      <c r="BE355" t="s">
        <v>1003</v>
      </c>
      <c r="BF355" t="s">
        <v>1876</v>
      </c>
      <c r="BG355" t="s">
        <v>203</v>
      </c>
      <c r="BH355" s="1">
        <v>44867.833333333336</v>
      </c>
      <c r="BI355">
        <v>40</v>
      </c>
      <c r="BJ355">
        <v>0</v>
      </c>
      <c r="BK355">
        <v>8</v>
      </c>
      <c r="BL355">
        <v>8</v>
      </c>
      <c r="BM355">
        <v>8</v>
      </c>
      <c r="BN355">
        <v>8</v>
      </c>
      <c r="BO355">
        <v>8</v>
      </c>
      <c r="BP355">
        <v>0</v>
      </c>
      <c r="BQ355" t="str">
        <f t="shared" ref="BQ355:BQ361" si="26">"7:00 AM"</f>
        <v>7:00 AM</v>
      </c>
      <c r="BR355" t="str">
        <f>"4:00 PM"</f>
        <v>4:00 PM</v>
      </c>
      <c r="BS355" t="s">
        <v>133</v>
      </c>
      <c r="BT355">
        <v>0</v>
      </c>
      <c r="BU355">
        <v>3</v>
      </c>
      <c r="BV355" t="s">
        <v>134</v>
      </c>
      <c r="BX355" s="2" t="s">
        <v>10786</v>
      </c>
      <c r="BY355" t="s">
        <v>5487</v>
      </c>
      <c r="CA355" t="s">
        <v>5488</v>
      </c>
      <c r="CB355" t="s">
        <v>203</v>
      </c>
      <c r="CC355" s="4" t="str">
        <f>"36804"</f>
        <v>36804</v>
      </c>
      <c r="CD355" t="s">
        <v>1505</v>
      </c>
      <c r="CE355" t="s">
        <v>2809</v>
      </c>
      <c r="CF355" s="6">
        <v>14.05</v>
      </c>
      <c r="CG355" s="6">
        <v>14.05</v>
      </c>
      <c r="CH355" s="6">
        <v>21.08</v>
      </c>
      <c r="CI355" s="6">
        <v>21.08</v>
      </c>
      <c r="CJ355" t="s">
        <v>137</v>
      </c>
      <c r="CK355" t="s">
        <v>1878</v>
      </c>
      <c r="CL355" t="s">
        <v>10787</v>
      </c>
      <c r="CO355" t="s">
        <v>138</v>
      </c>
      <c r="CP355" t="s">
        <v>114</v>
      </c>
      <c r="CQ355" t="s">
        <v>114</v>
      </c>
      <c r="CR355" t="s">
        <v>114</v>
      </c>
      <c r="CS355" t="s">
        <v>114</v>
      </c>
      <c r="CT355" t="s">
        <v>114</v>
      </c>
      <c r="CU355" t="s">
        <v>134</v>
      </c>
      <c r="CV355" t="s">
        <v>138</v>
      </c>
      <c r="CW355" s="5" t="str">
        <f>"+13347496565"</f>
        <v>+13347496565</v>
      </c>
      <c r="CX355" t="s">
        <v>5491</v>
      </c>
      <c r="CY355" t="s">
        <v>138</v>
      </c>
      <c r="CZ355" t="s">
        <v>139</v>
      </c>
      <c r="DA355" t="s">
        <v>134</v>
      </c>
      <c r="DB355" t="s">
        <v>114</v>
      </c>
      <c r="DC355" t="s">
        <v>114</v>
      </c>
      <c r="DD355" t="s">
        <v>134</v>
      </c>
    </row>
    <row r="356" spans="1:113" ht="15" customHeight="1" x14ac:dyDescent="0.25">
      <c r="A356" t="s">
        <v>16663</v>
      </c>
      <c r="B356" t="s">
        <v>165</v>
      </c>
      <c r="C356" s="1">
        <v>44882.388726967591</v>
      </c>
      <c r="D356" s="1">
        <v>44914</v>
      </c>
      <c r="E356" t="s">
        <v>114</v>
      </c>
      <c r="F356" t="s">
        <v>1437</v>
      </c>
      <c r="G356" t="str">
        <f t="shared" si="25"/>
        <v>37-3011.00</v>
      </c>
      <c r="H356" t="s">
        <v>335</v>
      </c>
      <c r="I356">
        <v>20</v>
      </c>
      <c r="J356">
        <v>20</v>
      </c>
      <c r="K356" s="1">
        <v>44972</v>
      </c>
      <c r="L356" s="1">
        <v>45245</v>
      </c>
      <c r="M356" s="1">
        <v>44972</v>
      </c>
      <c r="N356" s="1">
        <v>45245</v>
      </c>
      <c r="O356" t="s">
        <v>199</v>
      </c>
      <c r="P356" t="s">
        <v>5485</v>
      </c>
      <c r="Q356" t="s">
        <v>5486</v>
      </c>
      <c r="R356" t="s">
        <v>5487</v>
      </c>
      <c r="T356" t="s">
        <v>5488</v>
      </c>
      <c r="U356" t="s">
        <v>203</v>
      </c>
      <c r="V356" s="4" t="str">
        <f>"36804"</f>
        <v>36804</v>
      </c>
      <c r="W356" t="s">
        <v>120</v>
      </c>
      <c r="Y356" s="5">
        <v>13347496565</v>
      </c>
      <c r="AA356">
        <v>5617</v>
      </c>
      <c r="AB356" t="s">
        <v>5489</v>
      </c>
      <c r="AC356" t="s">
        <v>5490</v>
      </c>
      <c r="AE356" t="s">
        <v>342</v>
      </c>
      <c r="AF356" t="s">
        <v>5487</v>
      </c>
      <c r="AH356" t="s">
        <v>5488</v>
      </c>
      <c r="AI356" t="s">
        <v>203</v>
      </c>
      <c r="AJ356" s="4" t="str">
        <f>"36804"</f>
        <v>36804</v>
      </c>
      <c r="AK356" t="s">
        <v>120</v>
      </c>
      <c r="AM356" s="5">
        <v>13347496565</v>
      </c>
      <c r="AO356" t="s">
        <v>5491</v>
      </c>
      <c r="AP356" t="s">
        <v>122</v>
      </c>
      <c r="AQ356" t="s">
        <v>1867</v>
      </c>
      <c r="AR356" t="s">
        <v>1868</v>
      </c>
      <c r="AS356" t="s">
        <v>1869</v>
      </c>
      <c r="AT356" t="s">
        <v>1870</v>
      </c>
      <c r="AU356" t="s">
        <v>1871</v>
      </c>
      <c r="AV356" t="s">
        <v>1872</v>
      </c>
      <c r="AW356" t="s">
        <v>1003</v>
      </c>
      <c r="AX356" s="4" t="str">
        <f>"08034"</f>
        <v>08034</v>
      </c>
      <c r="AY356" t="s">
        <v>120</v>
      </c>
      <c r="AZ356" t="s">
        <v>1873</v>
      </c>
      <c r="BA356" s="5">
        <v>18562819750</v>
      </c>
      <c r="BC356" t="s">
        <v>1874</v>
      </c>
      <c r="BD356" t="s">
        <v>1875</v>
      </c>
      <c r="BE356" t="s">
        <v>1003</v>
      </c>
      <c r="BF356" t="s">
        <v>1876</v>
      </c>
      <c r="BG356" t="s">
        <v>154</v>
      </c>
      <c r="BH356" s="1">
        <v>44867.833333333336</v>
      </c>
      <c r="BI356">
        <v>40</v>
      </c>
      <c r="BJ356">
        <v>0</v>
      </c>
      <c r="BK356">
        <v>8</v>
      </c>
      <c r="BL356">
        <v>8</v>
      </c>
      <c r="BM356">
        <v>8</v>
      </c>
      <c r="BN356">
        <v>8</v>
      </c>
      <c r="BO356">
        <v>8</v>
      </c>
      <c r="BP356">
        <v>0</v>
      </c>
      <c r="BQ356" t="str">
        <f t="shared" si="26"/>
        <v>7:00 AM</v>
      </c>
      <c r="BR356" t="str">
        <f>"4:00 PM"</f>
        <v>4:00 PM</v>
      </c>
      <c r="BS356" t="s">
        <v>133</v>
      </c>
      <c r="BT356">
        <v>0</v>
      </c>
      <c r="BU356">
        <v>3</v>
      </c>
      <c r="BV356" t="s">
        <v>134</v>
      </c>
      <c r="BX356" s="2" t="s">
        <v>16664</v>
      </c>
      <c r="BY356" t="s">
        <v>16665</v>
      </c>
      <c r="CA356" t="s">
        <v>4515</v>
      </c>
      <c r="CB356" t="s">
        <v>154</v>
      </c>
      <c r="CC356" s="4" t="str">
        <f>"32439"</f>
        <v>32439</v>
      </c>
      <c r="CD356" t="s">
        <v>2474</v>
      </c>
      <c r="CE356" t="s">
        <v>2356</v>
      </c>
      <c r="CF356" s="6">
        <v>15.46</v>
      </c>
      <c r="CG356" s="6">
        <v>15.46</v>
      </c>
      <c r="CH356" s="6">
        <v>23.19</v>
      </c>
      <c r="CI356" s="6">
        <v>23.19</v>
      </c>
      <c r="CJ356" t="s">
        <v>137</v>
      </c>
      <c r="CK356" t="s">
        <v>1878</v>
      </c>
      <c r="CL356" t="s">
        <v>16666</v>
      </c>
      <c r="CO356" t="s">
        <v>138</v>
      </c>
      <c r="CP356" t="s">
        <v>114</v>
      </c>
      <c r="CQ356" t="s">
        <v>114</v>
      </c>
      <c r="CR356" t="s">
        <v>114</v>
      </c>
      <c r="CS356" t="s">
        <v>114</v>
      </c>
      <c r="CT356" t="s">
        <v>114</v>
      </c>
      <c r="CU356" t="s">
        <v>114</v>
      </c>
      <c r="CV356" t="s">
        <v>16667</v>
      </c>
      <c r="CW356" s="5" t="str">
        <f>"+13347496565"</f>
        <v>+13347496565</v>
      </c>
      <c r="CX356" t="s">
        <v>5491</v>
      </c>
      <c r="CY356" t="s">
        <v>138</v>
      </c>
      <c r="CZ356" t="s">
        <v>139</v>
      </c>
      <c r="DA356" t="s">
        <v>134</v>
      </c>
      <c r="DB356" t="s">
        <v>114</v>
      </c>
      <c r="DC356" t="s">
        <v>114</v>
      </c>
      <c r="DD356" t="s">
        <v>134</v>
      </c>
    </row>
    <row r="357" spans="1:113" ht="15" customHeight="1" x14ac:dyDescent="0.25">
      <c r="A357" t="s">
        <v>5484</v>
      </c>
      <c r="B357" t="s">
        <v>165</v>
      </c>
      <c r="C357" s="1">
        <v>44882.386968749997</v>
      </c>
      <c r="D357" s="1">
        <v>44914</v>
      </c>
      <c r="E357" t="s">
        <v>114</v>
      </c>
      <c r="F357" t="s">
        <v>1437</v>
      </c>
      <c r="G357" t="str">
        <f t="shared" si="25"/>
        <v>37-3011.00</v>
      </c>
      <c r="H357" t="s">
        <v>335</v>
      </c>
      <c r="I357">
        <v>24</v>
      </c>
      <c r="J357">
        <v>24</v>
      </c>
      <c r="K357" s="1">
        <v>44972</v>
      </c>
      <c r="L357" s="1">
        <v>45245</v>
      </c>
      <c r="M357" s="1">
        <v>44972</v>
      </c>
      <c r="N357" s="1">
        <v>45245</v>
      </c>
      <c r="O357" t="s">
        <v>199</v>
      </c>
      <c r="P357" t="s">
        <v>5485</v>
      </c>
      <c r="Q357" t="s">
        <v>5486</v>
      </c>
      <c r="R357" t="s">
        <v>5487</v>
      </c>
      <c r="T357" t="s">
        <v>5488</v>
      </c>
      <c r="U357" t="s">
        <v>203</v>
      </c>
      <c r="V357" s="4" t="str">
        <f>"36804"</f>
        <v>36804</v>
      </c>
      <c r="W357" t="s">
        <v>120</v>
      </c>
      <c r="Y357" s="5">
        <v>13347496565</v>
      </c>
      <c r="AA357">
        <v>5617</v>
      </c>
      <c r="AB357" t="s">
        <v>5489</v>
      </c>
      <c r="AC357" t="s">
        <v>5490</v>
      </c>
      <c r="AE357" t="s">
        <v>342</v>
      </c>
      <c r="AF357" t="s">
        <v>5487</v>
      </c>
      <c r="AH357" t="s">
        <v>5488</v>
      </c>
      <c r="AI357" t="s">
        <v>203</v>
      </c>
      <c r="AJ357" s="4" t="str">
        <f>"36804"</f>
        <v>36804</v>
      </c>
      <c r="AK357" t="s">
        <v>120</v>
      </c>
      <c r="AM357" s="5">
        <v>13347496565</v>
      </c>
      <c r="AO357" t="s">
        <v>5491</v>
      </c>
      <c r="AP357" t="s">
        <v>122</v>
      </c>
      <c r="AQ357" t="s">
        <v>1867</v>
      </c>
      <c r="AR357" t="s">
        <v>1868</v>
      </c>
      <c r="AS357" t="s">
        <v>1869</v>
      </c>
      <c r="AT357" t="s">
        <v>1870</v>
      </c>
      <c r="AU357" t="s">
        <v>1871</v>
      </c>
      <c r="AV357" t="s">
        <v>1872</v>
      </c>
      <c r="AW357" t="s">
        <v>1003</v>
      </c>
      <c r="AX357" s="4" t="str">
        <f>"08034"</f>
        <v>08034</v>
      </c>
      <c r="AY357" t="s">
        <v>120</v>
      </c>
      <c r="AZ357" t="s">
        <v>1873</v>
      </c>
      <c r="BA357" s="5">
        <v>18562819750</v>
      </c>
      <c r="BC357" t="s">
        <v>1874</v>
      </c>
      <c r="BD357" t="s">
        <v>1875</v>
      </c>
      <c r="BE357" t="s">
        <v>1003</v>
      </c>
      <c r="BF357" t="s">
        <v>1876</v>
      </c>
      <c r="BG357" t="s">
        <v>203</v>
      </c>
      <c r="BH357" s="1">
        <v>44867.833333333336</v>
      </c>
      <c r="BI357">
        <v>40</v>
      </c>
      <c r="BJ357">
        <v>0</v>
      </c>
      <c r="BK357">
        <v>8</v>
      </c>
      <c r="BL357">
        <v>8</v>
      </c>
      <c r="BM357">
        <v>8</v>
      </c>
      <c r="BN357">
        <v>8</v>
      </c>
      <c r="BO357">
        <v>8</v>
      </c>
      <c r="BP357">
        <v>0</v>
      </c>
      <c r="BQ357" t="str">
        <f t="shared" si="26"/>
        <v>7:00 AM</v>
      </c>
      <c r="BR357" t="str">
        <f>"4:00 PM"</f>
        <v>4:00 PM</v>
      </c>
      <c r="BS357" t="s">
        <v>133</v>
      </c>
      <c r="BT357">
        <v>0</v>
      </c>
      <c r="BU357">
        <v>3</v>
      </c>
      <c r="BV357" t="s">
        <v>134</v>
      </c>
      <c r="BX357" s="2" t="s">
        <v>5492</v>
      </c>
      <c r="BY357" t="s">
        <v>5493</v>
      </c>
      <c r="CA357" t="s">
        <v>5494</v>
      </c>
      <c r="CB357" t="s">
        <v>203</v>
      </c>
      <c r="CC357" s="4" t="str">
        <f>"35043"</f>
        <v>35043</v>
      </c>
      <c r="CD357" t="s">
        <v>4017</v>
      </c>
      <c r="CE357" t="s">
        <v>1388</v>
      </c>
      <c r="CF357" s="6">
        <v>14.45</v>
      </c>
      <c r="CG357" s="6">
        <v>14.45</v>
      </c>
      <c r="CH357" s="6">
        <v>21.68</v>
      </c>
      <c r="CI357" s="6">
        <v>21.68</v>
      </c>
      <c r="CJ357" t="s">
        <v>137</v>
      </c>
      <c r="CK357" t="s">
        <v>1878</v>
      </c>
      <c r="CL357" t="s">
        <v>5495</v>
      </c>
      <c r="CO357" t="s">
        <v>138</v>
      </c>
      <c r="CP357" t="s">
        <v>114</v>
      </c>
      <c r="CQ357" t="s">
        <v>114</v>
      </c>
      <c r="CR357" t="s">
        <v>114</v>
      </c>
      <c r="CS357" t="s">
        <v>114</v>
      </c>
      <c r="CT357" t="s">
        <v>114</v>
      </c>
      <c r="CU357" t="s">
        <v>114</v>
      </c>
      <c r="CV357" t="s">
        <v>5496</v>
      </c>
      <c r="CW357" s="5" t="str">
        <f>"+13347496565"</f>
        <v>+13347496565</v>
      </c>
      <c r="CX357" t="s">
        <v>5491</v>
      </c>
      <c r="CY357" t="s">
        <v>138</v>
      </c>
      <c r="CZ357" t="s">
        <v>139</v>
      </c>
      <c r="DA357" t="s">
        <v>134</v>
      </c>
      <c r="DB357" t="s">
        <v>114</v>
      </c>
      <c r="DC357" t="s">
        <v>114</v>
      </c>
      <c r="DD357" t="s">
        <v>134</v>
      </c>
    </row>
    <row r="358" spans="1:113" ht="15" customHeight="1" x14ac:dyDescent="0.25">
      <c r="A358" t="s">
        <v>15467</v>
      </c>
      <c r="B358" t="s">
        <v>165</v>
      </c>
      <c r="C358" s="1">
        <v>44882.015444791665</v>
      </c>
      <c r="D358" s="1">
        <v>44914</v>
      </c>
      <c r="E358" t="s">
        <v>134</v>
      </c>
      <c r="F358" t="s">
        <v>334</v>
      </c>
      <c r="G358" t="str">
        <f t="shared" si="25"/>
        <v>37-3011.00</v>
      </c>
      <c r="H358" t="s">
        <v>335</v>
      </c>
      <c r="I358">
        <v>27</v>
      </c>
      <c r="J358">
        <v>27</v>
      </c>
      <c r="K358" s="1">
        <v>44972</v>
      </c>
      <c r="L358" s="1">
        <v>45260</v>
      </c>
      <c r="M358" s="1">
        <v>44972</v>
      </c>
      <c r="N358" s="1">
        <v>45260</v>
      </c>
      <c r="O358" t="s">
        <v>117</v>
      </c>
      <c r="P358" t="s">
        <v>13311</v>
      </c>
      <c r="R358" t="s">
        <v>13312</v>
      </c>
      <c r="T358" t="s">
        <v>4325</v>
      </c>
      <c r="U358" t="s">
        <v>1411</v>
      </c>
      <c r="V358" s="4" t="str">
        <f>"45011"</f>
        <v>45011</v>
      </c>
      <c r="W358" t="s">
        <v>120</v>
      </c>
      <c r="Y358" s="5">
        <v>15132421700</v>
      </c>
      <c r="AA358">
        <v>5617</v>
      </c>
      <c r="AB358" t="s">
        <v>2211</v>
      </c>
      <c r="AC358" t="s">
        <v>2208</v>
      </c>
      <c r="AD358" t="s">
        <v>2296</v>
      </c>
      <c r="AE358" t="s">
        <v>342</v>
      </c>
      <c r="AF358" t="s">
        <v>13312</v>
      </c>
      <c r="AH358" t="s">
        <v>4325</v>
      </c>
      <c r="AI358" t="s">
        <v>1411</v>
      </c>
      <c r="AJ358" s="4" t="str">
        <f>"45011"</f>
        <v>45011</v>
      </c>
      <c r="AK358" t="s">
        <v>120</v>
      </c>
      <c r="AM358" s="5">
        <v>15132421700</v>
      </c>
      <c r="AO358" t="s">
        <v>13313</v>
      </c>
      <c r="AP358" t="s">
        <v>256</v>
      </c>
      <c r="AQ358" t="s">
        <v>400</v>
      </c>
      <c r="AR358" t="s">
        <v>401</v>
      </c>
      <c r="AS358" t="s">
        <v>397</v>
      </c>
      <c r="AT358" t="s">
        <v>402</v>
      </c>
      <c r="AU358" t="s">
        <v>152</v>
      </c>
      <c r="AV358" t="s">
        <v>403</v>
      </c>
      <c r="AW358" t="s">
        <v>232</v>
      </c>
      <c r="AX358" s="4" t="str">
        <f>"75033"</f>
        <v>75033</v>
      </c>
      <c r="AY358" t="s">
        <v>120</v>
      </c>
      <c r="BA358" s="5">
        <v>19727789690</v>
      </c>
      <c r="BC358" t="s">
        <v>1534</v>
      </c>
      <c r="BD358" t="s">
        <v>405</v>
      </c>
      <c r="BG358" t="s">
        <v>2371</v>
      </c>
      <c r="BH358" s="1">
        <v>44880.791666666664</v>
      </c>
      <c r="BI358">
        <v>40</v>
      </c>
      <c r="BJ358">
        <v>0</v>
      </c>
      <c r="BK358">
        <v>8</v>
      </c>
      <c r="BL358">
        <v>8</v>
      </c>
      <c r="BM358">
        <v>8</v>
      </c>
      <c r="BN358">
        <v>8</v>
      </c>
      <c r="BO358">
        <v>8</v>
      </c>
      <c r="BP358">
        <v>0</v>
      </c>
      <c r="BQ358" t="str">
        <f t="shared" si="26"/>
        <v>7:00 AM</v>
      </c>
      <c r="BR358" t="str">
        <f>"3:30 PM"</f>
        <v>3:30 PM</v>
      </c>
      <c r="BS358" t="s">
        <v>133</v>
      </c>
      <c r="BT358">
        <v>0</v>
      </c>
      <c r="BU358">
        <v>0</v>
      </c>
      <c r="BV358" t="s">
        <v>134</v>
      </c>
      <c r="BX358" s="2" t="s">
        <v>15468</v>
      </c>
      <c r="BY358" t="s">
        <v>15469</v>
      </c>
      <c r="CA358" t="s">
        <v>2370</v>
      </c>
      <c r="CB358" t="s">
        <v>2371</v>
      </c>
      <c r="CC358" s="4" t="str">
        <f>"46254"</f>
        <v>46254</v>
      </c>
      <c r="CD358" t="s">
        <v>638</v>
      </c>
      <c r="CE358" t="s">
        <v>2372</v>
      </c>
      <c r="CF358" s="6">
        <v>16.7</v>
      </c>
      <c r="CG358" s="6">
        <v>16.7</v>
      </c>
      <c r="CH358" s="6">
        <v>25.05</v>
      </c>
      <c r="CI358" s="6">
        <v>25.05</v>
      </c>
      <c r="CJ358" t="s">
        <v>137</v>
      </c>
      <c r="CK358" t="s">
        <v>950</v>
      </c>
      <c r="CL358" t="s">
        <v>15470</v>
      </c>
      <c r="CO358" t="s">
        <v>138</v>
      </c>
      <c r="CP358" t="s">
        <v>114</v>
      </c>
      <c r="CQ358" t="s">
        <v>114</v>
      </c>
      <c r="CR358" t="s">
        <v>114</v>
      </c>
      <c r="CS358" t="s">
        <v>114</v>
      </c>
      <c r="CT358" t="s">
        <v>114</v>
      </c>
      <c r="CU358" t="s">
        <v>114</v>
      </c>
      <c r="CV358" s="2" t="s">
        <v>15471</v>
      </c>
      <c r="CW358" s="5" t="str">
        <f>"+15132421700"</f>
        <v>+15132421700</v>
      </c>
      <c r="CX358" t="s">
        <v>138</v>
      </c>
      <c r="CY358" t="s">
        <v>4561</v>
      </c>
      <c r="CZ358" t="s">
        <v>139</v>
      </c>
      <c r="DA358" t="s">
        <v>134</v>
      </c>
      <c r="DB358" t="s">
        <v>114</v>
      </c>
      <c r="DC358" t="s">
        <v>114</v>
      </c>
      <c r="DD358" t="s">
        <v>134</v>
      </c>
    </row>
    <row r="359" spans="1:113" ht="15" customHeight="1" x14ac:dyDescent="0.25">
      <c r="A359" t="s">
        <v>13310</v>
      </c>
      <c r="B359" t="s">
        <v>165</v>
      </c>
      <c r="C359" s="1">
        <v>44882.012240393517</v>
      </c>
      <c r="D359" s="1">
        <v>44914</v>
      </c>
      <c r="E359" t="s">
        <v>134</v>
      </c>
      <c r="F359" t="s">
        <v>334</v>
      </c>
      <c r="G359" t="str">
        <f t="shared" si="25"/>
        <v>37-3011.00</v>
      </c>
      <c r="H359" t="s">
        <v>335</v>
      </c>
      <c r="I359">
        <v>51</v>
      </c>
      <c r="J359">
        <v>51</v>
      </c>
      <c r="K359" s="1">
        <v>44972</v>
      </c>
      <c r="L359" s="1">
        <v>45260</v>
      </c>
      <c r="M359" s="1">
        <v>44972</v>
      </c>
      <c r="N359" s="1">
        <v>45260</v>
      </c>
      <c r="O359" t="s">
        <v>117</v>
      </c>
      <c r="P359" t="s">
        <v>13311</v>
      </c>
      <c r="R359" t="s">
        <v>13312</v>
      </c>
      <c r="T359" t="s">
        <v>4325</v>
      </c>
      <c r="U359" t="s">
        <v>1411</v>
      </c>
      <c r="V359" s="4" t="str">
        <f>"45011"</f>
        <v>45011</v>
      </c>
      <c r="W359" t="s">
        <v>120</v>
      </c>
      <c r="Y359" s="5">
        <v>15132421700</v>
      </c>
      <c r="AA359">
        <v>56173</v>
      </c>
      <c r="AB359" t="s">
        <v>2211</v>
      </c>
      <c r="AC359" t="s">
        <v>2208</v>
      </c>
      <c r="AD359" t="s">
        <v>2296</v>
      </c>
      <c r="AE359" t="s">
        <v>342</v>
      </c>
      <c r="AF359" t="s">
        <v>13312</v>
      </c>
      <c r="AH359" t="s">
        <v>4325</v>
      </c>
      <c r="AI359" t="s">
        <v>1411</v>
      </c>
      <c r="AJ359" s="4" t="str">
        <f>"45011"</f>
        <v>45011</v>
      </c>
      <c r="AK359" t="s">
        <v>120</v>
      </c>
      <c r="AM359" s="5">
        <v>15132421700</v>
      </c>
      <c r="AO359" t="s">
        <v>13313</v>
      </c>
      <c r="AP359" t="s">
        <v>256</v>
      </c>
      <c r="AQ359" t="s">
        <v>400</v>
      </c>
      <c r="AR359" t="s">
        <v>401</v>
      </c>
      <c r="AS359" t="s">
        <v>397</v>
      </c>
      <c r="AT359" t="s">
        <v>402</v>
      </c>
      <c r="AU359" t="s">
        <v>152</v>
      </c>
      <c r="AV359" t="s">
        <v>403</v>
      </c>
      <c r="AW359" t="s">
        <v>232</v>
      </c>
      <c r="AX359" s="4" t="str">
        <f>"75033"</f>
        <v>75033</v>
      </c>
      <c r="AY359" t="s">
        <v>120</v>
      </c>
      <c r="BA359" s="5">
        <v>19727789690</v>
      </c>
      <c r="BC359" t="s">
        <v>1534</v>
      </c>
      <c r="BD359" t="s">
        <v>405</v>
      </c>
      <c r="BG359" t="s">
        <v>1411</v>
      </c>
      <c r="BH359" s="1">
        <v>44881.791666666664</v>
      </c>
      <c r="BI359">
        <v>40</v>
      </c>
      <c r="BJ359">
        <v>0</v>
      </c>
      <c r="BK359">
        <v>8</v>
      </c>
      <c r="BL359">
        <v>8</v>
      </c>
      <c r="BM359">
        <v>8</v>
      </c>
      <c r="BN359">
        <v>8</v>
      </c>
      <c r="BO359">
        <v>8</v>
      </c>
      <c r="BP359">
        <v>0</v>
      </c>
      <c r="BQ359" t="str">
        <f t="shared" si="26"/>
        <v>7:00 AM</v>
      </c>
      <c r="BR359" t="str">
        <f>"3:30 PM"</f>
        <v>3:30 PM</v>
      </c>
      <c r="BS359" t="s">
        <v>133</v>
      </c>
      <c r="BT359">
        <v>0</v>
      </c>
      <c r="BU359">
        <v>0</v>
      </c>
      <c r="BV359" t="s">
        <v>134</v>
      </c>
      <c r="BX359" s="2" t="s">
        <v>13314</v>
      </c>
      <c r="BY359" t="s">
        <v>13312</v>
      </c>
      <c r="CA359" t="s">
        <v>4325</v>
      </c>
      <c r="CB359" t="s">
        <v>1411</v>
      </c>
      <c r="CC359" s="4" t="str">
        <f>"45011"</f>
        <v>45011</v>
      </c>
      <c r="CD359" t="s">
        <v>1416</v>
      </c>
      <c r="CE359" t="s">
        <v>1417</v>
      </c>
      <c r="CF359" s="6">
        <v>16.04</v>
      </c>
      <c r="CG359" s="6">
        <v>16.04</v>
      </c>
      <c r="CH359" s="6">
        <v>24.06</v>
      </c>
      <c r="CI359" s="6">
        <v>24.06</v>
      </c>
      <c r="CJ359" t="s">
        <v>137</v>
      </c>
      <c r="CK359" t="s">
        <v>13315</v>
      </c>
      <c r="CL359" t="s">
        <v>13316</v>
      </c>
      <c r="CO359" t="s">
        <v>138</v>
      </c>
      <c r="CP359" t="s">
        <v>114</v>
      </c>
      <c r="CQ359" t="s">
        <v>114</v>
      </c>
      <c r="CR359" t="s">
        <v>114</v>
      </c>
      <c r="CS359" t="s">
        <v>114</v>
      </c>
      <c r="CT359" t="s">
        <v>114</v>
      </c>
      <c r="CU359" t="s">
        <v>114</v>
      </c>
      <c r="CV359" s="2" t="s">
        <v>13317</v>
      </c>
      <c r="CW359" s="5" t="str">
        <f>"+15132421700"</f>
        <v>+15132421700</v>
      </c>
      <c r="CX359" t="s">
        <v>138</v>
      </c>
      <c r="CY359" t="s">
        <v>8645</v>
      </c>
      <c r="CZ359" t="s">
        <v>139</v>
      </c>
      <c r="DA359" t="s">
        <v>134</v>
      </c>
      <c r="DB359" t="s">
        <v>114</v>
      </c>
      <c r="DC359" t="s">
        <v>114</v>
      </c>
      <c r="DD359" t="s">
        <v>134</v>
      </c>
    </row>
    <row r="360" spans="1:113" ht="15" customHeight="1" x14ac:dyDescent="0.25">
      <c r="A360" t="s">
        <v>15486</v>
      </c>
      <c r="B360" t="s">
        <v>165</v>
      </c>
      <c r="C360" s="1">
        <v>44882.008755324074</v>
      </c>
      <c r="D360" s="1">
        <v>44914</v>
      </c>
      <c r="E360" t="s">
        <v>134</v>
      </c>
      <c r="F360" t="s">
        <v>334</v>
      </c>
      <c r="G360" t="str">
        <f t="shared" si="25"/>
        <v>37-3011.00</v>
      </c>
      <c r="H360" t="s">
        <v>335</v>
      </c>
      <c r="I360">
        <v>12</v>
      </c>
      <c r="J360">
        <v>12</v>
      </c>
      <c r="K360" s="1">
        <v>44972</v>
      </c>
      <c r="L360" s="1">
        <v>45260</v>
      </c>
      <c r="M360" s="1">
        <v>44972</v>
      </c>
      <c r="N360" s="1">
        <v>45260</v>
      </c>
      <c r="O360" t="s">
        <v>117</v>
      </c>
      <c r="P360" t="s">
        <v>13311</v>
      </c>
      <c r="R360" t="s">
        <v>13312</v>
      </c>
      <c r="T360" t="s">
        <v>4325</v>
      </c>
      <c r="U360" t="s">
        <v>1411</v>
      </c>
      <c r="V360" s="4" t="str">
        <f>"45011"</f>
        <v>45011</v>
      </c>
      <c r="W360" t="s">
        <v>120</v>
      </c>
      <c r="Y360" s="5">
        <v>15132421700</v>
      </c>
      <c r="AA360">
        <v>5617</v>
      </c>
      <c r="AB360" t="s">
        <v>2211</v>
      </c>
      <c r="AC360" t="s">
        <v>2208</v>
      </c>
      <c r="AD360" t="s">
        <v>2296</v>
      </c>
      <c r="AE360" t="s">
        <v>342</v>
      </c>
      <c r="AF360" t="s">
        <v>13312</v>
      </c>
      <c r="AH360" t="s">
        <v>4325</v>
      </c>
      <c r="AI360" t="s">
        <v>1411</v>
      </c>
      <c r="AJ360" s="4" t="str">
        <f>"45011"</f>
        <v>45011</v>
      </c>
      <c r="AK360" t="s">
        <v>120</v>
      </c>
      <c r="AM360" s="5">
        <v>15132421700</v>
      </c>
      <c r="AO360" t="s">
        <v>13313</v>
      </c>
      <c r="AP360" t="s">
        <v>256</v>
      </c>
      <c r="AQ360" t="s">
        <v>400</v>
      </c>
      <c r="AR360" t="s">
        <v>401</v>
      </c>
      <c r="AS360" t="s">
        <v>397</v>
      </c>
      <c r="AT360" t="s">
        <v>402</v>
      </c>
      <c r="AU360" t="s">
        <v>152</v>
      </c>
      <c r="AV360" t="s">
        <v>403</v>
      </c>
      <c r="AW360" t="s">
        <v>232</v>
      </c>
      <c r="AX360" s="4" t="str">
        <f>"75033"</f>
        <v>75033</v>
      </c>
      <c r="AY360" t="s">
        <v>120</v>
      </c>
      <c r="BA360" s="5">
        <v>19727789690</v>
      </c>
      <c r="BC360" t="s">
        <v>1534</v>
      </c>
      <c r="BD360" t="s">
        <v>405</v>
      </c>
      <c r="BG360" t="s">
        <v>1411</v>
      </c>
      <c r="BH360" s="1">
        <v>44880.791666666664</v>
      </c>
      <c r="BI360">
        <v>40</v>
      </c>
      <c r="BJ360">
        <v>0</v>
      </c>
      <c r="BK360">
        <v>8</v>
      </c>
      <c r="BL360">
        <v>8</v>
      </c>
      <c r="BM360">
        <v>8</v>
      </c>
      <c r="BN360">
        <v>8</v>
      </c>
      <c r="BO360">
        <v>8</v>
      </c>
      <c r="BP360">
        <v>0</v>
      </c>
      <c r="BQ360" t="str">
        <f t="shared" si="26"/>
        <v>7:00 AM</v>
      </c>
      <c r="BR360" t="str">
        <f>"3:30 PM"</f>
        <v>3:30 PM</v>
      </c>
      <c r="BS360" t="s">
        <v>133</v>
      </c>
      <c r="BT360">
        <v>0</v>
      </c>
      <c r="BU360">
        <v>0</v>
      </c>
      <c r="BV360" t="s">
        <v>134</v>
      </c>
      <c r="BX360" s="2" t="s">
        <v>15487</v>
      </c>
      <c r="BY360" t="s">
        <v>15488</v>
      </c>
      <c r="CA360" t="s">
        <v>15489</v>
      </c>
      <c r="CB360" t="s">
        <v>1411</v>
      </c>
      <c r="CC360" s="4" t="str">
        <f>"45371"</f>
        <v>45371</v>
      </c>
      <c r="CD360" t="s">
        <v>1157</v>
      </c>
      <c r="CE360" t="s">
        <v>2008</v>
      </c>
      <c r="CF360" s="6">
        <v>16.8</v>
      </c>
      <c r="CG360" s="6">
        <v>16.8</v>
      </c>
      <c r="CH360" s="6">
        <v>25.2</v>
      </c>
      <c r="CI360" s="6">
        <v>25.2</v>
      </c>
      <c r="CJ360" t="s">
        <v>137</v>
      </c>
      <c r="CK360" t="s">
        <v>950</v>
      </c>
      <c r="CL360" t="s">
        <v>15490</v>
      </c>
      <c r="CO360" t="s">
        <v>138</v>
      </c>
      <c r="CP360" t="s">
        <v>114</v>
      </c>
      <c r="CQ360" t="s">
        <v>114</v>
      </c>
      <c r="CR360" t="s">
        <v>114</v>
      </c>
      <c r="CS360" t="s">
        <v>114</v>
      </c>
      <c r="CT360" t="s">
        <v>114</v>
      </c>
      <c r="CU360" t="s">
        <v>114</v>
      </c>
      <c r="CV360" s="2" t="s">
        <v>15491</v>
      </c>
      <c r="CW360" s="5" t="str">
        <f>"+15132421700"</f>
        <v>+15132421700</v>
      </c>
      <c r="CX360" t="s">
        <v>138</v>
      </c>
      <c r="CY360" t="s">
        <v>8645</v>
      </c>
      <c r="CZ360" t="s">
        <v>139</v>
      </c>
      <c r="DA360" t="s">
        <v>134</v>
      </c>
      <c r="DB360" t="s">
        <v>114</v>
      </c>
      <c r="DC360" t="s">
        <v>114</v>
      </c>
      <c r="DD360" t="s">
        <v>134</v>
      </c>
    </row>
    <row r="361" spans="1:113" ht="15" customHeight="1" x14ac:dyDescent="0.25">
      <c r="A361" t="s">
        <v>14715</v>
      </c>
      <c r="B361" t="s">
        <v>165</v>
      </c>
      <c r="C361" s="1">
        <v>44881.731544097223</v>
      </c>
      <c r="D361" s="1">
        <v>44914</v>
      </c>
      <c r="E361" t="s">
        <v>134</v>
      </c>
      <c r="F361" t="s">
        <v>2068</v>
      </c>
      <c r="G361" t="str">
        <f>"35-9021.00"</f>
        <v>35-9021.00</v>
      </c>
      <c r="H361" t="s">
        <v>1910</v>
      </c>
      <c r="I361">
        <v>7</v>
      </c>
      <c r="J361">
        <v>7</v>
      </c>
      <c r="K361" s="1">
        <v>44969</v>
      </c>
      <c r="L361" s="1">
        <v>45260</v>
      </c>
      <c r="M361" s="1">
        <v>44969</v>
      </c>
      <c r="N361" s="1">
        <v>45260</v>
      </c>
      <c r="O361" t="s">
        <v>117</v>
      </c>
      <c r="P361" t="s">
        <v>10838</v>
      </c>
      <c r="Q361" t="s">
        <v>10839</v>
      </c>
      <c r="R361" t="s">
        <v>10840</v>
      </c>
      <c r="S361" t="s">
        <v>10841</v>
      </c>
      <c r="T361" t="s">
        <v>10842</v>
      </c>
      <c r="U361" t="s">
        <v>444</v>
      </c>
      <c r="V361" s="4" t="str">
        <f>"95345"</f>
        <v>95345</v>
      </c>
      <c r="W361" t="s">
        <v>120</v>
      </c>
      <c r="Y361" s="5">
        <v>12099666666</v>
      </c>
      <c r="AA361">
        <v>721199</v>
      </c>
      <c r="AB361" t="s">
        <v>8161</v>
      </c>
      <c r="AC361" t="s">
        <v>1696</v>
      </c>
      <c r="AD361" t="s">
        <v>2149</v>
      </c>
      <c r="AE361" t="s">
        <v>1835</v>
      </c>
      <c r="AF361" t="s">
        <v>10840</v>
      </c>
      <c r="AG361" t="s">
        <v>10841</v>
      </c>
      <c r="AH361" t="s">
        <v>10842</v>
      </c>
      <c r="AI361" t="s">
        <v>444</v>
      </c>
      <c r="AJ361" s="4" t="str">
        <f>"95345"</f>
        <v>95345</v>
      </c>
      <c r="AK361" t="s">
        <v>120</v>
      </c>
      <c r="AM361" s="5">
        <v>12099666666</v>
      </c>
      <c r="AO361" t="s">
        <v>10843</v>
      </c>
      <c r="AP361" t="s">
        <v>122</v>
      </c>
      <c r="AQ361" t="s">
        <v>1856</v>
      </c>
      <c r="AR361" t="s">
        <v>755</v>
      </c>
      <c r="AS361" t="s">
        <v>1857</v>
      </c>
      <c r="AT361" t="s">
        <v>1858</v>
      </c>
      <c r="AU361" t="s">
        <v>1859</v>
      </c>
      <c r="AV361" t="s">
        <v>1860</v>
      </c>
      <c r="AW361" t="s">
        <v>119</v>
      </c>
      <c r="AX361" s="4" t="str">
        <f>"28328"</f>
        <v>28328</v>
      </c>
      <c r="AY361" t="s">
        <v>120</v>
      </c>
      <c r="BA361" s="5">
        <v>19105924121</v>
      </c>
      <c r="BC361" t="s">
        <v>1861</v>
      </c>
      <c r="BD361" t="s">
        <v>1862</v>
      </c>
      <c r="BE361" t="s">
        <v>119</v>
      </c>
      <c r="BF361" t="s">
        <v>322</v>
      </c>
      <c r="BG361" t="s">
        <v>444</v>
      </c>
      <c r="BH361" s="1">
        <v>44880.791666666664</v>
      </c>
      <c r="BI361">
        <v>40</v>
      </c>
      <c r="BJ361">
        <v>6</v>
      </c>
      <c r="BK361">
        <v>5</v>
      </c>
      <c r="BL361">
        <v>5</v>
      </c>
      <c r="BM361">
        <v>6</v>
      </c>
      <c r="BN361">
        <v>6</v>
      </c>
      <c r="BO361">
        <v>6</v>
      </c>
      <c r="BP361">
        <v>6</v>
      </c>
      <c r="BQ361" t="str">
        <f t="shared" si="26"/>
        <v>7:00 AM</v>
      </c>
      <c r="BR361" t="str">
        <f>"3:00 PM"</f>
        <v>3:00 PM</v>
      </c>
      <c r="BS361" t="s">
        <v>133</v>
      </c>
      <c r="BT361">
        <v>0</v>
      </c>
      <c r="BU361">
        <v>0</v>
      </c>
      <c r="BV361" t="s">
        <v>134</v>
      </c>
      <c r="BX361" t="s">
        <v>14716</v>
      </c>
      <c r="BY361" t="s">
        <v>10840</v>
      </c>
      <c r="CA361" t="s">
        <v>10842</v>
      </c>
      <c r="CB361" t="s">
        <v>444</v>
      </c>
      <c r="CC361" s="4" t="str">
        <f>"95345"</f>
        <v>95345</v>
      </c>
      <c r="CD361" t="s">
        <v>5921</v>
      </c>
      <c r="CE361" t="s">
        <v>5922</v>
      </c>
      <c r="CF361" s="6">
        <v>15.5</v>
      </c>
      <c r="CH361" s="6">
        <v>23.25</v>
      </c>
      <c r="CJ361" t="s">
        <v>137</v>
      </c>
      <c r="CK361" t="s">
        <v>7218</v>
      </c>
      <c r="CL361" t="s">
        <v>14717</v>
      </c>
      <c r="CO361" t="s">
        <v>138</v>
      </c>
      <c r="CP361" t="s">
        <v>134</v>
      </c>
      <c r="CQ361" t="s">
        <v>134</v>
      </c>
      <c r="CR361" t="s">
        <v>114</v>
      </c>
      <c r="CS361" t="s">
        <v>134</v>
      </c>
      <c r="CT361" t="s">
        <v>114</v>
      </c>
      <c r="CU361" t="s">
        <v>114</v>
      </c>
      <c r="CV361" t="s">
        <v>14718</v>
      </c>
      <c r="CW361" s="5" t="str">
        <f>"N/A"</f>
        <v>N/A</v>
      </c>
      <c r="CX361" t="s">
        <v>10843</v>
      </c>
      <c r="CY361" t="s">
        <v>6479</v>
      </c>
      <c r="CZ361" t="s">
        <v>139</v>
      </c>
      <c r="DA361" t="s">
        <v>134</v>
      </c>
      <c r="DB361" t="s">
        <v>134</v>
      </c>
      <c r="DC361" t="s">
        <v>114</v>
      </c>
      <c r="DD361" t="s">
        <v>134</v>
      </c>
    </row>
    <row r="362" spans="1:113" ht="15" customHeight="1" x14ac:dyDescent="0.25">
      <c r="A362" t="s">
        <v>14695</v>
      </c>
      <c r="B362" t="s">
        <v>165</v>
      </c>
      <c r="C362" s="1">
        <v>44881.728843750003</v>
      </c>
      <c r="D362" s="1">
        <v>44914</v>
      </c>
      <c r="E362" t="s">
        <v>134</v>
      </c>
      <c r="F362" t="s">
        <v>2320</v>
      </c>
      <c r="G362" t="str">
        <f>"37-3011.00"</f>
        <v>37-3011.00</v>
      </c>
      <c r="H362" t="s">
        <v>335</v>
      </c>
      <c r="I362">
        <v>96</v>
      </c>
      <c r="J362">
        <v>96</v>
      </c>
      <c r="K362" s="1">
        <v>44958</v>
      </c>
      <c r="L362" s="1">
        <v>45231</v>
      </c>
      <c r="M362" s="1">
        <v>44958</v>
      </c>
      <c r="N362" s="1">
        <v>45231</v>
      </c>
      <c r="O362" t="s">
        <v>199</v>
      </c>
      <c r="P362" t="s">
        <v>14696</v>
      </c>
      <c r="Q362" t="s">
        <v>14697</v>
      </c>
      <c r="R362" t="s">
        <v>14698</v>
      </c>
      <c r="T362" t="s">
        <v>14699</v>
      </c>
      <c r="U362" t="s">
        <v>2371</v>
      </c>
      <c r="V362" s="4" t="str">
        <f>"46055"</f>
        <v>46055</v>
      </c>
      <c r="W362" t="s">
        <v>120</v>
      </c>
      <c r="Y362" s="5">
        <v>13173352628</v>
      </c>
      <c r="AA362">
        <v>56173</v>
      </c>
      <c r="AB362" t="s">
        <v>2121</v>
      </c>
      <c r="AC362" t="s">
        <v>1830</v>
      </c>
      <c r="AD362" t="s">
        <v>14700</v>
      </c>
      <c r="AE362" t="s">
        <v>342</v>
      </c>
      <c r="AF362" t="s">
        <v>14698</v>
      </c>
      <c r="AH362" t="s">
        <v>14699</v>
      </c>
      <c r="AI362" t="s">
        <v>2371</v>
      </c>
      <c r="AJ362" s="4" t="str">
        <f>"46055"</f>
        <v>46055</v>
      </c>
      <c r="AK362" t="s">
        <v>120</v>
      </c>
      <c r="AM362" s="5">
        <v>13173352628</v>
      </c>
      <c r="AO362" t="s">
        <v>138</v>
      </c>
      <c r="AP362" t="s">
        <v>122</v>
      </c>
      <c r="AQ362" t="s">
        <v>864</v>
      </c>
      <c r="AR362" t="s">
        <v>865</v>
      </c>
      <c r="AS362" t="s">
        <v>1020</v>
      </c>
      <c r="AT362" t="s">
        <v>866</v>
      </c>
      <c r="AU362">
        <v>1406</v>
      </c>
      <c r="AV362" t="s">
        <v>684</v>
      </c>
      <c r="AW362" t="s">
        <v>232</v>
      </c>
      <c r="AX362" s="4" t="str">
        <f>"78758"</f>
        <v>78758</v>
      </c>
      <c r="AY362" t="s">
        <v>120</v>
      </c>
      <c r="BA362" s="5">
        <v>15123470007</v>
      </c>
      <c r="BC362" t="s">
        <v>868</v>
      </c>
      <c r="BD362" t="s">
        <v>2669</v>
      </c>
      <c r="BE362" t="s">
        <v>232</v>
      </c>
      <c r="BF362" t="s">
        <v>1634</v>
      </c>
      <c r="BG362" t="s">
        <v>2371</v>
      </c>
      <c r="BH362" s="1">
        <v>44880.791666666664</v>
      </c>
      <c r="BI362">
        <v>40</v>
      </c>
      <c r="BJ362">
        <v>0</v>
      </c>
      <c r="BK362">
        <v>8</v>
      </c>
      <c r="BL362">
        <v>8</v>
      </c>
      <c r="BM362">
        <v>8</v>
      </c>
      <c r="BN362">
        <v>8</v>
      </c>
      <c r="BO362">
        <v>8</v>
      </c>
      <c r="BP362">
        <v>0</v>
      </c>
      <c r="BQ362" t="str">
        <f>"8:00 AM"</f>
        <v>8:00 AM</v>
      </c>
      <c r="BR362" t="str">
        <f>"5:00 PM"</f>
        <v>5:00 PM</v>
      </c>
      <c r="BS362" t="s">
        <v>133</v>
      </c>
      <c r="BT362">
        <v>0</v>
      </c>
      <c r="BU362">
        <v>0</v>
      </c>
      <c r="BV362" t="s">
        <v>134</v>
      </c>
      <c r="BX362" t="s">
        <v>138</v>
      </c>
      <c r="BY362" t="s">
        <v>14701</v>
      </c>
      <c r="CA362" t="s">
        <v>14699</v>
      </c>
      <c r="CB362" t="s">
        <v>2371</v>
      </c>
      <c r="CC362" s="4" t="str">
        <f>"46055"</f>
        <v>46055</v>
      </c>
      <c r="CD362" t="s">
        <v>4451</v>
      </c>
      <c r="CE362" t="s">
        <v>2372</v>
      </c>
      <c r="CF362" s="6">
        <v>16.7</v>
      </c>
      <c r="CG362" s="6">
        <v>16.7</v>
      </c>
      <c r="CH362" s="6">
        <v>25.05</v>
      </c>
      <c r="CI362" s="6">
        <v>25.05</v>
      </c>
      <c r="CJ362" t="s">
        <v>137</v>
      </c>
      <c r="CL362" t="s">
        <v>14702</v>
      </c>
      <c r="CO362" t="s">
        <v>138</v>
      </c>
      <c r="CP362" t="s">
        <v>114</v>
      </c>
      <c r="CQ362" t="s">
        <v>114</v>
      </c>
      <c r="CR362" t="s">
        <v>114</v>
      </c>
      <c r="CS362" t="s">
        <v>114</v>
      </c>
      <c r="CT362" t="s">
        <v>114</v>
      </c>
      <c r="CU362" t="s">
        <v>114</v>
      </c>
      <c r="CV362" t="s">
        <v>875</v>
      </c>
      <c r="CW362" s="5" t="str">
        <f>"+13173352628"</f>
        <v>+13173352628</v>
      </c>
      <c r="CX362" t="s">
        <v>14703</v>
      </c>
      <c r="CY362" t="s">
        <v>138</v>
      </c>
      <c r="CZ362" t="s">
        <v>139</v>
      </c>
      <c r="DA362" t="s">
        <v>134</v>
      </c>
      <c r="DB362" t="s">
        <v>134</v>
      </c>
      <c r="DC362" t="s">
        <v>114</v>
      </c>
      <c r="DD362" t="s">
        <v>134</v>
      </c>
    </row>
    <row r="363" spans="1:113" ht="15" customHeight="1" x14ac:dyDescent="0.25">
      <c r="A363" t="s">
        <v>13290</v>
      </c>
      <c r="B363" t="s">
        <v>165</v>
      </c>
      <c r="C363" s="1">
        <v>44869.926439236115</v>
      </c>
      <c r="D363" s="1">
        <v>44914</v>
      </c>
      <c r="E363" t="s">
        <v>134</v>
      </c>
      <c r="F363" t="s">
        <v>13291</v>
      </c>
      <c r="G363" t="str">
        <f>"31-9092.00"</f>
        <v>31-9092.00</v>
      </c>
      <c r="H363" t="s">
        <v>13292</v>
      </c>
      <c r="I363">
        <v>1</v>
      </c>
      <c r="J363">
        <v>1</v>
      </c>
      <c r="K363" s="1">
        <v>44949</v>
      </c>
      <c r="L363" s="1">
        <v>45282</v>
      </c>
      <c r="M363" s="1">
        <v>44949</v>
      </c>
      <c r="N363" s="1">
        <v>45282</v>
      </c>
      <c r="O363" t="s">
        <v>168</v>
      </c>
      <c r="P363" t="s">
        <v>13293</v>
      </c>
      <c r="Q363" t="s">
        <v>13294</v>
      </c>
      <c r="R363" t="s">
        <v>13295</v>
      </c>
      <c r="T363" t="s">
        <v>13296</v>
      </c>
      <c r="U363" t="s">
        <v>339</v>
      </c>
      <c r="V363" s="4" t="str">
        <f>"21093"</f>
        <v>21093</v>
      </c>
      <c r="W363" t="s">
        <v>120</v>
      </c>
      <c r="Y363" s="5">
        <v>14436523850</v>
      </c>
      <c r="AA363">
        <v>621111</v>
      </c>
      <c r="AB363" t="s">
        <v>13297</v>
      </c>
      <c r="AC363" t="s">
        <v>6973</v>
      </c>
      <c r="AE363" t="s">
        <v>13298</v>
      </c>
      <c r="AF363" t="s">
        <v>13295</v>
      </c>
      <c r="AH363" t="s">
        <v>13296</v>
      </c>
      <c r="AI363" t="s">
        <v>339</v>
      </c>
      <c r="AJ363" s="4" t="str">
        <f>"21093"</f>
        <v>21093</v>
      </c>
      <c r="AK363" t="s">
        <v>120</v>
      </c>
      <c r="AM363" s="5">
        <v>14436523850</v>
      </c>
      <c r="AO363" t="s">
        <v>13299</v>
      </c>
      <c r="AX363" s="4" t="str">
        <f>""</f>
        <v/>
      </c>
      <c r="BG363" t="s">
        <v>339</v>
      </c>
      <c r="BH363" s="1">
        <v>44868.833333333336</v>
      </c>
      <c r="BI363">
        <v>38</v>
      </c>
      <c r="BJ363">
        <v>0</v>
      </c>
      <c r="BK363">
        <v>8</v>
      </c>
      <c r="BL363">
        <v>8</v>
      </c>
      <c r="BM363">
        <v>8</v>
      </c>
      <c r="BN363">
        <v>8</v>
      </c>
      <c r="BO363">
        <v>6</v>
      </c>
      <c r="BP363">
        <v>0</v>
      </c>
      <c r="BQ363" t="str">
        <f>"8:00 AM"</f>
        <v>8:00 AM</v>
      </c>
      <c r="BR363" t="str">
        <f>"4:00 PM"</f>
        <v>4:00 PM</v>
      </c>
      <c r="BS363" t="s">
        <v>295</v>
      </c>
      <c r="BT363">
        <v>0</v>
      </c>
      <c r="BU363">
        <v>0</v>
      </c>
      <c r="BV363" t="s">
        <v>134</v>
      </c>
      <c r="BX363" s="2" t="s">
        <v>13300</v>
      </c>
      <c r="BY363" t="s">
        <v>13295</v>
      </c>
      <c r="CA363" t="s">
        <v>13296</v>
      </c>
      <c r="CB363" t="s">
        <v>339</v>
      </c>
      <c r="CC363" s="4" t="str">
        <f>"21093"</f>
        <v>21093</v>
      </c>
      <c r="CD363" t="s">
        <v>1672</v>
      </c>
      <c r="CE363" t="s">
        <v>1673</v>
      </c>
      <c r="CF363" s="6">
        <v>19</v>
      </c>
      <c r="CG363" s="6">
        <v>21</v>
      </c>
      <c r="CH363" s="6">
        <v>28.5</v>
      </c>
      <c r="CI363" s="6">
        <v>31.5</v>
      </c>
      <c r="CJ363" t="s">
        <v>137</v>
      </c>
      <c r="CK363" t="s">
        <v>138</v>
      </c>
      <c r="CL363" t="s">
        <v>13301</v>
      </c>
      <c r="CO363" t="s">
        <v>138</v>
      </c>
      <c r="CP363" t="s">
        <v>134</v>
      </c>
      <c r="CQ363" t="s">
        <v>134</v>
      </c>
      <c r="CR363" t="s">
        <v>114</v>
      </c>
      <c r="CS363" t="s">
        <v>114</v>
      </c>
      <c r="CT363" t="s">
        <v>114</v>
      </c>
      <c r="CU363" t="s">
        <v>114</v>
      </c>
      <c r="CV363" t="s">
        <v>133</v>
      </c>
      <c r="CW363" s="5" t="str">
        <f>"+14436523850"</f>
        <v>+14436523850</v>
      </c>
      <c r="CX363" t="s">
        <v>13299</v>
      </c>
      <c r="CY363" t="s">
        <v>138</v>
      </c>
      <c r="CZ363" t="s">
        <v>139</v>
      </c>
      <c r="DA363" t="s">
        <v>134</v>
      </c>
      <c r="DB363" t="s">
        <v>134</v>
      </c>
      <c r="DC363" t="s">
        <v>114</v>
      </c>
      <c r="DD363" t="s">
        <v>134</v>
      </c>
    </row>
    <row r="364" spans="1:113" ht="15" customHeight="1" x14ac:dyDescent="0.25">
      <c r="A364" t="s">
        <v>11865</v>
      </c>
      <c r="B364" t="s">
        <v>165</v>
      </c>
      <c r="C364" s="1">
        <v>44888.464624652777</v>
      </c>
      <c r="D364" s="1">
        <v>44911</v>
      </c>
      <c r="E364" t="s">
        <v>134</v>
      </c>
      <c r="F364" t="s">
        <v>10858</v>
      </c>
      <c r="G364" t="str">
        <f>"35-3023.00"</f>
        <v>35-3023.00</v>
      </c>
      <c r="H364" t="s">
        <v>555</v>
      </c>
      <c r="I364">
        <v>8</v>
      </c>
      <c r="J364">
        <v>8</v>
      </c>
      <c r="K364" s="1">
        <v>44978</v>
      </c>
      <c r="L364" s="1">
        <v>45026</v>
      </c>
      <c r="M364" s="1">
        <v>44978</v>
      </c>
      <c r="N364" s="1">
        <v>45026</v>
      </c>
      <c r="O364" t="s">
        <v>199</v>
      </c>
      <c r="P364" t="s">
        <v>11866</v>
      </c>
      <c r="R364" t="s">
        <v>11867</v>
      </c>
      <c r="T364" t="s">
        <v>11868</v>
      </c>
      <c r="U364" t="s">
        <v>154</v>
      </c>
      <c r="V364" s="4" t="str">
        <f>"34428"</f>
        <v>34428</v>
      </c>
      <c r="W364" t="s">
        <v>120</v>
      </c>
      <c r="Y364" s="5">
        <v>13523022725</v>
      </c>
      <c r="AA364">
        <v>713990</v>
      </c>
      <c r="AB364" t="s">
        <v>11869</v>
      </c>
      <c r="AC364" t="s">
        <v>2274</v>
      </c>
      <c r="AE364" t="s">
        <v>424</v>
      </c>
      <c r="AF364" t="s">
        <v>11867</v>
      </c>
      <c r="AH364" t="s">
        <v>11868</v>
      </c>
      <c r="AI364" t="s">
        <v>154</v>
      </c>
      <c r="AJ364" s="4" t="str">
        <f>"34428"</f>
        <v>34428</v>
      </c>
      <c r="AK364" t="s">
        <v>120</v>
      </c>
      <c r="AM364" s="5">
        <v>13523022725</v>
      </c>
      <c r="AO364" t="s">
        <v>11870</v>
      </c>
      <c r="AP364" t="s">
        <v>256</v>
      </c>
      <c r="AQ364" t="s">
        <v>5843</v>
      </c>
      <c r="AR364" t="s">
        <v>2093</v>
      </c>
      <c r="AS364" t="s">
        <v>138</v>
      </c>
      <c r="AT364" t="s">
        <v>1422</v>
      </c>
      <c r="AU364" t="s">
        <v>347</v>
      </c>
      <c r="AV364" t="s">
        <v>828</v>
      </c>
      <c r="AW364" t="s">
        <v>349</v>
      </c>
      <c r="AX364" s="4" t="str">
        <f>"83814"</f>
        <v>83814</v>
      </c>
      <c r="AY364" t="s">
        <v>120</v>
      </c>
      <c r="BA364" s="5">
        <v>12087772654</v>
      </c>
      <c r="BC364" t="s">
        <v>5844</v>
      </c>
      <c r="BD364" t="s">
        <v>351</v>
      </c>
      <c r="BG364" t="s">
        <v>232</v>
      </c>
      <c r="BH364" s="1">
        <v>44878.791666666664</v>
      </c>
      <c r="BI364">
        <v>40</v>
      </c>
      <c r="BJ364">
        <v>0</v>
      </c>
      <c r="BK364">
        <v>8</v>
      </c>
      <c r="BL364">
        <v>8</v>
      </c>
      <c r="BM364">
        <v>8</v>
      </c>
      <c r="BN364">
        <v>8</v>
      </c>
      <c r="BO364">
        <v>8</v>
      </c>
      <c r="BP364">
        <v>0</v>
      </c>
      <c r="BQ364" t="str">
        <f>"1:00 PM"</f>
        <v>1:00 PM</v>
      </c>
      <c r="BR364" t="str">
        <f>"9:00 PM"</f>
        <v>9:00 PM</v>
      </c>
      <c r="BS364" t="s">
        <v>133</v>
      </c>
      <c r="BT364">
        <v>0</v>
      </c>
      <c r="BU364">
        <v>0</v>
      </c>
      <c r="BV364" t="s">
        <v>134</v>
      </c>
      <c r="BX364" t="s">
        <v>11871</v>
      </c>
      <c r="BY364" t="s">
        <v>11872</v>
      </c>
      <c r="CA364" t="s">
        <v>1545</v>
      </c>
      <c r="CB364" t="s">
        <v>232</v>
      </c>
      <c r="CC364" s="4" t="str">
        <f>"77054"</f>
        <v>77054</v>
      </c>
      <c r="CD364" t="s">
        <v>3290</v>
      </c>
      <c r="CE364" t="s">
        <v>873</v>
      </c>
      <c r="CF364" s="6">
        <v>10.86</v>
      </c>
      <c r="CG364" s="6">
        <v>12</v>
      </c>
      <c r="CH364" s="6">
        <v>16.29</v>
      </c>
      <c r="CI364" s="6">
        <v>18</v>
      </c>
      <c r="CJ364" t="s">
        <v>137</v>
      </c>
      <c r="CK364" t="s">
        <v>3195</v>
      </c>
      <c r="CL364" t="s">
        <v>11873</v>
      </c>
      <c r="CO364" t="s">
        <v>138</v>
      </c>
      <c r="CP364" t="s">
        <v>114</v>
      </c>
      <c r="CQ364" t="s">
        <v>114</v>
      </c>
      <c r="CR364" t="s">
        <v>114</v>
      </c>
      <c r="CS364" t="s">
        <v>114</v>
      </c>
      <c r="CT364" t="s">
        <v>114</v>
      </c>
      <c r="CU364" t="s">
        <v>114</v>
      </c>
      <c r="CV364" t="s">
        <v>358</v>
      </c>
      <c r="CW364" s="5" t="str">
        <f>"+13523022725"</f>
        <v>+13523022725</v>
      </c>
      <c r="CX364" t="s">
        <v>11870</v>
      </c>
      <c r="CY364" t="s">
        <v>138</v>
      </c>
      <c r="CZ364" t="s">
        <v>139</v>
      </c>
      <c r="DA364" t="s">
        <v>134</v>
      </c>
      <c r="DB364" t="s">
        <v>114</v>
      </c>
      <c r="DC364" t="s">
        <v>114</v>
      </c>
      <c r="DD364" t="s">
        <v>134</v>
      </c>
    </row>
    <row r="365" spans="1:113" ht="15" customHeight="1" x14ac:dyDescent="0.25">
      <c r="A365" t="s">
        <v>11851</v>
      </c>
      <c r="B365" t="s">
        <v>165</v>
      </c>
      <c r="C365" s="1">
        <v>44887.583297106481</v>
      </c>
      <c r="D365" s="1">
        <v>44911</v>
      </c>
      <c r="E365" t="s">
        <v>134</v>
      </c>
      <c r="F365" t="s">
        <v>1662</v>
      </c>
      <c r="G365" t="str">
        <f>"37-3011.00"</f>
        <v>37-3011.00</v>
      </c>
      <c r="H365" t="s">
        <v>335</v>
      </c>
      <c r="I365">
        <v>18</v>
      </c>
      <c r="J365">
        <v>18</v>
      </c>
      <c r="K365" s="1">
        <v>44977</v>
      </c>
      <c r="L365" s="1">
        <v>45275</v>
      </c>
      <c r="M365" s="1">
        <v>44977</v>
      </c>
      <c r="N365" s="1">
        <v>45275</v>
      </c>
      <c r="O365" t="s">
        <v>199</v>
      </c>
      <c r="P365" t="s">
        <v>11852</v>
      </c>
      <c r="R365" t="s">
        <v>11853</v>
      </c>
      <c r="S365" t="s">
        <v>11854</v>
      </c>
      <c r="T365" t="s">
        <v>8177</v>
      </c>
      <c r="U365" t="s">
        <v>184</v>
      </c>
      <c r="V365" s="4" t="str">
        <f>"62801"</f>
        <v>62801</v>
      </c>
      <c r="W365" t="s">
        <v>120</v>
      </c>
      <c r="Y365" s="5">
        <v>16185324126</v>
      </c>
      <c r="AA365">
        <v>5617</v>
      </c>
      <c r="AB365" t="s">
        <v>11855</v>
      </c>
      <c r="AC365" t="s">
        <v>501</v>
      </c>
      <c r="AD365" t="s">
        <v>3020</v>
      </c>
      <c r="AE365" t="s">
        <v>424</v>
      </c>
      <c r="AF365" t="s">
        <v>11856</v>
      </c>
      <c r="AG365" t="s">
        <v>11857</v>
      </c>
      <c r="AH365" t="s">
        <v>8177</v>
      </c>
      <c r="AI365" t="s">
        <v>184</v>
      </c>
      <c r="AJ365" s="4" t="str">
        <f>"62801"</f>
        <v>62801</v>
      </c>
      <c r="AK365" t="s">
        <v>120</v>
      </c>
      <c r="AM365" s="5">
        <v>16185324126</v>
      </c>
      <c r="AO365" t="s">
        <v>11858</v>
      </c>
      <c r="AP365" t="s">
        <v>256</v>
      </c>
      <c r="AQ365" t="s">
        <v>1731</v>
      </c>
      <c r="AR365" t="s">
        <v>1732</v>
      </c>
      <c r="AS365" t="s">
        <v>1733</v>
      </c>
      <c r="AT365" t="s">
        <v>1734</v>
      </c>
      <c r="AU365" t="s">
        <v>1735</v>
      </c>
      <c r="AV365" t="s">
        <v>1736</v>
      </c>
      <c r="AW365" t="s">
        <v>479</v>
      </c>
      <c r="AX365" s="4" t="str">
        <f>"24521"</f>
        <v>24521</v>
      </c>
      <c r="AY365" t="s">
        <v>120</v>
      </c>
      <c r="BA365" s="5">
        <v>14349460035</v>
      </c>
      <c r="BB365">
        <v>11</v>
      </c>
      <c r="BC365" t="s">
        <v>1737</v>
      </c>
      <c r="BD365" t="s">
        <v>1738</v>
      </c>
      <c r="BG365" t="s">
        <v>184</v>
      </c>
      <c r="BH365" s="1">
        <v>44885.791666666664</v>
      </c>
      <c r="BI365">
        <v>40</v>
      </c>
      <c r="BJ365">
        <v>0</v>
      </c>
      <c r="BK365">
        <v>8</v>
      </c>
      <c r="BL365">
        <v>8</v>
      </c>
      <c r="BM365">
        <v>8</v>
      </c>
      <c r="BN365">
        <v>8</v>
      </c>
      <c r="BO365">
        <v>8</v>
      </c>
      <c r="BP365">
        <v>0</v>
      </c>
      <c r="BQ365" t="str">
        <f>"7:00 AM"</f>
        <v>7:00 AM</v>
      </c>
      <c r="BR365" t="str">
        <f>"3:00 PM"</f>
        <v>3:00 PM</v>
      </c>
      <c r="BS365" t="s">
        <v>133</v>
      </c>
      <c r="BT365">
        <v>0</v>
      </c>
      <c r="BU365">
        <v>0</v>
      </c>
      <c r="BV365" t="s">
        <v>134</v>
      </c>
      <c r="BX365" s="2" t="s">
        <v>11530</v>
      </c>
      <c r="BY365" t="s">
        <v>11859</v>
      </c>
      <c r="CA365" t="s">
        <v>11860</v>
      </c>
      <c r="CB365" t="s">
        <v>184</v>
      </c>
      <c r="CC365" s="4" t="str">
        <f>"62801"</f>
        <v>62801</v>
      </c>
      <c r="CD365" t="s">
        <v>638</v>
      </c>
      <c r="CE365" t="s">
        <v>11861</v>
      </c>
      <c r="CF365" s="6">
        <v>15.46</v>
      </c>
      <c r="CG365" s="6">
        <v>15.46</v>
      </c>
      <c r="CH365" s="6">
        <v>23.19</v>
      </c>
      <c r="CI365" s="6">
        <v>23.19</v>
      </c>
      <c r="CJ365" t="s">
        <v>137</v>
      </c>
      <c r="CK365" t="s">
        <v>11862</v>
      </c>
      <c r="CL365" t="s">
        <v>11863</v>
      </c>
      <c r="CO365" t="s">
        <v>138</v>
      </c>
      <c r="CP365" t="s">
        <v>114</v>
      </c>
      <c r="CQ365" t="s">
        <v>114</v>
      </c>
      <c r="CR365" t="s">
        <v>114</v>
      </c>
      <c r="CS365" t="s">
        <v>134</v>
      </c>
      <c r="CT365" t="s">
        <v>114</v>
      </c>
      <c r="CU365" t="s">
        <v>114</v>
      </c>
      <c r="CV365" s="2" t="s">
        <v>11864</v>
      </c>
      <c r="CW365" s="5" t="str">
        <f>"+16185324126"</f>
        <v>+16185324126</v>
      </c>
      <c r="CX365" t="s">
        <v>138</v>
      </c>
      <c r="CY365" t="s">
        <v>11858</v>
      </c>
      <c r="CZ365" t="s">
        <v>139</v>
      </c>
      <c r="DA365" t="s">
        <v>134</v>
      </c>
      <c r="DB365" t="s">
        <v>114</v>
      </c>
      <c r="DC365" t="s">
        <v>114</v>
      </c>
      <c r="DD365" t="s">
        <v>134</v>
      </c>
    </row>
    <row r="366" spans="1:113" ht="15" customHeight="1" x14ac:dyDescent="0.25">
      <c r="A366" t="s">
        <v>16778</v>
      </c>
      <c r="B366" t="s">
        <v>165</v>
      </c>
      <c r="C366" s="1">
        <v>44883.714574305559</v>
      </c>
      <c r="D366" s="1">
        <v>44911</v>
      </c>
      <c r="E366" t="s">
        <v>134</v>
      </c>
      <c r="F366" t="s">
        <v>6016</v>
      </c>
      <c r="G366" t="str">
        <f>"37-3011.00"</f>
        <v>37-3011.00</v>
      </c>
      <c r="H366" t="s">
        <v>335</v>
      </c>
      <c r="I366">
        <v>20</v>
      </c>
      <c r="J366">
        <v>20</v>
      </c>
      <c r="K366" s="1">
        <v>44972</v>
      </c>
      <c r="L366" s="1">
        <v>45260</v>
      </c>
      <c r="M366" s="1">
        <v>44972</v>
      </c>
      <c r="N366" s="1">
        <v>45260</v>
      </c>
      <c r="O366" t="s">
        <v>117</v>
      </c>
      <c r="P366" t="s">
        <v>8062</v>
      </c>
      <c r="Q366" t="s">
        <v>8063</v>
      </c>
      <c r="R366" t="s">
        <v>8064</v>
      </c>
      <c r="T366" t="s">
        <v>403</v>
      </c>
      <c r="U366" t="s">
        <v>232</v>
      </c>
      <c r="V366" s="4" t="str">
        <f>"75034"</f>
        <v>75034</v>
      </c>
      <c r="W366" t="s">
        <v>120</v>
      </c>
      <c r="Y366" s="5">
        <v>18008436664</v>
      </c>
      <c r="AA366">
        <v>72111</v>
      </c>
      <c r="AB366" t="s">
        <v>1480</v>
      </c>
      <c r="AC366" t="s">
        <v>8065</v>
      </c>
      <c r="AE366" t="s">
        <v>903</v>
      </c>
      <c r="AF366" t="s">
        <v>8064</v>
      </c>
      <c r="AH366" t="s">
        <v>403</v>
      </c>
      <c r="AI366" t="s">
        <v>232</v>
      </c>
      <c r="AJ366" s="4" t="str">
        <f>"75034"</f>
        <v>75034</v>
      </c>
      <c r="AK366" t="s">
        <v>120</v>
      </c>
      <c r="AM366" s="5">
        <v>18008436664</v>
      </c>
      <c r="AO366" t="s">
        <v>904</v>
      </c>
      <c r="AP366" t="s">
        <v>256</v>
      </c>
      <c r="AQ366" t="s">
        <v>400</v>
      </c>
      <c r="AR366" t="s">
        <v>401</v>
      </c>
      <c r="AS366" t="s">
        <v>397</v>
      </c>
      <c r="AT366" t="s">
        <v>402</v>
      </c>
      <c r="AU366" t="s">
        <v>152</v>
      </c>
      <c r="AV366" t="s">
        <v>403</v>
      </c>
      <c r="AW366" t="s">
        <v>232</v>
      </c>
      <c r="AX366" s="4" t="str">
        <f>"75033"</f>
        <v>75033</v>
      </c>
      <c r="AY366" t="s">
        <v>120</v>
      </c>
      <c r="BA366" s="5">
        <v>19727789690</v>
      </c>
      <c r="BC366" t="s">
        <v>905</v>
      </c>
      <c r="BD366" t="s">
        <v>405</v>
      </c>
      <c r="BG366" t="s">
        <v>232</v>
      </c>
      <c r="BH366" s="1">
        <v>44882.791666666664</v>
      </c>
      <c r="BI366">
        <v>40</v>
      </c>
      <c r="BJ366">
        <v>0</v>
      </c>
      <c r="BK366">
        <v>8</v>
      </c>
      <c r="BL366">
        <v>8</v>
      </c>
      <c r="BM366">
        <v>8</v>
      </c>
      <c r="BN366">
        <v>8</v>
      </c>
      <c r="BO366">
        <v>8</v>
      </c>
      <c r="BP366">
        <v>0</v>
      </c>
      <c r="BQ366" t="str">
        <f>"6:00 AM"</f>
        <v>6:00 AM</v>
      </c>
      <c r="BR366" t="str">
        <f>"2:30 PM"</f>
        <v>2:30 PM</v>
      </c>
      <c r="BS366" t="s">
        <v>133</v>
      </c>
      <c r="BT366">
        <v>0</v>
      </c>
      <c r="BU366">
        <v>0</v>
      </c>
      <c r="BV366" t="s">
        <v>134</v>
      </c>
      <c r="BX366" s="2" t="s">
        <v>16779</v>
      </c>
      <c r="BY366" t="s">
        <v>8064</v>
      </c>
      <c r="CA366" t="s">
        <v>403</v>
      </c>
      <c r="CB366" t="s">
        <v>232</v>
      </c>
      <c r="CC366" s="4" t="str">
        <f>"75034"</f>
        <v>75034</v>
      </c>
      <c r="CD366" t="s">
        <v>3860</v>
      </c>
      <c r="CE366" t="s">
        <v>1528</v>
      </c>
      <c r="CF366" s="6">
        <v>16.3</v>
      </c>
      <c r="CH366" s="6">
        <v>24.45</v>
      </c>
      <c r="CJ366" t="s">
        <v>137</v>
      </c>
      <c r="CK366" t="s">
        <v>1273</v>
      </c>
      <c r="CL366" t="s">
        <v>16780</v>
      </c>
      <c r="CO366" t="s">
        <v>138</v>
      </c>
      <c r="CP366" t="s">
        <v>134</v>
      </c>
      <c r="CQ366" t="s">
        <v>134</v>
      </c>
      <c r="CR366" t="s">
        <v>114</v>
      </c>
      <c r="CS366" t="s">
        <v>114</v>
      </c>
      <c r="CT366" t="s">
        <v>114</v>
      </c>
      <c r="CU366" t="s">
        <v>114</v>
      </c>
      <c r="CV366" s="2" t="s">
        <v>16781</v>
      </c>
      <c r="CW366" s="5" t="str">
        <f>"+18008436664"</f>
        <v>+18008436664</v>
      </c>
      <c r="CX366" t="s">
        <v>138</v>
      </c>
      <c r="CY366" t="s">
        <v>1913</v>
      </c>
      <c r="CZ366" t="s">
        <v>139</v>
      </c>
      <c r="DA366" t="s">
        <v>134</v>
      </c>
      <c r="DB366" t="s">
        <v>134</v>
      </c>
      <c r="DC366" t="s">
        <v>114</v>
      </c>
      <c r="DD366" t="s">
        <v>134</v>
      </c>
    </row>
    <row r="367" spans="1:113" ht="15" customHeight="1" x14ac:dyDescent="0.25">
      <c r="A367" t="s">
        <v>16764</v>
      </c>
      <c r="B367" t="s">
        <v>165</v>
      </c>
      <c r="C367" s="1">
        <v>44882.531273379631</v>
      </c>
      <c r="D367" s="1">
        <v>44911</v>
      </c>
      <c r="E367" t="s">
        <v>134</v>
      </c>
      <c r="F367" t="s">
        <v>1296</v>
      </c>
      <c r="G367" t="str">
        <f>"37-3011.00"</f>
        <v>37-3011.00</v>
      </c>
      <c r="H367" t="s">
        <v>335</v>
      </c>
      <c r="I367">
        <v>30</v>
      </c>
      <c r="J367">
        <v>30</v>
      </c>
      <c r="K367" s="1">
        <v>44972</v>
      </c>
      <c r="L367" s="1">
        <v>45244</v>
      </c>
      <c r="M367" s="1">
        <v>44972</v>
      </c>
      <c r="N367" s="1">
        <v>45244</v>
      </c>
      <c r="O367" t="s">
        <v>117</v>
      </c>
      <c r="P367" t="s">
        <v>14102</v>
      </c>
      <c r="R367" t="s">
        <v>14103</v>
      </c>
      <c r="T367" t="s">
        <v>3199</v>
      </c>
      <c r="U367" t="s">
        <v>232</v>
      </c>
      <c r="V367" s="4" t="str">
        <f>"78633"</f>
        <v>78633</v>
      </c>
      <c r="W367" t="s">
        <v>120</v>
      </c>
      <c r="Y367" s="5">
        <v>15128642722</v>
      </c>
      <c r="AA367">
        <v>56173</v>
      </c>
      <c r="AB367" t="s">
        <v>14104</v>
      </c>
      <c r="AC367" t="s">
        <v>1380</v>
      </c>
      <c r="AE367" t="s">
        <v>342</v>
      </c>
      <c r="AF367" t="s">
        <v>14103</v>
      </c>
      <c r="AH367" t="s">
        <v>3199</v>
      </c>
      <c r="AI367" t="s">
        <v>232</v>
      </c>
      <c r="AJ367" s="4" t="str">
        <f>"78633"</f>
        <v>78633</v>
      </c>
      <c r="AK367" t="s">
        <v>120</v>
      </c>
      <c r="AM367" s="5">
        <v>15128642722</v>
      </c>
      <c r="AO367" t="s">
        <v>14105</v>
      </c>
      <c r="AP367" t="s">
        <v>256</v>
      </c>
      <c r="AQ367" t="s">
        <v>885</v>
      </c>
      <c r="AR367" t="s">
        <v>886</v>
      </c>
      <c r="AT367" t="s">
        <v>887</v>
      </c>
      <c r="AV367" t="s">
        <v>888</v>
      </c>
      <c r="AW367" t="s">
        <v>232</v>
      </c>
      <c r="AX367" s="4" t="str">
        <f>"75098"</f>
        <v>75098</v>
      </c>
      <c r="AY367" t="s">
        <v>120</v>
      </c>
      <c r="BA367" s="5">
        <v>19724424244</v>
      </c>
      <c r="BC367" t="s">
        <v>889</v>
      </c>
      <c r="BD367" t="s">
        <v>890</v>
      </c>
      <c r="BG367" t="s">
        <v>232</v>
      </c>
      <c r="BH367" s="1">
        <v>44881.791666666664</v>
      </c>
      <c r="BI367">
        <v>40</v>
      </c>
      <c r="BJ367">
        <v>0</v>
      </c>
      <c r="BK367">
        <v>8</v>
      </c>
      <c r="BL367">
        <v>8</v>
      </c>
      <c r="BM367">
        <v>8</v>
      </c>
      <c r="BN367">
        <v>8</v>
      </c>
      <c r="BO367">
        <v>8</v>
      </c>
      <c r="BP367">
        <v>0</v>
      </c>
      <c r="BQ367" t="str">
        <f>"8:00 AM"</f>
        <v>8:00 AM</v>
      </c>
      <c r="BR367" t="str">
        <f>"5:00 PM"</f>
        <v>5:00 PM</v>
      </c>
      <c r="BS367" t="s">
        <v>133</v>
      </c>
      <c r="BT367">
        <v>0</v>
      </c>
      <c r="BU367">
        <v>0</v>
      </c>
      <c r="BV367" t="s">
        <v>134</v>
      </c>
      <c r="BX367" s="2" t="s">
        <v>16765</v>
      </c>
      <c r="BY367" t="s">
        <v>14103</v>
      </c>
      <c r="CA367" t="s">
        <v>3199</v>
      </c>
      <c r="CB367" t="s">
        <v>232</v>
      </c>
      <c r="CC367" s="4" t="str">
        <f>"78633"</f>
        <v>78633</v>
      </c>
      <c r="CD367" t="s">
        <v>2834</v>
      </c>
      <c r="CE367" t="s">
        <v>949</v>
      </c>
      <c r="CF367" s="6">
        <v>16.079999999999998</v>
      </c>
      <c r="CG367" s="6">
        <v>20</v>
      </c>
      <c r="CH367" s="6">
        <v>24.12</v>
      </c>
      <c r="CI367" s="6">
        <v>30</v>
      </c>
      <c r="CJ367" t="s">
        <v>137</v>
      </c>
      <c r="CL367" t="s">
        <v>14106</v>
      </c>
      <c r="CO367" t="s">
        <v>138</v>
      </c>
      <c r="CP367" t="s">
        <v>114</v>
      </c>
      <c r="CQ367" t="s">
        <v>114</v>
      </c>
      <c r="CR367" t="s">
        <v>114</v>
      </c>
      <c r="CS367" t="s">
        <v>114</v>
      </c>
      <c r="CT367" t="s">
        <v>114</v>
      </c>
      <c r="CU367" t="s">
        <v>114</v>
      </c>
      <c r="CV367" t="s">
        <v>16766</v>
      </c>
      <c r="CW367" s="5" t="str">
        <f>"+15128642722"</f>
        <v>+15128642722</v>
      </c>
      <c r="CX367" t="s">
        <v>138</v>
      </c>
      <c r="CY367" t="s">
        <v>2072</v>
      </c>
      <c r="CZ367" t="s">
        <v>139</v>
      </c>
      <c r="DA367" t="s">
        <v>134</v>
      </c>
      <c r="DB367" t="s">
        <v>134</v>
      </c>
      <c r="DC367" t="s">
        <v>114</v>
      </c>
      <c r="DD367" t="s">
        <v>134</v>
      </c>
    </row>
    <row r="368" spans="1:113" ht="15" customHeight="1" x14ac:dyDescent="0.25">
      <c r="A368" t="s">
        <v>14196</v>
      </c>
      <c r="B368" t="s">
        <v>165</v>
      </c>
      <c r="C368" s="1">
        <v>44882.505931597225</v>
      </c>
      <c r="D368" s="1">
        <v>44911</v>
      </c>
      <c r="E368" t="s">
        <v>134</v>
      </c>
      <c r="F368" t="s">
        <v>1994</v>
      </c>
      <c r="G368" t="str">
        <f>"47-2061.00"</f>
        <v>47-2061.00</v>
      </c>
      <c r="H368" t="s">
        <v>1625</v>
      </c>
      <c r="I368">
        <v>6</v>
      </c>
      <c r="J368">
        <v>6</v>
      </c>
      <c r="K368" s="1">
        <v>44972</v>
      </c>
      <c r="L368" s="1">
        <v>45245</v>
      </c>
      <c r="M368" s="1">
        <v>44972</v>
      </c>
      <c r="N368" s="1">
        <v>45245</v>
      </c>
      <c r="O368" t="s">
        <v>117</v>
      </c>
      <c r="P368" t="s">
        <v>11875</v>
      </c>
      <c r="R368" t="s">
        <v>11878</v>
      </c>
      <c r="T368" t="s">
        <v>11879</v>
      </c>
      <c r="U368" t="s">
        <v>232</v>
      </c>
      <c r="V368" s="4" t="str">
        <f>"78613"</f>
        <v>78613</v>
      </c>
      <c r="W368" t="s">
        <v>120</v>
      </c>
      <c r="Y368" s="5">
        <v>15123314484</v>
      </c>
      <c r="AA368">
        <v>23622</v>
      </c>
      <c r="AB368" t="s">
        <v>11877</v>
      </c>
      <c r="AC368" t="s">
        <v>4062</v>
      </c>
      <c r="AE368" t="s">
        <v>10174</v>
      </c>
      <c r="AF368" t="s">
        <v>11878</v>
      </c>
      <c r="AH368" t="s">
        <v>11879</v>
      </c>
      <c r="AI368" t="s">
        <v>232</v>
      </c>
      <c r="AJ368" s="4" t="str">
        <f>"78613"</f>
        <v>78613</v>
      </c>
      <c r="AK368" t="s">
        <v>120</v>
      </c>
      <c r="AM368" s="5">
        <v>15123314484</v>
      </c>
      <c r="AO368" t="s">
        <v>11880</v>
      </c>
      <c r="AP368" t="s">
        <v>256</v>
      </c>
      <c r="AQ368" t="s">
        <v>885</v>
      </c>
      <c r="AR368" t="s">
        <v>886</v>
      </c>
      <c r="AT368" t="s">
        <v>887</v>
      </c>
      <c r="AV368" t="s">
        <v>888</v>
      </c>
      <c r="AW368" t="s">
        <v>232</v>
      </c>
      <c r="AX368" s="4" t="str">
        <f>"75098"</f>
        <v>75098</v>
      </c>
      <c r="AY368" t="s">
        <v>120</v>
      </c>
      <c r="BA368" s="5">
        <v>19724424244</v>
      </c>
      <c r="BC368" t="s">
        <v>889</v>
      </c>
      <c r="BD368" t="s">
        <v>890</v>
      </c>
      <c r="BG368" t="s">
        <v>232</v>
      </c>
      <c r="BH368" s="1">
        <v>44881.791666666664</v>
      </c>
      <c r="BI368">
        <v>40</v>
      </c>
      <c r="BJ368">
        <v>0</v>
      </c>
      <c r="BK368">
        <v>8</v>
      </c>
      <c r="BL368">
        <v>8</v>
      </c>
      <c r="BM368">
        <v>8</v>
      </c>
      <c r="BN368">
        <v>8</v>
      </c>
      <c r="BO368">
        <v>8</v>
      </c>
      <c r="BP368">
        <v>0</v>
      </c>
      <c r="BQ368" t="str">
        <f>"7:00 AM"</f>
        <v>7:00 AM</v>
      </c>
      <c r="BR368" t="str">
        <f>"4:00 PM"</f>
        <v>4:00 PM</v>
      </c>
      <c r="BS368" t="s">
        <v>133</v>
      </c>
      <c r="BT368">
        <v>0</v>
      </c>
      <c r="BU368">
        <v>0</v>
      </c>
      <c r="BV368" t="s">
        <v>134</v>
      </c>
      <c r="BX368" t="s">
        <v>219</v>
      </c>
      <c r="BY368" t="s">
        <v>11878</v>
      </c>
      <c r="CA368" t="s">
        <v>11879</v>
      </c>
      <c r="CB368" t="s">
        <v>232</v>
      </c>
      <c r="CC368" s="4" t="str">
        <f>"78613"</f>
        <v>78613</v>
      </c>
      <c r="CD368" t="s">
        <v>2834</v>
      </c>
      <c r="CE368" t="s">
        <v>949</v>
      </c>
      <c r="CF368" s="6">
        <v>17.920000000000002</v>
      </c>
      <c r="CG368" s="6">
        <v>19.920000000000002</v>
      </c>
      <c r="CH368" s="6">
        <v>26.88</v>
      </c>
      <c r="CI368" s="6">
        <v>29.88</v>
      </c>
      <c r="CJ368" t="s">
        <v>137</v>
      </c>
      <c r="CL368" t="s">
        <v>14197</v>
      </c>
      <c r="CO368" t="s">
        <v>138</v>
      </c>
      <c r="CP368" t="s">
        <v>114</v>
      </c>
      <c r="CQ368" t="s">
        <v>114</v>
      </c>
      <c r="CR368" t="s">
        <v>114</v>
      </c>
      <c r="CS368" t="s">
        <v>114</v>
      </c>
      <c r="CT368" t="s">
        <v>114</v>
      </c>
      <c r="CU368" t="s">
        <v>114</v>
      </c>
      <c r="CV368" t="s">
        <v>219</v>
      </c>
      <c r="CW368" s="5" t="str">
        <f>"+15123314484"</f>
        <v>+15123314484</v>
      </c>
      <c r="CX368" t="s">
        <v>138</v>
      </c>
      <c r="CY368" t="s">
        <v>2072</v>
      </c>
      <c r="CZ368" t="s">
        <v>139</v>
      </c>
      <c r="DA368" t="s">
        <v>134</v>
      </c>
      <c r="DB368" t="s">
        <v>134</v>
      </c>
      <c r="DC368" t="s">
        <v>114</v>
      </c>
      <c r="DD368" t="s">
        <v>134</v>
      </c>
    </row>
    <row r="369" spans="1:113" ht="15" customHeight="1" x14ac:dyDescent="0.25">
      <c r="A369" t="s">
        <v>14950</v>
      </c>
      <c r="B369" t="s">
        <v>165</v>
      </c>
      <c r="C369" s="1">
        <v>44882.335536458333</v>
      </c>
      <c r="D369" s="1">
        <v>44911</v>
      </c>
      <c r="E369" t="s">
        <v>134</v>
      </c>
      <c r="F369" t="s">
        <v>334</v>
      </c>
      <c r="G369" t="str">
        <f>"37-3011.00"</f>
        <v>37-3011.00</v>
      </c>
      <c r="H369" t="s">
        <v>335</v>
      </c>
      <c r="I369">
        <v>60</v>
      </c>
      <c r="J369">
        <v>60</v>
      </c>
      <c r="K369" s="1">
        <v>44972</v>
      </c>
      <c r="L369" s="1">
        <v>45245</v>
      </c>
      <c r="M369" s="1">
        <v>44972</v>
      </c>
      <c r="N369" s="1">
        <v>45245</v>
      </c>
      <c r="O369" t="s">
        <v>117</v>
      </c>
      <c r="P369" t="s">
        <v>14951</v>
      </c>
      <c r="R369" t="s">
        <v>14952</v>
      </c>
      <c r="T369" t="s">
        <v>1301</v>
      </c>
      <c r="U369" t="s">
        <v>232</v>
      </c>
      <c r="V369" s="4" t="str">
        <f>"77803"</f>
        <v>77803</v>
      </c>
      <c r="W369" t="s">
        <v>120</v>
      </c>
      <c r="Y369" s="5">
        <v>19798237551</v>
      </c>
      <c r="AA369">
        <v>56173</v>
      </c>
      <c r="AB369" t="s">
        <v>5549</v>
      </c>
      <c r="AC369" t="s">
        <v>14953</v>
      </c>
      <c r="AE369" t="s">
        <v>1831</v>
      </c>
      <c r="AF369" t="s">
        <v>14952</v>
      </c>
      <c r="AH369" t="s">
        <v>1301</v>
      </c>
      <c r="AI369" t="s">
        <v>232</v>
      </c>
      <c r="AJ369" s="4" t="str">
        <f>"77803"</f>
        <v>77803</v>
      </c>
      <c r="AK369" t="s">
        <v>120</v>
      </c>
      <c r="AM369" s="5">
        <v>19798237551</v>
      </c>
      <c r="AO369" t="s">
        <v>138</v>
      </c>
      <c r="AP369" t="s">
        <v>256</v>
      </c>
      <c r="AQ369" t="s">
        <v>1468</v>
      </c>
      <c r="AR369" t="s">
        <v>1469</v>
      </c>
      <c r="AS369" t="s">
        <v>1470</v>
      </c>
      <c r="AT369" t="s">
        <v>1824</v>
      </c>
      <c r="AU369" t="s">
        <v>1430</v>
      </c>
      <c r="AV369" t="s">
        <v>478</v>
      </c>
      <c r="AW369" t="s">
        <v>479</v>
      </c>
      <c r="AX369" s="4" t="str">
        <f>"22903"</f>
        <v>22903</v>
      </c>
      <c r="AY369" t="s">
        <v>120</v>
      </c>
      <c r="BA369" s="5">
        <v>14342634300</v>
      </c>
      <c r="BC369" t="s">
        <v>1825</v>
      </c>
      <c r="BD369" t="s">
        <v>481</v>
      </c>
      <c r="BG369" t="s">
        <v>232</v>
      </c>
      <c r="BH369" s="1">
        <v>44881.791666666664</v>
      </c>
      <c r="BI369">
        <v>40</v>
      </c>
      <c r="BJ369">
        <v>0</v>
      </c>
      <c r="BK369">
        <v>8</v>
      </c>
      <c r="BL369">
        <v>8</v>
      </c>
      <c r="BM369">
        <v>8</v>
      </c>
      <c r="BN369">
        <v>8</v>
      </c>
      <c r="BO369">
        <v>8</v>
      </c>
      <c r="BP369">
        <v>0</v>
      </c>
      <c r="BQ369" t="str">
        <f>"7:00 AM"</f>
        <v>7:00 AM</v>
      </c>
      <c r="BR369" t="str">
        <f>"3:30 PM"</f>
        <v>3:30 PM</v>
      </c>
      <c r="BS369" t="s">
        <v>133</v>
      </c>
      <c r="BT369">
        <v>0</v>
      </c>
      <c r="BU369">
        <v>0</v>
      </c>
      <c r="BV369" t="s">
        <v>134</v>
      </c>
      <c r="BX369" s="2" t="s">
        <v>14954</v>
      </c>
      <c r="BY369" t="s">
        <v>14952</v>
      </c>
      <c r="CA369" t="s">
        <v>1301</v>
      </c>
      <c r="CB369" t="s">
        <v>232</v>
      </c>
      <c r="CC369" s="4" t="str">
        <f>"77803"</f>
        <v>77803</v>
      </c>
      <c r="CD369" t="s">
        <v>5931</v>
      </c>
      <c r="CE369" t="s">
        <v>5932</v>
      </c>
      <c r="CF369" s="6">
        <v>15.56</v>
      </c>
      <c r="CH369" s="6">
        <v>23.34</v>
      </c>
      <c r="CJ369" t="s">
        <v>137</v>
      </c>
      <c r="CK369" t="s">
        <v>487</v>
      </c>
      <c r="CL369" t="s">
        <v>14955</v>
      </c>
      <c r="CO369" t="s">
        <v>138</v>
      </c>
      <c r="CP369" t="s">
        <v>114</v>
      </c>
      <c r="CQ369" t="s">
        <v>134</v>
      </c>
      <c r="CR369" t="s">
        <v>114</v>
      </c>
      <c r="CS369" t="s">
        <v>114</v>
      </c>
      <c r="CT369" t="s">
        <v>114</v>
      </c>
      <c r="CU369" t="s">
        <v>114</v>
      </c>
      <c r="CV369" t="s">
        <v>14956</v>
      </c>
      <c r="CW369" s="5" t="str">
        <f>"N/A"</f>
        <v>N/A</v>
      </c>
      <c r="CX369" t="s">
        <v>14957</v>
      </c>
      <c r="CY369" t="s">
        <v>953</v>
      </c>
      <c r="CZ369" t="s">
        <v>139</v>
      </c>
      <c r="DA369" t="s">
        <v>134</v>
      </c>
      <c r="DB369" t="s">
        <v>114</v>
      </c>
      <c r="DC369" t="s">
        <v>114</v>
      </c>
      <c r="DD369" t="s">
        <v>134</v>
      </c>
      <c r="DE369" t="s">
        <v>1468</v>
      </c>
      <c r="DF369" t="s">
        <v>1469</v>
      </c>
      <c r="DG369" t="s">
        <v>1470</v>
      </c>
      <c r="DH369" t="s">
        <v>481</v>
      </c>
      <c r="DI369" t="s">
        <v>1827</v>
      </c>
    </row>
    <row r="370" spans="1:113" ht="15" customHeight="1" x14ac:dyDescent="0.25">
      <c r="A370" t="s">
        <v>3005</v>
      </c>
      <c r="B370" t="s">
        <v>165</v>
      </c>
      <c r="C370" s="1">
        <v>44880.888975231479</v>
      </c>
      <c r="D370" s="1">
        <v>44911</v>
      </c>
      <c r="E370" t="s">
        <v>134</v>
      </c>
      <c r="F370" t="s">
        <v>3006</v>
      </c>
      <c r="G370" t="str">
        <f>"47-2061.00"</f>
        <v>47-2061.00</v>
      </c>
      <c r="H370" t="s">
        <v>1625</v>
      </c>
      <c r="I370">
        <v>7</v>
      </c>
      <c r="J370">
        <v>7</v>
      </c>
      <c r="K370" s="1">
        <v>44958</v>
      </c>
      <c r="L370" s="1">
        <v>45260</v>
      </c>
      <c r="M370" s="1">
        <v>44958</v>
      </c>
      <c r="N370" s="1">
        <v>45260</v>
      </c>
      <c r="O370" t="s">
        <v>199</v>
      </c>
      <c r="P370" t="s">
        <v>3007</v>
      </c>
      <c r="R370" t="s">
        <v>3008</v>
      </c>
      <c r="T370" t="s">
        <v>3009</v>
      </c>
      <c r="U370" t="s">
        <v>748</v>
      </c>
      <c r="V370" s="4" t="str">
        <f>"19073"</f>
        <v>19073</v>
      </c>
      <c r="W370" t="s">
        <v>120</v>
      </c>
      <c r="Y370" s="5">
        <v>16103259805</v>
      </c>
      <c r="AA370">
        <v>236118</v>
      </c>
      <c r="AB370" t="s">
        <v>3010</v>
      </c>
      <c r="AC370" t="s">
        <v>3011</v>
      </c>
      <c r="AE370" t="s">
        <v>252</v>
      </c>
      <c r="AF370" t="s">
        <v>3008</v>
      </c>
      <c r="AH370" t="s">
        <v>3009</v>
      </c>
      <c r="AI370" t="s">
        <v>748</v>
      </c>
      <c r="AJ370" s="4" t="str">
        <f>"19073"</f>
        <v>19073</v>
      </c>
      <c r="AK370" t="s">
        <v>120</v>
      </c>
      <c r="AM370" s="5">
        <v>16103259805</v>
      </c>
      <c r="AO370" t="s">
        <v>3012</v>
      </c>
      <c r="AP370" t="s">
        <v>122</v>
      </c>
      <c r="AQ370" t="s">
        <v>1303</v>
      </c>
      <c r="AR370" t="s">
        <v>1304</v>
      </c>
      <c r="AS370" t="s">
        <v>532</v>
      </c>
      <c r="AT370" t="s">
        <v>1305</v>
      </c>
      <c r="AV370" t="s">
        <v>1306</v>
      </c>
      <c r="AW370" t="s">
        <v>748</v>
      </c>
      <c r="AX370" s="4" t="str">
        <f>"19063"</f>
        <v>19063</v>
      </c>
      <c r="AY370" t="s">
        <v>120</v>
      </c>
      <c r="BA370" s="5">
        <v>16103585976</v>
      </c>
      <c r="BC370" t="s">
        <v>1307</v>
      </c>
      <c r="BD370" t="s">
        <v>1308</v>
      </c>
      <c r="BE370" t="s">
        <v>748</v>
      </c>
      <c r="BF370" t="s">
        <v>1309</v>
      </c>
      <c r="BG370" t="s">
        <v>748</v>
      </c>
      <c r="BH370" s="1">
        <v>44879.791666666664</v>
      </c>
      <c r="BI370">
        <v>50</v>
      </c>
      <c r="BJ370">
        <v>0</v>
      </c>
      <c r="BK370">
        <v>8</v>
      </c>
      <c r="BL370">
        <v>8</v>
      </c>
      <c r="BM370">
        <v>8</v>
      </c>
      <c r="BN370">
        <v>8</v>
      </c>
      <c r="BO370">
        <v>8</v>
      </c>
      <c r="BP370">
        <v>10</v>
      </c>
      <c r="BQ370" t="str">
        <f>"7:30 AM"</f>
        <v>7:30 AM</v>
      </c>
      <c r="BR370" t="str">
        <f>"4:30 PM"</f>
        <v>4:30 PM</v>
      </c>
      <c r="BS370" t="s">
        <v>133</v>
      </c>
      <c r="BT370">
        <v>0</v>
      </c>
      <c r="BU370">
        <v>0</v>
      </c>
      <c r="BV370" t="s">
        <v>134</v>
      </c>
      <c r="BX370" s="2" t="s">
        <v>1310</v>
      </c>
      <c r="BY370" t="s">
        <v>3013</v>
      </c>
      <c r="CA370" t="s">
        <v>3009</v>
      </c>
      <c r="CB370" t="s">
        <v>748</v>
      </c>
      <c r="CC370" s="4" t="str">
        <f>"19073"</f>
        <v>19073</v>
      </c>
      <c r="CD370" t="s">
        <v>1311</v>
      </c>
      <c r="CE370" t="s">
        <v>1266</v>
      </c>
      <c r="CF370" s="6">
        <v>24.83</v>
      </c>
      <c r="CG370" s="6">
        <v>24.83</v>
      </c>
      <c r="CH370" s="6">
        <v>37.25</v>
      </c>
      <c r="CI370" s="6">
        <v>37.25</v>
      </c>
      <c r="CJ370" t="s">
        <v>137</v>
      </c>
      <c r="CL370" t="s">
        <v>3014</v>
      </c>
      <c r="CO370" t="s">
        <v>138</v>
      </c>
      <c r="CP370" t="s">
        <v>114</v>
      </c>
      <c r="CQ370" t="s">
        <v>114</v>
      </c>
      <c r="CR370" t="s">
        <v>114</v>
      </c>
      <c r="CS370" t="s">
        <v>114</v>
      </c>
      <c r="CT370" t="s">
        <v>114</v>
      </c>
      <c r="CU370" t="s">
        <v>134</v>
      </c>
      <c r="CV370" t="s">
        <v>1313</v>
      </c>
      <c r="CW370" s="5" t="str">
        <f>"+16103259805"</f>
        <v>+16103259805</v>
      </c>
      <c r="CX370" t="s">
        <v>3012</v>
      </c>
      <c r="CY370" t="s">
        <v>138</v>
      </c>
      <c r="CZ370" t="s">
        <v>139</v>
      </c>
      <c r="DA370" t="s">
        <v>134</v>
      </c>
      <c r="DB370" t="s">
        <v>134</v>
      </c>
      <c r="DC370" t="s">
        <v>114</v>
      </c>
      <c r="DD370" t="s">
        <v>134</v>
      </c>
    </row>
    <row r="371" spans="1:113" ht="15" customHeight="1" x14ac:dyDescent="0.25">
      <c r="A371" t="s">
        <v>9278</v>
      </c>
      <c r="B371" t="s">
        <v>165</v>
      </c>
      <c r="C371" s="1">
        <v>44876.494270370371</v>
      </c>
      <c r="D371" s="1">
        <v>44911</v>
      </c>
      <c r="E371" t="s">
        <v>134</v>
      </c>
      <c r="F371" t="s">
        <v>5017</v>
      </c>
      <c r="G371" t="str">
        <f>"39-3091.00"</f>
        <v>39-3091.00</v>
      </c>
      <c r="H371" t="s">
        <v>362</v>
      </c>
      <c r="I371">
        <v>10</v>
      </c>
      <c r="J371">
        <v>10</v>
      </c>
      <c r="K371" s="1">
        <v>44966</v>
      </c>
      <c r="L371" s="1">
        <v>45231</v>
      </c>
      <c r="M371" s="1">
        <v>44966</v>
      </c>
      <c r="N371" s="1">
        <v>45231</v>
      </c>
      <c r="O371" t="s">
        <v>199</v>
      </c>
      <c r="P371" t="s">
        <v>9279</v>
      </c>
      <c r="R371" t="s">
        <v>9280</v>
      </c>
      <c r="T371" t="s">
        <v>9281</v>
      </c>
      <c r="U371" t="s">
        <v>232</v>
      </c>
      <c r="V371" s="4" t="str">
        <f>"78639"</f>
        <v>78639</v>
      </c>
      <c r="W371" t="s">
        <v>120</v>
      </c>
      <c r="Y371" s="5">
        <v>18305989218</v>
      </c>
      <c r="Z371">
        <v>0</v>
      </c>
      <c r="AA371">
        <v>71399</v>
      </c>
      <c r="AB371" t="s">
        <v>9282</v>
      </c>
      <c r="AC371" t="s">
        <v>2593</v>
      </c>
      <c r="AD371" t="s">
        <v>5969</v>
      </c>
      <c r="AE371" t="s">
        <v>342</v>
      </c>
      <c r="AF371" t="s">
        <v>9280</v>
      </c>
      <c r="AH371" t="s">
        <v>9281</v>
      </c>
      <c r="AI371" t="s">
        <v>232</v>
      </c>
      <c r="AJ371" s="4" t="str">
        <f>"78639"</f>
        <v>78639</v>
      </c>
      <c r="AK371" t="s">
        <v>120</v>
      </c>
      <c r="AM371" s="5">
        <v>18305989218</v>
      </c>
      <c r="AN371">
        <v>0</v>
      </c>
      <c r="AO371" t="s">
        <v>9283</v>
      </c>
      <c r="AP371" t="s">
        <v>122</v>
      </c>
      <c r="AQ371" t="s">
        <v>369</v>
      </c>
      <c r="AR371" t="s">
        <v>370</v>
      </c>
      <c r="AS371" t="s">
        <v>371</v>
      </c>
      <c r="AT371" t="s">
        <v>372</v>
      </c>
      <c r="AU371" t="s">
        <v>373</v>
      </c>
      <c r="AV371" t="s">
        <v>374</v>
      </c>
      <c r="AW371" t="s">
        <v>339</v>
      </c>
      <c r="AX371" s="4" t="str">
        <f>"21401"</f>
        <v>21401</v>
      </c>
      <c r="AY371" t="s">
        <v>120</v>
      </c>
      <c r="BA371" s="5">
        <v>14105739955</v>
      </c>
      <c r="BB371">
        <v>0</v>
      </c>
      <c r="BC371" t="s">
        <v>375</v>
      </c>
      <c r="BD371" t="s">
        <v>376</v>
      </c>
      <c r="BE371" t="s">
        <v>339</v>
      </c>
      <c r="BF371" t="s">
        <v>377</v>
      </c>
      <c r="BG371" t="s">
        <v>232</v>
      </c>
      <c r="BH371" s="1">
        <v>44871.791666666664</v>
      </c>
      <c r="BI371">
        <v>35</v>
      </c>
      <c r="BJ371">
        <v>7</v>
      </c>
      <c r="BK371">
        <v>0</v>
      </c>
      <c r="BL371">
        <v>0</v>
      </c>
      <c r="BM371">
        <v>7</v>
      </c>
      <c r="BN371">
        <v>7</v>
      </c>
      <c r="BO371">
        <v>7</v>
      </c>
      <c r="BP371">
        <v>7</v>
      </c>
      <c r="BQ371" t="str">
        <f>"4:00 PM"</f>
        <v>4:00 PM</v>
      </c>
      <c r="BR371" t="str">
        <f>"11:00 PM"</f>
        <v>11:00 PM</v>
      </c>
      <c r="BS371" t="s">
        <v>133</v>
      </c>
      <c r="BT371">
        <v>0</v>
      </c>
      <c r="BU371">
        <v>0</v>
      </c>
      <c r="BV371" t="s">
        <v>134</v>
      </c>
      <c r="BX371" t="s">
        <v>9284</v>
      </c>
      <c r="BY371" t="s">
        <v>9285</v>
      </c>
      <c r="CA371" t="s">
        <v>9286</v>
      </c>
      <c r="CB371" t="s">
        <v>232</v>
      </c>
      <c r="CC371" s="4" t="str">
        <f>"78041"</f>
        <v>78041</v>
      </c>
      <c r="CD371" t="s">
        <v>5359</v>
      </c>
      <c r="CE371" t="s">
        <v>5360</v>
      </c>
      <c r="CF371" s="6">
        <v>9.2200000000000006</v>
      </c>
      <c r="CG371" s="6">
        <v>14.92</v>
      </c>
      <c r="CH371" s="6">
        <v>13.83</v>
      </c>
      <c r="CI371" s="6">
        <v>22.38</v>
      </c>
      <c r="CJ371" t="s">
        <v>137</v>
      </c>
      <c r="CK371" t="s">
        <v>9287</v>
      </c>
      <c r="CL371" t="s">
        <v>9288</v>
      </c>
      <c r="CO371" t="s">
        <v>138</v>
      </c>
      <c r="CP371" t="s">
        <v>114</v>
      </c>
      <c r="CQ371" t="s">
        <v>134</v>
      </c>
      <c r="CR371" t="s">
        <v>114</v>
      </c>
      <c r="CS371" t="s">
        <v>114</v>
      </c>
      <c r="CT371" t="s">
        <v>114</v>
      </c>
      <c r="CU371" t="s">
        <v>114</v>
      </c>
      <c r="CV371" t="s">
        <v>9289</v>
      </c>
      <c r="CW371" s="5" t="str">
        <f>"+18305989218"</f>
        <v>+18305989218</v>
      </c>
      <c r="CX371" t="s">
        <v>9283</v>
      </c>
      <c r="CY371" t="s">
        <v>138</v>
      </c>
      <c r="CZ371" t="s">
        <v>139</v>
      </c>
      <c r="DA371" t="s">
        <v>134</v>
      </c>
      <c r="DB371" t="s">
        <v>114</v>
      </c>
      <c r="DC371" t="s">
        <v>114</v>
      </c>
      <c r="DD371" t="s">
        <v>134</v>
      </c>
    </row>
    <row r="372" spans="1:113" ht="15" customHeight="1" x14ac:dyDescent="0.25">
      <c r="A372" t="s">
        <v>12745</v>
      </c>
      <c r="B372" t="s">
        <v>165</v>
      </c>
      <c r="C372" s="1">
        <v>44886.539997916669</v>
      </c>
      <c r="D372" s="1">
        <v>44910</v>
      </c>
      <c r="E372" t="s">
        <v>134</v>
      </c>
      <c r="F372" t="s">
        <v>1344</v>
      </c>
      <c r="G372" t="str">
        <f>"37-3011.00"</f>
        <v>37-3011.00</v>
      </c>
      <c r="H372" t="s">
        <v>335</v>
      </c>
      <c r="I372">
        <v>6</v>
      </c>
      <c r="J372">
        <v>6</v>
      </c>
      <c r="K372" s="1">
        <v>44961</v>
      </c>
      <c r="L372" s="1">
        <v>45260</v>
      </c>
      <c r="M372" s="1">
        <v>44961</v>
      </c>
      <c r="N372" s="1">
        <v>45260</v>
      </c>
      <c r="O372" t="s">
        <v>199</v>
      </c>
      <c r="P372" t="s">
        <v>12746</v>
      </c>
      <c r="R372" t="s">
        <v>12747</v>
      </c>
      <c r="T372" t="s">
        <v>12748</v>
      </c>
      <c r="U372" t="s">
        <v>119</v>
      </c>
      <c r="V372" s="4" t="str">
        <f>"28736"</f>
        <v>28736</v>
      </c>
      <c r="W372" t="s">
        <v>120</v>
      </c>
      <c r="Y372" s="5">
        <v>18034392212</v>
      </c>
      <c r="AA372">
        <v>56173</v>
      </c>
      <c r="AB372" t="s">
        <v>12749</v>
      </c>
      <c r="AC372" t="s">
        <v>12750</v>
      </c>
      <c r="AE372" t="s">
        <v>700</v>
      </c>
      <c r="AF372" t="s">
        <v>12747</v>
      </c>
      <c r="AH372" t="s">
        <v>12748</v>
      </c>
      <c r="AI372" t="s">
        <v>119</v>
      </c>
      <c r="AJ372" s="4" t="str">
        <f>"28736"</f>
        <v>28736</v>
      </c>
      <c r="AK372" t="s">
        <v>120</v>
      </c>
      <c r="AM372" s="5">
        <v>18034392212</v>
      </c>
      <c r="AO372" t="s">
        <v>12751</v>
      </c>
      <c r="AP372" t="s">
        <v>122</v>
      </c>
      <c r="AQ372" t="s">
        <v>1250</v>
      </c>
      <c r="AR372" t="s">
        <v>1251</v>
      </c>
      <c r="AS372" t="s">
        <v>259</v>
      </c>
      <c r="AT372" t="s">
        <v>1252</v>
      </c>
      <c r="AV372" t="s">
        <v>1253</v>
      </c>
      <c r="AW372" t="s">
        <v>657</v>
      </c>
      <c r="AX372" s="4" t="str">
        <f>"37110"</f>
        <v>37110</v>
      </c>
      <c r="AY372" t="s">
        <v>120</v>
      </c>
      <c r="BA372" s="5">
        <v>19312747811</v>
      </c>
      <c r="BC372" t="s">
        <v>1254</v>
      </c>
      <c r="BD372" t="s">
        <v>1255</v>
      </c>
      <c r="BE372" t="s">
        <v>657</v>
      </c>
      <c r="BF372" t="s">
        <v>1256</v>
      </c>
      <c r="BG372" t="s">
        <v>119</v>
      </c>
      <c r="BH372" s="1">
        <v>44895.791666666664</v>
      </c>
      <c r="BI372">
        <v>40</v>
      </c>
      <c r="BJ372">
        <v>0</v>
      </c>
      <c r="BK372">
        <v>8</v>
      </c>
      <c r="BL372">
        <v>8</v>
      </c>
      <c r="BM372">
        <v>8</v>
      </c>
      <c r="BN372">
        <v>8</v>
      </c>
      <c r="BO372">
        <v>8</v>
      </c>
      <c r="BP372">
        <v>0</v>
      </c>
      <c r="BQ372" t="str">
        <f>"7:00 AM"</f>
        <v>7:00 AM</v>
      </c>
      <c r="BR372" t="str">
        <f>"4:00 PM"</f>
        <v>4:00 PM</v>
      </c>
      <c r="BS372" t="s">
        <v>133</v>
      </c>
      <c r="BT372">
        <v>0</v>
      </c>
      <c r="BU372">
        <v>3</v>
      </c>
      <c r="BV372" t="s">
        <v>134</v>
      </c>
      <c r="BX372" s="2" t="s">
        <v>12752</v>
      </c>
      <c r="BY372" t="s">
        <v>12747</v>
      </c>
      <c r="CA372" t="s">
        <v>12748</v>
      </c>
      <c r="CB372" t="s">
        <v>119</v>
      </c>
      <c r="CC372" s="4" t="str">
        <f>"28736"</f>
        <v>28736</v>
      </c>
      <c r="CD372" t="s">
        <v>1116</v>
      </c>
      <c r="CE372" t="s">
        <v>4043</v>
      </c>
      <c r="CF372" s="6">
        <v>14.48</v>
      </c>
      <c r="CH372" s="6">
        <v>21.72</v>
      </c>
      <c r="CJ372" t="s">
        <v>137</v>
      </c>
      <c r="CL372" t="s">
        <v>12753</v>
      </c>
      <c r="CO372" t="s">
        <v>138</v>
      </c>
      <c r="CP372" t="s">
        <v>114</v>
      </c>
      <c r="CQ372" t="s">
        <v>114</v>
      </c>
      <c r="CR372" t="s">
        <v>114</v>
      </c>
      <c r="CS372" t="s">
        <v>134</v>
      </c>
      <c r="CT372" t="s">
        <v>114</v>
      </c>
      <c r="CU372" t="s">
        <v>134</v>
      </c>
      <c r="CV372" t="s">
        <v>138</v>
      </c>
      <c r="CW372" s="5" t="str">
        <f>"+18285080197"</f>
        <v>+18285080197</v>
      </c>
      <c r="CX372" t="s">
        <v>12754</v>
      </c>
      <c r="CY372" t="s">
        <v>138</v>
      </c>
      <c r="CZ372" t="s">
        <v>139</v>
      </c>
      <c r="DA372" t="s">
        <v>134</v>
      </c>
      <c r="DB372" t="s">
        <v>134</v>
      </c>
      <c r="DC372" t="s">
        <v>114</v>
      </c>
      <c r="DD372" t="s">
        <v>134</v>
      </c>
    </row>
    <row r="373" spans="1:113" ht="15" customHeight="1" x14ac:dyDescent="0.25">
      <c r="A373" t="s">
        <v>14182</v>
      </c>
      <c r="B373" t="s">
        <v>165</v>
      </c>
      <c r="C373" s="1">
        <v>44886.387027893521</v>
      </c>
      <c r="D373" s="1">
        <v>44910</v>
      </c>
      <c r="E373" t="s">
        <v>134</v>
      </c>
      <c r="F373" t="s">
        <v>334</v>
      </c>
      <c r="G373" t="str">
        <f>"37-3011.00"</f>
        <v>37-3011.00</v>
      </c>
      <c r="H373" t="s">
        <v>335</v>
      </c>
      <c r="I373">
        <v>3</v>
      </c>
      <c r="J373">
        <v>3</v>
      </c>
      <c r="K373" s="1">
        <v>44972</v>
      </c>
      <c r="L373" s="1">
        <v>45261</v>
      </c>
      <c r="M373" s="1">
        <v>44972</v>
      </c>
      <c r="N373" s="1">
        <v>45261</v>
      </c>
      <c r="O373" t="s">
        <v>199</v>
      </c>
      <c r="P373" t="s">
        <v>14183</v>
      </c>
      <c r="R373" t="s">
        <v>14184</v>
      </c>
      <c r="T373" t="s">
        <v>6979</v>
      </c>
      <c r="U373" t="s">
        <v>748</v>
      </c>
      <c r="V373" s="4" t="str">
        <f>"15001"</f>
        <v>15001</v>
      </c>
      <c r="W373" t="s">
        <v>120</v>
      </c>
      <c r="Y373" s="5">
        <v>17243168010</v>
      </c>
      <c r="AA373">
        <v>56173</v>
      </c>
      <c r="AB373" t="s">
        <v>14185</v>
      </c>
      <c r="AC373" t="s">
        <v>2678</v>
      </c>
      <c r="AE373" t="s">
        <v>424</v>
      </c>
      <c r="AF373" t="s">
        <v>14184</v>
      </c>
      <c r="AH373" t="s">
        <v>6979</v>
      </c>
      <c r="AI373" t="s">
        <v>748</v>
      </c>
      <c r="AJ373" s="4" t="str">
        <f>"15001"</f>
        <v>15001</v>
      </c>
      <c r="AK373" t="s">
        <v>120</v>
      </c>
      <c r="AM373" s="5">
        <v>17243168010</v>
      </c>
      <c r="AO373" t="s">
        <v>14186</v>
      </c>
      <c r="AP373" t="s">
        <v>256</v>
      </c>
      <c r="AQ373" t="s">
        <v>1731</v>
      </c>
      <c r="AR373" t="s">
        <v>1732</v>
      </c>
      <c r="AS373" t="s">
        <v>1733</v>
      </c>
      <c r="AT373" t="s">
        <v>1734</v>
      </c>
      <c r="AU373" t="s">
        <v>1735</v>
      </c>
      <c r="AV373" t="s">
        <v>1736</v>
      </c>
      <c r="AW373" t="s">
        <v>479</v>
      </c>
      <c r="AX373" s="4" t="str">
        <f>"24521"</f>
        <v>24521</v>
      </c>
      <c r="AY373" t="s">
        <v>120</v>
      </c>
      <c r="BA373" s="5">
        <v>14349460035</v>
      </c>
      <c r="BB373">
        <v>11</v>
      </c>
      <c r="BC373" t="s">
        <v>1737</v>
      </c>
      <c r="BD373" t="s">
        <v>1738</v>
      </c>
      <c r="BG373" t="s">
        <v>748</v>
      </c>
      <c r="BH373" s="1">
        <v>44882.791666666664</v>
      </c>
      <c r="BI373">
        <v>40</v>
      </c>
      <c r="BJ373">
        <v>0</v>
      </c>
      <c r="BK373">
        <v>8</v>
      </c>
      <c r="BL373">
        <v>8</v>
      </c>
      <c r="BM373">
        <v>8</v>
      </c>
      <c r="BN373">
        <v>8</v>
      </c>
      <c r="BO373">
        <v>8</v>
      </c>
      <c r="BP373">
        <v>0</v>
      </c>
      <c r="BQ373" t="str">
        <f>"8:00 AM"</f>
        <v>8:00 AM</v>
      </c>
      <c r="BR373" t="str">
        <f>"4:00 PM"</f>
        <v>4:00 PM</v>
      </c>
      <c r="BS373" t="s">
        <v>133</v>
      </c>
      <c r="BT373">
        <v>0</v>
      </c>
      <c r="BU373">
        <v>0</v>
      </c>
      <c r="BV373" t="s">
        <v>134</v>
      </c>
      <c r="BX373" s="2" t="s">
        <v>8987</v>
      </c>
      <c r="BY373" t="s">
        <v>14184</v>
      </c>
      <c r="CA373" t="s">
        <v>6979</v>
      </c>
      <c r="CB373" t="s">
        <v>748</v>
      </c>
      <c r="CC373" s="4" t="str">
        <f>"15001"</f>
        <v>15001</v>
      </c>
      <c r="CD373" t="s">
        <v>2161</v>
      </c>
      <c r="CE373" t="s">
        <v>1346</v>
      </c>
      <c r="CF373" s="6">
        <v>15.95</v>
      </c>
      <c r="CG373" s="6">
        <v>15.95</v>
      </c>
      <c r="CH373" s="6">
        <v>23.93</v>
      </c>
      <c r="CI373" s="6">
        <v>23.93</v>
      </c>
      <c r="CJ373" t="s">
        <v>137</v>
      </c>
      <c r="CK373" t="s">
        <v>2162</v>
      </c>
      <c r="CL373" t="s">
        <v>14187</v>
      </c>
      <c r="CO373" t="s">
        <v>138</v>
      </c>
      <c r="CP373" t="s">
        <v>114</v>
      </c>
      <c r="CQ373" t="s">
        <v>114</v>
      </c>
      <c r="CR373" t="s">
        <v>114</v>
      </c>
      <c r="CS373" t="s">
        <v>134</v>
      </c>
      <c r="CT373" t="s">
        <v>114</v>
      </c>
      <c r="CU373" t="s">
        <v>134</v>
      </c>
      <c r="CV373" t="s">
        <v>14188</v>
      </c>
      <c r="CW373" s="5" t="str">
        <f>"+17243168010"</f>
        <v>+17243168010</v>
      </c>
      <c r="CX373" t="s">
        <v>138</v>
      </c>
      <c r="CY373" t="s">
        <v>14174</v>
      </c>
      <c r="CZ373" t="s">
        <v>139</v>
      </c>
      <c r="DA373" t="s">
        <v>134</v>
      </c>
      <c r="DB373" t="s">
        <v>114</v>
      </c>
      <c r="DC373" t="s">
        <v>114</v>
      </c>
      <c r="DD373" t="s">
        <v>134</v>
      </c>
    </row>
    <row r="374" spans="1:113" ht="15" customHeight="1" x14ac:dyDescent="0.25">
      <c r="A374" t="s">
        <v>6180</v>
      </c>
      <c r="B374" t="s">
        <v>165</v>
      </c>
      <c r="C374" s="1">
        <v>44884.431377430556</v>
      </c>
      <c r="D374" s="1">
        <v>44910</v>
      </c>
      <c r="E374" t="s">
        <v>134</v>
      </c>
      <c r="F374" t="s">
        <v>334</v>
      </c>
      <c r="G374" t="str">
        <f>"37-3011.00"</f>
        <v>37-3011.00</v>
      </c>
      <c r="H374" t="s">
        <v>335</v>
      </c>
      <c r="I374">
        <v>4</v>
      </c>
      <c r="J374">
        <v>4</v>
      </c>
      <c r="K374" s="1">
        <v>44974</v>
      </c>
      <c r="L374" s="1">
        <v>45276</v>
      </c>
      <c r="M374" s="1">
        <v>44974</v>
      </c>
      <c r="N374" s="1">
        <v>45276</v>
      </c>
      <c r="O374" t="s">
        <v>117</v>
      </c>
      <c r="P374" t="s">
        <v>6181</v>
      </c>
      <c r="R374" t="s">
        <v>6182</v>
      </c>
      <c r="S374" t="s">
        <v>138</v>
      </c>
      <c r="T374" t="s">
        <v>6183</v>
      </c>
      <c r="U374" t="s">
        <v>748</v>
      </c>
      <c r="V374" s="4" t="str">
        <f>"19056"</f>
        <v>19056</v>
      </c>
      <c r="W374" t="s">
        <v>120</v>
      </c>
      <c r="Y374" s="5">
        <v>12157881818</v>
      </c>
      <c r="AA374">
        <v>561730</v>
      </c>
      <c r="AB374" t="s">
        <v>6184</v>
      </c>
      <c r="AC374" t="s">
        <v>755</v>
      </c>
      <c r="AE374" t="s">
        <v>424</v>
      </c>
      <c r="AF374" t="s">
        <v>6182</v>
      </c>
      <c r="AG374" t="s">
        <v>138</v>
      </c>
      <c r="AH374" t="s">
        <v>6183</v>
      </c>
      <c r="AI374" t="s">
        <v>748</v>
      </c>
      <c r="AJ374" s="4" t="str">
        <f>"19056"</f>
        <v>19056</v>
      </c>
      <c r="AK374" t="s">
        <v>120</v>
      </c>
      <c r="AM374" s="5">
        <v>12157881818</v>
      </c>
      <c r="AO374" t="s">
        <v>6185</v>
      </c>
      <c r="AP374" t="s">
        <v>256</v>
      </c>
      <c r="AQ374" t="s">
        <v>2327</v>
      </c>
      <c r="AR374" t="s">
        <v>1063</v>
      </c>
      <c r="AS374" t="s">
        <v>1857</v>
      </c>
      <c r="AT374" t="s">
        <v>1284</v>
      </c>
      <c r="AU374" t="s">
        <v>138</v>
      </c>
      <c r="AV374" t="s">
        <v>1285</v>
      </c>
      <c r="AW374" t="s">
        <v>232</v>
      </c>
      <c r="AX374" s="4" t="str">
        <f>"77414"</f>
        <v>77414</v>
      </c>
      <c r="AY374" t="s">
        <v>120</v>
      </c>
      <c r="BA374" s="5">
        <v>19793187280</v>
      </c>
      <c r="BC374" t="s">
        <v>2328</v>
      </c>
      <c r="BD374" t="s">
        <v>1287</v>
      </c>
      <c r="BG374" t="s">
        <v>748</v>
      </c>
      <c r="BH374" s="1">
        <v>44883.791666666664</v>
      </c>
      <c r="BI374">
        <v>40</v>
      </c>
      <c r="BJ374">
        <v>0</v>
      </c>
      <c r="BK374">
        <v>8</v>
      </c>
      <c r="BL374">
        <v>8</v>
      </c>
      <c r="BM374">
        <v>8</v>
      </c>
      <c r="BN374">
        <v>8</v>
      </c>
      <c r="BO374">
        <v>8</v>
      </c>
      <c r="BP374">
        <v>0</v>
      </c>
      <c r="BQ374" t="str">
        <f>"7:00 AM"</f>
        <v>7:00 AM</v>
      </c>
      <c r="BR374" t="str">
        <f>"3:30 PM"</f>
        <v>3:30 PM</v>
      </c>
      <c r="BS374" t="s">
        <v>133</v>
      </c>
      <c r="BT374">
        <v>0</v>
      </c>
      <c r="BU374">
        <v>0</v>
      </c>
      <c r="BV374" t="s">
        <v>134</v>
      </c>
      <c r="BX374" s="2" t="s">
        <v>6186</v>
      </c>
      <c r="BY374" t="s">
        <v>6182</v>
      </c>
      <c r="BZ374" t="s">
        <v>138</v>
      </c>
      <c r="CA374" t="s">
        <v>6183</v>
      </c>
      <c r="CB374" t="s">
        <v>748</v>
      </c>
      <c r="CC374" s="4" t="str">
        <f>"19056"</f>
        <v>19056</v>
      </c>
      <c r="CD374" t="s">
        <v>1533</v>
      </c>
      <c r="CE374" t="s">
        <v>1266</v>
      </c>
      <c r="CF374" s="6">
        <v>17.82</v>
      </c>
      <c r="CH374" s="6">
        <v>26.73</v>
      </c>
      <c r="CJ374" t="s">
        <v>137</v>
      </c>
      <c r="CK374" t="s">
        <v>5829</v>
      </c>
      <c r="CL374" t="s">
        <v>6187</v>
      </c>
      <c r="CO374" t="s">
        <v>138</v>
      </c>
      <c r="CP374" t="s">
        <v>114</v>
      </c>
      <c r="CQ374" t="s">
        <v>114</v>
      </c>
      <c r="CR374" t="s">
        <v>114</v>
      </c>
      <c r="CS374" t="s">
        <v>114</v>
      </c>
      <c r="CT374" t="s">
        <v>114</v>
      </c>
      <c r="CU374" t="s">
        <v>134</v>
      </c>
      <c r="CV374" t="s">
        <v>133</v>
      </c>
      <c r="CW374" s="5" t="str">
        <f>"+12157881818"</f>
        <v>+12157881818</v>
      </c>
      <c r="CX374" t="s">
        <v>6185</v>
      </c>
      <c r="CY374" t="s">
        <v>138</v>
      </c>
      <c r="CZ374" t="s">
        <v>139</v>
      </c>
      <c r="DA374" t="s">
        <v>134</v>
      </c>
      <c r="DB374" t="s">
        <v>134</v>
      </c>
      <c r="DC374" t="s">
        <v>114</v>
      </c>
      <c r="DD374" t="s">
        <v>134</v>
      </c>
    </row>
    <row r="375" spans="1:113" ht="15" customHeight="1" x14ac:dyDescent="0.25">
      <c r="A375" t="s">
        <v>10161</v>
      </c>
      <c r="B375" t="s">
        <v>165</v>
      </c>
      <c r="C375" s="1">
        <v>44883.63332847222</v>
      </c>
      <c r="D375" s="1">
        <v>44910</v>
      </c>
      <c r="E375" t="s">
        <v>114</v>
      </c>
      <c r="F375" t="s">
        <v>3047</v>
      </c>
      <c r="G375" t="str">
        <f>"37-1012.00"</f>
        <v>37-1012.00</v>
      </c>
      <c r="H375" t="s">
        <v>1348</v>
      </c>
      <c r="I375">
        <v>1</v>
      </c>
      <c r="J375">
        <v>1</v>
      </c>
      <c r="K375" s="1">
        <v>44972</v>
      </c>
      <c r="L375" s="1">
        <v>45031</v>
      </c>
      <c r="M375" s="1">
        <v>44972</v>
      </c>
      <c r="N375" s="1">
        <v>45031</v>
      </c>
      <c r="O375" t="s">
        <v>199</v>
      </c>
      <c r="P375" t="s">
        <v>1748</v>
      </c>
      <c r="R375" t="s">
        <v>1749</v>
      </c>
      <c r="T375" t="s">
        <v>1190</v>
      </c>
      <c r="U375" t="s">
        <v>1750</v>
      </c>
      <c r="V375" s="4" t="str">
        <f>"68512"</f>
        <v>68512</v>
      </c>
      <c r="W375" t="s">
        <v>120</v>
      </c>
      <c r="Y375" s="5">
        <v>14024236653</v>
      </c>
      <c r="AA375">
        <v>237990</v>
      </c>
      <c r="AB375" t="s">
        <v>1751</v>
      </c>
      <c r="AC375" t="s">
        <v>1752</v>
      </c>
      <c r="AE375" t="s">
        <v>1753</v>
      </c>
      <c r="AF375" t="s">
        <v>1749</v>
      </c>
      <c r="AH375" t="s">
        <v>1190</v>
      </c>
      <c r="AI375" t="s">
        <v>1750</v>
      </c>
      <c r="AJ375" s="4" t="str">
        <f>"68512"</f>
        <v>68512</v>
      </c>
      <c r="AK375" t="s">
        <v>120</v>
      </c>
      <c r="AM375" s="5">
        <v>14024236653</v>
      </c>
      <c r="AO375" t="s">
        <v>1754</v>
      </c>
      <c r="AP375" t="s">
        <v>122</v>
      </c>
      <c r="AQ375" t="s">
        <v>1755</v>
      </c>
      <c r="AR375" t="s">
        <v>1682</v>
      </c>
      <c r="AS375" t="s">
        <v>1756</v>
      </c>
      <c r="AT375" t="s">
        <v>1757</v>
      </c>
      <c r="AU375" t="s">
        <v>1758</v>
      </c>
      <c r="AV375" t="s">
        <v>1759</v>
      </c>
      <c r="AW375" t="s">
        <v>232</v>
      </c>
      <c r="AX375" s="4" t="str">
        <f>"75234"</f>
        <v>75234</v>
      </c>
      <c r="AY375" t="s">
        <v>120</v>
      </c>
      <c r="BA375" s="5">
        <v>19722416445</v>
      </c>
      <c r="BC375" t="s">
        <v>1760</v>
      </c>
      <c r="BD375" t="s">
        <v>1761</v>
      </c>
      <c r="BE375" t="s">
        <v>232</v>
      </c>
      <c r="BF375" t="s">
        <v>870</v>
      </c>
      <c r="BG375" t="s">
        <v>444</v>
      </c>
      <c r="BH375" s="1">
        <v>44879.791666666664</v>
      </c>
      <c r="BI375">
        <v>40</v>
      </c>
      <c r="BJ375">
        <v>5</v>
      </c>
      <c r="BK375">
        <v>6</v>
      </c>
      <c r="BL375">
        <v>6</v>
      </c>
      <c r="BM375">
        <v>6</v>
      </c>
      <c r="BN375">
        <v>6</v>
      </c>
      <c r="BO375">
        <v>6</v>
      </c>
      <c r="BP375">
        <v>5</v>
      </c>
      <c r="BQ375" t="str">
        <f>"6:00 AM"</f>
        <v>6:00 AM</v>
      </c>
      <c r="BR375" t="str">
        <f>"2:30 PM"</f>
        <v>2:30 PM</v>
      </c>
      <c r="BS375" t="s">
        <v>133</v>
      </c>
      <c r="BT375">
        <v>0</v>
      </c>
      <c r="BU375">
        <v>12</v>
      </c>
      <c r="BV375" t="s">
        <v>114</v>
      </c>
      <c r="BW375">
        <v>20</v>
      </c>
      <c r="BX375" s="2" t="s">
        <v>7091</v>
      </c>
      <c r="BY375" t="s">
        <v>10162</v>
      </c>
      <c r="BZ375" t="s">
        <v>1764</v>
      </c>
      <c r="CA375" t="s">
        <v>10163</v>
      </c>
      <c r="CB375" t="s">
        <v>444</v>
      </c>
      <c r="CC375" s="4" t="str">
        <f>"92037"</f>
        <v>92037</v>
      </c>
      <c r="CD375" t="s">
        <v>5868</v>
      </c>
      <c r="CE375" t="s">
        <v>5869</v>
      </c>
      <c r="CF375" s="6">
        <v>28.42</v>
      </c>
      <c r="CH375" s="6">
        <v>42.63</v>
      </c>
      <c r="CJ375" t="s">
        <v>137</v>
      </c>
      <c r="CK375" t="s">
        <v>1768</v>
      </c>
      <c r="CL375" t="s">
        <v>10164</v>
      </c>
      <c r="CO375" t="s">
        <v>138</v>
      </c>
      <c r="CP375" t="s">
        <v>114</v>
      </c>
      <c r="CQ375" t="s">
        <v>134</v>
      </c>
      <c r="CR375" t="s">
        <v>114</v>
      </c>
      <c r="CS375" t="s">
        <v>134</v>
      </c>
      <c r="CT375" t="s">
        <v>114</v>
      </c>
      <c r="CU375" t="s">
        <v>114</v>
      </c>
      <c r="CV375" t="s">
        <v>1770</v>
      </c>
      <c r="CW375" s="5" t="str">
        <f>"+18553006690"</f>
        <v>+18553006690</v>
      </c>
      <c r="CX375" t="s">
        <v>138</v>
      </c>
      <c r="CY375" t="s">
        <v>1771</v>
      </c>
      <c r="CZ375" t="s">
        <v>139</v>
      </c>
      <c r="DA375" t="s">
        <v>134</v>
      </c>
      <c r="DB375" t="s">
        <v>134</v>
      </c>
      <c r="DC375" t="s">
        <v>114</v>
      </c>
      <c r="DD375" t="s">
        <v>134</v>
      </c>
    </row>
    <row r="376" spans="1:113" ht="15" customHeight="1" x14ac:dyDescent="0.25">
      <c r="A376" t="s">
        <v>15612</v>
      </c>
      <c r="B376" t="s">
        <v>165</v>
      </c>
      <c r="C376" s="1">
        <v>44883.579217129627</v>
      </c>
      <c r="D376" s="1">
        <v>44910</v>
      </c>
      <c r="E376" t="s">
        <v>114</v>
      </c>
      <c r="F376" t="s">
        <v>1747</v>
      </c>
      <c r="G376" t="str">
        <f>"37-3011.00"</f>
        <v>37-3011.00</v>
      </c>
      <c r="H376" t="s">
        <v>335</v>
      </c>
      <c r="I376">
        <v>26</v>
      </c>
      <c r="J376">
        <v>26</v>
      </c>
      <c r="K376" s="1">
        <v>44958</v>
      </c>
      <c r="L376" s="1">
        <v>45107</v>
      </c>
      <c r="M376" s="1">
        <v>44958</v>
      </c>
      <c r="N376" s="1">
        <v>45107</v>
      </c>
      <c r="O376" t="s">
        <v>199</v>
      </c>
      <c r="P376" t="s">
        <v>1748</v>
      </c>
      <c r="R376" t="s">
        <v>1749</v>
      </c>
      <c r="T376" t="s">
        <v>1190</v>
      </c>
      <c r="U376" t="s">
        <v>1750</v>
      </c>
      <c r="V376" s="4" t="str">
        <f>"68512"</f>
        <v>68512</v>
      </c>
      <c r="W376" t="s">
        <v>120</v>
      </c>
      <c r="Y376" s="5">
        <v>14024236653</v>
      </c>
      <c r="AA376">
        <v>237990</v>
      </c>
      <c r="AB376" t="s">
        <v>1751</v>
      </c>
      <c r="AC376" t="s">
        <v>1752</v>
      </c>
      <c r="AE376" t="s">
        <v>1753</v>
      </c>
      <c r="AF376" t="s">
        <v>1749</v>
      </c>
      <c r="AH376" t="s">
        <v>1190</v>
      </c>
      <c r="AI376" t="s">
        <v>1750</v>
      </c>
      <c r="AJ376" s="4" t="str">
        <f>"68512"</f>
        <v>68512</v>
      </c>
      <c r="AK376" t="s">
        <v>120</v>
      </c>
      <c r="AM376" s="5">
        <v>14024236653</v>
      </c>
      <c r="AO376" t="s">
        <v>1754</v>
      </c>
      <c r="AP376" t="s">
        <v>122</v>
      </c>
      <c r="AQ376" t="s">
        <v>1755</v>
      </c>
      <c r="AR376" t="s">
        <v>1682</v>
      </c>
      <c r="AS376" t="s">
        <v>1756</v>
      </c>
      <c r="AT376" t="s">
        <v>1757</v>
      </c>
      <c r="AU376" t="s">
        <v>1758</v>
      </c>
      <c r="AV376" t="s">
        <v>1759</v>
      </c>
      <c r="AW376" t="s">
        <v>232</v>
      </c>
      <c r="AX376" s="4" t="str">
        <f>"75234"</f>
        <v>75234</v>
      </c>
      <c r="AY376" t="s">
        <v>120</v>
      </c>
      <c r="BA376" s="5">
        <v>19722416445</v>
      </c>
      <c r="BC376" t="s">
        <v>1760</v>
      </c>
      <c r="BD376" t="s">
        <v>1761</v>
      </c>
      <c r="BE376" t="s">
        <v>232</v>
      </c>
      <c r="BF376" t="s">
        <v>870</v>
      </c>
      <c r="BG376" t="s">
        <v>232</v>
      </c>
      <c r="BH376" s="1">
        <v>44878.791666666664</v>
      </c>
      <c r="BI376">
        <v>40</v>
      </c>
      <c r="BJ376">
        <v>5</v>
      </c>
      <c r="BK376">
        <v>6</v>
      </c>
      <c r="BL376">
        <v>6</v>
      </c>
      <c r="BM376">
        <v>6</v>
      </c>
      <c r="BN376">
        <v>6</v>
      </c>
      <c r="BO376">
        <v>6</v>
      </c>
      <c r="BP376">
        <v>5</v>
      </c>
      <c r="BQ376" t="str">
        <f>"6:00 AM"</f>
        <v>6:00 AM</v>
      </c>
      <c r="BR376" t="str">
        <f>"2:30 PM"</f>
        <v>2:30 PM</v>
      </c>
      <c r="BS376" t="s">
        <v>133</v>
      </c>
      <c r="BT376">
        <v>0</v>
      </c>
      <c r="BU376">
        <v>6</v>
      </c>
      <c r="BV376" t="s">
        <v>134</v>
      </c>
      <c r="BX376" s="2" t="s">
        <v>2011</v>
      </c>
      <c r="BY376" t="s">
        <v>7191</v>
      </c>
      <c r="BZ376" t="s">
        <v>1764</v>
      </c>
      <c r="CA376" t="s">
        <v>7192</v>
      </c>
      <c r="CB376" t="s">
        <v>232</v>
      </c>
      <c r="CC376" s="4" t="str">
        <f>"77523"</f>
        <v>77523</v>
      </c>
      <c r="CD376" t="s">
        <v>3290</v>
      </c>
      <c r="CE376" t="s">
        <v>873</v>
      </c>
      <c r="CF376" s="6">
        <v>15.56</v>
      </c>
      <c r="CH376" s="6">
        <v>23.34</v>
      </c>
      <c r="CJ376" t="s">
        <v>137</v>
      </c>
      <c r="CK376" t="s">
        <v>1768</v>
      </c>
      <c r="CL376" t="s">
        <v>15613</v>
      </c>
      <c r="CO376" t="s">
        <v>138</v>
      </c>
      <c r="CP376" t="s">
        <v>114</v>
      </c>
      <c r="CQ376" t="s">
        <v>134</v>
      </c>
      <c r="CR376" t="s">
        <v>114</v>
      </c>
      <c r="CS376" t="s">
        <v>134</v>
      </c>
      <c r="CT376" t="s">
        <v>114</v>
      </c>
      <c r="CU376" t="s">
        <v>114</v>
      </c>
      <c r="CV376" t="s">
        <v>1770</v>
      </c>
      <c r="CW376" s="5" t="str">
        <f>"+18553006690"</f>
        <v>+18553006690</v>
      </c>
      <c r="CX376" t="s">
        <v>138</v>
      </c>
      <c r="CY376" t="s">
        <v>1771</v>
      </c>
      <c r="CZ376" t="s">
        <v>139</v>
      </c>
      <c r="DA376" t="s">
        <v>134</v>
      </c>
      <c r="DB376" t="s">
        <v>134</v>
      </c>
      <c r="DC376" t="s">
        <v>114</v>
      </c>
      <c r="DD376" t="s">
        <v>134</v>
      </c>
    </row>
    <row r="377" spans="1:113" ht="15" customHeight="1" x14ac:dyDescent="0.25">
      <c r="A377" t="s">
        <v>7190</v>
      </c>
      <c r="B377" t="s">
        <v>165</v>
      </c>
      <c r="C377" s="1">
        <v>44883.55686203704</v>
      </c>
      <c r="D377" s="1">
        <v>44910</v>
      </c>
      <c r="E377" t="s">
        <v>114</v>
      </c>
      <c r="F377" t="s">
        <v>3047</v>
      </c>
      <c r="G377" t="str">
        <f>"37-1012.00"</f>
        <v>37-1012.00</v>
      </c>
      <c r="H377" t="s">
        <v>1348</v>
      </c>
      <c r="I377">
        <v>2</v>
      </c>
      <c r="J377">
        <v>2</v>
      </c>
      <c r="K377" s="1">
        <v>44958</v>
      </c>
      <c r="L377" s="1">
        <v>45107</v>
      </c>
      <c r="M377" s="1">
        <v>44958</v>
      </c>
      <c r="N377" s="1">
        <v>45107</v>
      </c>
      <c r="O377" t="s">
        <v>199</v>
      </c>
      <c r="P377" t="s">
        <v>1748</v>
      </c>
      <c r="R377" t="s">
        <v>1749</v>
      </c>
      <c r="T377" t="s">
        <v>1190</v>
      </c>
      <c r="U377" t="s">
        <v>1750</v>
      </c>
      <c r="V377" s="4" t="str">
        <f>"68512"</f>
        <v>68512</v>
      </c>
      <c r="W377" t="s">
        <v>120</v>
      </c>
      <c r="Y377" s="5">
        <v>14024236653</v>
      </c>
      <c r="AA377">
        <v>237990</v>
      </c>
      <c r="AB377" t="s">
        <v>1751</v>
      </c>
      <c r="AC377" t="s">
        <v>1752</v>
      </c>
      <c r="AE377" t="s">
        <v>1753</v>
      </c>
      <c r="AF377" t="s">
        <v>1749</v>
      </c>
      <c r="AH377" t="s">
        <v>1190</v>
      </c>
      <c r="AI377" t="s">
        <v>1750</v>
      </c>
      <c r="AJ377" s="4" t="str">
        <f>"68512"</f>
        <v>68512</v>
      </c>
      <c r="AK377" t="s">
        <v>120</v>
      </c>
      <c r="AM377" s="5">
        <v>14024236653</v>
      </c>
      <c r="AO377" t="s">
        <v>1754</v>
      </c>
      <c r="AP377" t="s">
        <v>122</v>
      </c>
      <c r="AQ377" t="s">
        <v>1755</v>
      </c>
      <c r="AR377" t="s">
        <v>1682</v>
      </c>
      <c r="AS377" t="s">
        <v>1756</v>
      </c>
      <c r="AT377" t="s">
        <v>1757</v>
      </c>
      <c r="AU377" t="s">
        <v>1758</v>
      </c>
      <c r="AV377" t="s">
        <v>1759</v>
      </c>
      <c r="AW377" t="s">
        <v>232</v>
      </c>
      <c r="AX377" s="4" t="str">
        <f>"75234"</f>
        <v>75234</v>
      </c>
      <c r="AY377" t="s">
        <v>120</v>
      </c>
      <c r="BA377" s="5">
        <v>19722416445</v>
      </c>
      <c r="BC377" t="s">
        <v>1760</v>
      </c>
      <c r="BD377" t="s">
        <v>1761</v>
      </c>
      <c r="BE377" t="s">
        <v>232</v>
      </c>
      <c r="BF377" t="s">
        <v>870</v>
      </c>
      <c r="BG377" t="s">
        <v>232</v>
      </c>
      <c r="BH377" s="1">
        <v>44878.791666666664</v>
      </c>
      <c r="BI377">
        <v>40</v>
      </c>
      <c r="BJ377">
        <v>5</v>
      </c>
      <c r="BK377">
        <v>6</v>
      </c>
      <c r="BL377">
        <v>6</v>
      </c>
      <c r="BM377">
        <v>6</v>
      </c>
      <c r="BN377">
        <v>6</v>
      </c>
      <c r="BO377">
        <v>6</v>
      </c>
      <c r="BP377">
        <v>5</v>
      </c>
      <c r="BQ377" t="str">
        <f>"6:00 AM"</f>
        <v>6:00 AM</v>
      </c>
      <c r="BR377" t="str">
        <f>"2:30 PM"</f>
        <v>2:30 PM</v>
      </c>
      <c r="BS377" t="s">
        <v>133</v>
      </c>
      <c r="BT377">
        <v>0</v>
      </c>
      <c r="BU377">
        <v>12</v>
      </c>
      <c r="BV377" t="s">
        <v>114</v>
      </c>
      <c r="BW377">
        <v>20</v>
      </c>
      <c r="BX377" s="2" t="s">
        <v>3048</v>
      </c>
      <c r="BY377" t="s">
        <v>7191</v>
      </c>
      <c r="BZ377" t="s">
        <v>1764</v>
      </c>
      <c r="CA377" t="s">
        <v>7192</v>
      </c>
      <c r="CB377" t="s">
        <v>232</v>
      </c>
      <c r="CC377" s="4" t="str">
        <f>"77523"</f>
        <v>77523</v>
      </c>
      <c r="CD377" t="s">
        <v>3290</v>
      </c>
      <c r="CE377" t="s">
        <v>873</v>
      </c>
      <c r="CF377" s="6">
        <v>25.46</v>
      </c>
      <c r="CH377" s="6">
        <v>38.19</v>
      </c>
      <c r="CJ377" t="s">
        <v>137</v>
      </c>
      <c r="CK377" t="s">
        <v>1768</v>
      </c>
      <c r="CL377" t="s">
        <v>7193</v>
      </c>
      <c r="CO377" t="s">
        <v>138</v>
      </c>
      <c r="CP377" t="s">
        <v>114</v>
      </c>
      <c r="CQ377" t="s">
        <v>134</v>
      </c>
      <c r="CR377" t="s">
        <v>114</v>
      </c>
      <c r="CS377" t="s">
        <v>134</v>
      </c>
      <c r="CT377" t="s">
        <v>114</v>
      </c>
      <c r="CU377" t="s">
        <v>114</v>
      </c>
      <c r="CV377" t="s">
        <v>1770</v>
      </c>
      <c r="CW377" s="5" t="str">
        <f>"+18553006690"</f>
        <v>+18553006690</v>
      </c>
      <c r="CX377" t="s">
        <v>138</v>
      </c>
      <c r="CY377" t="s">
        <v>1771</v>
      </c>
      <c r="CZ377" t="s">
        <v>139</v>
      </c>
      <c r="DA377" t="s">
        <v>134</v>
      </c>
      <c r="DB377" t="s">
        <v>134</v>
      </c>
      <c r="DC377" t="s">
        <v>114</v>
      </c>
      <c r="DD377" t="s">
        <v>134</v>
      </c>
    </row>
    <row r="378" spans="1:113" ht="15" customHeight="1" x14ac:dyDescent="0.25">
      <c r="A378" t="s">
        <v>16193</v>
      </c>
      <c r="B378" t="s">
        <v>165</v>
      </c>
      <c r="C378" s="1">
        <v>44883.49827384259</v>
      </c>
      <c r="D378" s="1">
        <v>44910</v>
      </c>
      <c r="E378" t="s">
        <v>134</v>
      </c>
      <c r="F378" t="s">
        <v>16194</v>
      </c>
      <c r="G378" t="str">
        <f>"47-4051.00"</f>
        <v>47-4051.00</v>
      </c>
      <c r="H378" t="s">
        <v>4349</v>
      </c>
      <c r="I378">
        <v>60</v>
      </c>
      <c r="J378">
        <v>60</v>
      </c>
      <c r="K378" s="1">
        <v>44972</v>
      </c>
      <c r="L378" s="1">
        <v>45261</v>
      </c>
      <c r="M378" s="1">
        <v>44972</v>
      </c>
      <c r="N378" s="1">
        <v>45261</v>
      </c>
      <c r="O378" t="s">
        <v>117</v>
      </c>
      <c r="P378" t="s">
        <v>16195</v>
      </c>
      <c r="R378" t="s">
        <v>16196</v>
      </c>
      <c r="S378" t="s">
        <v>16197</v>
      </c>
      <c r="T378" t="s">
        <v>684</v>
      </c>
      <c r="U378" t="s">
        <v>232</v>
      </c>
      <c r="V378" s="4" t="str">
        <f>"78737"</f>
        <v>78737</v>
      </c>
      <c r="W378" t="s">
        <v>120</v>
      </c>
      <c r="Y378" s="5">
        <v>15122806666</v>
      </c>
      <c r="AA378">
        <v>5617</v>
      </c>
      <c r="AB378" t="s">
        <v>9075</v>
      </c>
      <c r="AC378" t="s">
        <v>16198</v>
      </c>
      <c r="AD378" t="s">
        <v>3020</v>
      </c>
      <c r="AE378" t="s">
        <v>342</v>
      </c>
      <c r="AF378" t="s">
        <v>16196</v>
      </c>
      <c r="AG378" t="s">
        <v>16199</v>
      </c>
      <c r="AH378" t="s">
        <v>684</v>
      </c>
      <c r="AI378" t="s">
        <v>232</v>
      </c>
      <c r="AJ378" s="4" t="str">
        <f>"78737"</f>
        <v>78737</v>
      </c>
      <c r="AK378" t="s">
        <v>120</v>
      </c>
      <c r="AM378" s="5">
        <v>15122806666</v>
      </c>
      <c r="AO378" t="s">
        <v>16200</v>
      </c>
      <c r="AP378" t="s">
        <v>256</v>
      </c>
      <c r="AQ378" t="s">
        <v>1731</v>
      </c>
      <c r="AR378" t="s">
        <v>1732</v>
      </c>
      <c r="AS378" t="s">
        <v>1733</v>
      </c>
      <c r="AT378" t="s">
        <v>1734</v>
      </c>
      <c r="AU378" t="s">
        <v>1735</v>
      </c>
      <c r="AV378" t="s">
        <v>1736</v>
      </c>
      <c r="AW378" t="s">
        <v>479</v>
      </c>
      <c r="AX378" s="4" t="str">
        <f>"24521"</f>
        <v>24521</v>
      </c>
      <c r="AY378" t="s">
        <v>120</v>
      </c>
      <c r="AZ378" t="s">
        <v>2983</v>
      </c>
      <c r="BA378" s="5">
        <v>14349460035</v>
      </c>
      <c r="BB378">
        <v>11</v>
      </c>
      <c r="BC378" t="s">
        <v>1737</v>
      </c>
      <c r="BD378" t="s">
        <v>1738</v>
      </c>
      <c r="BG378" t="s">
        <v>232</v>
      </c>
      <c r="BH378" s="1">
        <v>44881.791666666664</v>
      </c>
      <c r="BI378">
        <v>40</v>
      </c>
      <c r="BJ378">
        <v>0</v>
      </c>
      <c r="BK378">
        <v>8</v>
      </c>
      <c r="BL378">
        <v>8</v>
      </c>
      <c r="BM378">
        <v>8</v>
      </c>
      <c r="BN378">
        <v>8</v>
      </c>
      <c r="BO378">
        <v>8</v>
      </c>
      <c r="BP378">
        <v>0</v>
      </c>
      <c r="BQ378" t="str">
        <f>"7:00 AM"</f>
        <v>7:00 AM</v>
      </c>
      <c r="BR378" t="str">
        <f>"3:30 PM"</f>
        <v>3:30 PM</v>
      </c>
      <c r="BS378" t="s">
        <v>133</v>
      </c>
      <c r="BT378">
        <v>0</v>
      </c>
      <c r="BU378">
        <v>0</v>
      </c>
      <c r="BV378" t="s">
        <v>134</v>
      </c>
      <c r="BX378" s="2" t="s">
        <v>16201</v>
      </c>
      <c r="BY378" t="s">
        <v>16196</v>
      </c>
      <c r="CA378" t="s">
        <v>684</v>
      </c>
      <c r="CB378" t="s">
        <v>232</v>
      </c>
      <c r="CC378" s="4" t="str">
        <f>"78737"</f>
        <v>78737</v>
      </c>
      <c r="CD378" t="s">
        <v>8179</v>
      </c>
      <c r="CE378" t="s">
        <v>949</v>
      </c>
      <c r="CF378" s="6">
        <v>20.190000000000001</v>
      </c>
      <c r="CG378" s="6">
        <v>20.190000000000001</v>
      </c>
      <c r="CH378" s="6">
        <v>30.29</v>
      </c>
      <c r="CI378" s="6">
        <v>30.29</v>
      </c>
      <c r="CJ378" t="s">
        <v>137</v>
      </c>
      <c r="CK378" t="s">
        <v>2162</v>
      </c>
      <c r="CL378" t="s">
        <v>16202</v>
      </c>
      <c r="CO378" t="s">
        <v>138</v>
      </c>
      <c r="CP378" t="s">
        <v>114</v>
      </c>
      <c r="CQ378" t="s">
        <v>114</v>
      </c>
      <c r="CR378" t="s">
        <v>114</v>
      </c>
      <c r="CS378" t="s">
        <v>114</v>
      </c>
      <c r="CT378" t="s">
        <v>114</v>
      </c>
      <c r="CU378" t="s">
        <v>134</v>
      </c>
      <c r="CV378" t="s">
        <v>11652</v>
      </c>
      <c r="CW378" s="5" t="str">
        <f>"+15122806666"</f>
        <v>+15122806666</v>
      </c>
      <c r="CX378" t="s">
        <v>16200</v>
      </c>
      <c r="CY378" t="s">
        <v>138</v>
      </c>
      <c r="CZ378" t="s">
        <v>139</v>
      </c>
      <c r="DA378" t="s">
        <v>134</v>
      </c>
      <c r="DB378" t="s">
        <v>134</v>
      </c>
      <c r="DC378" t="s">
        <v>114</v>
      </c>
      <c r="DD378" t="s">
        <v>134</v>
      </c>
    </row>
    <row r="379" spans="1:113" ht="15" customHeight="1" x14ac:dyDescent="0.25">
      <c r="A379" t="s">
        <v>12733</v>
      </c>
      <c r="B379" t="s">
        <v>165</v>
      </c>
      <c r="C379" s="1">
        <v>44883.467657870373</v>
      </c>
      <c r="D379" s="1">
        <v>44910</v>
      </c>
      <c r="E379" t="s">
        <v>134</v>
      </c>
      <c r="F379" t="s">
        <v>115</v>
      </c>
      <c r="G379" t="str">
        <f>"37-2012.00"</f>
        <v>37-2012.00</v>
      </c>
      <c r="H379" t="s">
        <v>116</v>
      </c>
      <c r="I379">
        <v>60</v>
      </c>
      <c r="J379">
        <v>60</v>
      </c>
      <c r="K379" s="1">
        <v>44972</v>
      </c>
      <c r="L379" s="1">
        <v>45274</v>
      </c>
      <c r="M379" s="1">
        <v>44972</v>
      </c>
      <c r="N379" s="1">
        <v>45274</v>
      </c>
      <c r="O379" t="s">
        <v>117</v>
      </c>
      <c r="P379" t="s">
        <v>4382</v>
      </c>
      <c r="Q379" t="s">
        <v>4833</v>
      </c>
      <c r="R379" t="s">
        <v>4383</v>
      </c>
      <c r="T379" t="s">
        <v>1339</v>
      </c>
      <c r="U379" t="s">
        <v>154</v>
      </c>
      <c r="V379" s="4" t="str">
        <f>"32839"</f>
        <v>32839</v>
      </c>
      <c r="W379" t="s">
        <v>120</v>
      </c>
      <c r="Y379" s="5">
        <v>14079539626</v>
      </c>
      <c r="AA379">
        <v>72111</v>
      </c>
      <c r="AB379" t="s">
        <v>4384</v>
      </c>
      <c r="AC379" t="s">
        <v>2449</v>
      </c>
      <c r="AE379" t="s">
        <v>4385</v>
      </c>
      <c r="AF379" t="s">
        <v>4383</v>
      </c>
      <c r="AH379" t="s">
        <v>1339</v>
      </c>
      <c r="AI379" t="s">
        <v>154</v>
      </c>
      <c r="AJ379" s="4" t="str">
        <f>"32839"</f>
        <v>32839</v>
      </c>
      <c r="AK379" t="s">
        <v>120</v>
      </c>
      <c r="AM379" s="5">
        <v>14079539626</v>
      </c>
      <c r="AO379" t="s">
        <v>4386</v>
      </c>
      <c r="AP379" t="s">
        <v>256</v>
      </c>
      <c r="AQ379" t="s">
        <v>400</v>
      </c>
      <c r="AR379" t="s">
        <v>401</v>
      </c>
      <c r="AS379" t="s">
        <v>397</v>
      </c>
      <c r="AT379" t="s">
        <v>402</v>
      </c>
      <c r="AU379" t="s">
        <v>152</v>
      </c>
      <c r="AV379" t="s">
        <v>403</v>
      </c>
      <c r="AW379" t="s">
        <v>232</v>
      </c>
      <c r="AX379" s="4" t="str">
        <f>"75033"</f>
        <v>75033</v>
      </c>
      <c r="AY379" t="s">
        <v>120</v>
      </c>
      <c r="BA379" s="5">
        <v>19727789690</v>
      </c>
      <c r="BC379" t="s">
        <v>1503</v>
      </c>
      <c r="BD379" t="s">
        <v>405</v>
      </c>
      <c r="BG379" t="s">
        <v>154</v>
      </c>
      <c r="BH379" s="1">
        <v>44882.791666666664</v>
      </c>
      <c r="BI379">
        <v>40</v>
      </c>
      <c r="BJ379">
        <v>8</v>
      </c>
      <c r="BK379">
        <v>0</v>
      </c>
      <c r="BL379">
        <v>0</v>
      </c>
      <c r="BM379">
        <v>8</v>
      </c>
      <c r="BN379">
        <v>8</v>
      </c>
      <c r="BO379">
        <v>8</v>
      </c>
      <c r="BP379">
        <v>8</v>
      </c>
      <c r="BQ379" t="str">
        <f>"8:30 AM"</f>
        <v>8:30 AM</v>
      </c>
      <c r="BR379" t="str">
        <f>"5:00 PM"</f>
        <v>5:00 PM</v>
      </c>
      <c r="BS379" t="s">
        <v>133</v>
      </c>
      <c r="BT379">
        <v>0</v>
      </c>
      <c r="BU379">
        <v>0</v>
      </c>
      <c r="BV379" t="s">
        <v>134</v>
      </c>
      <c r="BX379" s="2" t="s">
        <v>12734</v>
      </c>
      <c r="BY379" t="s">
        <v>12735</v>
      </c>
      <c r="CA379" t="s">
        <v>1339</v>
      </c>
      <c r="CB379" t="s">
        <v>154</v>
      </c>
      <c r="CC379" s="4" t="str">
        <f>"32821"</f>
        <v>32821</v>
      </c>
      <c r="CD379" t="s">
        <v>2302</v>
      </c>
      <c r="CE379" t="s">
        <v>3159</v>
      </c>
      <c r="CF379" s="6">
        <v>15</v>
      </c>
      <c r="CH379" s="6">
        <v>22.5</v>
      </c>
      <c r="CJ379" t="s">
        <v>137</v>
      </c>
      <c r="CK379" t="s">
        <v>2095</v>
      </c>
      <c r="CL379" t="s">
        <v>12736</v>
      </c>
      <c r="CO379" t="s">
        <v>138</v>
      </c>
      <c r="CP379" t="s">
        <v>114</v>
      </c>
      <c r="CQ379" t="s">
        <v>134</v>
      </c>
      <c r="CR379" t="s">
        <v>114</v>
      </c>
      <c r="CS379" t="s">
        <v>114</v>
      </c>
      <c r="CT379" t="s">
        <v>114</v>
      </c>
      <c r="CU379" t="s">
        <v>114</v>
      </c>
      <c r="CV379" s="2" t="s">
        <v>12737</v>
      </c>
      <c r="CW379" s="5" t="str">
        <f>"+14079539626"</f>
        <v>+14079539626</v>
      </c>
      <c r="CX379" t="s">
        <v>138</v>
      </c>
      <c r="CY379" t="s">
        <v>6226</v>
      </c>
      <c r="CZ379" t="s">
        <v>139</v>
      </c>
      <c r="DA379" t="s">
        <v>134</v>
      </c>
      <c r="DB379" t="s">
        <v>134</v>
      </c>
      <c r="DC379" t="s">
        <v>114</v>
      </c>
      <c r="DD379" t="s">
        <v>134</v>
      </c>
    </row>
    <row r="380" spans="1:113" ht="15" customHeight="1" x14ac:dyDescent="0.25">
      <c r="A380" t="s">
        <v>14204</v>
      </c>
      <c r="B380" t="s">
        <v>165</v>
      </c>
      <c r="C380" s="1">
        <v>44883.404186921296</v>
      </c>
      <c r="D380" s="1">
        <v>44910</v>
      </c>
      <c r="E380" t="s">
        <v>134</v>
      </c>
      <c r="F380" t="s">
        <v>1296</v>
      </c>
      <c r="G380" t="str">
        <f>"37-3011.00"</f>
        <v>37-3011.00</v>
      </c>
      <c r="H380" t="s">
        <v>335</v>
      </c>
      <c r="I380">
        <v>6</v>
      </c>
      <c r="J380">
        <v>6</v>
      </c>
      <c r="K380" s="1">
        <v>44972</v>
      </c>
      <c r="L380" s="1">
        <v>45275</v>
      </c>
      <c r="M380" s="1">
        <v>44972</v>
      </c>
      <c r="N380" s="1">
        <v>45275</v>
      </c>
      <c r="O380" t="s">
        <v>117</v>
      </c>
      <c r="P380" t="s">
        <v>14205</v>
      </c>
      <c r="R380" t="s">
        <v>14206</v>
      </c>
      <c r="T380" t="s">
        <v>8164</v>
      </c>
      <c r="U380" t="s">
        <v>479</v>
      </c>
      <c r="V380" s="4" t="str">
        <f>"22578"</f>
        <v>22578</v>
      </c>
      <c r="W380" t="s">
        <v>120</v>
      </c>
      <c r="Y380" s="5">
        <v>18045774272</v>
      </c>
      <c r="AA380">
        <v>5617</v>
      </c>
      <c r="AB380" t="s">
        <v>6581</v>
      </c>
      <c r="AC380" t="s">
        <v>7044</v>
      </c>
      <c r="AD380" t="s">
        <v>5562</v>
      </c>
      <c r="AE380" t="s">
        <v>424</v>
      </c>
      <c r="AF380" t="s">
        <v>14206</v>
      </c>
      <c r="AH380" t="s">
        <v>8164</v>
      </c>
      <c r="AI380" t="s">
        <v>479</v>
      </c>
      <c r="AJ380" s="4" t="str">
        <f>"22578"</f>
        <v>22578</v>
      </c>
      <c r="AK380" t="s">
        <v>120</v>
      </c>
      <c r="AM380" s="5">
        <v>18045774272</v>
      </c>
      <c r="AO380" t="s">
        <v>14207</v>
      </c>
      <c r="AP380" t="s">
        <v>256</v>
      </c>
      <c r="AQ380" t="s">
        <v>1731</v>
      </c>
      <c r="AR380" t="s">
        <v>1732</v>
      </c>
      <c r="AS380" t="s">
        <v>1733</v>
      </c>
      <c r="AT380" t="s">
        <v>1734</v>
      </c>
      <c r="AU380" t="s">
        <v>1735</v>
      </c>
      <c r="AV380" t="s">
        <v>1736</v>
      </c>
      <c r="AW380" t="s">
        <v>479</v>
      </c>
      <c r="AX380" s="4" t="str">
        <f>"24521"</f>
        <v>24521</v>
      </c>
      <c r="AY380" t="s">
        <v>120</v>
      </c>
      <c r="AZ380" t="s">
        <v>2983</v>
      </c>
      <c r="BA380" s="5">
        <v>14349460035</v>
      </c>
      <c r="BB380">
        <v>11</v>
      </c>
      <c r="BC380" t="s">
        <v>1737</v>
      </c>
      <c r="BD380" t="s">
        <v>1738</v>
      </c>
      <c r="BG380" t="s">
        <v>479</v>
      </c>
      <c r="BH380" s="1">
        <v>44881.791666666664</v>
      </c>
      <c r="BI380">
        <v>40</v>
      </c>
      <c r="BJ380">
        <v>0</v>
      </c>
      <c r="BK380">
        <v>8</v>
      </c>
      <c r="BL380">
        <v>8</v>
      </c>
      <c r="BM380">
        <v>8</v>
      </c>
      <c r="BN380">
        <v>8</v>
      </c>
      <c r="BO380">
        <v>8</v>
      </c>
      <c r="BP380">
        <v>0</v>
      </c>
      <c r="BQ380" t="str">
        <f>"7:00 AM"</f>
        <v>7:00 AM</v>
      </c>
      <c r="BR380" t="str">
        <f>"3:00 PM"</f>
        <v>3:00 PM</v>
      </c>
      <c r="BS380" t="s">
        <v>133</v>
      </c>
      <c r="BT380">
        <v>0</v>
      </c>
      <c r="BU380">
        <v>0</v>
      </c>
      <c r="BV380" t="s">
        <v>134</v>
      </c>
      <c r="BX380" s="2" t="s">
        <v>14208</v>
      </c>
      <c r="BY380" t="s">
        <v>14209</v>
      </c>
      <c r="CA380" t="s">
        <v>8164</v>
      </c>
      <c r="CB380" t="s">
        <v>479</v>
      </c>
      <c r="CC380" s="4" t="str">
        <f>"22578"</f>
        <v>22578</v>
      </c>
      <c r="CD380" t="s">
        <v>1826</v>
      </c>
      <c r="CE380" t="s">
        <v>5862</v>
      </c>
      <c r="CF380" s="6">
        <v>14.53</v>
      </c>
      <c r="CG380" s="6">
        <v>14.53</v>
      </c>
      <c r="CH380" s="6">
        <v>21.8</v>
      </c>
      <c r="CI380" s="6">
        <v>21.8</v>
      </c>
      <c r="CJ380" t="s">
        <v>137</v>
      </c>
      <c r="CK380" t="s">
        <v>2162</v>
      </c>
      <c r="CL380" t="s">
        <v>14210</v>
      </c>
      <c r="CO380" t="s">
        <v>138</v>
      </c>
      <c r="CP380" t="s">
        <v>114</v>
      </c>
      <c r="CQ380" t="s">
        <v>114</v>
      </c>
      <c r="CR380" t="s">
        <v>114</v>
      </c>
      <c r="CS380" t="s">
        <v>114</v>
      </c>
      <c r="CT380" t="s">
        <v>114</v>
      </c>
      <c r="CU380" t="s">
        <v>114</v>
      </c>
      <c r="CV380" s="2" t="s">
        <v>14211</v>
      </c>
      <c r="CW380" s="5" t="str">
        <f>"+18045774272"</f>
        <v>+18045774272</v>
      </c>
      <c r="CX380" t="s">
        <v>14207</v>
      </c>
      <c r="CY380" t="s">
        <v>138</v>
      </c>
      <c r="CZ380" t="s">
        <v>139</v>
      </c>
      <c r="DA380" t="s">
        <v>134</v>
      </c>
      <c r="DB380" t="s">
        <v>114</v>
      </c>
      <c r="DC380" t="s">
        <v>114</v>
      </c>
      <c r="DD380" t="s">
        <v>134</v>
      </c>
    </row>
    <row r="381" spans="1:113" ht="15" customHeight="1" x14ac:dyDescent="0.25">
      <c r="A381" t="s">
        <v>8203</v>
      </c>
      <c r="B381" t="s">
        <v>165</v>
      </c>
      <c r="C381" s="1">
        <v>44882.926934374998</v>
      </c>
      <c r="D381" s="1">
        <v>44910</v>
      </c>
      <c r="E381" t="s">
        <v>134</v>
      </c>
      <c r="F381" t="s">
        <v>334</v>
      </c>
      <c r="G381" t="str">
        <f>"37-3011.00"</f>
        <v>37-3011.00</v>
      </c>
      <c r="H381" t="s">
        <v>335</v>
      </c>
      <c r="I381">
        <v>30</v>
      </c>
      <c r="J381">
        <v>30</v>
      </c>
      <c r="K381" s="1">
        <v>44972</v>
      </c>
      <c r="L381" s="1">
        <v>45274</v>
      </c>
      <c r="M381" s="1">
        <v>44972</v>
      </c>
      <c r="N381" s="1">
        <v>45274</v>
      </c>
      <c r="O381" t="s">
        <v>117</v>
      </c>
      <c r="P381" t="s">
        <v>8204</v>
      </c>
      <c r="R381" t="s">
        <v>8205</v>
      </c>
      <c r="T381" t="s">
        <v>8206</v>
      </c>
      <c r="U381" t="s">
        <v>631</v>
      </c>
      <c r="V381" s="4" t="str">
        <f>"74033"</f>
        <v>74033</v>
      </c>
      <c r="W381" t="s">
        <v>120</v>
      </c>
      <c r="Y381" s="5">
        <v>19189511705</v>
      </c>
      <c r="AA381">
        <v>56173</v>
      </c>
      <c r="AB381" t="s">
        <v>8207</v>
      </c>
      <c r="AC381" t="s">
        <v>7974</v>
      </c>
      <c r="AE381" t="s">
        <v>424</v>
      </c>
      <c r="AF381" t="s">
        <v>8205</v>
      </c>
      <c r="AH381" t="s">
        <v>8206</v>
      </c>
      <c r="AI381" t="s">
        <v>631</v>
      </c>
      <c r="AJ381" s="4" t="str">
        <f>"74033"</f>
        <v>74033</v>
      </c>
      <c r="AK381" t="s">
        <v>120</v>
      </c>
      <c r="AM381" s="5">
        <v>19189511705</v>
      </c>
      <c r="AO381" t="s">
        <v>1574</v>
      </c>
      <c r="AP381" t="s">
        <v>256</v>
      </c>
      <c r="AQ381" t="s">
        <v>2145</v>
      </c>
      <c r="AR381" t="s">
        <v>1965</v>
      </c>
      <c r="AT381" t="s">
        <v>1943</v>
      </c>
      <c r="AU381" t="s">
        <v>1944</v>
      </c>
      <c r="AV381" t="s">
        <v>1945</v>
      </c>
      <c r="AW381" t="s">
        <v>631</v>
      </c>
      <c r="AX381" s="4" t="str">
        <f>"74136"</f>
        <v>74136</v>
      </c>
      <c r="AY381" t="s">
        <v>120</v>
      </c>
      <c r="AZ381" t="s">
        <v>5588</v>
      </c>
      <c r="BA381" s="5">
        <v>19189065212</v>
      </c>
      <c r="BC381" t="s">
        <v>5589</v>
      </c>
      <c r="BD381" t="s">
        <v>1947</v>
      </c>
      <c r="BG381" t="s">
        <v>631</v>
      </c>
      <c r="BH381" s="1">
        <v>44867.833333333336</v>
      </c>
      <c r="BI381">
        <v>40</v>
      </c>
      <c r="BJ381">
        <v>0</v>
      </c>
      <c r="BK381">
        <v>8</v>
      </c>
      <c r="BL381">
        <v>8</v>
      </c>
      <c r="BM381">
        <v>8</v>
      </c>
      <c r="BN381">
        <v>8</v>
      </c>
      <c r="BO381">
        <v>8</v>
      </c>
      <c r="BP381">
        <v>0</v>
      </c>
      <c r="BQ381" t="str">
        <f>"7:00 AM"</f>
        <v>7:00 AM</v>
      </c>
      <c r="BR381" t="str">
        <f>"4:00 PM"</f>
        <v>4:00 PM</v>
      </c>
      <c r="BS381" t="s">
        <v>133</v>
      </c>
      <c r="BT381">
        <v>0</v>
      </c>
      <c r="BU381">
        <v>3</v>
      </c>
      <c r="BV381" t="s">
        <v>134</v>
      </c>
      <c r="BX381" s="2" t="s">
        <v>8208</v>
      </c>
      <c r="BY381" t="s">
        <v>8205</v>
      </c>
      <c r="CA381" t="s">
        <v>8206</v>
      </c>
      <c r="CB381" t="s">
        <v>631</v>
      </c>
      <c r="CC381" s="4" t="str">
        <f>"74033"</f>
        <v>74033</v>
      </c>
      <c r="CD381" t="s">
        <v>2290</v>
      </c>
      <c r="CE381" t="s">
        <v>2291</v>
      </c>
      <c r="CF381" s="6">
        <v>15.35</v>
      </c>
      <c r="CG381" s="6">
        <v>15.35</v>
      </c>
      <c r="CH381" s="6">
        <v>23.03</v>
      </c>
      <c r="CI381" s="6">
        <v>23.03</v>
      </c>
      <c r="CJ381" t="s">
        <v>137</v>
      </c>
      <c r="CK381" t="s">
        <v>1948</v>
      </c>
      <c r="CL381" t="s">
        <v>8209</v>
      </c>
      <c r="CO381" t="s">
        <v>138</v>
      </c>
      <c r="CP381" t="s">
        <v>114</v>
      </c>
      <c r="CQ381" t="s">
        <v>134</v>
      </c>
      <c r="CR381" t="s">
        <v>114</v>
      </c>
      <c r="CS381" t="s">
        <v>114</v>
      </c>
      <c r="CT381" t="s">
        <v>114</v>
      </c>
      <c r="CU381" t="s">
        <v>134</v>
      </c>
      <c r="CV381" t="s">
        <v>8210</v>
      </c>
      <c r="CW381" s="5" t="str">
        <f>"+19189511705"</f>
        <v>+19189511705</v>
      </c>
      <c r="CX381" t="s">
        <v>138</v>
      </c>
      <c r="CY381" t="s">
        <v>8211</v>
      </c>
      <c r="CZ381" t="s">
        <v>139</v>
      </c>
      <c r="DA381" t="s">
        <v>134</v>
      </c>
      <c r="DB381" t="s">
        <v>114</v>
      </c>
      <c r="DC381" t="s">
        <v>114</v>
      </c>
      <c r="DD381" t="s">
        <v>134</v>
      </c>
    </row>
    <row r="382" spans="1:113" ht="15" customHeight="1" x14ac:dyDescent="0.25">
      <c r="A382" t="s">
        <v>16785</v>
      </c>
      <c r="B382" t="s">
        <v>165</v>
      </c>
      <c r="C382" s="1">
        <v>44882.849843981479</v>
      </c>
      <c r="D382" s="1">
        <v>44910</v>
      </c>
      <c r="E382" t="s">
        <v>134</v>
      </c>
      <c r="F382" t="s">
        <v>10923</v>
      </c>
      <c r="G382" t="str">
        <f>"37-3011.00"</f>
        <v>37-3011.00</v>
      </c>
      <c r="H382" t="s">
        <v>335</v>
      </c>
      <c r="I382">
        <v>12</v>
      </c>
      <c r="J382">
        <v>12</v>
      </c>
      <c r="K382" s="1">
        <v>44972</v>
      </c>
      <c r="L382" s="1">
        <v>45245</v>
      </c>
      <c r="M382" s="1">
        <v>44972</v>
      </c>
      <c r="N382" s="1">
        <v>45245</v>
      </c>
      <c r="O382" t="s">
        <v>117</v>
      </c>
      <c r="P382" t="s">
        <v>16786</v>
      </c>
      <c r="Q382" t="s">
        <v>16787</v>
      </c>
      <c r="R382" t="s">
        <v>16788</v>
      </c>
      <c r="T382" t="s">
        <v>2252</v>
      </c>
      <c r="U382" t="s">
        <v>214</v>
      </c>
      <c r="V382" s="4" t="str">
        <f>"70816"</f>
        <v>70816</v>
      </c>
      <c r="W382" t="s">
        <v>120</v>
      </c>
      <c r="Y382" s="5">
        <v>12253955959</v>
      </c>
      <c r="AA382">
        <v>56173</v>
      </c>
      <c r="AB382" t="s">
        <v>16789</v>
      </c>
      <c r="AC382" t="s">
        <v>1412</v>
      </c>
      <c r="AE382" t="s">
        <v>424</v>
      </c>
      <c r="AF382" t="s">
        <v>16788</v>
      </c>
      <c r="AH382" t="s">
        <v>2252</v>
      </c>
      <c r="AI382" t="s">
        <v>214</v>
      </c>
      <c r="AJ382" s="4" t="str">
        <f>"70816"</f>
        <v>70816</v>
      </c>
      <c r="AK382" t="s">
        <v>120</v>
      </c>
      <c r="AM382" s="5">
        <v>12253955959</v>
      </c>
      <c r="AO382" t="s">
        <v>16790</v>
      </c>
      <c r="AP382" t="s">
        <v>256</v>
      </c>
      <c r="AQ382" t="s">
        <v>2083</v>
      </c>
      <c r="AR382" t="s">
        <v>886</v>
      </c>
      <c r="AT382" t="s">
        <v>16791</v>
      </c>
      <c r="AV382" t="s">
        <v>888</v>
      </c>
      <c r="AW382" t="s">
        <v>232</v>
      </c>
      <c r="AX382" s="4" t="str">
        <f>"75098"</f>
        <v>75098</v>
      </c>
      <c r="AY382" t="s">
        <v>120</v>
      </c>
      <c r="BA382" s="5">
        <v>19724424244</v>
      </c>
      <c r="BC382" t="s">
        <v>889</v>
      </c>
      <c r="BD382" t="s">
        <v>1264</v>
      </c>
      <c r="BG382" t="s">
        <v>214</v>
      </c>
      <c r="BH382" s="1">
        <v>44881.791666666664</v>
      </c>
      <c r="BI382">
        <v>40</v>
      </c>
      <c r="BJ382">
        <v>0</v>
      </c>
      <c r="BK382">
        <v>8</v>
      </c>
      <c r="BL382">
        <v>8</v>
      </c>
      <c r="BM382">
        <v>8</v>
      </c>
      <c r="BN382">
        <v>8</v>
      </c>
      <c r="BO382">
        <v>8</v>
      </c>
      <c r="BP382">
        <v>0</v>
      </c>
      <c r="BQ382" t="str">
        <f>"7:00 AM"</f>
        <v>7:00 AM</v>
      </c>
      <c r="BR382" t="str">
        <f>"6:00 PM"</f>
        <v>6:00 PM</v>
      </c>
      <c r="BS382" t="s">
        <v>133</v>
      </c>
      <c r="BT382">
        <v>0</v>
      </c>
      <c r="BU382">
        <v>0</v>
      </c>
      <c r="BV382" t="s">
        <v>134</v>
      </c>
      <c r="BX382" t="s">
        <v>219</v>
      </c>
      <c r="BY382" t="s">
        <v>16788</v>
      </c>
      <c r="CA382" t="s">
        <v>2252</v>
      </c>
      <c r="CB382" t="s">
        <v>214</v>
      </c>
      <c r="CC382" s="4" t="str">
        <f>"70816"</f>
        <v>70816</v>
      </c>
      <c r="CD382" t="s">
        <v>2247</v>
      </c>
      <c r="CE382" t="s">
        <v>737</v>
      </c>
      <c r="CF382" s="6">
        <v>14.87</v>
      </c>
      <c r="CG382" s="6">
        <v>17</v>
      </c>
      <c r="CH382" s="6">
        <v>22.31</v>
      </c>
      <c r="CI382" s="6">
        <v>25.5</v>
      </c>
      <c r="CJ382" t="s">
        <v>137</v>
      </c>
      <c r="CL382" t="s">
        <v>16792</v>
      </c>
      <c r="CO382" t="s">
        <v>138</v>
      </c>
      <c r="CP382" t="s">
        <v>114</v>
      </c>
      <c r="CQ382" t="s">
        <v>114</v>
      </c>
      <c r="CR382" t="s">
        <v>114</v>
      </c>
      <c r="CS382" t="s">
        <v>114</v>
      </c>
      <c r="CT382" t="s">
        <v>114</v>
      </c>
      <c r="CU382" t="s">
        <v>114</v>
      </c>
      <c r="CV382" t="s">
        <v>219</v>
      </c>
      <c r="CW382" s="5" t="str">
        <f>"+12253955959"</f>
        <v>+12253955959</v>
      </c>
      <c r="CX382" t="s">
        <v>138</v>
      </c>
      <c r="CY382" t="s">
        <v>2996</v>
      </c>
      <c r="CZ382" t="s">
        <v>139</v>
      </c>
      <c r="DA382" t="s">
        <v>134</v>
      </c>
      <c r="DB382" t="s">
        <v>134</v>
      </c>
      <c r="DC382" t="s">
        <v>114</v>
      </c>
      <c r="DD382" t="s">
        <v>134</v>
      </c>
    </row>
    <row r="383" spans="1:113" ht="15" customHeight="1" x14ac:dyDescent="0.25">
      <c r="A383" t="s">
        <v>14974</v>
      </c>
      <c r="B383" t="s">
        <v>165</v>
      </c>
      <c r="C383" s="1">
        <v>44882.833164930555</v>
      </c>
      <c r="D383" s="1">
        <v>44910</v>
      </c>
      <c r="E383" t="s">
        <v>134</v>
      </c>
      <c r="F383" t="s">
        <v>334</v>
      </c>
      <c r="G383" t="str">
        <f>"37-3011.00"</f>
        <v>37-3011.00</v>
      </c>
      <c r="H383" t="s">
        <v>335</v>
      </c>
      <c r="I383">
        <v>5</v>
      </c>
      <c r="J383">
        <v>5</v>
      </c>
      <c r="K383" s="1">
        <v>44972</v>
      </c>
      <c r="L383" s="1">
        <v>45245</v>
      </c>
      <c r="M383" s="1">
        <v>44972</v>
      </c>
      <c r="N383" s="1">
        <v>45245</v>
      </c>
      <c r="O383" t="s">
        <v>117</v>
      </c>
      <c r="P383" t="s">
        <v>7133</v>
      </c>
      <c r="R383" t="s">
        <v>14975</v>
      </c>
      <c r="T383" t="s">
        <v>7171</v>
      </c>
      <c r="U383" t="s">
        <v>232</v>
      </c>
      <c r="V383" s="4" t="str">
        <f>"77429"</f>
        <v>77429</v>
      </c>
      <c r="W383" t="s">
        <v>120</v>
      </c>
      <c r="Y383" s="5">
        <v>17135746430</v>
      </c>
      <c r="AA383">
        <v>56173</v>
      </c>
      <c r="AB383" t="s">
        <v>7135</v>
      </c>
      <c r="AC383" t="s">
        <v>1628</v>
      </c>
      <c r="AE383" t="s">
        <v>4231</v>
      </c>
      <c r="AF383" t="s">
        <v>7136</v>
      </c>
      <c r="AH383" t="s">
        <v>2252</v>
      </c>
      <c r="AI383" t="s">
        <v>214</v>
      </c>
      <c r="AJ383" s="4" t="str">
        <f>"70809"</f>
        <v>70809</v>
      </c>
      <c r="AK383" t="s">
        <v>120</v>
      </c>
      <c r="AM383" s="5">
        <v>17135746430</v>
      </c>
      <c r="AO383" t="s">
        <v>7137</v>
      </c>
      <c r="AP383" t="s">
        <v>256</v>
      </c>
      <c r="AQ383" t="s">
        <v>885</v>
      </c>
      <c r="AR383" t="s">
        <v>886</v>
      </c>
      <c r="AT383" t="s">
        <v>887</v>
      </c>
      <c r="AV383" t="s">
        <v>888</v>
      </c>
      <c r="AW383" t="s">
        <v>232</v>
      </c>
      <c r="AX383" s="4" t="str">
        <f>"75098"</f>
        <v>75098</v>
      </c>
      <c r="AY383" t="s">
        <v>120</v>
      </c>
      <c r="BA383" s="5">
        <v>19724424244</v>
      </c>
      <c r="BC383" t="s">
        <v>889</v>
      </c>
      <c r="BD383" t="s">
        <v>890</v>
      </c>
      <c r="BG383" t="s">
        <v>232</v>
      </c>
      <c r="BH383" s="1">
        <v>44881.791666666664</v>
      </c>
      <c r="BI383">
        <v>40</v>
      </c>
      <c r="BJ383">
        <v>0</v>
      </c>
      <c r="BK383">
        <v>8</v>
      </c>
      <c r="BL383">
        <v>8</v>
      </c>
      <c r="BM383">
        <v>8</v>
      </c>
      <c r="BN383">
        <v>8</v>
      </c>
      <c r="BO383">
        <v>8</v>
      </c>
      <c r="BP383">
        <v>0</v>
      </c>
      <c r="BQ383" t="str">
        <f>"5:00 AM"</f>
        <v>5:00 AM</v>
      </c>
      <c r="BR383" t="str">
        <f>"4:00 PM"</f>
        <v>4:00 PM</v>
      </c>
      <c r="BS383" t="s">
        <v>133</v>
      </c>
      <c r="BT383">
        <v>0</v>
      </c>
      <c r="BU383">
        <v>0</v>
      </c>
      <c r="BV383" t="s">
        <v>134</v>
      </c>
      <c r="BX383" s="2" t="s">
        <v>14976</v>
      </c>
      <c r="BY383" t="s">
        <v>14975</v>
      </c>
      <c r="CA383" t="s">
        <v>7171</v>
      </c>
      <c r="CB383" t="s">
        <v>232</v>
      </c>
      <c r="CC383" s="4" t="str">
        <f>"77429"</f>
        <v>77429</v>
      </c>
      <c r="CD383" t="s">
        <v>3290</v>
      </c>
      <c r="CE383" t="s">
        <v>873</v>
      </c>
      <c r="CF383" s="6">
        <v>15.56</v>
      </c>
      <c r="CG383" s="6">
        <v>18</v>
      </c>
      <c r="CH383" s="6">
        <v>23.34</v>
      </c>
      <c r="CI383" s="6">
        <v>27</v>
      </c>
      <c r="CJ383" t="s">
        <v>137</v>
      </c>
      <c r="CL383" t="s">
        <v>14977</v>
      </c>
      <c r="CO383" t="s">
        <v>138</v>
      </c>
      <c r="CP383" t="s">
        <v>114</v>
      </c>
      <c r="CQ383" t="s">
        <v>114</v>
      </c>
      <c r="CR383" t="s">
        <v>114</v>
      </c>
      <c r="CS383" t="s">
        <v>114</v>
      </c>
      <c r="CT383" t="s">
        <v>114</v>
      </c>
      <c r="CU383" t="s">
        <v>114</v>
      </c>
      <c r="CV383" t="s">
        <v>14194</v>
      </c>
      <c r="CW383" s="5" t="str">
        <f>"+17135746430"</f>
        <v>+17135746430</v>
      </c>
      <c r="CX383" t="s">
        <v>138</v>
      </c>
      <c r="CY383" t="s">
        <v>2072</v>
      </c>
      <c r="CZ383" t="s">
        <v>139</v>
      </c>
      <c r="DA383" t="s">
        <v>134</v>
      </c>
      <c r="DB383" t="s">
        <v>134</v>
      </c>
      <c r="DC383" t="s">
        <v>114</v>
      </c>
      <c r="DD383" t="s">
        <v>134</v>
      </c>
    </row>
    <row r="384" spans="1:113" ht="15" customHeight="1" x14ac:dyDescent="0.25">
      <c r="A384" t="s">
        <v>14189</v>
      </c>
      <c r="B384" t="s">
        <v>165</v>
      </c>
      <c r="C384" s="1">
        <v>44882.832048263888</v>
      </c>
      <c r="D384" s="1">
        <v>44910</v>
      </c>
      <c r="E384" t="s">
        <v>134</v>
      </c>
      <c r="F384" t="s">
        <v>334</v>
      </c>
      <c r="G384" t="str">
        <f>"37-3011.00"</f>
        <v>37-3011.00</v>
      </c>
      <c r="H384" t="s">
        <v>335</v>
      </c>
      <c r="I384">
        <v>6</v>
      </c>
      <c r="J384">
        <v>6</v>
      </c>
      <c r="K384" s="1">
        <v>44972</v>
      </c>
      <c r="L384" s="1">
        <v>45245</v>
      </c>
      <c r="M384" s="1">
        <v>44972</v>
      </c>
      <c r="N384" s="1">
        <v>45245</v>
      </c>
      <c r="O384" t="s">
        <v>117</v>
      </c>
      <c r="P384" t="s">
        <v>14190</v>
      </c>
      <c r="R384" t="s">
        <v>14191</v>
      </c>
      <c r="T384" t="s">
        <v>2252</v>
      </c>
      <c r="U384" t="s">
        <v>214</v>
      </c>
      <c r="V384" s="4" t="str">
        <f>"70809"</f>
        <v>70809</v>
      </c>
      <c r="W384" t="s">
        <v>120</v>
      </c>
      <c r="Y384" s="5">
        <v>12257529177</v>
      </c>
      <c r="AA384">
        <v>56173</v>
      </c>
      <c r="AB384" t="s">
        <v>7135</v>
      </c>
      <c r="AC384" t="s">
        <v>4153</v>
      </c>
      <c r="AE384" t="s">
        <v>4231</v>
      </c>
      <c r="AF384" t="s">
        <v>14191</v>
      </c>
      <c r="AH384" t="s">
        <v>2252</v>
      </c>
      <c r="AI384" t="s">
        <v>214</v>
      </c>
      <c r="AJ384" s="4" t="str">
        <f>"70809"</f>
        <v>70809</v>
      </c>
      <c r="AK384" t="s">
        <v>120</v>
      </c>
      <c r="AM384" s="5">
        <v>12257529177</v>
      </c>
      <c r="AO384" t="s">
        <v>7137</v>
      </c>
      <c r="AP384" t="s">
        <v>256</v>
      </c>
      <c r="AQ384" t="s">
        <v>885</v>
      </c>
      <c r="AR384" t="s">
        <v>886</v>
      </c>
      <c r="AT384" t="s">
        <v>887</v>
      </c>
      <c r="AV384" t="s">
        <v>888</v>
      </c>
      <c r="AW384" t="s">
        <v>232</v>
      </c>
      <c r="AX384" s="4" t="str">
        <f>"75098"</f>
        <v>75098</v>
      </c>
      <c r="AY384" t="s">
        <v>120</v>
      </c>
      <c r="BA384" s="5">
        <v>19724424244</v>
      </c>
      <c r="BC384" t="s">
        <v>889</v>
      </c>
      <c r="BD384" t="s">
        <v>1264</v>
      </c>
      <c r="BG384" t="s">
        <v>214</v>
      </c>
      <c r="BH384" s="1">
        <v>44881.791666666664</v>
      </c>
      <c r="BI384">
        <v>40</v>
      </c>
      <c r="BJ384">
        <v>0</v>
      </c>
      <c r="BK384">
        <v>8</v>
      </c>
      <c r="BL384">
        <v>8</v>
      </c>
      <c r="BM384">
        <v>8</v>
      </c>
      <c r="BN384">
        <v>8</v>
      </c>
      <c r="BO384">
        <v>8</v>
      </c>
      <c r="BP384">
        <v>0</v>
      </c>
      <c r="BQ384" t="str">
        <f>"5:00 AM"</f>
        <v>5:00 AM</v>
      </c>
      <c r="BR384" t="str">
        <f>"4:00 PM"</f>
        <v>4:00 PM</v>
      </c>
      <c r="BS384" t="s">
        <v>133</v>
      </c>
      <c r="BT384">
        <v>0</v>
      </c>
      <c r="BU384">
        <v>0</v>
      </c>
      <c r="BV384" t="s">
        <v>134</v>
      </c>
      <c r="BX384" s="2" t="s">
        <v>14192</v>
      </c>
      <c r="BY384" t="s">
        <v>14191</v>
      </c>
      <c r="CA384" t="s">
        <v>2252</v>
      </c>
      <c r="CB384" t="s">
        <v>214</v>
      </c>
      <c r="CC384" s="4" t="str">
        <f>"70809"</f>
        <v>70809</v>
      </c>
      <c r="CD384" t="s">
        <v>2247</v>
      </c>
      <c r="CE384" t="s">
        <v>737</v>
      </c>
      <c r="CF384" s="6">
        <v>14.87</v>
      </c>
      <c r="CG384" s="6">
        <v>18</v>
      </c>
      <c r="CH384" s="6">
        <v>22.31</v>
      </c>
      <c r="CI384" s="6">
        <v>27</v>
      </c>
      <c r="CJ384" t="s">
        <v>137</v>
      </c>
      <c r="CL384" t="s">
        <v>14193</v>
      </c>
      <c r="CO384" t="s">
        <v>138</v>
      </c>
      <c r="CP384" t="s">
        <v>114</v>
      </c>
      <c r="CQ384" t="s">
        <v>114</v>
      </c>
      <c r="CR384" t="s">
        <v>114</v>
      </c>
      <c r="CS384" t="s">
        <v>114</v>
      </c>
      <c r="CT384" t="s">
        <v>114</v>
      </c>
      <c r="CU384" t="s">
        <v>114</v>
      </c>
      <c r="CV384" t="s">
        <v>14194</v>
      </c>
      <c r="CW384" s="5" t="str">
        <f>"+12257529177"</f>
        <v>+12257529177</v>
      </c>
      <c r="CX384" t="s">
        <v>138</v>
      </c>
      <c r="CY384" t="s">
        <v>2996</v>
      </c>
      <c r="CZ384" t="s">
        <v>139</v>
      </c>
      <c r="DA384" t="s">
        <v>134</v>
      </c>
      <c r="DB384" t="s">
        <v>134</v>
      </c>
      <c r="DC384" t="s">
        <v>114</v>
      </c>
      <c r="DD384" t="s">
        <v>134</v>
      </c>
    </row>
    <row r="385" spans="1:113" ht="15" customHeight="1" x14ac:dyDescent="0.25">
      <c r="A385" t="s">
        <v>16767</v>
      </c>
      <c r="B385" t="s">
        <v>165</v>
      </c>
      <c r="C385" s="1">
        <v>44882.691563773151</v>
      </c>
      <c r="D385" s="1">
        <v>44910</v>
      </c>
      <c r="E385" t="s">
        <v>134</v>
      </c>
      <c r="F385" t="s">
        <v>1357</v>
      </c>
      <c r="G385" t="str">
        <f>"39-3091.00"</f>
        <v>39-3091.00</v>
      </c>
      <c r="H385" t="s">
        <v>362</v>
      </c>
      <c r="I385">
        <v>30</v>
      </c>
      <c r="J385">
        <v>30</v>
      </c>
      <c r="K385" s="1">
        <v>44972</v>
      </c>
      <c r="L385" s="1">
        <v>45266</v>
      </c>
      <c r="M385" s="1">
        <v>44972</v>
      </c>
      <c r="N385" s="1">
        <v>45266</v>
      </c>
      <c r="O385" t="s">
        <v>199</v>
      </c>
      <c r="P385" t="s">
        <v>16768</v>
      </c>
      <c r="Q385" t="s">
        <v>16769</v>
      </c>
      <c r="R385" t="s">
        <v>16770</v>
      </c>
      <c r="T385" t="s">
        <v>16771</v>
      </c>
      <c r="U385" t="s">
        <v>119</v>
      </c>
      <c r="V385" s="4" t="str">
        <f>"27525"</f>
        <v>27525</v>
      </c>
      <c r="W385" t="s">
        <v>120</v>
      </c>
      <c r="Y385" s="5">
        <v>19195291081</v>
      </c>
      <c r="AA385">
        <v>71119</v>
      </c>
      <c r="AB385" t="s">
        <v>1832</v>
      </c>
      <c r="AC385" t="s">
        <v>2653</v>
      </c>
      <c r="AD385" t="s">
        <v>1857</v>
      </c>
      <c r="AE385" t="s">
        <v>424</v>
      </c>
      <c r="AF385" t="s">
        <v>16770</v>
      </c>
      <c r="AH385" t="s">
        <v>16771</v>
      </c>
      <c r="AI385" t="s">
        <v>119</v>
      </c>
      <c r="AJ385" s="4" t="str">
        <f>"27525"</f>
        <v>27525</v>
      </c>
      <c r="AK385" t="s">
        <v>120</v>
      </c>
      <c r="AM385" s="5">
        <v>19194144771</v>
      </c>
      <c r="AO385" t="s">
        <v>16772</v>
      </c>
      <c r="AP385" t="s">
        <v>256</v>
      </c>
      <c r="AQ385" t="s">
        <v>535</v>
      </c>
      <c r="AR385" t="s">
        <v>536</v>
      </c>
      <c r="AS385" t="s">
        <v>537</v>
      </c>
      <c r="AT385" t="s">
        <v>538</v>
      </c>
      <c r="AU385" t="s">
        <v>539</v>
      </c>
      <c r="AV385" t="s">
        <v>540</v>
      </c>
      <c r="AW385" t="s">
        <v>232</v>
      </c>
      <c r="AX385" s="4" t="str">
        <f>"78550"</f>
        <v>78550</v>
      </c>
      <c r="AY385" t="s">
        <v>120</v>
      </c>
      <c r="BA385" s="5">
        <v>19564408720</v>
      </c>
      <c r="BB385">
        <v>0</v>
      </c>
      <c r="BC385" t="s">
        <v>563</v>
      </c>
      <c r="BD385" t="s">
        <v>543</v>
      </c>
      <c r="BG385" t="s">
        <v>119</v>
      </c>
      <c r="BH385" s="1">
        <v>44881.791666666664</v>
      </c>
      <c r="BI385">
        <v>40</v>
      </c>
      <c r="BJ385">
        <v>8</v>
      </c>
      <c r="BK385">
        <v>0</v>
      </c>
      <c r="BL385">
        <v>0</v>
      </c>
      <c r="BM385">
        <v>8</v>
      </c>
      <c r="BN385">
        <v>8</v>
      </c>
      <c r="BO385">
        <v>8</v>
      </c>
      <c r="BP385">
        <v>8</v>
      </c>
      <c r="BQ385" t="str">
        <f>"1:00 PM"</f>
        <v>1:00 PM</v>
      </c>
      <c r="BR385" t="str">
        <f>"10:00 PM"</f>
        <v>10:00 PM</v>
      </c>
      <c r="BS385" t="s">
        <v>133</v>
      </c>
      <c r="BT385">
        <v>0</v>
      </c>
      <c r="BU385">
        <v>0</v>
      </c>
      <c r="BV385" t="s">
        <v>134</v>
      </c>
      <c r="BX385" s="2" t="s">
        <v>579</v>
      </c>
      <c r="BY385" t="s">
        <v>16770</v>
      </c>
      <c r="CA385" t="s">
        <v>16771</v>
      </c>
      <c r="CB385" t="s">
        <v>119</v>
      </c>
      <c r="CC385" s="4" t="str">
        <f>"27525"</f>
        <v>27525</v>
      </c>
      <c r="CD385" t="s">
        <v>1679</v>
      </c>
      <c r="CE385" t="s">
        <v>2392</v>
      </c>
      <c r="CF385" s="6">
        <v>9.75</v>
      </c>
      <c r="CG385" s="6">
        <v>12.04</v>
      </c>
      <c r="CJ385" t="s">
        <v>137</v>
      </c>
      <c r="CK385" t="s">
        <v>549</v>
      </c>
      <c r="CL385" t="s">
        <v>16773</v>
      </c>
      <c r="CO385" t="s">
        <v>138</v>
      </c>
      <c r="CP385" t="s">
        <v>114</v>
      </c>
      <c r="CQ385" t="s">
        <v>114</v>
      </c>
      <c r="CR385" t="s">
        <v>134</v>
      </c>
      <c r="CS385" t="s">
        <v>114</v>
      </c>
      <c r="CT385" t="s">
        <v>114</v>
      </c>
      <c r="CU385" t="s">
        <v>114</v>
      </c>
      <c r="CV385" t="s">
        <v>569</v>
      </c>
      <c r="CW385" s="5" t="str">
        <f>"+19195291081"</f>
        <v>+19195291081</v>
      </c>
      <c r="CX385" t="s">
        <v>16774</v>
      </c>
      <c r="CY385" t="s">
        <v>138</v>
      </c>
      <c r="CZ385" t="s">
        <v>139</v>
      </c>
      <c r="DA385" t="s">
        <v>134</v>
      </c>
      <c r="DB385" t="s">
        <v>114</v>
      </c>
      <c r="DC385" t="s">
        <v>114</v>
      </c>
      <c r="DD385" t="s">
        <v>134</v>
      </c>
    </row>
    <row r="386" spans="1:113" ht="15" customHeight="1" x14ac:dyDescent="0.25">
      <c r="A386" t="s">
        <v>9290</v>
      </c>
      <c r="B386" t="s">
        <v>165</v>
      </c>
      <c r="C386" s="1">
        <v>44882.679788657406</v>
      </c>
      <c r="D386" s="1">
        <v>44910</v>
      </c>
      <c r="E386" t="s">
        <v>134</v>
      </c>
      <c r="F386" t="s">
        <v>334</v>
      </c>
      <c r="G386" t="str">
        <f>"37-3011.00"</f>
        <v>37-3011.00</v>
      </c>
      <c r="H386" t="s">
        <v>335</v>
      </c>
      <c r="I386">
        <v>35</v>
      </c>
      <c r="J386">
        <v>35</v>
      </c>
      <c r="K386" s="1">
        <v>44972</v>
      </c>
      <c r="L386" s="1">
        <v>45269</v>
      </c>
      <c r="M386" s="1">
        <v>44972</v>
      </c>
      <c r="N386" s="1">
        <v>45269</v>
      </c>
      <c r="O386" t="s">
        <v>117</v>
      </c>
      <c r="P386" t="s">
        <v>9291</v>
      </c>
      <c r="Q386" t="s">
        <v>9292</v>
      </c>
      <c r="R386" t="s">
        <v>9293</v>
      </c>
      <c r="T386" t="s">
        <v>1629</v>
      </c>
      <c r="U386" t="s">
        <v>697</v>
      </c>
      <c r="V386" s="4" t="str">
        <f>"63129"</f>
        <v>63129</v>
      </c>
      <c r="W386" t="s">
        <v>120</v>
      </c>
      <c r="Y386" s="5">
        <v>13148929500</v>
      </c>
      <c r="AA386">
        <v>56173</v>
      </c>
      <c r="AB386" t="s">
        <v>9294</v>
      </c>
      <c r="AC386" t="s">
        <v>9295</v>
      </c>
      <c r="AE386" t="s">
        <v>1526</v>
      </c>
      <c r="AF386" t="s">
        <v>9293</v>
      </c>
      <c r="AH386" t="s">
        <v>1629</v>
      </c>
      <c r="AI386" t="s">
        <v>697</v>
      </c>
      <c r="AJ386" s="4" t="str">
        <f>"63129"</f>
        <v>63129</v>
      </c>
      <c r="AK386" t="s">
        <v>120</v>
      </c>
      <c r="AM386" s="5">
        <v>13148929500</v>
      </c>
      <c r="AO386" t="s">
        <v>9296</v>
      </c>
      <c r="AP386" t="s">
        <v>256</v>
      </c>
      <c r="AQ386" t="s">
        <v>400</v>
      </c>
      <c r="AR386" t="s">
        <v>401</v>
      </c>
      <c r="AS386" t="s">
        <v>397</v>
      </c>
      <c r="AT386" t="s">
        <v>402</v>
      </c>
      <c r="AU386" t="s">
        <v>152</v>
      </c>
      <c r="AV386" t="s">
        <v>403</v>
      </c>
      <c r="AW386" t="s">
        <v>232</v>
      </c>
      <c r="AX386" s="4" t="str">
        <f>"75033"</f>
        <v>75033</v>
      </c>
      <c r="AY386" t="s">
        <v>120</v>
      </c>
      <c r="BA386" s="5">
        <v>19727789690</v>
      </c>
      <c r="BC386" t="s">
        <v>905</v>
      </c>
      <c r="BD386" t="s">
        <v>405</v>
      </c>
      <c r="BG386" t="s">
        <v>697</v>
      </c>
      <c r="BH386" s="1">
        <v>44881.791666666664</v>
      </c>
      <c r="BI386">
        <v>36</v>
      </c>
      <c r="BJ386">
        <v>0</v>
      </c>
      <c r="BK386">
        <v>9</v>
      </c>
      <c r="BL386">
        <v>9</v>
      </c>
      <c r="BM386">
        <v>9</v>
      </c>
      <c r="BN386">
        <v>9</v>
      </c>
      <c r="BO386">
        <v>0</v>
      </c>
      <c r="BP386">
        <v>0</v>
      </c>
      <c r="BQ386" t="str">
        <f>"6:30 AM"</f>
        <v>6:30 AM</v>
      </c>
      <c r="BR386" t="str">
        <f>"4:30 PM"</f>
        <v>4:30 PM</v>
      </c>
      <c r="BS386" t="s">
        <v>133</v>
      </c>
      <c r="BT386">
        <v>0</v>
      </c>
      <c r="BU386">
        <v>0</v>
      </c>
      <c r="BV386" t="s">
        <v>134</v>
      </c>
      <c r="BX386" s="2" t="s">
        <v>9297</v>
      </c>
      <c r="BY386" t="s">
        <v>9298</v>
      </c>
      <c r="CA386" t="s">
        <v>1629</v>
      </c>
      <c r="CB386" t="s">
        <v>697</v>
      </c>
      <c r="CC386" s="4" t="str">
        <f>"63129"</f>
        <v>63129</v>
      </c>
      <c r="CD386" t="s">
        <v>712</v>
      </c>
      <c r="CE386" t="s">
        <v>713</v>
      </c>
      <c r="CF386" s="6">
        <v>16.96</v>
      </c>
      <c r="CH386" s="6">
        <v>25.44</v>
      </c>
      <c r="CJ386" t="s">
        <v>137</v>
      </c>
      <c r="CK386" t="s">
        <v>7343</v>
      </c>
      <c r="CL386" t="s">
        <v>9299</v>
      </c>
      <c r="CO386" t="s">
        <v>138</v>
      </c>
      <c r="CP386" t="s">
        <v>114</v>
      </c>
      <c r="CQ386" t="s">
        <v>114</v>
      </c>
      <c r="CR386" t="s">
        <v>114</v>
      </c>
      <c r="CS386" t="s">
        <v>114</v>
      </c>
      <c r="CT386" t="s">
        <v>114</v>
      </c>
      <c r="CU386" t="s">
        <v>114</v>
      </c>
      <c r="CV386" s="2" t="s">
        <v>9300</v>
      </c>
      <c r="CW386" s="5" t="str">
        <f>"+13148929500"</f>
        <v>+13148929500</v>
      </c>
      <c r="CX386" t="s">
        <v>138</v>
      </c>
      <c r="CY386" t="s">
        <v>9301</v>
      </c>
      <c r="CZ386" t="s">
        <v>139</v>
      </c>
      <c r="DA386" t="s">
        <v>134</v>
      </c>
      <c r="DB386" t="s">
        <v>134</v>
      </c>
      <c r="DC386" t="s">
        <v>114</v>
      </c>
      <c r="DD386" t="s">
        <v>134</v>
      </c>
    </row>
    <row r="387" spans="1:113" ht="15" customHeight="1" x14ac:dyDescent="0.25">
      <c r="A387" t="s">
        <v>16777</v>
      </c>
      <c r="B387" t="s">
        <v>165</v>
      </c>
      <c r="C387" s="1">
        <v>44882.617360300923</v>
      </c>
      <c r="D387" s="1">
        <v>44910</v>
      </c>
      <c r="E387" t="s">
        <v>134</v>
      </c>
      <c r="F387" t="s">
        <v>334</v>
      </c>
      <c r="G387" t="str">
        <f>"37-3011.00"</f>
        <v>37-3011.00</v>
      </c>
      <c r="H387" t="s">
        <v>335</v>
      </c>
      <c r="I387">
        <v>25</v>
      </c>
      <c r="J387">
        <v>25</v>
      </c>
      <c r="K387" s="1">
        <v>44972</v>
      </c>
      <c r="L387" s="1">
        <v>45275</v>
      </c>
      <c r="M387" s="1">
        <v>44972</v>
      </c>
      <c r="N387" s="1">
        <v>45275</v>
      </c>
      <c r="O387" t="s">
        <v>199</v>
      </c>
      <c r="P387" t="s">
        <v>14846</v>
      </c>
      <c r="R387" t="s">
        <v>14847</v>
      </c>
      <c r="S387" t="s">
        <v>14848</v>
      </c>
      <c r="T387" t="s">
        <v>7067</v>
      </c>
      <c r="U387" t="s">
        <v>748</v>
      </c>
      <c r="V387" s="4" t="str">
        <f>"19520"</f>
        <v>19520</v>
      </c>
      <c r="W387" t="s">
        <v>120</v>
      </c>
      <c r="Y387" s="5">
        <v>16109422000</v>
      </c>
      <c r="AA387">
        <v>56173</v>
      </c>
      <c r="AB387" t="s">
        <v>14849</v>
      </c>
      <c r="AC387" t="s">
        <v>1413</v>
      </c>
      <c r="AE387" t="s">
        <v>5908</v>
      </c>
      <c r="AF387" t="s">
        <v>14847</v>
      </c>
      <c r="AG387" t="s">
        <v>14848</v>
      </c>
      <c r="AH387" t="s">
        <v>7067</v>
      </c>
      <c r="AI387" t="s">
        <v>748</v>
      </c>
      <c r="AJ387" s="4" t="str">
        <f>"19520"</f>
        <v>19520</v>
      </c>
      <c r="AK387" t="s">
        <v>120</v>
      </c>
      <c r="AM387" s="5">
        <v>16109422000</v>
      </c>
      <c r="AO387" t="s">
        <v>138</v>
      </c>
      <c r="AP387" t="s">
        <v>256</v>
      </c>
      <c r="AQ387" t="s">
        <v>1468</v>
      </c>
      <c r="AR387" t="s">
        <v>1469</v>
      </c>
      <c r="AS387" t="s">
        <v>1470</v>
      </c>
      <c r="AT387" t="s">
        <v>1471</v>
      </c>
      <c r="AU387" t="s">
        <v>1472</v>
      </c>
      <c r="AV387" t="s">
        <v>1473</v>
      </c>
      <c r="AW387" t="s">
        <v>479</v>
      </c>
      <c r="AX387" s="4" t="str">
        <f>"22949"</f>
        <v>22949</v>
      </c>
      <c r="AY387" t="s">
        <v>120</v>
      </c>
      <c r="BA387" s="5">
        <v>14342634300</v>
      </c>
      <c r="BC387" t="s">
        <v>1671</v>
      </c>
      <c r="BD387" t="s">
        <v>481</v>
      </c>
      <c r="BG387" t="s">
        <v>748</v>
      </c>
      <c r="BH387" s="1">
        <v>44881.791666666664</v>
      </c>
      <c r="BI387">
        <v>40</v>
      </c>
      <c r="BJ387">
        <v>0</v>
      </c>
      <c r="BK387">
        <v>8</v>
      </c>
      <c r="BL387">
        <v>8</v>
      </c>
      <c r="BM387">
        <v>8</v>
      </c>
      <c r="BN387">
        <v>8</v>
      </c>
      <c r="BO387">
        <v>8</v>
      </c>
      <c r="BP387">
        <v>0</v>
      </c>
      <c r="BQ387" t="str">
        <f>"6:00 AM"</f>
        <v>6:00 AM</v>
      </c>
      <c r="BR387" t="str">
        <f>"2:30 PM"</f>
        <v>2:30 PM</v>
      </c>
      <c r="BS387" t="s">
        <v>133</v>
      </c>
      <c r="BT387">
        <v>0</v>
      </c>
      <c r="BU387">
        <v>0</v>
      </c>
      <c r="BV387" t="s">
        <v>134</v>
      </c>
      <c r="BX387" s="2" t="s">
        <v>14850</v>
      </c>
      <c r="BY387" t="s">
        <v>14851</v>
      </c>
      <c r="CA387" t="s">
        <v>7067</v>
      </c>
      <c r="CB387" t="s">
        <v>748</v>
      </c>
      <c r="CC387" s="4" t="str">
        <f>"19520"</f>
        <v>19520</v>
      </c>
      <c r="CD387" t="s">
        <v>1265</v>
      </c>
      <c r="CE387" t="s">
        <v>1266</v>
      </c>
      <c r="CF387" s="6">
        <v>17.82</v>
      </c>
      <c r="CH387" s="6">
        <v>26.73</v>
      </c>
      <c r="CJ387" t="s">
        <v>137</v>
      </c>
      <c r="CK387" t="s">
        <v>487</v>
      </c>
      <c r="CL387" t="s">
        <v>14852</v>
      </c>
      <c r="CO387" t="s">
        <v>138</v>
      </c>
      <c r="CP387" t="s">
        <v>114</v>
      </c>
      <c r="CQ387" t="s">
        <v>114</v>
      </c>
      <c r="CR387" t="s">
        <v>114</v>
      </c>
      <c r="CS387" t="s">
        <v>114</v>
      </c>
      <c r="CT387" t="s">
        <v>114</v>
      </c>
      <c r="CU387" t="s">
        <v>134</v>
      </c>
      <c r="CV387" t="s">
        <v>14853</v>
      </c>
      <c r="CW387" s="5" t="str">
        <f>"+16109422000"</f>
        <v>+16109422000</v>
      </c>
      <c r="CX387" t="s">
        <v>138</v>
      </c>
      <c r="CY387" t="s">
        <v>1476</v>
      </c>
      <c r="CZ387" t="s">
        <v>139</v>
      </c>
      <c r="DA387" t="s">
        <v>134</v>
      </c>
      <c r="DB387" t="s">
        <v>114</v>
      </c>
      <c r="DC387" t="s">
        <v>114</v>
      </c>
      <c r="DD387" t="s">
        <v>134</v>
      </c>
      <c r="DE387" t="s">
        <v>1675</v>
      </c>
      <c r="DF387" t="s">
        <v>1676</v>
      </c>
      <c r="DH387" t="s">
        <v>481</v>
      </c>
      <c r="DI387" t="s">
        <v>1671</v>
      </c>
    </row>
    <row r="388" spans="1:113" ht="15" customHeight="1" x14ac:dyDescent="0.25">
      <c r="A388" t="s">
        <v>16758</v>
      </c>
      <c r="B388" t="s">
        <v>165</v>
      </c>
      <c r="C388" s="1">
        <v>44882.592417939813</v>
      </c>
      <c r="D388" s="1">
        <v>44910</v>
      </c>
      <c r="E388" t="s">
        <v>134</v>
      </c>
      <c r="F388" t="s">
        <v>115</v>
      </c>
      <c r="G388" t="str">
        <f>"37-2012.00"</f>
        <v>37-2012.00</v>
      </c>
      <c r="H388" t="s">
        <v>116</v>
      </c>
      <c r="I388">
        <v>16</v>
      </c>
      <c r="J388">
        <v>16</v>
      </c>
      <c r="K388" s="1">
        <v>44972</v>
      </c>
      <c r="L388" s="1">
        <v>45245</v>
      </c>
      <c r="M388" s="1">
        <v>44972</v>
      </c>
      <c r="N388" s="1">
        <v>45245</v>
      </c>
      <c r="O388" t="s">
        <v>117</v>
      </c>
      <c r="P388" t="s">
        <v>11251</v>
      </c>
      <c r="Q388" t="s">
        <v>11252</v>
      </c>
      <c r="R388" t="s">
        <v>11253</v>
      </c>
      <c r="T388" t="s">
        <v>2206</v>
      </c>
      <c r="U388" t="s">
        <v>232</v>
      </c>
      <c r="V388" s="4" t="str">
        <f>"76102"</f>
        <v>76102</v>
      </c>
      <c r="W388" t="s">
        <v>120</v>
      </c>
      <c r="Y388" s="5">
        <v>18175356664</v>
      </c>
      <c r="AA388">
        <v>72111</v>
      </c>
      <c r="AB388" t="s">
        <v>262</v>
      </c>
      <c r="AC388" t="s">
        <v>11254</v>
      </c>
      <c r="AE388" t="s">
        <v>474</v>
      </c>
      <c r="AF388" t="s">
        <v>11253</v>
      </c>
      <c r="AH388" t="s">
        <v>2206</v>
      </c>
      <c r="AI388" t="s">
        <v>232</v>
      </c>
      <c r="AJ388" s="4" t="str">
        <f>"76102"</f>
        <v>76102</v>
      </c>
      <c r="AK388" t="s">
        <v>120</v>
      </c>
      <c r="AM388" s="5">
        <v>18175356664</v>
      </c>
      <c r="AO388" t="s">
        <v>2094</v>
      </c>
      <c r="AP388" t="s">
        <v>256</v>
      </c>
      <c r="AQ388" t="s">
        <v>400</v>
      </c>
      <c r="AR388" t="s">
        <v>401</v>
      </c>
      <c r="AS388" t="s">
        <v>397</v>
      </c>
      <c r="AT388" t="s">
        <v>402</v>
      </c>
      <c r="AU388" t="s">
        <v>152</v>
      </c>
      <c r="AV388" t="s">
        <v>403</v>
      </c>
      <c r="AW388" t="s">
        <v>232</v>
      </c>
      <c r="AX388" s="4" t="str">
        <f>"75033"</f>
        <v>75033</v>
      </c>
      <c r="AY388" t="s">
        <v>120</v>
      </c>
      <c r="BA388" s="5">
        <v>19727789690</v>
      </c>
      <c r="BC388" t="s">
        <v>1503</v>
      </c>
      <c r="BD388" t="s">
        <v>405</v>
      </c>
      <c r="BG388" t="s">
        <v>232</v>
      </c>
      <c r="BH388" s="1">
        <v>44881.791666666664</v>
      </c>
      <c r="BI388">
        <v>40</v>
      </c>
      <c r="BJ388">
        <v>8</v>
      </c>
      <c r="BK388">
        <v>0</v>
      </c>
      <c r="BL388">
        <v>0</v>
      </c>
      <c r="BM388">
        <v>8</v>
      </c>
      <c r="BN388">
        <v>8</v>
      </c>
      <c r="BO388">
        <v>8</v>
      </c>
      <c r="BP388">
        <v>8</v>
      </c>
      <c r="BQ388" t="str">
        <f>"8:00 AM"</f>
        <v>8:00 AM</v>
      </c>
      <c r="BR388" t="str">
        <f>"4:30 PM"</f>
        <v>4:30 PM</v>
      </c>
      <c r="BS388" t="s">
        <v>133</v>
      </c>
      <c r="BT388">
        <v>0</v>
      </c>
      <c r="BU388">
        <v>0</v>
      </c>
      <c r="BV388" t="s">
        <v>134</v>
      </c>
      <c r="BX388" s="2" t="s">
        <v>16759</v>
      </c>
      <c r="BY388" t="s">
        <v>11253</v>
      </c>
      <c r="CA388" t="s">
        <v>2206</v>
      </c>
      <c r="CB388" t="s">
        <v>232</v>
      </c>
      <c r="CC388" s="4" t="str">
        <f>"76102"</f>
        <v>76102</v>
      </c>
      <c r="CD388" t="s">
        <v>2054</v>
      </c>
      <c r="CE388" t="s">
        <v>1528</v>
      </c>
      <c r="CF388" s="6">
        <v>15</v>
      </c>
      <c r="CH388" s="6">
        <v>22.5</v>
      </c>
      <c r="CJ388" t="s">
        <v>137</v>
      </c>
      <c r="CK388" t="s">
        <v>4437</v>
      </c>
      <c r="CL388" t="s">
        <v>11256</v>
      </c>
      <c r="CO388" t="s">
        <v>138</v>
      </c>
      <c r="CP388" t="s">
        <v>134</v>
      </c>
      <c r="CQ388" t="s">
        <v>134</v>
      </c>
      <c r="CR388" t="s">
        <v>114</v>
      </c>
      <c r="CS388" t="s">
        <v>114</v>
      </c>
      <c r="CT388" t="s">
        <v>114</v>
      </c>
      <c r="CU388" t="s">
        <v>114</v>
      </c>
      <c r="CV388" s="2" t="s">
        <v>16760</v>
      </c>
      <c r="CW388" s="5" t="str">
        <f>"+18173504060"</f>
        <v>+18173504060</v>
      </c>
      <c r="CX388" t="s">
        <v>138</v>
      </c>
      <c r="CY388" t="s">
        <v>1913</v>
      </c>
      <c r="CZ388" t="s">
        <v>139</v>
      </c>
      <c r="DA388" t="s">
        <v>134</v>
      </c>
      <c r="DB388" t="s">
        <v>114</v>
      </c>
      <c r="DC388" t="s">
        <v>114</v>
      </c>
      <c r="DD388" t="s">
        <v>134</v>
      </c>
    </row>
    <row r="389" spans="1:113" ht="15" customHeight="1" x14ac:dyDescent="0.25">
      <c r="A389" t="s">
        <v>7241</v>
      </c>
      <c r="B389" t="s">
        <v>165</v>
      </c>
      <c r="C389" s="1">
        <v>44882.541789120369</v>
      </c>
      <c r="D389" s="1">
        <v>44910</v>
      </c>
      <c r="E389" t="s">
        <v>134</v>
      </c>
      <c r="F389" t="s">
        <v>334</v>
      </c>
      <c r="G389" t="str">
        <f t="shared" ref="G389:G394" si="27">"37-3011.00"</f>
        <v>37-3011.00</v>
      </c>
      <c r="H389" t="s">
        <v>335</v>
      </c>
      <c r="I389">
        <v>21</v>
      </c>
      <c r="J389">
        <v>21</v>
      </c>
      <c r="K389" s="1">
        <v>44972</v>
      </c>
      <c r="L389" s="1">
        <v>45245</v>
      </c>
      <c r="M389" s="1">
        <v>44972</v>
      </c>
      <c r="N389" s="1">
        <v>45245</v>
      </c>
      <c r="O389" t="s">
        <v>117</v>
      </c>
      <c r="P389" t="s">
        <v>7242</v>
      </c>
      <c r="Q389" t="s">
        <v>7243</v>
      </c>
      <c r="R389" t="s">
        <v>7244</v>
      </c>
      <c r="T389" t="s">
        <v>4031</v>
      </c>
      <c r="U389" t="s">
        <v>232</v>
      </c>
      <c r="V389" s="4" t="str">
        <f>"75067"</f>
        <v>75067</v>
      </c>
      <c r="W389" t="s">
        <v>120</v>
      </c>
      <c r="Y389" s="5">
        <v>19722215296</v>
      </c>
      <c r="AA389">
        <v>56173</v>
      </c>
      <c r="AB389" t="s">
        <v>1481</v>
      </c>
      <c r="AC389" t="s">
        <v>975</v>
      </c>
      <c r="AE389" t="s">
        <v>342</v>
      </c>
      <c r="AF389" t="s">
        <v>7244</v>
      </c>
      <c r="AH389" t="s">
        <v>4031</v>
      </c>
      <c r="AI389" t="s">
        <v>232</v>
      </c>
      <c r="AJ389" s="4" t="str">
        <f>"75067"</f>
        <v>75067</v>
      </c>
      <c r="AK389" t="s">
        <v>120</v>
      </c>
      <c r="AM389" s="5">
        <v>19722215296</v>
      </c>
      <c r="AO389" t="s">
        <v>7245</v>
      </c>
      <c r="AP389" t="s">
        <v>256</v>
      </c>
      <c r="AQ389" t="s">
        <v>885</v>
      </c>
      <c r="AR389" t="s">
        <v>886</v>
      </c>
      <c r="AT389" t="s">
        <v>887</v>
      </c>
      <c r="AV389" t="s">
        <v>888</v>
      </c>
      <c r="AW389" t="s">
        <v>232</v>
      </c>
      <c r="AX389" s="4" t="str">
        <f>"75098"</f>
        <v>75098</v>
      </c>
      <c r="AY389" t="s">
        <v>120</v>
      </c>
      <c r="BA389" s="5">
        <v>19724424244</v>
      </c>
      <c r="BC389" t="s">
        <v>889</v>
      </c>
      <c r="BD389" t="s">
        <v>1264</v>
      </c>
      <c r="BG389" t="s">
        <v>232</v>
      </c>
      <c r="BH389" s="1">
        <v>44881.791666666664</v>
      </c>
      <c r="BI389">
        <v>40</v>
      </c>
      <c r="BJ389">
        <v>0</v>
      </c>
      <c r="BK389">
        <v>8</v>
      </c>
      <c r="BL389">
        <v>8</v>
      </c>
      <c r="BM389">
        <v>8</v>
      </c>
      <c r="BN389">
        <v>8</v>
      </c>
      <c r="BO389">
        <v>8</v>
      </c>
      <c r="BP389">
        <v>0</v>
      </c>
      <c r="BQ389" t="str">
        <f>"8:00 AM"</f>
        <v>8:00 AM</v>
      </c>
      <c r="BR389" t="str">
        <f>"5:00 PM"</f>
        <v>5:00 PM</v>
      </c>
      <c r="BS389" t="s">
        <v>133</v>
      </c>
      <c r="BT389">
        <v>0</v>
      </c>
      <c r="BU389">
        <v>0</v>
      </c>
      <c r="BV389" t="s">
        <v>134</v>
      </c>
      <c r="BX389" s="2" t="s">
        <v>4623</v>
      </c>
      <c r="BY389" t="s">
        <v>7244</v>
      </c>
      <c r="CA389" t="s">
        <v>4031</v>
      </c>
      <c r="CB389" t="s">
        <v>232</v>
      </c>
      <c r="CC389" s="4" t="str">
        <f>"75067"</f>
        <v>75067</v>
      </c>
      <c r="CD389" t="s">
        <v>2071</v>
      </c>
      <c r="CE389" t="s">
        <v>1528</v>
      </c>
      <c r="CF389" s="6">
        <v>16.3</v>
      </c>
      <c r="CG389" s="6">
        <v>18.5</v>
      </c>
      <c r="CH389" s="6">
        <v>24.45</v>
      </c>
      <c r="CI389" s="6">
        <v>27.75</v>
      </c>
      <c r="CJ389" t="s">
        <v>137</v>
      </c>
      <c r="CL389" t="s">
        <v>7246</v>
      </c>
      <c r="CO389" t="s">
        <v>138</v>
      </c>
      <c r="CP389" t="s">
        <v>114</v>
      </c>
      <c r="CQ389" t="s">
        <v>114</v>
      </c>
      <c r="CR389" t="s">
        <v>114</v>
      </c>
      <c r="CS389" t="s">
        <v>114</v>
      </c>
      <c r="CT389" t="s">
        <v>114</v>
      </c>
      <c r="CU389" t="s">
        <v>114</v>
      </c>
      <c r="CV389" t="s">
        <v>219</v>
      </c>
      <c r="CW389" s="5" t="str">
        <f>"+19722215296"</f>
        <v>+19722215296</v>
      </c>
      <c r="CX389" t="s">
        <v>138</v>
      </c>
      <c r="CY389" t="s">
        <v>2072</v>
      </c>
      <c r="CZ389" t="s">
        <v>139</v>
      </c>
      <c r="DA389" t="s">
        <v>134</v>
      </c>
      <c r="DB389" t="s">
        <v>134</v>
      </c>
      <c r="DC389" t="s">
        <v>114</v>
      </c>
      <c r="DD389" t="s">
        <v>134</v>
      </c>
    </row>
    <row r="390" spans="1:113" ht="15" customHeight="1" x14ac:dyDescent="0.25">
      <c r="A390" t="s">
        <v>15614</v>
      </c>
      <c r="B390" t="s">
        <v>165</v>
      </c>
      <c r="C390" s="1">
        <v>44882.540011458332</v>
      </c>
      <c r="D390" s="1">
        <v>44910</v>
      </c>
      <c r="E390" t="s">
        <v>134</v>
      </c>
      <c r="F390" t="s">
        <v>1662</v>
      </c>
      <c r="G390" t="str">
        <f t="shared" si="27"/>
        <v>37-3011.00</v>
      </c>
      <c r="H390" t="s">
        <v>335</v>
      </c>
      <c r="I390">
        <v>14</v>
      </c>
      <c r="J390">
        <v>14</v>
      </c>
      <c r="K390" s="1">
        <v>44972</v>
      </c>
      <c r="L390" s="1">
        <v>45275</v>
      </c>
      <c r="M390" s="1">
        <v>44972</v>
      </c>
      <c r="N390" s="1">
        <v>45275</v>
      </c>
      <c r="O390" t="s">
        <v>199</v>
      </c>
      <c r="P390" t="s">
        <v>13321</v>
      </c>
      <c r="Q390" t="s">
        <v>13322</v>
      </c>
      <c r="R390" t="s">
        <v>13323</v>
      </c>
      <c r="T390" t="s">
        <v>13324</v>
      </c>
      <c r="U390" t="s">
        <v>1411</v>
      </c>
      <c r="V390" s="4" t="str">
        <f>"45342"</f>
        <v>45342</v>
      </c>
      <c r="W390" t="s">
        <v>120</v>
      </c>
      <c r="Y390" s="5">
        <v>19378478000</v>
      </c>
      <c r="AA390">
        <v>56173</v>
      </c>
      <c r="AB390" t="s">
        <v>13325</v>
      </c>
      <c r="AC390" t="s">
        <v>5585</v>
      </c>
      <c r="AE390" t="s">
        <v>824</v>
      </c>
      <c r="AF390" t="s">
        <v>13323</v>
      </c>
      <c r="AH390" t="s">
        <v>13324</v>
      </c>
      <c r="AI390" t="s">
        <v>1411</v>
      </c>
      <c r="AJ390" s="4" t="str">
        <f>"45342"</f>
        <v>45342</v>
      </c>
      <c r="AK390" t="s">
        <v>120</v>
      </c>
      <c r="AM390" s="5">
        <v>19378478000</v>
      </c>
      <c r="AO390" t="s">
        <v>13326</v>
      </c>
      <c r="AP390" t="s">
        <v>256</v>
      </c>
      <c r="AQ390" t="s">
        <v>1468</v>
      </c>
      <c r="AR390" t="s">
        <v>1469</v>
      </c>
      <c r="AS390" t="s">
        <v>2340</v>
      </c>
      <c r="AT390" t="s">
        <v>1471</v>
      </c>
      <c r="AU390" t="s">
        <v>1472</v>
      </c>
      <c r="AV390" t="s">
        <v>1473</v>
      </c>
      <c r="AW390" t="s">
        <v>479</v>
      </c>
      <c r="AX390" s="4" t="str">
        <f>"22949"</f>
        <v>22949</v>
      </c>
      <c r="AY390" t="s">
        <v>120</v>
      </c>
      <c r="BA390" s="5">
        <v>14342634300</v>
      </c>
      <c r="BC390" t="s">
        <v>4198</v>
      </c>
      <c r="BD390" t="s">
        <v>481</v>
      </c>
      <c r="BG390" t="s">
        <v>1411</v>
      </c>
      <c r="BH390" s="1">
        <v>44881.791666666664</v>
      </c>
      <c r="BI390">
        <v>40</v>
      </c>
      <c r="BJ390">
        <v>0</v>
      </c>
      <c r="BK390">
        <v>8</v>
      </c>
      <c r="BL390">
        <v>8</v>
      </c>
      <c r="BM390">
        <v>8</v>
      </c>
      <c r="BN390">
        <v>8</v>
      </c>
      <c r="BO390">
        <v>8</v>
      </c>
      <c r="BP390">
        <v>0</v>
      </c>
      <c r="BQ390" t="str">
        <f>"7:00 AM"</f>
        <v>7:00 AM</v>
      </c>
      <c r="BR390" t="str">
        <f>"3:30 PM"</f>
        <v>3:30 PM</v>
      </c>
      <c r="BS390" t="s">
        <v>133</v>
      </c>
      <c r="BT390">
        <v>0</v>
      </c>
      <c r="BU390">
        <v>3</v>
      </c>
      <c r="BV390" t="s">
        <v>134</v>
      </c>
      <c r="BX390" s="2" t="s">
        <v>6111</v>
      </c>
      <c r="BY390" t="s">
        <v>13327</v>
      </c>
      <c r="CA390" t="s">
        <v>13324</v>
      </c>
      <c r="CB390" t="s">
        <v>1411</v>
      </c>
      <c r="CC390" s="4" t="str">
        <f>"45342"</f>
        <v>45342</v>
      </c>
      <c r="CD390" t="s">
        <v>2007</v>
      </c>
      <c r="CE390" t="s">
        <v>2008</v>
      </c>
      <c r="CF390" s="6">
        <v>16.8</v>
      </c>
      <c r="CH390" s="6">
        <v>25.2</v>
      </c>
      <c r="CJ390" t="s">
        <v>137</v>
      </c>
      <c r="CK390" t="s">
        <v>487</v>
      </c>
      <c r="CL390" t="s">
        <v>13328</v>
      </c>
      <c r="CO390" t="s">
        <v>138</v>
      </c>
      <c r="CP390" t="s">
        <v>114</v>
      </c>
      <c r="CQ390" t="s">
        <v>114</v>
      </c>
      <c r="CR390" t="s">
        <v>114</v>
      </c>
      <c r="CS390" t="s">
        <v>134</v>
      </c>
      <c r="CT390" t="s">
        <v>114</v>
      </c>
      <c r="CU390" t="s">
        <v>114</v>
      </c>
      <c r="CV390" t="s">
        <v>15615</v>
      </c>
      <c r="CW390" s="5" t="str">
        <f>"N/A"</f>
        <v>N/A</v>
      </c>
      <c r="CX390" t="s">
        <v>13329</v>
      </c>
      <c r="CY390" t="s">
        <v>1657</v>
      </c>
      <c r="CZ390" t="s">
        <v>139</v>
      </c>
      <c r="DA390" t="s">
        <v>134</v>
      </c>
      <c r="DB390" t="s">
        <v>114</v>
      </c>
      <c r="DC390" t="s">
        <v>114</v>
      </c>
      <c r="DD390" t="s">
        <v>134</v>
      </c>
      <c r="DE390" t="s">
        <v>4199</v>
      </c>
      <c r="DF390" t="s">
        <v>3543</v>
      </c>
      <c r="DH390" t="s">
        <v>481</v>
      </c>
      <c r="DI390" t="s">
        <v>4198</v>
      </c>
    </row>
    <row r="391" spans="1:113" ht="15" customHeight="1" x14ac:dyDescent="0.25">
      <c r="A391" t="s">
        <v>14958</v>
      </c>
      <c r="B391" t="s">
        <v>165</v>
      </c>
      <c r="C391" s="1">
        <v>44882.52608703704</v>
      </c>
      <c r="D391" s="1">
        <v>44910</v>
      </c>
      <c r="E391" t="s">
        <v>134</v>
      </c>
      <c r="F391" t="s">
        <v>2219</v>
      </c>
      <c r="G391" t="str">
        <f t="shared" si="27"/>
        <v>37-3011.00</v>
      </c>
      <c r="H391" t="s">
        <v>335</v>
      </c>
      <c r="I391">
        <v>3</v>
      </c>
      <c r="J391">
        <v>3</v>
      </c>
      <c r="K391" s="1">
        <v>44972</v>
      </c>
      <c r="L391" s="1">
        <v>45274</v>
      </c>
      <c r="M391" s="1">
        <v>44972</v>
      </c>
      <c r="N391" s="1">
        <v>45274</v>
      </c>
      <c r="O391" t="s">
        <v>199</v>
      </c>
      <c r="P391" t="s">
        <v>14959</v>
      </c>
      <c r="R391" t="s">
        <v>14960</v>
      </c>
      <c r="T391" t="s">
        <v>7020</v>
      </c>
      <c r="U391" t="s">
        <v>479</v>
      </c>
      <c r="V391" s="4" t="str">
        <f>"22920"</f>
        <v>22920</v>
      </c>
      <c r="W391" t="s">
        <v>120</v>
      </c>
      <c r="Y391" s="5">
        <v>14343611588</v>
      </c>
      <c r="AA391">
        <v>56173</v>
      </c>
      <c r="AB391" t="s">
        <v>14961</v>
      </c>
      <c r="AC391" t="s">
        <v>5944</v>
      </c>
      <c r="AD391" t="s">
        <v>1897</v>
      </c>
      <c r="AE391" t="s">
        <v>1849</v>
      </c>
      <c r="AF391" t="s">
        <v>14962</v>
      </c>
      <c r="AH391" t="s">
        <v>14963</v>
      </c>
      <c r="AI391" t="s">
        <v>479</v>
      </c>
      <c r="AJ391" s="4" t="str">
        <f>"22920"</f>
        <v>22920</v>
      </c>
      <c r="AK391" t="s">
        <v>120</v>
      </c>
      <c r="AM391" s="5">
        <v>14343611588</v>
      </c>
      <c r="AO391" t="s">
        <v>14964</v>
      </c>
      <c r="AP391" t="s">
        <v>256</v>
      </c>
      <c r="AQ391" t="s">
        <v>1898</v>
      </c>
      <c r="AR391" t="s">
        <v>1899</v>
      </c>
      <c r="AS391" t="s">
        <v>1900</v>
      </c>
      <c r="AT391" t="s">
        <v>1901</v>
      </c>
      <c r="AV391" t="s">
        <v>1902</v>
      </c>
      <c r="AW391" t="s">
        <v>479</v>
      </c>
      <c r="AX391" s="4" t="str">
        <f>"23223"</f>
        <v>23223</v>
      </c>
      <c r="AY391" t="s">
        <v>120</v>
      </c>
      <c r="BA391" s="5">
        <v>18043019607</v>
      </c>
      <c r="BC391" t="s">
        <v>1903</v>
      </c>
      <c r="BD391" t="s">
        <v>1904</v>
      </c>
      <c r="BG391" t="s">
        <v>479</v>
      </c>
      <c r="BH391" s="1">
        <v>44878.791666666664</v>
      </c>
      <c r="BI391">
        <v>36</v>
      </c>
      <c r="BJ391">
        <v>0</v>
      </c>
      <c r="BK391">
        <v>9</v>
      </c>
      <c r="BL391">
        <v>9</v>
      </c>
      <c r="BM391">
        <v>9</v>
      </c>
      <c r="BN391">
        <v>9</v>
      </c>
      <c r="BO391">
        <v>0</v>
      </c>
      <c r="BP391">
        <v>0</v>
      </c>
      <c r="BQ391" t="str">
        <f>"7:30 AM"</f>
        <v>7:30 AM</v>
      </c>
      <c r="BR391" t="str">
        <f>"4:30 PM"</f>
        <v>4:30 PM</v>
      </c>
      <c r="BS391" t="s">
        <v>133</v>
      </c>
      <c r="BT391">
        <v>0</v>
      </c>
      <c r="BU391">
        <v>3</v>
      </c>
      <c r="BV391" t="s">
        <v>134</v>
      </c>
      <c r="BX391" t="s">
        <v>14965</v>
      </c>
      <c r="BY391" t="s">
        <v>14960</v>
      </c>
      <c r="CA391" t="s">
        <v>7020</v>
      </c>
      <c r="CB391" t="s">
        <v>479</v>
      </c>
      <c r="CC391" s="4" t="str">
        <f>"22920"</f>
        <v>22920</v>
      </c>
      <c r="CD391" t="s">
        <v>4049</v>
      </c>
      <c r="CE391" t="s">
        <v>4516</v>
      </c>
      <c r="CF391" s="6">
        <v>15.51</v>
      </c>
      <c r="CH391" s="6">
        <v>23.27</v>
      </c>
      <c r="CJ391" t="s">
        <v>137</v>
      </c>
      <c r="CK391" t="s">
        <v>14966</v>
      </c>
      <c r="CL391" t="s">
        <v>14967</v>
      </c>
      <c r="CO391" t="s">
        <v>138</v>
      </c>
      <c r="CP391" t="s">
        <v>134</v>
      </c>
      <c r="CQ391" t="s">
        <v>114</v>
      </c>
      <c r="CR391" t="s">
        <v>114</v>
      </c>
      <c r="CS391" t="s">
        <v>134</v>
      </c>
      <c r="CT391" t="s">
        <v>114</v>
      </c>
      <c r="CU391" t="s">
        <v>134</v>
      </c>
      <c r="CV391" t="s">
        <v>2222</v>
      </c>
      <c r="CW391" s="5" t="str">
        <f>"+14343611588"</f>
        <v>+14343611588</v>
      </c>
      <c r="CX391" t="s">
        <v>14968</v>
      </c>
      <c r="CY391" t="s">
        <v>138</v>
      </c>
      <c r="CZ391" t="s">
        <v>139</v>
      </c>
      <c r="DA391" t="s">
        <v>134</v>
      </c>
      <c r="DB391" t="s">
        <v>114</v>
      </c>
      <c r="DC391" t="s">
        <v>114</v>
      </c>
      <c r="DD391" t="s">
        <v>134</v>
      </c>
      <c r="DE391" t="s">
        <v>1898</v>
      </c>
      <c r="DF391" t="s">
        <v>1899</v>
      </c>
      <c r="DG391" t="s">
        <v>1905</v>
      </c>
      <c r="DH391" t="s">
        <v>1904</v>
      </c>
      <c r="DI391" t="s">
        <v>1903</v>
      </c>
    </row>
    <row r="392" spans="1:113" ht="15" customHeight="1" x14ac:dyDescent="0.25">
      <c r="A392" t="s">
        <v>6177</v>
      </c>
      <c r="B392" t="s">
        <v>165</v>
      </c>
      <c r="C392" s="1">
        <v>44882.4698943287</v>
      </c>
      <c r="D392" s="1">
        <v>44910</v>
      </c>
      <c r="E392" t="s">
        <v>134</v>
      </c>
      <c r="F392" t="s">
        <v>1219</v>
      </c>
      <c r="G392" t="str">
        <f t="shared" si="27"/>
        <v>37-3011.00</v>
      </c>
      <c r="H392" t="s">
        <v>335</v>
      </c>
      <c r="I392">
        <v>25</v>
      </c>
      <c r="J392">
        <v>25</v>
      </c>
      <c r="K392" s="1">
        <v>44972</v>
      </c>
      <c r="L392" s="1">
        <v>45274</v>
      </c>
      <c r="M392" s="1">
        <v>44972</v>
      </c>
      <c r="N392" s="1">
        <v>45274</v>
      </c>
      <c r="O392" t="s">
        <v>117</v>
      </c>
      <c r="P392" t="s">
        <v>5811</v>
      </c>
      <c r="R392" t="s">
        <v>5812</v>
      </c>
      <c r="S392" t="s">
        <v>138</v>
      </c>
      <c r="T392" t="s">
        <v>5813</v>
      </c>
      <c r="U392" t="s">
        <v>232</v>
      </c>
      <c r="V392" s="4" t="str">
        <f>"77573"</f>
        <v>77573</v>
      </c>
      <c r="W392" t="s">
        <v>120</v>
      </c>
      <c r="X392" t="s">
        <v>138</v>
      </c>
      <c r="Y392" s="5">
        <v>12813090500</v>
      </c>
      <c r="AA392">
        <v>561730</v>
      </c>
      <c r="AB392" t="s">
        <v>5814</v>
      </c>
      <c r="AC392" t="s">
        <v>5815</v>
      </c>
      <c r="AD392" t="s">
        <v>926</v>
      </c>
      <c r="AE392" t="s">
        <v>1849</v>
      </c>
      <c r="AF392" t="s">
        <v>5812</v>
      </c>
      <c r="AG392" t="s">
        <v>138</v>
      </c>
      <c r="AH392" t="s">
        <v>5813</v>
      </c>
      <c r="AI392" t="s">
        <v>232</v>
      </c>
      <c r="AJ392" s="4" t="str">
        <f>"77573"</f>
        <v>77573</v>
      </c>
      <c r="AK392" t="s">
        <v>120</v>
      </c>
      <c r="AM392" s="5">
        <v>12813090500</v>
      </c>
      <c r="AO392" t="s">
        <v>5816</v>
      </c>
      <c r="AP392" t="s">
        <v>256</v>
      </c>
      <c r="AQ392" t="s">
        <v>5817</v>
      </c>
      <c r="AR392" t="s">
        <v>5818</v>
      </c>
      <c r="AS392" t="s">
        <v>4044</v>
      </c>
      <c r="AT392" t="s">
        <v>5819</v>
      </c>
      <c r="AU392" t="s">
        <v>138</v>
      </c>
      <c r="AV392" t="s">
        <v>5820</v>
      </c>
      <c r="AW392" t="s">
        <v>232</v>
      </c>
      <c r="AX392" s="4" t="str">
        <f>"77414"</f>
        <v>77414</v>
      </c>
      <c r="AY392" t="s">
        <v>120</v>
      </c>
      <c r="BA392" s="5">
        <v>19793187277</v>
      </c>
      <c r="BC392" t="s">
        <v>5821</v>
      </c>
      <c r="BD392" t="s">
        <v>5822</v>
      </c>
      <c r="BG392" t="s">
        <v>232</v>
      </c>
      <c r="BH392" s="1">
        <v>44881.791666666664</v>
      </c>
      <c r="BI392">
        <v>40</v>
      </c>
      <c r="BJ392">
        <v>0</v>
      </c>
      <c r="BK392">
        <v>8</v>
      </c>
      <c r="BL392">
        <v>8</v>
      </c>
      <c r="BM392">
        <v>8</v>
      </c>
      <c r="BN392">
        <v>8</v>
      </c>
      <c r="BO392">
        <v>8</v>
      </c>
      <c r="BP392">
        <v>0</v>
      </c>
      <c r="BQ392" t="str">
        <f>"7:00 AM"</f>
        <v>7:00 AM</v>
      </c>
      <c r="BR392" t="str">
        <f>"4:00 PM"</f>
        <v>4:00 PM</v>
      </c>
      <c r="BS392" t="s">
        <v>133</v>
      </c>
      <c r="BT392">
        <v>0</v>
      </c>
      <c r="BU392">
        <v>0</v>
      </c>
      <c r="BV392" t="s">
        <v>134</v>
      </c>
      <c r="BX392" s="2" t="s">
        <v>6178</v>
      </c>
      <c r="BY392" t="s">
        <v>5823</v>
      </c>
      <c r="BZ392" t="s">
        <v>138</v>
      </c>
      <c r="CA392" t="s">
        <v>5813</v>
      </c>
      <c r="CB392" t="s">
        <v>232</v>
      </c>
      <c r="CC392" s="4" t="str">
        <f>"77573"</f>
        <v>77573</v>
      </c>
      <c r="CD392" t="s">
        <v>5824</v>
      </c>
      <c r="CE392" t="s">
        <v>873</v>
      </c>
      <c r="CF392" s="6">
        <v>15.56</v>
      </c>
      <c r="CG392" s="6">
        <v>18</v>
      </c>
      <c r="CH392" s="6">
        <v>23.34</v>
      </c>
      <c r="CI392" s="6">
        <v>27</v>
      </c>
      <c r="CJ392" t="s">
        <v>137</v>
      </c>
      <c r="CK392" t="s">
        <v>5825</v>
      </c>
      <c r="CL392" t="s">
        <v>5826</v>
      </c>
      <c r="CO392" t="s">
        <v>138</v>
      </c>
      <c r="CP392" t="s">
        <v>114</v>
      </c>
      <c r="CQ392" t="s">
        <v>114</v>
      </c>
      <c r="CR392" t="s">
        <v>114</v>
      </c>
      <c r="CS392" t="s">
        <v>114</v>
      </c>
      <c r="CT392" t="s">
        <v>114</v>
      </c>
      <c r="CU392" t="s">
        <v>114</v>
      </c>
      <c r="CV392" t="s">
        <v>5827</v>
      </c>
      <c r="CW392" s="5" t="str">
        <f>"+12813090500"</f>
        <v>+12813090500</v>
      </c>
      <c r="CX392" t="s">
        <v>5828</v>
      </c>
      <c r="CY392" t="s">
        <v>138</v>
      </c>
      <c r="CZ392" t="s">
        <v>139</v>
      </c>
      <c r="DA392" t="s">
        <v>134</v>
      </c>
      <c r="DB392" t="s">
        <v>134</v>
      </c>
      <c r="DC392" t="s">
        <v>114</v>
      </c>
      <c r="DD392" t="s">
        <v>134</v>
      </c>
    </row>
    <row r="393" spans="1:113" ht="15" customHeight="1" x14ac:dyDescent="0.25">
      <c r="A393" t="s">
        <v>8212</v>
      </c>
      <c r="B393" t="s">
        <v>165</v>
      </c>
      <c r="C393" s="1">
        <v>44882.465748032409</v>
      </c>
      <c r="D393" s="1">
        <v>44910</v>
      </c>
      <c r="E393" t="s">
        <v>134</v>
      </c>
      <c r="F393" t="s">
        <v>334</v>
      </c>
      <c r="G393" t="str">
        <f t="shared" si="27"/>
        <v>37-3011.00</v>
      </c>
      <c r="H393" t="s">
        <v>335</v>
      </c>
      <c r="I393">
        <v>16</v>
      </c>
      <c r="J393">
        <v>16</v>
      </c>
      <c r="K393" s="1">
        <v>44972</v>
      </c>
      <c r="L393" s="1">
        <v>45274</v>
      </c>
      <c r="M393" s="1">
        <v>44972</v>
      </c>
      <c r="N393" s="1">
        <v>45274</v>
      </c>
      <c r="O393" t="s">
        <v>117</v>
      </c>
      <c r="P393" t="s">
        <v>8213</v>
      </c>
      <c r="Q393" t="s">
        <v>8214</v>
      </c>
      <c r="R393" t="s">
        <v>8215</v>
      </c>
      <c r="S393" t="s">
        <v>138</v>
      </c>
      <c r="T393" t="s">
        <v>4101</v>
      </c>
      <c r="U393" t="s">
        <v>232</v>
      </c>
      <c r="V393" s="4" t="str">
        <f>"77707"</f>
        <v>77707</v>
      </c>
      <c r="W393" t="s">
        <v>120</v>
      </c>
      <c r="X393" t="s">
        <v>138</v>
      </c>
      <c r="Y393" s="5">
        <v>14097917875</v>
      </c>
      <c r="AA393">
        <v>561730</v>
      </c>
      <c r="AB393" t="s">
        <v>2632</v>
      </c>
      <c r="AC393" t="s">
        <v>7976</v>
      </c>
      <c r="AD393" t="s">
        <v>138</v>
      </c>
      <c r="AE393" t="s">
        <v>8216</v>
      </c>
      <c r="AF393" t="s">
        <v>8215</v>
      </c>
      <c r="AG393" t="s">
        <v>138</v>
      </c>
      <c r="AH393" t="s">
        <v>4101</v>
      </c>
      <c r="AI393" t="s">
        <v>232</v>
      </c>
      <c r="AJ393" s="4" t="str">
        <f>"77707"</f>
        <v>77707</v>
      </c>
      <c r="AK393" t="s">
        <v>120</v>
      </c>
      <c r="AM393" s="5">
        <v>14097917875</v>
      </c>
      <c r="AO393" t="s">
        <v>8217</v>
      </c>
      <c r="AP393" t="s">
        <v>256</v>
      </c>
      <c r="AQ393" t="s">
        <v>4312</v>
      </c>
      <c r="AR393" t="s">
        <v>4313</v>
      </c>
      <c r="AS393" t="s">
        <v>4044</v>
      </c>
      <c r="AT393" t="s">
        <v>1284</v>
      </c>
      <c r="AU393" t="s">
        <v>138</v>
      </c>
      <c r="AV393" t="s">
        <v>1285</v>
      </c>
      <c r="AW393" t="s">
        <v>232</v>
      </c>
      <c r="AX393" s="4" t="str">
        <f>"77414"</f>
        <v>77414</v>
      </c>
      <c r="AY393" t="s">
        <v>120</v>
      </c>
      <c r="BA393" s="5">
        <v>19793187277</v>
      </c>
      <c r="BC393" t="s">
        <v>4314</v>
      </c>
      <c r="BD393" t="s">
        <v>1287</v>
      </c>
      <c r="BG393" t="s">
        <v>232</v>
      </c>
      <c r="BH393" s="1">
        <v>44881.791666666664</v>
      </c>
      <c r="BI393">
        <v>40</v>
      </c>
      <c r="BJ393">
        <v>0</v>
      </c>
      <c r="BK393">
        <v>8</v>
      </c>
      <c r="BL393">
        <v>8</v>
      </c>
      <c r="BM393">
        <v>8</v>
      </c>
      <c r="BN393">
        <v>8</v>
      </c>
      <c r="BO393">
        <v>8</v>
      </c>
      <c r="BP393">
        <v>0</v>
      </c>
      <c r="BQ393" t="str">
        <f>"7:00 AM"</f>
        <v>7:00 AM</v>
      </c>
      <c r="BR393" t="str">
        <f>"4:00 PM"</f>
        <v>4:00 PM</v>
      </c>
      <c r="BS393" t="s">
        <v>133</v>
      </c>
      <c r="BT393">
        <v>0</v>
      </c>
      <c r="BU393">
        <v>0</v>
      </c>
      <c r="BV393" t="s">
        <v>134</v>
      </c>
      <c r="BX393" s="2" t="s">
        <v>8218</v>
      </c>
      <c r="BY393" t="s">
        <v>8215</v>
      </c>
      <c r="BZ393" t="s">
        <v>138</v>
      </c>
      <c r="CA393" t="s">
        <v>4101</v>
      </c>
      <c r="CB393" t="s">
        <v>232</v>
      </c>
      <c r="CC393" s="4" t="str">
        <f>"77707"</f>
        <v>77707</v>
      </c>
      <c r="CD393" t="s">
        <v>1387</v>
      </c>
      <c r="CE393" t="s">
        <v>4102</v>
      </c>
      <c r="CF393" s="6">
        <v>14.56</v>
      </c>
      <c r="CH393" s="6">
        <v>21.84</v>
      </c>
      <c r="CJ393" t="s">
        <v>137</v>
      </c>
      <c r="CL393" t="s">
        <v>8219</v>
      </c>
      <c r="CO393" t="s">
        <v>138</v>
      </c>
      <c r="CP393" t="s">
        <v>114</v>
      </c>
      <c r="CQ393" t="s">
        <v>114</v>
      </c>
      <c r="CR393" t="s">
        <v>114</v>
      </c>
      <c r="CS393" t="s">
        <v>114</v>
      </c>
      <c r="CT393" t="s">
        <v>114</v>
      </c>
      <c r="CU393" t="s">
        <v>134</v>
      </c>
      <c r="CV393" t="s">
        <v>2056</v>
      </c>
      <c r="CW393" s="5" t="str">
        <f>"+14096000521"</f>
        <v>+14096000521</v>
      </c>
      <c r="CX393" t="s">
        <v>8220</v>
      </c>
      <c r="CY393" t="s">
        <v>138</v>
      </c>
      <c r="CZ393" t="s">
        <v>139</v>
      </c>
      <c r="DA393" t="s">
        <v>134</v>
      </c>
      <c r="DB393" t="s">
        <v>134</v>
      </c>
      <c r="DC393" t="s">
        <v>114</v>
      </c>
      <c r="DD393" t="s">
        <v>134</v>
      </c>
    </row>
    <row r="394" spans="1:113" ht="15" customHeight="1" x14ac:dyDescent="0.25">
      <c r="A394" t="s">
        <v>7197</v>
      </c>
      <c r="B394" t="s">
        <v>165</v>
      </c>
      <c r="C394" s="1">
        <v>44882.455888888886</v>
      </c>
      <c r="D394" s="1">
        <v>44910</v>
      </c>
      <c r="E394" t="s">
        <v>134</v>
      </c>
      <c r="F394" t="s">
        <v>334</v>
      </c>
      <c r="G394" t="str">
        <f t="shared" si="27"/>
        <v>37-3011.00</v>
      </c>
      <c r="H394" t="s">
        <v>335</v>
      </c>
      <c r="I394">
        <v>25</v>
      </c>
      <c r="J394">
        <v>25</v>
      </c>
      <c r="K394" s="1">
        <v>44972</v>
      </c>
      <c r="L394" s="1">
        <v>45245</v>
      </c>
      <c r="M394" s="1">
        <v>44972</v>
      </c>
      <c r="N394" s="1">
        <v>45245</v>
      </c>
      <c r="O394" t="s">
        <v>117</v>
      </c>
      <c r="P394" t="s">
        <v>6835</v>
      </c>
      <c r="R394" t="s">
        <v>6836</v>
      </c>
      <c r="T394" t="s">
        <v>6837</v>
      </c>
      <c r="U394" t="s">
        <v>232</v>
      </c>
      <c r="V394" s="4" t="str">
        <f>"75094"</f>
        <v>75094</v>
      </c>
      <c r="W394" t="s">
        <v>120</v>
      </c>
      <c r="Y394" s="5">
        <v>19725160001</v>
      </c>
      <c r="AA394">
        <v>56173</v>
      </c>
      <c r="AB394" t="s">
        <v>4066</v>
      </c>
      <c r="AC394" t="s">
        <v>1043</v>
      </c>
      <c r="AE394" t="s">
        <v>4231</v>
      </c>
      <c r="AF394" t="s">
        <v>6836</v>
      </c>
      <c r="AH394" t="s">
        <v>6837</v>
      </c>
      <c r="AI394" t="s">
        <v>232</v>
      </c>
      <c r="AJ394" s="4" t="str">
        <f>"75094"</f>
        <v>75094</v>
      </c>
      <c r="AK394" t="s">
        <v>120</v>
      </c>
      <c r="AM394" s="5">
        <v>19725160001</v>
      </c>
      <c r="AO394" t="s">
        <v>6838</v>
      </c>
      <c r="AP394" t="s">
        <v>256</v>
      </c>
      <c r="AQ394" t="s">
        <v>885</v>
      </c>
      <c r="AR394" t="s">
        <v>886</v>
      </c>
      <c r="AT394" t="s">
        <v>887</v>
      </c>
      <c r="AV394" t="s">
        <v>888</v>
      </c>
      <c r="AW394" t="s">
        <v>232</v>
      </c>
      <c r="AX394" s="4" t="str">
        <f>"75098"</f>
        <v>75098</v>
      </c>
      <c r="AY394" t="s">
        <v>120</v>
      </c>
      <c r="BA394" s="5">
        <v>19724424244</v>
      </c>
      <c r="BC394" t="s">
        <v>889</v>
      </c>
      <c r="BD394" t="s">
        <v>1264</v>
      </c>
      <c r="BG394" t="s">
        <v>232</v>
      </c>
      <c r="BH394" s="1">
        <v>44881.791666666664</v>
      </c>
      <c r="BI394">
        <v>40</v>
      </c>
      <c r="BJ394">
        <v>0</v>
      </c>
      <c r="BK394">
        <v>8</v>
      </c>
      <c r="BL394">
        <v>8</v>
      </c>
      <c r="BM394">
        <v>8</v>
      </c>
      <c r="BN394">
        <v>8</v>
      </c>
      <c r="BO394">
        <v>8</v>
      </c>
      <c r="BP394">
        <v>0</v>
      </c>
      <c r="BQ394" t="str">
        <f>"7:00 AM"</f>
        <v>7:00 AM</v>
      </c>
      <c r="BR394" t="str">
        <f>"7:00 PM"</f>
        <v>7:00 PM</v>
      </c>
      <c r="BS394" t="s">
        <v>133</v>
      </c>
      <c r="BT394">
        <v>0</v>
      </c>
      <c r="BU394">
        <v>0</v>
      </c>
      <c r="BV394" t="s">
        <v>134</v>
      </c>
      <c r="BX394" t="s">
        <v>133</v>
      </c>
      <c r="BY394" t="s">
        <v>6836</v>
      </c>
      <c r="CA394" t="s">
        <v>6837</v>
      </c>
      <c r="CB394" t="s">
        <v>232</v>
      </c>
      <c r="CC394" s="4" t="str">
        <f>"75094"</f>
        <v>75094</v>
      </c>
      <c r="CD394" t="s">
        <v>3860</v>
      </c>
      <c r="CE394" t="s">
        <v>1528</v>
      </c>
      <c r="CF394" s="6">
        <v>16.3</v>
      </c>
      <c r="CG394" s="6">
        <v>18</v>
      </c>
      <c r="CH394" s="6">
        <v>24.45</v>
      </c>
      <c r="CI394" s="6">
        <v>27</v>
      </c>
      <c r="CJ394" t="s">
        <v>137</v>
      </c>
      <c r="CL394" t="s">
        <v>6839</v>
      </c>
      <c r="CO394" t="s">
        <v>138</v>
      </c>
      <c r="CP394" t="s">
        <v>114</v>
      </c>
      <c r="CQ394" t="s">
        <v>114</v>
      </c>
      <c r="CR394" t="s">
        <v>114</v>
      </c>
      <c r="CS394" t="s">
        <v>114</v>
      </c>
      <c r="CT394" t="s">
        <v>114</v>
      </c>
      <c r="CU394" t="s">
        <v>114</v>
      </c>
      <c r="CV394" t="s">
        <v>219</v>
      </c>
      <c r="CW394" s="5" t="str">
        <f>"+19725160001"</f>
        <v>+19725160001</v>
      </c>
      <c r="CX394" t="s">
        <v>138</v>
      </c>
      <c r="CY394" t="s">
        <v>2072</v>
      </c>
      <c r="CZ394" t="s">
        <v>139</v>
      </c>
      <c r="DA394" t="s">
        <v>134</v>
      </c>
      <c r="DB394" t="s">
        <v>134</v>
      </c>
      <c r="DC394" t="s">
        <v>114</v>
      </c>
      <c r="DD394" t="s">
        <v>134</v>
      </c>
    </row>
    <row r="395" spans="1:113" ht="15" customHeight="1" x14ac:dyDescent="0.25">
      <c r="A395" t="s">
        <v>9264</v>
      </c>
      <c r="B395" t="s">
        <v>165</v>
      </c>
      <c r="C395" s="1">
        <v>44882.432710069443</v>
      </c>
      <c r="D395" s="1">
        <v>44910</v>
      </c>
      <c r="E395" t="s">
        <v>134</v>
      </c>
      <c r="F395" t="s">
        <v>9265</v>
      </c>
      <c r="G395" t="str">
        <f>"47-2061.00"</f>
        <v>47-2061.00</v>
      </c>
      <c r="H395" t="s">
        <v>1625</v>
      </c>
      <c r="I395">
        <v>8</v>
      </c>
      <c r="J395">
        <v>8</v>
      </c>
      <c r="K395" s="1">
        <v>44972</v>
      </c>
      <c r="L395" s="1">
        <v>45275</v>
      </c>
      <c r="M395" s="1">
        <v>44972</v>
      </c>
      <c r="N395" s="1">
        <v>45275</v>
      </c>
      <c r="O395" t="s">
        <v>199</v>
      </c>
      <c r="P395" t="s">
        <v>9266</v>
      </c>
      <c r="R395" t="s">
        <v>9267</v>
      </c>
      <c r="S395" t="s">
        <v>9268</v>
      </c>
      <c r="T395" t="s">
        <v>9269</v>
      </c>
      <c r="U395" t="s">
        <v>479</v>
      </c>
      <c r="V395" s="4" t="str">
        <f>"23899"</f>
        <v>23899</v>
      </c>
      <c r="W395" t="s">
        <v>120</v>
      </c>
      <c r="Y395" s="5">
        <v>18047257516</v>
      </c>
      <c r="AA395">
        <v>2389</v>
      </c>
      <c r="AB395" t="s">
        <v>9270</v>
      </c>
      <c r="AC395" t="s">
        <v>1676</v>
      </c>
      <c r="AD395" t="s">
        <v>1900</v>
      </c>
      <c r="AE395" t="s">
        <v>2384</v>
      </c>
      <c r="AF395" t="s">
        <v>9267</v>
      </c>
      <c r="AG395" t="s">
        <v>9268</v>
      </c>
      <c r="AH395" t="s">
        <v>9269</v>
      </c>
      <c r="AI395" t="s">
        <v>479</v>
      </c>
      <c r="AJ395" s="4" t="str">
        <f>"23035"</f>
        <v>23035</v>
      </c>
      <c r="AK395" t="s">
        <v>120</v>
      </c>
      <c r="AM395" s="5">
        <v>18047259121</v>
      </c>
      <c r="AO395" t="s">
        <v>9271</v>
      </c>
      <c r="AP395" t="s">
        <v>256</v>
      </c>
      <c r="AQ395" t="s">
        <v>1731</v>
      </c>
      <c r="AR395" t="s">
        <v>1732</v>
      </c>
      <c r="AS395" t="s">
        <v>1733</v>
      </c>
      <c r="AT395" t="s">
        <v>1734</v>
      </c>
      <c r="AU395" t="s">
        <v>1735</v>
      </c>
      <c r="AV395" t="s">
        <v>1736</v>
      </c>
      <c r="AW395" t="s">
        <v>479</v>
      </c>
      <c r="AX395" s="4" t="str">
        <f>"24521"</f>
        <v>24521</v>
      </c>
      <c r="AY395" t="s">
        <v>120</v>
      </c>
      <c r="AZ395" t="s">
        <v>2983</v>
      </c>
      <c r="BA395" s="5">
        <v>14349460035</v>
      </c>
      <c r="BB395">
        <v>11</v>
      </c>
      <c r="BC395" t="s">
        <v>1737</v>
      </c>
      <c r="BD395" t="s">
        <v>1738</v>
      </c>
      <c r="BG395" t="s">
        <v>479</v>
      </c>
      <c r="BH395" s="1">
        <v>44866.833333333336</v>
      </c>
      <c r="BI395">
        <v>40</v>
      </c>
      <c r="BJ395">
        <v>0</v>
      </c>
      <c r="BK395">
        <v>8</v>
      </c>
      <c r="BL395">
        <v>8</v>
      </c>
      <c r="BM395">
        <v>8</v>
      </c>
      <c r="BN395">
        <v>8</v>
      </c>
      <c r="BO395">
        <v>8</v>
      </c>
      <c r="BP395">
        <v>0</v>
      </c>
      <c r="BQ395" t="str">
        <f>"8:00 AM"</f>
        <v>8:00 AM</v>
      </c>
      <c r="BR395" t="str">
        <f>"4:30 PM"</f>
        <v>4:30 PM</v>
      </c>
      <c r="BS395" t="s">
        <v>133</v>
      </c>
      <c r="BT395">
        <v>0</v>
      </c>
      <c r="BU395">
        <v>0</v>
      </c>
      <c r="BV395" t="s">
        <v>134</v>
      </c>
      <c r="BX395" s="2" t="s">
        <v>9272</v>
      </c>
      <c r="BY395" t="s">
        <v>9273</v>
      </c>
      <c r="CA395" t="s">
        <v>9269</v>
      </c>
      <c r="CB395" t="s">
        <v>479</v>
      </c>
      <c r="CC395" s="4" t="str">
        <f>"23035"</f>
        <v>23035</v>
      </c>
      <c r="CD395" t="s">
        <v>9274</v>
      </c>
      <c r="CE395" t="s">
        <v>1687</v>
      </c>
      <c r="CF395" s="6">
        <v>16.670000000000002</v>
      </c>
      <c r="CG395" s="6">
        <v>16.670000000000002</v>
      </c>
      <c r="CH395" s="6">
        <v>25.01</v>
      </c>
      <c r="CI395" s="6">
        <v>25.01</v>
      </c>
      <c r="CJ395" t="s">
        <v>137</v>
      </c>
      <c r="CK395" t="s">
        <v>2162</v>
      </c>
      <c r="CL395" t="s">
        <v>9275</v>
      </c>
      <c r="CO395" t="s">
        <v>138</v>
      </c>
      <c r="CP395" t="s">
        <v>114</v>
      </c>
      <c r="CQ395" t="s">
        <v>114</v>
      </c>
      <c r="CR395" t="s">
        <v>114</v>
      </c>
      <c r="CS395" t="s">
        <v>114</v>
      </c>
      <c r="CT395" t="s">
        <v>114</v>
      </c>
      <c r="CU395" t="s">
        <v>114</v>
      </c>
      <c r="CV395" t="s">
        <v>9276</v>
      </c>
      <c r="CW395" s="5" t="str">
        <f>"+18047257516"</f>
        <v>+18047257516</v>
      </c>
      <c r="CX395" t="s">
        <v>9271</v>
      </c>
      <c r="CY395" t="s">
        <v>138</v>
      </c>
      <c r="CZ395" t="s">
        <v>139</v>
      </c>
      <c r="DA395" t="s">
        <v>134</v>
      </c>
      <c r="DB395" t="s">
        <v>114</v>
      </c>
      <c r="DC395" t="s">
        <v>114</v>
      </c>
      <c r="DD395" t="s">
        <v>134</v>
      </c>
    </row>
    <row r="396" spans="1:113" ht="15" customHeight="1" x14ac:dyDescent="0.25">
      <c r="A396" t="s">
        <v>3015</v>
      </c>
      <c r="B396" t="s">
        <v>165</v>
      </c>
      <c r="C396" s="1">
        <v>44882.428198032409</v>
      </c>
      <c r="D396" s="1">
        <v>44910</v>
      </c>
      <c r="E396" t="s">
        <v>134</v>
      </c>
      <c r="F396" t="s">
        <v>3006</v>
      </c>
      <c r="G396" t="str">
        <f>"47-2061.00"</f>
        <v>47-2061.00</v>
      </c>
      <c r="H396" t="s">
        <v>1625</v>
      </c>
      <c r="I396">
        <v>16</v>
      </c>
      <c r="J396">
        <v>16</v>
      </c>
      <c r="K396" s="1">
        <v>44972</v>
      </c>
      <c r="L396" s="1">
        <v>45275</v>
      </c>
      <c r="M396" s="1">
        <v>44972</v>
      </c>
      <c r="N396" s="1">
        <v>45275</v>
      </c>
      <c r="O396" t="s">
        <v>117</v>
      </c>
      <c r="P396" t="s">
        <v>3016</v>
      </c>
      <c r="R396" t="s">
        <v>3017</v>
      </c>
      <c r="S396" t="s">
        <v>3018</v>
      </c>
      <c r="T396" t="s">
        <v>2690</v>
      </c>
      <c r="U396" t="s">
        <v>339</v>
      </c>
      <c r="V396" s="4" t="str">
        <f>"21214"</f>
        <v>21214</v>
      </c>
      <c r="W396" t="s">
        <v>120</v>
      </c>
      <c r="Y396" s="5">
        <v>14104263331</v>
      </c>
      <c r="AA396">
        <v>238190</v>
      </c>
      <c r="AB396" t="s">
        <v>3019</v>
      </c>
      <c r="AC396" t="s">
        <v>626</v>
      </c>
      <c r="AD396" t="s">
        <v>3020</v>
      </c>
      <c r="AE396" t="s">
        <v>342</v>
      </c>
      <c r="AF396" t="s">
        <v>3017</v>
      </c>
      <c r="AG396" t="s">
        <v>3018</v>
      </c>
      <c r="AH396" t="s">
        <v>2690</v>
      </c>
      <c r="AI396" t="s">
        <v>339</v>
      </c>
      <c r="AJ396" s="4" t="str">
        <f>"21214"</f>
        <v>21214</v>
      </c>
      <c r="AK396" t="s">
        <v>120</v>
      </c>
      <c r="AM396" s="5">
        <v>14104263331</v>
      </c>
      <c r="AO396" t="s">
        <v>3021</v>
      </c>
      <c r="AP396" t="s">
        <v>256</v>
      </c>
      <c r="AQ396" t="s">
        <v>1731</v>
      </c>
      <c r="AR396" t="s">
        <v>1732</v>
      </c>
      <c r="AS396" t="s">
        <v>1733</v>
      </c>
      <c r="AT396" t="s">
        <v>1734</v>
      </c>
      <c r="AU396" t="s">
        <v>1735</v>
      </c>
      <c r="AV396" t="s">
        <v>1736</v>
      </c>
      <c r="AW396" t="s">
        <v>479</v>
      </c>
      <c r="AX396" s="4" t="str">
        <f>"24521"</f>
        <v>24521</v>
      </c>
      <c r="AY396" t="s">
        <v>120</v>
      </c>
      <c r="AZ396" t="s">
        <v>2983</v>
      </c>
      <c r="BA396" s="5">
        <v>14349460035</v>
      </c>
      <c r="BB396">
        <v>11</v>
      </c>
      <c r="BC396" t="s">
        <v>1737</v>
      </c>
      <c r="BD396" t="s">
        <v>1738</v>
      </c>
      <c r="BG396" t="s">
        <v>339</v>
      </c>
      <c r="BH396" s="1">
        <v>44866.833333333336</v>
      </c>
      <c r="BI396">
        <v>40</v>
      </c>
      <c r="BJ396">
        <v>0</v>
      </c>
      <c r="BK396">
        <v>8</v>
      </c>
      <c r="BL396">
        <v>8</v>
      </c>
      <c r="BM396">
        <v>8</v>
      </c>
      <c r="BN396">
        <v>8</v>
      </c>
      <c r="BO396">
        <v>8</v>
      </c>
      <c r="BP396">
        <v>0</v>
      </c>
      <c r="BQ396" t="str">
        <f>"7:00 AM"</f>
        <v>7:00 AM</v>
      </c>
      <c r="BR396" t="str">
        <f>"3:30 PM"</f>
        <v>3:30 PM</v>
      </c>
      <c r="BS396" t="s">
        <v>133</v>
      </c>
      <c r="BT396">
        <v>0</v>
      </c>
      <c r="BU396">
        <v>1</v>
      </c>
      <c r="BV396" t="s">
        <v>134</v>
      </c>
      <c r="BX396" s="2" t="s">
        <v>3022</v>
      </c>
      <c r="BY396" t="s">
        <v>3017</v>
      </c>
      <c r="CA396" t="s">
        <v>2690</v>
      </c>
      <c r="CB396" t="s">
        <v>339</v>
      </c>
      <c r="CC396" s="4" t="str">
        <f>"21214"</f>
        <v>21214</v>
      </c>
      <c r="CD396" t="s">
        <v>1672</v>
      </c>
      <c r="CE396" t="s">
        <v>1673</v>
      </c>
      <c r="CF396" s="6">
        <v>18.21</v>
      </c>
      <c r="CG396" s="6">
        <v>18.21</v>
      </c>
      <c r="CH396" s="6">
        <v>27.32</v>
      </c>
      <c r="CI396" s="6">
        <v>27.32</v>
      </c>
      <c r="CJ396" t="s">
        <v>137</v>
      </c>
      <c r="CK396" t="s">
        <v>3023</v>
      </c>
      <c r="CL396" t="s">
        <v>3024</v>
      </c>
      <c r="CO396" t="s">
        <v>138</v>
      </c>
      <c r="CP396" t="s">
        <v>114</v>
      </c>
      <c r="CQ396" t="s">
        <v>114</v>
      </c>
      <c r="CR396" t="s">
        <v>114</v>
      </c>
      <c r="CS396" t="s">
        <v>134</v>
      </c>
      <c r="CT396" t="s">
        <v>114</v>
      </c>
      <c r="CU396" t="s">
        <v>114</v>
      </c>
      <c r="CV396" s="2" t="s">
        <v>3025</v>
      </c>
      <c r="CW396" s="5" t="str">
        <f>"+14104263331"</f>
        <v>+14104263331</v>
      </c>
      <c r="CX396" t="s">
        <v>3021</v>
      </c>
      <c r="CY396" t="s">
        <v>138</v>
      </c>
      <c r="CZ396" t="s">
        <v>139</v>
      </c>
      <c r="DA396" t="s">
        <v>134</v>
      </c>
      <c r="DB396" t="s">
        <v>114</v>
      </c>
      <c r="DC396" t="s">
        <v>114</v>
      </c>
      <c r="DD396" t="s">
        <v>134</v>
      </c>
    </row>
    <row r="397" spans="1:113" ht="15" customHeight="1" x14ac:dyDescent="0.25">
      <c r="A397" t="s">
        <v>10165</v>
      </c>
      <c r="B397" t="s">
        <v>165</v>
      </c>
      <c r="C397" s="1">
        <v>44882.420043981481</v>
      </c>
      <c r="D397" s="1">
        <v>44910</v>
      </c>
      <c r="E397" t="s">
        <v>134</v>
      </c>
      <c r="F397" t="s">
        <v>334</v>
      </c>
      <c r="G397" t="str">
        <f>"37-3011.00"</f>
        <v>37-3011.00</v>
      </c>
      <c r="H397" t="s">
        <v>335</v>
      </c>
      <c r="I397">
        <v>5</v>
      </c>
      <c r="J397">
        <v>5</v>
      </c>
      <c r="K397" s="1">
        <v>44972</v>
      </c>
      <c r="L397" s="1">
        <v>45275</v>
      </c>
      <c r="M397" s="1">
        <v>44972</v>
      </c>
      <c r="N397" s="1">
        <v>45275</v>
      </c>
      <c r="O397" t="s">
        <v>117</v>
      </c>
      <c r="P397" t="s">
        <v>10166</v>
      </c>
      <c r="Q397" t="s">
        <v>10167</v>
      </c>
      <c r="R397" t="s">
        <v>10168</v>
      </c>
      <c r="T397" t="s">
        <v>4592</v>
      </c>
      <c r="U397" t="s">
        <v>697</v>
      </c>
      <c r="V397" s="4" t="str">
        <f>"63010"</f>
        <v>63010</v>
      </c>
      <c r="W397" t="s">
        <v>120</v>
      </c>
      <c r="Y397" s="5">
        <v>16362232330</v>
      </c>
      <c r="AA397">
        <v>56173</v>
      </c>
      <c r="AB397" t="s">
        <v>10169</v>
      </c>
      <c r="AC397" t="s">
        <v>1705</v>
      </c>
      <c r="AE397" t="s">
        <v>424</v>
      </c>
      <c r="AF397" t="s">
        <v>10168</v>
      </c>
      <c r="AH397" t="s">
        <v>4592</v>
      </c>
      <c r="AI397" t="s">
        <v>697</v>
      </c>
      <c r="AJ397" s="4" t="str">
        <f>"63010"</f>
        <v>63010</v>
      </c>
      <c r="AK397" t="s">
        <v>120</v>
      </c>
      <c r="AM397" s="5">
        <v>16362232330</v>
      </c>
      <c r="AO397" t="s">
        <v>1574</v>
      </c>
      <c r="AP397" t="s">
        <v>256</v>
      </c>
      <c r="AQ397" t="s">
        <v>1941</v>
      </c>
      <c r="AR397" t="s">
        <v>1942</v>
      </c>
      <c r="AT397" t="s">
        <v>1943</v>
      </c>
      <c r="AU397" t="s">
        <v>1944</v>
      </c>
      <c r="AV397" t="s">
        <v>1945</v>
      </c>
      <c r="AW397" t="s">
        <v>631</v>
      </c>
      <c r="AX397" s="4" t="str">
        <f>"74136"</f>
        <v>74136</v>
      </c>
      <c r="AY397" t="s">
        <v>120</v>
      </c>
      <c r="BA397" s="5">
        <v>19189065212</v>
      </c>
      <c r="BC397" t="s">
        <v>1946</v>
      </c>
      <c r="BD397" t="s">
        <v>1947</v>
      </c>
      <c r="BG397" t="s">
        <v>697</v>
      </c>
      <c r="BH397" s="1">
        <v>44830.833333333336</v>
      </c>
      <c r="BI397">
        <v>48</v>
      </c>
      <c r="BJ397">
        <v>0</v>
      </c>
      <c r="BK397">
        <v>8</v>
      </c>
      <c r="BL397">
        <v>8</v>
      </c>
      <c r="BM397">
        <v>8</v>
      </c>
      <c r="BN397">
        <v>8</v>
      </c>
      <c r="BO397">
        <v>8</v>
      </c>
      <c r="BP397">
        <v>8</v>
      </c>
      <c r="BQ397" t="str">
        <f>"7:00 AM"</f>
        <v>7:00 AM</v>
      </c>
      <c r="BR397" t="str">
        <f>"3:30 PM"</f>
        <v>3:30 PM</v>
      </c>
      <c r="BS397" t="s">
        <v>295</v>
      </c>
      <c r="BT397">
        <v>0</v>
      </c>
      <c r="BU397">
        <v>0</v>
      </c>
      <c r="BV397" t="s">
        <v>134</v>
      </c>
      <c r="BX397" t="s">
        <v>10170</v>
      </c>
      <c r="BY397" t="s">
        <v>10171</v>
      </c>
      <c r="CA397" t="s">
        <v>4592</v>
      </c>
      <c r="CB397" t="s">
        <v>697</v>
      </c>
      <c r="CC397" s="4" t="str">
        <f>"63010"</f>
        <v>63010</v>
      </c>
      <c r="CD397" t="s">
        <v>1387</v>
      </c>
      <c r="CE397" t="s">
        <v>713</v>
      </c>
      <c r="CF397" s="6">
        <v>16.96</v>
      </c>
      <c r="CG397" s="6">
        <v>16.96</v>
      </c>
      <c r="CH397" s="6">
        <v>25.44</v>
      </c>
      <c r="CI397" s="6">
        <v>25.44</v>
      </c>
      <c r="CJ397" t="s">
        <v>137</v>
      </c>
      <c r="CK397" t="s">
        <v>1948</v>
      </c>
      <c r="CL397" t="s">
        <v>10172</v>
      </c>
      <c r="CO397" t="s">
        <v>138</v>
      </c>
      <c r="CP397" t="s">
        <v>114</v>
      </c>
      <c r="CQ397" t="s">
        <v>114</v>
      </c>
      <c r="CR397" t="s">
        <v>114</v>
      </c>
      <c r="CS397" t="s">
        <v>114</v>
      </c>
      <c r="CT397" t="s">
        <v>114</v>
      </c>
      <c r="CU397" t="s">
        <v>114</v>
      </c>
      <c r="CV397" s="2" t="s">
        <v>10173</v>
      </c>
      <c r="CW397" s="5" t="str">
        <f>"+16362232330"</f>
        <v>+16362232330</v>
      </c>
      <c r="CX397" t="s">
        <v>138</v>
      </c>
      <c r="CY397" t="s">
        <v>4200</v>
      </c>
      <c r="CZ397" t="s">
        <v>139</v>
      </c>
      <c r="DA397" t="s">
        <v>134</v>
      </c>
      <c r="DB397" t="s">
        <v>114</v>
      </c>
      <c r="DC397" t="s">
        <v>114</v>
      </c>
      <c r="DD397" t="s">
        <v>134</v>
      </c>
    </row>
    <row r="398" spans="1:113" ht="15" customHeight="1" x14ac:dyDescent="0.25">
      <c r="A398" t="s">
        <v>6146</v>
      </c>
      <c r="B398" t="s">
        <v>165</v>
      </c>
      <c r="C398" s="1">
        <v>44882.402097222221</v>
      </c>
      <c r="D398" s="1">
        <v>44910</v>
      </c>
      <c r="E398" t="s">
        <v>134</v>
      </c>
      <c r="F398" t="s">
        <v>334</v>
      </c>
      <c r="G398" t="str">
        <f>"37-3011.00"</f>
        <v>37-3011.00</v>
      </c>
      <c r="H398" t="s">
        <v>335</v>
      </c>
      <c r="I398">
        <v>18</v>
      </c>
      <c r="J398">
        <v>18</v>
      </c>
      <c r="K398" s="1">
        <v>44972</v>
      </c>
      <c r="L398" s="1">
        <v>45274</v>
      </c>
      <c r="M398" s="1">
        <v>44972</v>
      </c>
      <c r="N398" s="1">
        <v>45274</v>
      </c>
      <c r="O398" t="s">
        <v>117</v>
      </c>
      <c r="P398" t="s">
        <v>6147</v>
      </c>
      <c r="R398" t="s">
        <v>6148</v>
      </c>
      <c r="S398" t="s">
        <v>138</v>
      </c>
      <c r="T398" t="s">
        <v>2273</v>
      </c>
      <c r="U398" t="s">
        <v>232</v>
      </c>
      <c r="V398" s="4" t="str">
        <f>"76012"</f>
        <v>76012</v>
      </c>
      <c r="W398" t="s">
        <v>120</v>
      </c>
      <c r="Y398" s="5">
        <v>18172750710</v>
      </c>
      <c r="AA398">
        <v>561730</v>
      </c>
      <c r="AB398" t="s">
        <v>1989</v>
      </c>
      <c r="AC398" t="s">
        <v>6149</v>
      </c>
      <c r="AD398" t="s">
        <v>6150</v>
      </c>
      <c r="AE398" t="s">
        <v>1710</v>
      </c>
      <c r="AF398" t="s">
        <v>6148</v>
      </c>
      <c r="AG398" t="s">
        <v>138</v>
      </c>
      <c r="AH398" t="s">
        <v>2273</v>
      </c>
      <c r="AI398" t="s">
        <v>232</v>
      </c>
      <c r="AJ398" s="4" t="str">
        <f>"76012"</f>
        <v>76012</v>
      </c>
      <c r="AK398" t="s">
        <v>120</v>
      </c>
      <c r="AM398" s="5">
        <v>18172750710</v>
      </c>
      <c r="AO398" t="s">
        <v>6151</v>
      </c>
      <c r="AP398" t="s">
        <v>256</v>
      </c>
      <c r="AQ398" t="s">
        <v>2048</v>
      </c>
      <c r="AR398" t="s">
        <v>2049</v>
      </c>
      <c r="AS398" t="s">
        <v>1378</v>
      </c>
      <c r="AT398" t="s">
        <v>2050</v>
      </c>
      <c r="AU398" t="s">
        <v>138</v>
      </c>
      <c r="AV398" t="s">
        <v>1285</v>
      </c>
      <c r="AW398" t="s">
        <v>232</v>
      </c>
      <c r="AX398" s="4" t="str">
        <f>"77414"</f>
        <v>77414</v>
      </c>
      <c r="AY398" t="s">
        <v>120</v>
      </c>
      <c r="BA398" s="5">
        <v>19793187278</v>
      </c>
      <c r="BC398" t="s">
        <v>2051</v>
      </c>
      <c r="BD398" t="s">
        <v>1287</v>
      </c>
      <c r="BG398" t="s">
        <v>232</v>
      </c>
      <c r="BH398" s="1">
        <v>44881.791666666664</v>
      </c>
      <c r="BI398">
        <v>40</v>
      </c>
      <c r="BJ398">
        <v>0</v>
      </c>
      <c r="BK398">
        <v>8</v>
      </c>
      <c r="BL398">
        <v>8</v>
      </c>
      <c r="BM398">
        <v>8</v>
      </c>
      <c r="BN398">
        <v>8</v>
      </c>
      <c r="BO398">
        <v>8</v>
      </c>
      <c r="BP398">
        <v>0</v>
      </c>
      <c r="BQ398" t="str">
        <f>"7:00 AM"</f>
        <v>7:00 AM</v>
      </c>
      <c r="BR398" t="str">
        <f>"3:30 PM"</f>
        <v>3:30 PM</v>
      </c>
      <c r="BS398" t="s">
        <v>133</v>
      </c>
      <c r="BT398">
        <v>0</v>
      </c>
      <c r="BU398">
        <v>0</v>
      </c>
      <c r="BV398" t="s">
        <v>134</v>
      </c>
      <c r="BX398" s="2" t="s">
        <v>6152</v>
      </c>
      <c r="BY398" t="s">
        <v>6153</v>
      </c>
      <c r="BZ398" t="s">
        <v>138</v>
      </c>
      <c r="CA398" t="s">
        <v>4581</v>
      </c>
      <c r="CB398" t="s">
        <v>232</v>
      </c>
      <c r="CC398" s="4" t="str">
        <f>"75050"</f>
        <v>75050</v>
      </c>
      <c r="CD398" t="s">
        <v>1482</v>
      </c>
      <c r="CE398" t="s">
        <v>1528</v>
      </c>
      <c r="CF398" s="6">
        <v>16.3</v>
      </c>
      <c r="CG398" s="6">
        <v>17</v>
      </c>
      <c r="CH398" s="6">
        <v>24.45</v>
      </c>
      <c r="CI398" s="6">
        <v>25.5</v>
      </c>
      <c r="CJ398" t="s">
        <v>137</v>
      </c>
      <c r="CK398" t="s">
        <v>2617</v>
      </c>
      <c r="CL398" t="s">
        <v>6154</v>
      </c>
      <c r="CO398" t="s">
        <v>138</v>
      </c>
      <c r="CP398" t="s">
        <v>114</v>
      </c>
      <c r="CQ398" t="s">
        <v>114</v>
      </c>
      <c r="CR398" t="s">
        <v>114</v>
      </c>
      <c r="CS398" t="s">
        <v>114</v>
      </c>
      <c r="CT398" t="s">
        <v>114</v>
      </c>
      <c r="CU398" t="s">
        <v>134</v>
      </c>
      <c r="CV398" t="s">
        <v>133</v>
      </c>
      <c r="CW398" s="5" t="str">
        <f>"+18172750710"</f>
        <v>+18172750710</v>
      </c>
      <c r="CX398" t="s">
        <v>6151</v>
      </c>
      <c r="CY398" t="s">
        <v>138</v>
      </c>
      <c r="CZ398" t="s">
        <v>139</v>
      </c>
      <c r="DA398" t="s">
        <v>134</v>
      </c>
      <c r="DB398" t="s">
        <v>134</v>
      </c>
      <c r="DC398" t="s">
        <v>114</v>
      </c>
      <c r="DD398" t="s">
        <v>134</v>
      </c>
    </row>
    <row r="399" spans="1:113" ht="15" customHeight="1" x14ac:dyDescent="0.25">
      <c r="A399" t="s">
        <v>12756</v>
      </c>
      <c r="B399" t="s">
        <v>165</v>
      </c>
      <c r="C399" s="1">
        <v>44882.310529050927</v>
      </c>
      <c r="D399" s="1">
        <v>44910</v>
      </c>
      <c r="E399" t="s">
        <v>134</v>
      </c>
      <c r="F399" t="s">
        <v>12757</v>
      </c>
      <c r="G399" t="str">
        <f>"37-3011.00"</f>
        <v>37-3011.00</v>
      </c>
      <c r="H399" t="s">
        <v>335</v>
      </c>
      <c r="I399">
        <v>10</v>
      </c>
      <c r="J399">
        <v>10</v>
      </c>
      <c r="K399" s="1">
        <v>44972</v>
      </c>
      <c r="L399" s="1">
        <v>45245</v>
      </c>
      <c r="M399" s="1">
        <v>44972</v>
      </c>
      <c r="N399" s="1">
        <v>45245</v>
      </c>
      <c r="O399" t="s">
        <v>199</v>
      </c>
      <c r="P399" t="s">
        <v>12758</v>
      </c>
      <c r="R399" t="s">
        <v>12759</v>
      </c>
      <c r="S399" t="s">
        <v>12760</v>
      </c>
      <c r="T399" t="s">
        <v>10135</v>
      </c>
      <c r="U399" t="s">
        <v>119</v>
      </c>
      <c r="V399" s="4" t="str">
        <f>"27939"</f>
        <v>27939</v>
      </c>
      <c r="W399" t="s">
        <v>120</v>
      </c>
      <c r="Y399" s="5">
        <v>12524532658</v>
      </c>
      <c r="AA399">
        <v>44523</v>
      </c>
      <c r="AB399" t="s">
        <v>10135</v>
      </c>
      <c r="AC399" t="s">
        <v>12761</v>
      </c>
      <c r="AE399" t="s">
        <v>424</v>
      </c>
      <c r="AF399" t="s">
        <v>12762</v>
      </c>
      <c r="AG399" t="s">
        <v>12763</v>
      </c>
      <c r="AH399" t="s">
        <v>10135</v>
      </c>
      <c r="AI399" t="s">
        <v>119</v>
      </c>
      <c r="AJ399" s="4" t="str">
        <f>"27939"</f>
        <v>27939</v>
      </c>
      <c r="AK399" t="s">
        <v>120</v>
      </c>
      <c r="AM399" s="5">
        <v>12524532658</v>
      </c>
      <c r="AO399" t="s">
        <v>12764</v>
      </c>
      <c r="AP399" t="s">
        <v>256</v>
      </c>
      <c r="AQ399" t="s">
        <v>1731</v>
      </c>
      <c r="AR399" t="s">
        <v>1732</v>
      </c>
      <c r="AS399" t="s">
        <v>1733</v>
      </c>
      <c r="AT399" t="s">
        <v>1734</v>
      </c>
      <c r="AU399" t="s">
        <v>1735</v>
      </c>
      <c r="AV399" t="s">
        <v>1736</v>
      </c>
      <c r="AW399" t="s">
        <v>479</v>
      </c>
      <c r="AX399" s="4" t="str">
        <f>"24521"</f>
        <v>24521</v>
      </c>
      <c r="AY399" t="s">
        <v>120</v>
      </c>
      <c r="BA399" s="5">
        <v>14349460035</v>
      </c>
      <c r="BB399">
        <v>11</v>
      </c>
      <c r="BC399" t="s">
        <v>1737</v>
      </c>
      <c r="BD399" t="s">
        <v>1738</v>
      </c>
      <c r="BG399" t="s">
        <v>119</v>
      </c>
      <c r="BH399" s="1">
        <v>44881.791666666664</v>
      </c>
      <c r="BI399">
        <v>48</v>
      </c>
      <c r="BJ399">
        <v>8</v>
      </c>
      <c r="BK399">
        <v>0</v>
      </c>
      <c r="BL399">
        <v>0</v>
      </c>
      <c r="BM399">
        <v>8</v>
      </c>
      <c r="BN399">
        <v>8</v>
      </c>
      <c r="BO399">
        <v>12</v>
      </c>
      <c r="BP399">
        <v>12</v>
      </c>
      <c r="BQ399" t="str">
        <f>"5:00 AM"</f>
        <v>5:00 AM</v>
      </c>
      <c r="BR399" t="str">
        <f>"9:00 PM"</f>
        <v>9:00 PM</v>
      </c>
      <c r="BS399" t="s">
        <v>133</v>
      </c>
      <c r="BT399">
        <v>0</v>
      </c>
      <c r="BU399">
        <v>3</v>
      </c>
      <c r="BV399" t="s">
        <v>134</v>
      </c>
      <c r="BX399" s="2" t="s">
        <v>12765</v>
      </c>
      <c r="BY399" t="s">
        <v>12759</v>
      </c>
      <c r="CA399" t="s">
        <v>10135</v>
      </c>
      <c r="CB399" t="s">
        <v>119</v>
      </c>
      <c r="CC399" s="4" t="str">
        <f>"27939"</f>
        <v>27939</v>
      </c>
      <c r="CD399" t="s">
        <v>10136</v>
      </c>
      <c r="CE399" t="s">
        <v>1687</v>
      </c>
      <c r="CF399" s="6">
        <v>15.16</v>
      </c>
      <c r="CG399" s="6">
        <v>15.16</v>
      </c>
      <c r="CH399" s="6">
        <v>22.74</v>
      </c>
      <c r="CI399" s="6">
        <v>22.74</v>
      </c>
      <c r="CJ399" t="s">
        <v>137</v>
      </c>
      <c r="CK399" t="s">
        <v>1739</v>
      </c>
      <c r="CL399" t="s">
        <v>12766</v>
      </c>
      <c r="CO399" t="s">
        <v>138</v>
      </c>
      <c r="CP399" t="s">
        <v>114</v>
      </c>
      <c r="CQ399" t="s">
        <v>114</v>
      </c>
      <c r="CR399" t="s">
        <v>114</v>
      </c>
      <c r="CS399" t="s">
        <v>134</v>
      </c>
      <c r="CT399" t="s">
        <v>114</v>
      </c>
      <c r="CU399" t="s">
        <v>114</v>
      </c>
      <c r="CV399" s="2" t="s">
        <v>12767</v>
      </c>
      <c r="CW399" s="5" t="str">
        <f>"+12527226505"</f>
        <v>+12527226505</v>
      </c>
      <c r="CX399" t="s">
        <v>138</v>
      </c>
      <c r="CY399" t="s">
        <v>1740</v>
      </c>
      <c r="CZ399" t="s">
        <v>139</v>
      </c>
      <c r="DA399" t="s">
        <v>134</v>
      </c>
      <c r="DB399" t="s">
        <v>114</v>
      </c>
      <c r="DC399" t="s">
        <v>114</v>
      </c>
      <c r="DD399" t="s">
        <v>134</v>
      </c>
    </row>
    <row r="400" spans="1:113" ht="15" customHeight="1" x14ac:dyDescent="0.25">
      <c r="A400" t="s">
        <v>14198</v>
      </c>
      <c r="B400" t="s">
        <v>165</v>
      </c>
      <c r="C400" s="1">
        <v>44882.204125578704</v>
      </c>
      <c r="D400" s="1">
        <v>44910</v>
      </c>
      <c r="E400" t="s">
        <v>134</v>
      </c>
      <c r="F400" t="s">
        <v>2308</v>
      </c>
      <c r="G400" t="str">
        <f>"39-3091.00"</f>
        <v>39-3091.00</v>
      </c>
      <c r="H400" t="s">
        <v>362</v>
      </c>
      <c r="I400">
        <v>32</v>
      </c>
      <c r="J400">
        <v>32</v>
      </c>
      <c r="K400" s="1">
        <v>44972</v>
      </c>
      <c r="L400" s="1">
        <v>45274</v>
      </c>
      <c r="M400" s="1">
        <v>44972</v>
      </c>
      <c r="N400" s="1">
        <v>45274</v>
      </c>
      <c r="O400" t="s">
        <v>199</v>
      </c>
      <c r="P400" t="s">
        <v>14199</v>
      </c>
      <c r="R400" t="s">
        <v>14200</v>
      </c>
      <c r="T400" t="s">
        <v>6916</v>
      </c>
      <c r="U400" t="s">
        <v>232</v>
      </c>
      <c r="V400" s="4" t="str">
        <f>"75167"</f>
        <v>75167</v>
      </c>
      <c r="W400" t="s">
        <v>120</v>
      </c>
      <c r="Y400" s="5">
        <v>14696280088</v>
      </c>
      <c r="AA400">
        <v>71399</v>
      </c>
      <c r="AB400" t="s">
        <v>5905</v>
      </c>
      <c r="AC400" t="s">
        <v>1966</v>
      </c>
      <c r="AE400" t="s">
        <v>424</v>
      </c>
      <c r="AF400" t="s">
        <v>14200</v>
      </c>
      <c r="AH400" t="s">
        <v>6916</v>
      </c>
      <c r="AI400" t="s">
        <v>232</v>
      </c>
      <c r="AJ400" s="4" t="str">
        <f>"75167"</f>
        <v>75167</v>
      </c>
      <c r="AK400" t="s">
        <v>120</v>
      </c>
      <c r="AM400" s="5">
        <v>14696280088</v>
      </c>
      <c r="AO400" t="s">
        <v>14201</v>
      </c>
      <c r="AP400" t="s">
        <v>256</v>
      </c>
      <c r="AQ400" t="s">
        <v>535</v>
      </c>
      <c r="AR400" t="s">
        <v>536</v>
      </c>
      <c r="AS400" t="s">
        <v>537</v>
      </c>
      <c r="AT400" t="s">
        <v>538</v>
      </c>
      <c r="AU400" t="s">
        <v>539</v>
      </c>
      <c r="AV400" t="s">
        <v>540</v>
      </c>
      <c r="AW400" t="s">
        <v>232</v>
      </c>
      <c r="AX400" s="4" t="str">
        <f>"78550"</f>
        <v>78550</v>
      </c>
      <c r="AY400" t="s">
        <v>120</v>
      </c>
      <c r="BA400" s="5">
        <v>19564408720</v>
      </c>
      <c r="BB400">
        <v>0</v>
      </c>
      <c r="BC400" t="s">
        <v>1022</v>
      </c>
      <c r="BD400" t="s">
        <v>543</v>
      </c>
      <c r="BG400" t="s">
        <v>232</v>
      </c>
      <c r="BH400" s="1">
        <v>44881.791666666664</v>
      </c>
      <c r="BI400">
        <v>40</v>
      </c>
      <c r="BJ400">
        <v>8</v>
      </c>
      <c r="BK400">
        <v>0</v>
      </c>
      <c r="BL400">
        <v>0</v>
      </c>
      <c r="BM400">
        <v>8</v>
      </c>
      <c r="BN400">
        <v>8</v>
      </c>
      <c r="BO400">
        <v>8</v>
      </c>
      <c r="BP400">
        <v>8</v>
      </c>
      <c r="BQ400" t="str">
        <f>"1:00 PM"</f>
        <v>1:00 PM</v>
      </c>
      <c r="BR400" t="str">
        <f>"10:00 PM"</f>
        <v>10:00 PM</v>
      </c>
      <c r="BS400" t="s">
        <v>133</v>
      </c>
      <c r="BT400">
        <v>0</v>
      </c>
      <c r="BU400">
        <v>0</v>
      </c>
      <c r="BV400" t="s">
        <v>134</v>
      </c>
      <c r="BX400" s="2" t="s">
        <v>3113</v>
      </c>
      <c r="BY400" t="s">
        <v>14200</v>
      </c>
      <c r="CA400" t="s">
        <v>6916</v>
      </c>
      <c r="CB400" t="s">
        <v>232</v>
      </c>
      <c r="CC400" s="4" t="str">
        <f>"75167"</f>
        <v>75167</v>
      </c>
      <c r="CD400" t="s">
        <v>4950</v>
      </c>
      <c r="CE400" t="s">
        <v>1528</v>
      </c>
      <c r="CF400" s="6">
        <v>10.199999999999999</v>
      </c>
      <c r="CG400" s="6">
        <v>11.53</v>
      </c>
      <c r="CJ400" t="s">
        <v>137</v>
      </c>
      <c r="CK400" t="s">
        <v>549</v>
      </c>
      <c r="CL400" t="s">
        <v>14202</v>
      </c>
      <c r="CO400" t="s">
        <v>138</v>
      </c>
      <c r="CP400" t="s">
        <v>114</v>
      </c>
      <c r="CQ400" t="s">
        <v>114</v>
      </c>
      <c r="CR400" t="s">
        <v>134</v>
      </c>
      <c r="CS400" t="s">
        <v>114</v>
      </c>
      <c r="CT400" t="s">
        <v>114</v>
      </c>
      <c r="CU400" t="s">
        <v>114</v>
      </c>
      <c r="CV400" t="s">
        <v>569</v>
      </c>
      <c r="CW400" s="5" t="str">
        <f>"+14696280088"</f>
        <v>+14696280088</v>
      </c>
      <c r="CX400" t="s">
        <v>14203</v>
      </c>
      <c r="CY400" t="s">
        <v>138</v>
      </c>
      <c r="CZ400" t="s">
        <v>139</v>
      </c>
      <c r="DA400" t="s">
        <v>134</v>
      </c>
      <c r="DB400" t="s">
        <v>114</v>
      </c>
      <c r="DC400" t="s">
        <v>114</v>
      </c>
      <c r="DD400" t="s">
        <v>134</v>
      </c>
    </row>
    <row r="401" spans="1:113" ht="15" customHeight="1" x14ac:dyDescent="0.25">
      <c r="A401" t="s">
        <v>16176</v>
      </c>
      <c r="B401" t="s">
        <v>165</v>
      </c>
      <c r="C401" s="1">
        <v>44882.198668865742</v>
      </c>
      <c r="D401" s="1">
        <v>44910</v>
      </c>
      <c r="E401" t="s">
        <v>134</v>
      </c>
      <c r="F401" t="s">
        <v>571</v>
      </c>
      <c r="G401" t="str">
        <f>"35-3023.00"</f>
        <v>35-3023.00</v>
      </c>
      <c r="H401" t="s">
        <v>555</v>
      </c>
      <c r="I401">
        <v>7</v>
      </c>
      <c r="J401">
        <v>7</v>
      </c>
      <c r="K401" s="1">
        <v>44972</v>
      </c>
      <c r="L401" s="1">
        <v>45274</v>
      </c>
      <c r="M401" s="1">
        <v>44972</v>
      </c>
      <c r="N401" s="1">
        <v>45274</v>
      </c>
      <c r="O401" t="s">
        <v>199</v>
      </c>
      <c r="P401" t="s">
        <v>16177</v>
      </c>
      <c r="R401" t="s">
        <v>16178</v>
      </c>
      <c r="T401" t="s">
        <v>7059</v>
      </c>
      <c r="U401" t="s">
        <v>154</v>
      </c>
      <c r="V401" s="4" t="str">
        <f>"33567"</f>
        <v>33567</v>
      </c>
      <c r="W401" t="s">
        <v>120</v>
      </c>
      <c r="Y401" s="5">
        <v>19418097039</v>
      </c>
      <c r="AA401">
        <v>71119</v>
      </c>
      <c r="AB401" t="s">
        <v>1731</v>
      </c>
      <c r="AC401" t="s">
        <v>1676</v>
      </c>
      <c r="AE401" t="s">
        <v>342</v>
      </c>
      <c r="AF401" t="s">
        <v>16178</v>
      </c>
      <c r="AH401" t="s">
        <v>7059</v>
      </c>
      <c r="AI401" t="s">
        <v>154</v>
      </c>
      <c r="AJ401" s="4" t="str">
        <f>"33567"</f>
        <v>33567</v>
      </c>
      <c r="AK401" t="s">
        <v>120</v>
      </c>
      <c r="AM401" s="5">
        <v>19418097039</v>
      </c>
      <c r="AO401" t="s">
        <v>16179</v>
      </c>
      <c r="AP401" t="s">
        <v>256</v>
      </c>
      <c r="AQ401" t="s">
        <v>535</v>
      </c>
      <c r="AR401" t="s">
        <v>536</v>
      </c>
      <c r="AS401" t="s">
        <v>537</v>
      </c>
      <c r="AT401" t="s">
        <v>538</v>
      </c>
      <c r="AU401" t="s">
        <v>539</v>
      </c>
      <c r="AV401" t="s">
        <v>540</v>
      </c>
      <c r="AW401" t="s">
        <v>232</v>
      </c>
      <c r="AX401" s="4" t="str">
        <f>"78550"</f>
        <v>78550</v>
      </c>
      <c r="AY401" t="s">
        <v>120</v>
      </c>
      <c r="BA401" s="5">
        <v>19564408720</v>
      </c>
      <c r="BB401">
        <v>0</v>
      </c>
      <c r="BC401" t="s">
        <v>563</v>
      </c>
      <c r="BD401" t="s">
        <v>543</v>
      </c>
      <c r="BG401" t="s">
        <v>154</v>
      </c>
      <c r="BH401" s="1">
        <v>44881.791666666664</v>
      </c>
      <c r="BI401">
        <v>40</v>
      </c>
      <c r="BJ401">
        <v>8</v>
      </c>
      <c r="BK401">
        <v>0</v>
      </c>
      <c r="BL401">
        <v>0</v>
      </c>
      <c r="BM401">
        <v>8</v>
      </c>
      <c r="BN401">
        <v>8</v>
      </c>
      <c r="BO401">
        <v>8</v>
      </c>
      <c r="BP401">
        <v>8</v>
      </c>
      <c r="BQ401" t="str">
        <f>"1:00 PM"</f>
        <v>1:00 PM</v>
      </c>
      <c r="BR401" t="str">
        <f>"10:00 PM"</f>
        <v>10:00 PM</v>
      </c>
      <c r="BS401" t="s">
        <v>133</v>
      </c>
      <c r="BT401">
        <v>0</v>
      </c>
      <c r="BU401">
        <v>0</v>
      </c>
      <c r="BV401" t="s">
        <v>134</v>
      </c>
      <c r="BX401" s="2" t="s">
        <v>3113</v>
      </c>
      <c r="BY401" t="s">
        <v>16178</v>
      </c>
      <c r="CA401" t="s">
        <v>7059</v>
      </c>
      <c r="CB401" t="s">
        <v>154</v>
      </c>
      <c r="CC401" s="4" t="str">
        <f>"33567"</f>
        <v>33567</v>
      </c>
      <c r="CD401" t="s">
        <v>566</v>
      </c>
      <c r="CE401" t="s">
        <v>567</v>
      </c>
      <c r="CF401" s="6">
        <v>9.9600000000000009</v>
      </c>
      <c r="CG401" s="6">
        <v>15.12</v>
      </c>
      <c r="CJ401" t="s">
        <v>137</v>
      </c>
      <c r="CK401" t="s">
        <v>549</v>
      </c>
      <c r="CL401" t="s">
        <v>16180</v>
      </c>
      <c r="CO401" t="s">
        <v>138</v>
      </c>
      <c r="CP401" t="s">
        <v>114</v>
      </c>
      <c r="CQ401" t="s">
        <v>114</v>
      </c>
      <c r="CR401" t="s">
        <v>134</v>
      </c>
      <c r="CS401" t="s">
        <v>114</v>
      </c>
      <c r="CT401" t="s">
        <v>114</v>
      </c>
      <c r="CU401" t="s">
        <v>114</v>
      </c>
      <c r="CV401" t="s">
        <v>569</v>
      </c>
      <c r="CW401" s="5" t="str">
        <f>"+19418097039"</f>
        <v>+19418097039</v>
      </c>
      <c r="CX401" t="s">
        <v>16179</v>
      </c>
      <c r="CY401" t="s">
        <v>138</v>
      </c>
      <c r="CZ401" t="s">
        <v>139</v>
      </c>
      <c r="DA401" t="s">
        <v>134</v>
      </c>
      <c r="DB401" t="s">
        <v>114</v>
      </c>
      <c r="DC401" t="s">
        <v>114</v>
      </c>
      <c r="DD401" t="s">
        <v>134</v>
      </c>
    </row>
    <row r="402" spans="1:113" ht="15" customHeight="1" x14ac:dyDescent="0.25">
      <c r="A402" t="s">
        <v>16210</v>
      </c>
      <c r="B402" t="s">
        <v>165</v>
      </c>
      <c r="C402" s="1">
        <v>44882.047125231482</v>
      </c>
      <c r="D402" s="1">
        <v>44910</v>
      </c>
      <c r="E402" t="s">
        <v>134</v>
      </c>
      <c r="F402" t="s">
        <v>334</v>
      </c>
      <c r="G402" t="str">
        <f t="shared" ref="G402:G409" si="28">"37-3011.00"</f>
        <v>37-3011.00</v>
      </c>
      <c r="H402" t="s">
        <v>335</v>
      </c>
      <c r="I402">
        <v>6</v>
      </c>
      <c r="J402">
        <v>6</v>
      </c>
      <c r="K402" s="1">
        <v>44972</v>
      </c>
      <c r="L402" s="1">
        <v>45274</v>
      </c>
      <c r="M402" s="1">
        <v>44972</v>
      </c>
      <c r="N402" s="1">
        <v>45274</v>
      </c>
      <c r="O402" t="s">
        <v>199</v>
      </c>
      <c r="P402" t="s">
        <v>16211</v>
      </c>
      <c r="R402" t="s">
        <v>16212</v>
      </c>
      <c r="T402" t="s">
        <v>1978</v>
      </c>
      <c r="U402" t="s">
        <v>697</v>
      </c>
      <c r="V402" s="4" t="str">
        <f>"63303"</f>
        <v>63303</v>
      </c>
      <c r="W402" t="s">
        <v>120</v>
      </c>
      <c r="Y402" s="5">
        <v>16369400660</v>
      </c>
      <c r="AA402">
        <v>56173</v>
      </c>
      <c r="AB402" t="s">
        <v>4324</v>
      </c>
      <c r="AC402" t="s">
        <v>1081</v>
      </c>
      <c r="AE402" t="s">
        <v>424</v>
      </c>
      <c r="AF402" t="s">
        <v>16212</v>
      </c>
      <c r="AH402" t="s">
        <v>1978</v>
      </c>
      <c r="AI402" t="s">
        <v>697</v>
      </c>
      <c r="AJ402" s="4" t="str">
        <f>"63303"</f>
        <v>63303</v>
      </c>
      <c r="AK402" t="s">
        <v>120</v>
      </c>
      <c r="AM402" s="5">
        <v>16369400660</v>
      </c>
      <c r="AO402" t="s">
        <v>16213</v>
      </c>
      <c r="AP402" t="s">
        <v>256</v>
      </c>
      <c r="AQ402" t="s">
        <v>344</v>
      </c>
      <c r="AR402" t="s">
        <v>345</v>
      </c>
      <c r="AT402" t="s">
        <v>346</v>
      </c>
      <c r="AU402" t="s">
        <v>347</v>
      </c>
      <c r="AV402" t="s">
        <v>348</v>
      </c>
      <c r="AW402" t="s">
        <v>349</v>
      </c>
      <c r="AX402" s="4" t="str">
        <f t="shared" ref="AX402:AX407" si="29">"83814"</f>
        <v>83814</v>
      </c>
      <c r="AY402" t="s">
        <v>120</v>
      </c>
      <c r="BA402" s="5">
        <v>12087772654</v>
      </c>
      <c r="BC402" t="s">
        <v>350</v>
      </c>
      <c r="BD402" t="s">
        <v>351</v>
      </c>
      <c r="BG402" t="s">
        <v>697</v>
      </c>
      <c r="BH402" s="1">
        <v>44858.833333333336</v>
      </c>
      <c r="BI402">
        <v>40</v>
      </c>
      <c r="BJ402">
        <v>0</v>
      </c>
      <c r="BK402">
        <v>8</v>
      </c>
      <c r="BL402">
        <v>8</v>
      </c>
      <c r="BM402">
        <v>8</v>
      </c>
      <c r="BN402">
        <v>8</v>
      </c>
      <c r="BO402">
        <v>8</v>
      </c>
      <c r="BP402">
        <v>0</v>
      </c>
      <c r="BQ402" t="str">
        <f>"7:30 AM"</f>
        <v>7:30 AM</v>
      </c>
      <c r="BR402" t="str">
        <f>"4:30 PM"</f>
        <v>4:30 PM</v>
      </c>
      <c r="BS402" t="s">
        <v>133</v>
      </c>
      <c r="BT402">
        <v>0</v>
      </c>
      <c r="BU402">
        <v>0</v>
      </c>
      <c r="BV402" t="s">
        <v>134</v>
      </c>
      <c r="BX402" s="2" t="s">
        <v>1836</v>
      </c>
      <c r="BY402" t="s">
        <v>16214</v>
      </c>
      <c r="CA402" t="s">
        <v>1978</v>
      </c>
      <c r="CB402" t="s">
        <v>697</v>
      </c>
      <c r="CC402" s="4" t="str">
        <f>"63303"</f>
        <v>63303</v>
      </c>
      <c r="CD402" t="s">
        <v>1962</v>
      </c>
      <c r="CE402" t="s">
        <v>713</v>
      </c>
      <c r="CF402" s="6">
        <v>16.96</v>
      </c>
      <c r="CH402" s="6">
        <v>25.44</v>
      </c>
      <c r="CJ402" t="s">
        <v>137</v>
      </c>
      <c r="CL402" t="s">
        <v>16215</v>
      </c>
      <c r="CO402" t="s">
        <v>138</v>
      </c>
      <c r="CP402" t="s">
        <v>114</v>
      </c>
      <c r="CQ402" t="s">
        <v>114</v>
      </c>
      <c r="CR402" t="s">
        <v>114</v>
      </c>
      <c r="CS402" t="s">
        <v>114</v>
      </c>
      <c r="CT402" t="s">
        <v>114</v>
      </c>
      <c r="CU402" t="s">
        <v>114</v>
      </c>
      <c r="CV402" s="2" t="s">
        <v>16216</v>
      </c>
      <c r="CW402" s="5" t="str">
        <f>"+16369400660"</f>
        <v>+16369400660</v>
      </c>
      <c r="CX402" t="s">
        <v>16217</v>
      </c>
      <c r="CY402" t="s">
        <v>138</v>
      </c>
      <c r="CZ402" t="s">
        <v>139</v>
      </c>
      <c r="DA402" t="s">
        <v>134</v>
      </c>
      <c r="DB402" t="s">
        <v>134</v>
      </c>
      <c r="DC402" t="s">
        <v>114</v>
      </c>
      <c r="DD402" t="s">
        <v>134</v>
      </c>
    </row>
    <row r="403" spans="1:113" ht="15" customHeight="1" x14ac:dyDescent="0.25">
      <c r="A403" t="s">
        <v>4686</v>
      </c>
      <c r="B403" t="s">
        <v>165</v>
      </c>
      <c r="C403" s="1">
        <v>44882.046836458336</v>
      </c>
      <c r="D403" s="1">
        <v>44910</v>
      </c>
      <c r="E403" t="s">
        <v>134</v>
      </c>
      <c r="F403" t="s">
        <v>334</v>
      </c>
      <c r="G403" t="str">
        <f t="shared" si="28"/>
        <v>37-3011.00</v>
      </c>
      <c r="H403" t="s">
        <v>335</v>
      </c>
      <c r="I403">
        <v>19</v>
      </c>
      <c r="J403">
        <v>19</v>
      </c>
      <c r="K403" s="1">
        <v>44972</v>
      </c>
      <c r="L403" s="1">
        <v>45274</v>
      </c>
      <c r="M403" s="1">
        <v>44972</v>
      </c>
      <c r="N403" s="1">
        <v>45274</v>
      </c>
      <c r="O403" t="s">
        <v>199</v>
      </c>
      <c r="P403" t="s">
        <v>4687</v>
      </c>
      <c r="R403" t="s">
        <v>4688</v>
      </c>
      <c r="T403" t="s">
        <v>1629</v>
      </c>
      <c r="U403" t="s">
        <v>697</v>
      </c>
      <c r="V403" s="4" t="str">
        <f>"63128"</f>
        <v>63128</v>
      </c>
      <c r="W403" t="s">
        <v>120</v>
      </c>
      <c r="Y403" s="5">
        <v>13148927733</v>
      </c>
      <c r="AA403">
        <v>56173</v>
      </c>
      <c r="AB403" t="s">
        <v>4582</v>
      </c>
      <c r="AC403" t="s">
        <v>1980</v>
      </c>
      <c r="AE403" t="s">
        <v>342</v>
      </c>
      <c r="AF403" t="s">
        <v>4688</v>
      </c>
      <c r="AH403" t="s">
        <v>1629</v>
      </c>
      <c r="AI403" t="s">
        <v>697</v>
      </c>
      <c r="AJ403" s="4" t="str">
        <f>"63128"</f>
        <v>63128</v>
      </c>
      <c r="AK403" t="s">
        <v>120</v>
      </c>
      <c r="AM403" s="5">
        <v>13148927733</v>
      </c>
      <c r="AO403" t="s">
        <v>4689</v>
      </c>
      <c r="AP403" t="s">
        <v>256</v>
      </c>
      <c r="AQ403" t="s">
        <v>344</v>
      </c>
      <c r="AR403" t="s">
        <v>345</v>
      </c>
      <c r="AT403" t="s">
        <v>346</v>
      </c>
      <c r="AU403" t="s">
        <v>347</v>
      </c>
      <c r="AV403" t="s">
        <v>348</v>
      </c>
      <c r="AW403" t="s">
        <v>349</v>
      </c>
      <c r="AX403" s="4" t="str">
        <f t="shared" si="29"/>
        <v>83814</v>
      </c>
      <c r="AY403" t="s">
        <v>120</v>
      </c>
      <c r="BA403" s="5">
        <v>12087772654</v>
      </c>
      <c r="BC403" t="s">
        <v>350</v>
      </c>
      <c r="BD403" t="s">
        <v>351</v>
      </c>
      <c r="BG403" t="s">
        <v>697</v>
      </c>
      <c r="BH403" s="1">
        <v>44858.833333333336</v>
      </c>
      <c r="BI403">
        <v>40</v>
      </c>
      <c r="BJ403">
        <v>0</v>
      </c>
      <c r="BK403">
        <v>8</v>
      </c>
      <c r="BL403">
        <v>8</v>
      </c>
      <c r="BM403">
        <v>8</v>
      </c>
      <c r="BN403">
        <v>8</v>
      </c>
      <c r="BO403">
        <v>8</v>
      </c>
      <c r="BP403">
        <v>0</v>
      </c>
      <c r="BQ403" t="str">
        <f>"7:00 AM"</f>
        <v>7:00 AM</v>
      </c>
      <c r="BR403" t="str">
        <f>"4:00 PM"</f>
        <v>4:00 PM</v>
      </c>
      <c r="BS403" t="s">
        <v>133</v>
      </c>
      <c r="BT403">
        <v>0</v>
      </c>
      <c r="BU403">
        <v>0</v>
      </c>
      <c r="BV403" t="s">
        <v>134</v>
      </c>
      <c r="BX403" s="2" t="s">
        <v>1836</v>
      </c>
      <c r="BY403" t="s">
        <v>4690</v>
      </c>
      <c r="CA403" t="s">
        <v>1629</v>
      </c>
      <c r="CB403" t="s">
        <v>697</v>
      </c>
      <c r="CC403" s="4" t="str">
        <f>"63125"</f>
        <v>63125</v>
      </c>
      <c r="CD403" t="s">
        <v>712</v>
      </c>
      <c r="CE403" t="s">
        <v>713</v>
      </c>
      <c r="CF403" s="6">
        <v>16.96</v>
      </c>
      <c r="CG403" s="6">
        <v>19.75</v>
      </c>
      <c r="CH403" s="6">
        <v>25.44</v>
      </c>
      <c r="CI403" s="6">
        <v>29.63</v>
      </c>
      <c r="CJ403" t="s">
        <v>137</v>
      </c>
      <c r="CK403" t="s">
        <v>356</v>
      </c>
      <c r="CL403" t="s">
        <v>4691</v>
      </c>
      <c r="CO403" t="s">
        <v>138</v>
      </c>
      <c r="CP403" t="s">
        <v>114</v>
      </c>
      <c r="CQ403" t="s">
        <v>114</v>
      </c>
      <c r="CR403" t="s">
        <v>114</v>
      </c>
      <c r="CS403" t="s">
        <v>114</v>
      </c>
      <c r="CT403" t="s">
        <v>114</v>
      </c>
      <c r="CU403" t="s">
        <v>114</v>
      </c>
      <c r="CV403" t="s">
        <v>4692</v>
      </c>
      <c r="CW403" s="5" t="str">
        <f>"+13148927733"</f>
        <v>+13148927733</v>
      </c>
      <c r="CX403" t="s">
        <v>4689</v>
      </c>
      <c r="CY403" t="s">
        <v>138</v>
      </c>
      <c r="CZ403" t="s">
        <v>139</v>
      </c>
      <c r="DA403" t="s">
        <v>134</v>
      </c>
      <c r="DB403" t="s">
        <v>134</v>
      </c>
      <c r="DC403" t="s">
        <v>114</v>
      </c>
      <c r="DD403" t="s">
        <v>134</v>
      </c>
    </row>
    <row r="404" spans="1:113" ht="15" customHeight="1" x14ac:dyDescent="0.25">
      <c r="A404" t="s">
        <v>2997</v>
      </c>
      <c r="B404" t="s">
        <v>165</v>
      </c>
      <c r="C404" s="1">
        <v>44882.04613923611</v>
      </c>
      <c r="D404" s="1">
        <v>44910</v>
      </c>
      <c r="E404" t="s">
        <v>134</v>
      </c>
      <c r="F404" t="s">
        <v>334</v>
      </c>
      <c r="G404" t="str">
        <f t="shared" si="28"/>
        <v>37-3011.00</v>
      </c>
      <c r="H404" t="s">
        <v>335</v>
      </c>
      <c r="I404">
        <v>19</v>
      </c>
      <c r="J404">
        <v>19</v>
      </c>
      <c r="K404" s="1">
        <v>44972</v>
      </c>
      <c r="L404" s="1">
        <v>45274</v>
      </c>
      <c r="M404" s="1">
        <v>44972</v>
      </c>
      <c r="N404" s="1">
        <v>45274</v>
      </c>
      <c r="O404" t="s">
        <v>199</v>
      </c>
      <c r="P404" t="s">
        <v>2998</v>
      </c>
      <c r="R404" t="s">
        <v>2999</v>
      </c>
      <c r="T404" t="s">
        <v>1653</v>
      </c>
      <c r="U404" t="s">
        <v>697</v>
      </c>
      <c r="V404" s="4" t="str">
        <f>"63017"</f>
        <v>63017</v>
      </c>
      <c r="W404" t="s">
        <v>120</v>
      </c>
      <c r="Y404" s="5">
        <v>13145688135</v>
      </c>
      <c r="AA404">
        <v>56173</v>
      </c>
      <c r="AB404" t="s">
        <v>3000</v>
      </c>
      <c r="AC404" t="s">
        <v>1568</v>
      </c>
      <c r="AE404" t="s">
        <v>424</v>
      </c>
      <c r="AF404" t="s">
        <v>2999</v>
      </c>
      <c r="AH404" t="s">
        <v>1653</v>
      </c>
      <c r="AI404" t="s">
        <v>697</v>
      </c>
      <c r="AJ404" s="4" t="str">
        <f>"63017"</f>
        <v>63017</v>
      </c>
      <c r="AK404" t="s">
        <v>120</v>
      </c>
      <c r="AM404" s="5">
        <v>13145688135</v>
      </c>
      <c r="AO404" t="s">
        <v>3001</v>
      </c>
      <c r="AP404" t="s">
        <v>256</v>
      </c>
      <c r="AQ404" t="s">
        <v>344</v>
      </c>
      <c r="AR404" t="s">
        <v>345</v>
      </c>
      <c r="AT404" t="s">
        <v>346</v>
      </c>
      <c r="AU404" t="s">
        <v>347</v>
      </c>
      <c r="AV404" t="s">
        <v>348</v>
      </c>
      <c r="AW404" t="s">
        <v>349</v>
      </c>
      <c r="AX404" s="4" t="str">
        <f t="shared" si="29"/>
        <v>83814</v>
      </c>
      <c r="AY404" t="s">
        <v>120</v>
      </c>
      <c r="BA404" s="5">
        <v>12087772654</v>
      </c>
      <c r="BC404" t="s">
        <v>350</v>
      </c>
      <c r="BD404" t="s">
        <v>351</v>
      </c>
      <c r="BG404" t="s">
        <v>697</v>
      </c>
      <c r="BH404" s="1">
        <v>44859.833333333336</v>
      </c>
      <c r="BI404">
        <v>40</v>
      </c>
      <c r="BJ404">
        <v>0</v>
      </c>
      <c r="BK404">
        <v>8</v>
      </c>
      <c r="BL404">
        <v>8</v>
      </c>
      <c r="BM404">
        <v>8</v>
      </c>
      <c r="BN404">
        <v>8</v>
      </c>
      <c r="BO404">
        <v>8</v>
      </c>
      <c r="BP404">
        <v>0</v>
      </c>
      <c r="BQ404" t="str">
        <f>"7:00 AM"</f>
        <v>7:00 AM</v>
      </c>
      <c r="BR404" t="str">
        <f>"5:00 PM"</f>
        <v>5:00 PM</v>
      </c>
      <c r="BS404" t="s">
        <v>133</v>
      </c>
      <c r="BT404">
        <v>0</v>
      </c>
      <c r="BU404">
        <v>0</v>
      </c>
      <c r="BV404" t="s">
        <v>134</v>
      </c>
      <c r="BX404" s="2" t="s">
        <v>1836</v>
      </c>
      <c r="BY404" t="s">
        <v>3002</v>
      </c>
      <c r="CA404" t="s">
        <v>1653</v>
      </c>
      <c r="CB404" t="s">
        <v>697</v>
      </c>
      <c r="CC404" s="4" t="str">
        <f>"63017"</f>
        <v>63017</v>
      </c>
      <c r="CD404" t="s">
        <v>712</v>
      </c>
      <c r="CE404" t="s">
        <v>713</v>
      </c>
      <c r="CF404" s="6">
        <v>16.96</v>
      </c>
      <c r="CG404" s="6">
        <v>20</v>
      </c>
      <c r="CH404" s="6">
        <v>25.44</v>
      </c>
      <c r="CI404" s="6">
        <v>30</v>
      </c>
      <c r="CJ404" t="s">
        <v>137</v>
      </c>
      <c r="CK404" t="s">
        <v>356</v>
      </c>
      <c r="CL404" t="s">
        <v>3003</v>
      </c>
      <c r="CO404" t="s">
        <v>138</v>
      </c>
      <c r="CP404" t="s">
        <v>114</v>
      </c>
      <c r="CQ404" t="s">
        <v>114</v>
      </c>
      <c r="CR404" t="s">
        <v>114</v>
      </c>
      <c r="CS404" t="s">
        <v>114</v>
      </c>
      <c r="CT404" t="s">
        <v>114</v>
      </c>
      <c r="CU404" t="s">
        <v>114</v>
      </c>
      <c r="CV404" t="s">
        <v>3004</v>
      </c>
      <c r="CW404" s="5" t="str">
        <f>"+13145688135"</f>
        <v>+13145688135</v>
      </c>
      <c r="CX404" t="s">
        <v>3001</v>
      </c>
      <c r="CY404" t="s">
        <v>138</v>
      </c>
      <c r="CZ404" t="s">
        <v>139</v>
      </c>
      <c r="DA404" t="s">
        <v>134</v>
      </c>
      <c r="DB404" t="s">
        <v>134</v>
      </c>
      <c r="DC404" t="s">
        <v>114</v>
      </c>
      <c r="DD404" t="s">
        <v>134</v>
      </c>
    </row>
    <row r="405" spans="1:113" ht="15" customHeight="1" x14ac:dyDescent="0.25">
      <c r="A405" t="s">
        <v>7199</v>
      </c>
      <c r="B405" t="s">
        <v>165</v>
      </c>
      <c r="C405" s="1">
        <v>44882.045735532411</v>
      </c>
      <c r="D405" s="1">
        <v>44910</v>
      </c>
      <c r="E405" t="s">
        <v>134</v>
      </c>
      <c r="F405" t="s">
        <v>334</v>
      </c>
      <c r="G405" t="str">
        <f t="shared" si="28"/>
        <v>37-3011.00</v>
      </c>
      <c r="H405" t="s">
        <v>335</v>
      </c>
      <c r="I405">
        <v>8</v>
      </c>
      <c r="J405">
        <v>8</v>
      </c>
      <c r="K405" s="1">
        <v>44972</v>
      </c>
      <c r="L405" s="1">
        <v>45260</v>
      </c>
      <c r="M405" s="1">
        <v>44972</v>
      </c>
      <c r="N405" s="1">
        <v>45260</v>
      </c>
      <c r="O405" t="s">
        <v>199</v>
      </c>
      <c r="P405" t="s">
        <v>7200</v>
      </c>
      <c r="R405" t="s">
        <v>7201</v>
      </c>
      <c r="T405" t="s">
        <v>7202</v>
      </c>
      <c r="U405" t="s">
        <v>697</v>
      </c>
      <c r="V405" s="4" t="str">
        <f>"63021"</f>
        <v>63021</v>
      </c>
      <c r="W405" t="s">
        <v>120</v>
      </c>
      <c r="Y405" s="5">
        <v>16365307663</v>
      </c>
      <c r="AA405">
        <v>56173</v>
      </c>
      <c r="AB405" t="s">
        <v>7203</v>
      </c>
      <c r="AC405" t="s">
        <v>5761</v>
      </c>
      <c r="AE405" t="s">
        <v>1654</v>
      </c>
      <c r="AF405" t="s">
        <v>7201</v>
      </c>
      <c r="AH405" t="s">
        <v>7202</v>
      </c>
      <c r="AI405" t="s">
        <v>697</v>
      </c>
      <c r="AJ405" s="4" t="str">
        <f>"63021"</f>
        <v>63021</v>
      </c>
      <c r="AK405" t="s">
        <v>120</v>
      </c>
      <c r="AM405" s="5">
        <v>16365307663</v>
      </c>
      <c r="AO405" t="s">
        <v>7204</v>
      </c>
      <c r="AP405" t="s">
        <v>256</v>
      </c>
      <c r="AQ405" t="s">
        <v>344</v>
      </c>
      <c r="AR405" t="s">
        <v>345</v>
      </c>
      <c r="AT405" t="s">
        <v>346</v>
      </c>
      <c r="AU405" t="s">
        <v>347</v>
      </c>
      <c r="AV405" t="s">
        <v>348</v>
      </c>
      <c r="AW405" t="s">
        <v>349</v>
      </c>
      <c r="AX405" s="4" t="str">
        <f t="shared" si="29"/>
        <v>83814</v>
      </c>
      <c r="AY405" t="s">
        <v>120</v>
      </c>
      <c r="BA405" s="5">
        <v>12087772654</v>
      </c>
      <c r="BC405" t="s">
        <v>350</v>
      </c>
      <c r="BD405" t="s">
        <v>351</v>
      </c>
      <c r="BG405" t="s">
        <v>697</v>
      </c>
      <c r="BH405" s="1">
        <v>44859.833333333336</v>
      </c>
      <c r="BI405">
        <v>40</v>
      </c>
      <c r="BJ405">
        <v>0</v>
      </c>
      <c r="BK405">
        <v>8</v>
      </c>
      <c r="BL405">
        <v>8</v>
      </c>
      <c r="BM405">
        <v>8</v>
      </c>
      <c r="BN405">
        <v>8</v>
      </c>
      <c r="BO405">
        <v>8</v>
      </c>
      <c r="BP405">
        <v>0</v>
      </c>
      <c r="BQ405" t="str">
        <f>"8:00 AM"</f>
        <v>8:00 AM</v>
      </c>
      <c r="BR405" t="str">
        <f>"5:00 PM"</f>
        <v>5:00 PM</v>
      </c>
      <c r="BS405" t="s">
        <v>133</v>
      </c>
      <c r="BT405">
        <v>0</v>
      </c>
      <c r="BU405">
        <v>0</v>
      </c>
      <c r="BV405" t="s">
        <v>134</v>
      </c>
      <c r="BX405" s="2" t="s">
        <v>352</v>
      </c>
      <c r="BY405" t="s">
        <v>7205</v>
      </c>
      <c r="CA405" t="s">
        <v>7202</v>
      </c>
      <c r="CB405" t="s">
        <v>697</v>
      </c>
      <c r="CC405" s="4" t="str">
        <f>"63021"</f>
        <v>63021</v>
      </c>
      <c r="CD405" t="s">
        <v>712</v>
      </c>
      <c r="CE405" t="s">
        <v>713</v>
      </c>
      <c r="CF405" s="6">
        <v>16.96</v>
      </c>
      <c r="CG405" s="6">
        <v>17.5</v>
      </c>
      <c r="CH405" s="6">
        <v>25.44</v>
      </c>
      <c r="CI405" s="6">
        <v>26.25</v>
      </c>
      <c r="CJ405" t="s">
        <v>137</v>
      </c>
      <c r="CK405" t="s">
        <v>356</v>
      </c>
      <c r="CL405" t="s">
        <v>7206</v>
      </c>
      <c r="CO405" t="s">
        <v>138</v>
      </c>
      <c r="CP405" t="s">
        <v>114</v>
      </c>
      <c r="CQ405" t="s">
        <v>114</v>
      </c>
      <c r="CR405" t="s">
        <v>114</v>
      </c>
      <c r="CS405" t="s">
        <v>114</v>
      </c>
      <c r="CT405" t="s">
        <v>114</v>
      </c>
      <c r="CU405" t="s">
        <v>114</v>
      </c>
      <c r="CV405" t="s">
        <v>7207</v>
      </c>
      <c r="CW405" s="5" t="str">
        <f>"+16365307663"</f>
        <v>+16365307663</v>
      </c>
      <c r="CX405" t="s">
        <v>7208</v>
      </c>
      <c r="CY405" t="s">
        <v>138</v>
      </c>
      <c r="CZ405" t="s">
        <v>139</v>
      </c>
      <c r="DA405" t="s">
        <v>134</v>
      </c>
      <c r="DB405" t="s">
        <v>134</v>
      </c>
      <c r="DC405" t="s">
        <v>114</v>
      </c>
      <c r="DD405" t="s">
        <v>134</v>
      </c>
    </row>
    <row r="406" spans="1:113" ht="15" customHeight="1" x14ac:dyDescent="0.25">
      <c r="A406" t="s">
        <v>6157</v>
      </c>
      <c r="B406" t="s">
        <v>165</v>
      </c>
      <c r="C406" s="1">
        <v>44882.045230439813</v>
      </c>
      <c r="D406" s="1">
        <v>44910</v>
      </c>
      <c r="E406" t="s">
        <v>134</v>
      </c>
      <c r="F406" t="s">
        <v>334</v>
      </c>
      <c r="G406" t="str">
        <f t="shared" si="28"/>
        <v>37-3011.00</v>
      </c>
      <c r="H406" t="s">
        <v>335</v>
      </c>
      <c r="I406">
        <v>6</v>
      </c>
      <c r="J406">
        <v>6</v>
      </c>
      <c r="K406" s="1">
        <v>44972</v>
      </c>
      <c r="L406" s="1">
        <v>45274</v>
      </c>
      <c r="M406" s="1">
        <v>44972</v>
      </c>
      <c r="N406" s="1">
        <v>45274</v>
      </c>
      <c r="O406" t="s">
        <v>199</v>
      </c>
      <c r="P406" t="s">
        <v>6158</v>
      </c>
      <c r="R406" t="s">
        <v>6159</v>
      </c>
      <c r="T406" t="s">
        <v>2458</v>
      </c>
      <c r="U406" t="s">
        <v>697</v>
      </c>
      <c r="V406" s="4" t="str">
        <f>"63366"</f>
        <v>63366</v>
      </c>
      <c r="W406" t="s">
        <v>120</v>
      </c>
      <c r="Y406" s="5">
        <v>13146107944</v>
      </c>
      <c r="AA406">
        <v>56173</v>
      </c>
      <c r="AB406" t="s">
        <v>6160</v>
      </c>
      <c r="AC406" t="s">
        <v>4680</v>
      </c>
      <c r="AE406" t="s">
        <v>6161</v>
      </c>
      <c r="AF406" t="s">
        <v>6159</v>
      </c>
      <c r="AH406" t="s">
        <v>2458</v>
      </c>
      <c r="AI406" t="s">
        <v>697</v>
      </c>
      <c r="AJ406" s="4" t="str">
        <f>"63366"</f>
        <v>63366</v>
      </c>
      <c r="AK406" t="s">
        <v>120</v>
      </c>
      <c r="AM406" s="5">
        <v>13146107944</v>
      </c>
      <c r="AO406" t="s">
        <v>6162</v>
      </c>
      <c r="AP406" t="s">
        <v>256</v>
      </c>
      <c r="AQ406" t="s">
        <v>344</v>
      </c>
      <c r="AR406" t="s">
        <v>345</v>
      </c>
      <c r="AT406" t="s">
        <v>346</v>
      </c>
      <c r="AU406" t="s">
        <v>347</v>
      </c>
      <c r="AV406" t="s">
        <v>348</v>
      </c>
      <c r="AW406" t="s">
        <v>349</v>
      </c>
      <c r="AX406" s="4" t="str">
        <f t="shared" si="29"/>
        <v>83814</v>
      </c>
      <c r="AY406" t="s">
        <v>120</v>
      </c>
      <c r="BA406" s="5">
        <v>12087772654</v>
      </c>
      <c r="BC406" t="s">
        <v>350</v>
      </c>
      <c r="BD406" t="s">
        <v>351</v>
      </c>
      <c r="BG406" t="s">
        <v>697</v>
      </c>
      <c r="BH406" s="1">
        <v>44859.833333333336</v>
      </c>
      <c r="BI406">
        <v>40</v>
      </c>
      <c r="BJ406">
        <v>0</v>
      </c>
      <c r="BK406">
        <v>8</v>
      </c>
      <c r="BL406">
        <v>8</v>
      </c>
      <c r="BM406">
        <v>8</v>
      </c>
      <c r="BN406">
        <v>8</v>
      </c>
      <c r="BO406">
        <v>8</v>
      </c>
      <c r="BP406">
        <v>0</v>
      </c>
      <c r="BQ406" t="str">
        <f>"7:00 AM"</f>
        <v>7:00 AM</v>
      </c>
      <c r="BR406" t="str">
        <f>"4:00 PM"</f>
        <v>4:00 PM</v>
      </c>
      <c r="BS406" t="s">
        <v>133</v>
      </c>
      <c r="BT406">
        <v>0</v>
      </c>
      <c r="BU406">
        <v>0</v>
      </c>
      <c r="BV406" t="s">
        <v>134</v>
      </c>
      <c r="BX406" s="2" t="s">
        <v>1836</v>
      </c>
      <c r="BY406" t="s">
        <v>6163</v>
      </c>
      <c r="CA406" t="s">
        <v>2458</v>
      </c>
      <c r="CB406" t="s">
        <v>697</v>
      </c>
      <c r="CC406" s="4" t="str">
        <f>"63366"</f>
        <v>63366</v>
      </c>
      <c r="CD406" t="s">
        <v>1962</v>
      </c>
      <c r="CE406" t="s">
        <v>713</v>
      </c>
      <c r="CF406" s="6">
        <v>16.96</v>
      </c>
      <c r="CH406" s="6">
        <v>25.44</v>
      </c>
      <c r="CJ406" t="s">
        <v>137</v>
      </c>
      <c r="CL406" t="s">
        <v>6164</v>
      </c>
      <c r="CO406" t="s">
        <v>138</v>
      </c>
      <c r="CP406" t="s">
        <v>114</v>
      </c>
      <c r="CQ406" t="s">
        <v>114</v>
      </c>
      <c r="CR406" t="s">
        <v>114</v>
      </c>
      <c r="CS406" t="s">
        <v>114</v>
      </c>
      <c r="CT406" t="s">
        <v>114</v>
      </c>
      <c r="CU406" t="s">
        <v>134</v>
      </c>
      <c r="CV406" t="s">
        <v>358</v>
      </c>
      <c r="CW406" s="5" t="str">
        <f>"+13149565419"</f>
        <v>+13149565419</v>
      </c>
      <c r="CX406" t="s">
        <v>6162</v>
      </c>
      <c r="CY406" t="s">
        <v>138</v>
      </c>
      <c r="CZ406" t="s">
        <v>139</v>
      </c>
      <c r="DA406" t="s">
        <v>134</v>
      </c>
      <c r="DB406" t="s">
        <v>134</v>
      </c>
      <c r="DC406" t="s">
        <v>114</v>
      </c>
      <c r="DD406" t="s">
        <v>134</v>
      </c>
    </row>
    <row r="407" spans="1:113" ht="15" customHeight="1" x14ac:dyDescent="0.25">
      <c r="A407" t="s">
        <v>4709</v>
      </c>
      <c r="B407" t="s">
        <v>165</v>
      </c>
      <c r="C407" s="1">
        <v>44882.044754629627</v>
      </c>
      <c r="D407" s="1">
        <v>44910</v>
      </c>
      <c r="E407" t="s">
        <v>134</v>
      </c>
      <c r="F407" t="s">
        <v>334</v>
      </c>
      <c r="G407" t="str">
        <f t="shared" si="28"/>
        <v>37-3011.00</v>
      </c>
      <c r="H407" t="s">
        <v>335</v>
      </c>
      <c r="I407">
        <v>3</v>
      </c>
      <c r="J407">
        <v>3</v>
      </c>
      <c r="K407" s="1">
        <v>44972</v>
      </c>
      <c r="L407" s="1">
        <v>45260</v>
      </c>
      <c r="M407" s="1">
        <v>44972</v>
      </c>
      <c r="N407" s="1">
        <v>45260</v>
      </c>
      <c r="O407" t="s">
        <v>199</v>
      </c>
      <c r="P407" t="s">
        <v>4710</v>
      </c>
      <c r="R407" t="s">
        <v>4711</v>
      </c>
      <c r="T407" t="s">
        <v>4712</v>
      </c>
      <c r="U407" t="s">
        <v>2371</v>
      </c>
      <c r="V407" s="4" t="str">
        <f>"47715"</f>
        <v>47715</v>
      </c>
      <c r="W407" t="s">
        <v>120</v>
      </c>
      <c r="Y407" s="5">
        <v>18124543229</v>
      </c>
      <c r="AA407">
        <v>56173</v>
      </c>
      <c r="AB407" t="s">
        <v>4713</v>
      </c>
      <c r="AC407" t="s">
        <v>1980</v>
      </c>
      <c r="AE407" t="s">
        <v>424</v>
      </c>
      <c r="AF407" t="s">
        <v>4711</v>
      </c>
      <c r="AH407" t="s">
        <v>4712</v>
      </c>
      <c r="AI407" t="s">
        <v>2371</v>
      </c>
      <c r="AJ407" s="4" t="str">
        <f>"47715"</f>
        <v>47715</v>
      </c>
      <c r="AK407" t="s">
        <v>120</v>
      </c>
      <c r="AM407" s="5">
        <v>18124543229</v>
      </c>
      <c r="AO407" t="s">
        <v>4714</v>
      </c>
      <c r="AP407" t="s">
        <v>256</v>
      </c>
      <c r="AQ407" t="s">
        <v>344</v>
      </c>
      <c r="AR407" t="s">
        <v>345</v>
      </c>
      <c r="AT407" t="s">
        <v>346</v>
      </c>
      <c r="AU407" t="s">
        <v>347</v>
      </c>
      <c r="AV407" t="s">
        <v>348</v>
      </c>
      <c r="AW407" t="s">
        <v>349</v>
      </c>
      <c r="AX407" s="4" t="str">
        <f t="shared" si="29"/>
        <v>83814</v>
      </c>
      <c r="AY407" t="s">
        <v>120</v>
      </c>
      <c r="BA407" s="5">
        <v>12087772654</v>
      </c>
      <c r="BC407" t="s">
        <v>350</v>
      </c>
      <c r="BD407" t="s">
        <v>351</v>
      </c>
      <c r="BG407" t="s">
        <v>2371</v>
      </c>
      <c r="BH407" s="1">
        <v>44860.833333333336</v>
      </c>
      <c r="BI407">
        <v>40</v>
      </c>
      <c r="BJ407">
        <v>0</v>
      </c>
      <c r="BK407">
        <v>8</v>
      </c>
      <c r="BL407">
        <v>8</v>
      </c>
      <c r="BM407">
        <v>8</v>
      </c>
      <c r="BN407">
        <v>8</v>
      </c>
      <c r="BO407">
        <v>8</v>
      </c>
      <c r="BP407">
        <v>0</v>
      </c>
      <c r="BQ407" t="str">
        <f>"6:00 AM"</f>
        <v>6:00 AM</v>
      </c>
      <c r="BR407" t="str">
        <f>"3:30 PM"</f>
        <v>3:30 PM</v>
      </c>
      <c r="BS407" t="s">
        <v>133</v>
      </c>
      <c r="BT407">
        <v>0</v>
      </c>
      <c r="BU407">
        <v>0</v>
      </c>
      <c r="BV407" t="s">
        <v>134</v>
      </c>
      <c r="BX407" s="2" t="s">
        <v>352</v>
      </c>
      <c r="BY407" t="s">
        <v>4715</v>
      </c>
      <c r="CA407" t="s">
        <v>4712</v>
      </c>
      <c r="CB407" t="s">
        <v>2371</v>
      </c>
      <c r="CC407" s="4" t="str">
        <f>"47715"</f>
        <v>47715</v>
      </c>
      <c r="CD407" t="s">
        <v>4716</v>
      </c>
      <c r="CE407" t="s">
        <v>4587</v>
      </c>
      <c r="CF407" s="6">
        <v>14.89</v>
      </c>
      <c r="CH407" s="6">
        <v>22.34</v>
      </c>
      <c r="CJ407" t="s">
        <v>137</v>
      </c>
      <c r="CL407" t="s">
        <v>4717</v>
      </c>
      <c r="CO407" t="s">
        <v>138</v>
      </c>
      <c r="CP407" t="s">
        <v>114</v>
      </c>
      <c r="CQ407" t="s">
        <v>114</v>
      </c>
      <c r="CR407" t="s">
        <v>114</v>
      </c>
      <c r="CS407" t="s">
        <v>114</v>
      </c>
      <c r="CT407" t="s">
        <v>114</v>
      </c>
      <c r="CU407" t="s">
        <v>114</v>
      </c>
      <c r="CV407" t="s">
        <v>4718</v>
      </c>
      <c r="CW407" s="5" t="str">
        <f>"+18124543229"</f>
        <v>+18124543229</v>
      </c>
      <c r="CX407" t="s">
        <v>4714</v>
      </c>
      <c r="CY407" t="s">
        <v>138</v>
      </c>
      <c r="CZ407" t="s">
        <v>139</v>
      </c>
      <c r="DA407" t="s">
        <v>134</v>
      </c>
      <c r="DB407" t="s">
        <v>134</v>
      </c>
      <c r="DC407" t="s">
        <v>114</v>
      </c>
      <c r="DD407" t="s">
        <v>134</v>
      </c>
    </row>
    <row r="408" spans="1:113" ht="15" customHeight="1" x14ac:dyDescent="0.25">
      <c r="A408" t="s">
        <v>14212</v>
      </c>
      <c r="B408" t="s">
        <v>165</v>
      </c>
      <c r="C408" s="1">
        <v>44882.022281944446</v>
      </c>
      <c r="D408" s="1">
        <v>44910</v>
      </c>
      <c r="E408" t="s">
        <v>134</v>
      </c>
      <c r="F408" t="s">
        <v>334</v>
      </c>
      <c r="G408" t="str">
        <f t="shared" si="28"/>
        <v>37-3011.00</v>
      </c>
      <c r="H408" t="s">
        <v>335</v>
      </c>
      <c r="I408">
        <v>50</v>
      </c>
      <c r="J408">
        <v>50</v>
      </c>
      <c r="K408" s="1">
        <v>44972</v>
      </c>
      <c r="L408" s="1">
        <v>45235</v>
      </c>
      <c r="M408" s="1">
        <v>44972</v>
      </c>
      <c r="N408" s="1">
        <v>45235</v>
      </c>
      <c r="O408" t="s">
        <v>117</v>
      </c>
      <c r="P408" t="s">
        <v>14213</v>
      </c>
      <c r="Q408" t="s">
        <v>14214</v>
      </c>
      <c r="R408" t="s">
        <v>14215</v>
      </c>
      <c r="T408" t="s">
        <v>1525</v>
      </c>
      <c r="U408" t="s">
        <v>232</v>
      </c>
      <c r="V408" s="4" t="str">
        <f>"75212"</f>
        <v>75212</v>
      </c>
      <c r="W408" t="s">
        <v>120</v>
      </c>
      <c r="Y408" s="5">
        <v>12143683327</v>
      </c>
      <c r="AA408">
        <v>5617</v>
      </c>
      <c r="AB408" t="s">
        <v>14216</v>
      </c>
      <c r="AC408" t="s">
        <v>1580</v>
      </c>
      <c r="AD408" t="s">
        <v>2980</v>
      </c>
      <c r="AE408" t="s">
        <v>342</v>
      </c>
      <c r="AF408" t="s">
        <v>14215</v>
      </c>
      <c r="AH408" t="s">
        <v>1525</v>
      </c>
      <c r="AI408" t="s">
        <v>232</v>
      </c>
      <c r="AJ408" s="4" t="str">
        <f>"75212"</f>
        <v>75212</v>
      </c>
      <c r="AK408" t="s">
        <v>120</v>
      </c>
      <c r="AM408" s="5">
        <v>12143683327</v>
      </c>
      <c r="AO408" t="s">
        <v>14217</v>
      </c>
      <c r="AP408" t="s">
        <v>256</v>
      </c>
      <c r="AQ408" t="s">
        <v>400</v>
      </c>
      <c r="AR408" t="s">
        <v>401</v>
      </c>
      <c r="AS408" t="s">
        <v>397</v>
      </c>
      <c r="AT408" t="s">
        <v>402</v>
      </c>
      <c r="AU408" t="s">
        <v>152</v>
      </c>
      <c r="AV408" t="s">
        <v>403</v>
      </c>
      <c r="AW408" t="s">
        <v>232</v>
      </c>
      <c r="AX408" s="4" t="str">
        <f>"75033"</f>
        <v>75033</v>
      </c>
      <c r="AY408" t="s">
        <v>120</v>
      </c>
      <c r="BA408" s="5">
        <v>19727789690</v>
      </c>
      <c r="BC408" t="s">
        <v>1534</v>
      </c>
      <c r="BD408" t="s">
        <v>405</v>
      </c>
      <c r="BG408" t="s">
        <v>232</v>
      </c>
      <c r="BH408" s="1">
        <v>44881.791666666664</v>
      </c>
      <c r="BI408">
        <v>40</v>
      </c>
      <c r="BJ408">
        <v>0</v>
      </c>
      <c r="BK408">
        <v>10</v>
      </c>
      <c r="BL408">
        <v>10</v>
      </c>
      <c r="BM408">
        <v>10</v>
      </c>
      <c r="BN408">
        <v>10</v>
      </c>
      <c r="BO408">
        <v>0</v>
      </c>
      <c r="BP408">
        <v>0</v>
      </c>
      <c r="BQ408" t="str">
        <f>"7:00 AM"</f>
        <v>7:00 AM</v>
      </c>
      <c r="BR408" t="str">
        <f>"5:00 PM"</f>
        <v>5:00 PM</v>
      </c>
      <c r="BS408" t="s">
        <v>133</v>
      </c>
      <c r="BT408">
        <v>0</v>
      </c>
      <c r="BU408">
        <v>0</v>
      </c>
      <c r="BV408" t="s">
        <v>134</v>
      </c>
      <c r="BX408" s="2" t="s">
        <v>9014</v>
      </c>
      <c r="BY408" t="s">
        <v>14215</v>
      </c>
      <c r="CA408" t="s">
        <v>1525</v>
      </c>
      <c r="CB408" t="s">
        <v>232</v>
      </c>
      <c r="CC408" s="4" t="str">
        <f>"75212"</f>
        <v>75212</v>
      </c>
      <c r="CD408" t="s">
        <v>1482</v>
      </c>
      <c r="CE408" t="s">
        <v>1528</v>
      </c>
      <c r="CF408" s="6">
        <v>16.3</v>
      </c>
      <c r="CG408" s="6">
        <v>16.3</v>
      </c>
      <c r="CH408" s="6">
        <v>24.45</v>
      </c>
      <c r="CI408" s="6">
        <v>24.45</v>
      </c>
      <c r="CJ408" t="s">
        <v>137</v>
      </c>
      <c r="CK408" t="s">
        <v>950</v>
      </c>
      <c r="CL408" t="s">
        <v>14218</v>
      </c>
      <c r="CO408" t="s">
        <v>138</v>
      </c>
      <c r="CP408" t="s">
        <v>114</v>
      </c>
      <c r="CQ408" t="s">
        <v>114</v>
      </c>
      <c r="CR408" t="s">
        <v>114</v>
      </c>
      <c r="CS408" t="s">
        <v>114</v>
      </c>
      <c r="CT408" t="s">
        <v>114</v>
      </c>
      <c r="CU408" t="s">
        <v>114</v>
      </c>
      <c r="CV408" s="2" t="s">
        <v>9187</v>
      </c>
      <c r="CW408" s="5" t="str">
        <f>"+12143683327"</f>
        <v>+12143683327</v>
      </c>
      <c r="CX408" t="s">
        <v>138</v>
      </c>
      <c r="CY408" t="s">
        <v>953</v>
      </c>
      <c r="CZ408" t="s">
        <v>139</v>
      </c>
      <c r="DA408" t="s">
        <v>134</v>
      </c>
      <c r="DB408" t="s">
        <v>114</v>
      </c>
      <c r="DC408" t="s">
        <v>114</v>
      </c>
      <c r="DD408" t="s">
        <v>134</v>
      </c>
    </row>
    <row r="409" spans="1:113" ht="15" customHeight="1" x14ac:dyDescent="0.25">
      <c r="A409" t="s">
        <v>13503</v>
      </c>
      <c r="B409" t="s">
        <v>165</v>
      </c>
      <c r="C409" s="1">
        <v>44882.003964583331</v>
      </c>
      <c r="D409" s="1">
        <v>44910</v>
      </c>
      <c r="E409" t="s">
        <v>134</v>
      </c>
      <c r="F409" t="s">
        <v>1662</v>
      </c>
      <c r="G409" t="str">
        <f t="shared" si="28"/>
        <v>37-3011.00</v>
      </c>
      <c r="H409" t="s">
        <v>335</v>
      </c>
      <c r="I409">
        <v>21</v>
      </c>
      <c r="J409">
        <v>21</v>
      </c>
      <c r="K409" s="1">
        <v>44972</v>
      </c>
      <c r="L409" s="1">
        <v>45260</v>
      </c>
      <c r="M409" s="1">
        <v>44972</v>
      </c>
      <c r="N409" s="1">
        <v>45260</v>
      </c>
      <c r="O409" t="s">
        <v>199</v>
      </c>
      <c r="P409" t="s">
        <v>13504</v>
      </c>
      <c r="R409" t="s">
        <v>13505</v>
      </c>
      <c r="T409" t="s">
        <v>13506</v>
      </c>
      <c r="U409" t="s">
        <v>697</v>
      </c>
      <c r="V409" s="4" t="str">
        <f>"63367"</f>
        <v>63367</v>
      </c>
      <c r="W409" t="s">
        <v>120</v>
      </c>
      <c r="Y409" s="5">
        <v>16366957800</v>
      </c>
      <c r="AA409">
        <v>5617</v>
      </c>
      <c r="AB409" t="s">
        <v>13507</v>
      </c>
      <c r="AC409" t="s">
        <v>699</v>
      </c>
      <c r="AE409" t="s">
        <v>806</v>
      </c>
      <c r="AF409" t="s">
        <v>13505</v>
      </c>
      <c r="AH409" t="s">
        <v>13506</v>
      </c>
      <c r="AI409" t="s">
        <v>697</v>
      </c>
      <c r="AJ409" s="4" t="str">
        <f>"63367"</f>
        <v>63367</v>
      </c>
      <c r="AK409" t="s">
        <v>120</v>
      </c>
      <c r="AM409" s="5">
        <v>16366957800</v>
      </c>
      <c r="AO409" t="s">
        <v>13508</v>
      </c>
      <c r="AP409" t="s">
        <v>256</v>
      </c>
      <c r="AQ409" t="s">
        <v>400</v>
      </c>
      <c r="AR409" t="s">
        <v>401</v>
      </c>
      <c r="AS409" t="s">
        <v>397</v>
      </c>
      <c r="AT409" t="s">
        <v>402</v>
      </c>
      <c r="AU409" t="s">
        <v>152</v>
      </c>
      <c r="AV409" t="s">
        <v>403</v>
      </c>
      <c r="AW409" t="s">
        <v>232</v>
      </c>
      <c r="AX409" s="4" t="str">
        <f>"75033"</f>
        <v>75033</v>
      </c>
      <c r="AY409" t="s">
        <v>120</v>
      </c>
      <c r="BA409" s="5">
        <v>19727789690</v>
      </c>
      <c r="BC409" t="s">
        <v>1239</v>
      </c>
      <c r="BD409" t="s">
        <v>405</v>
      </c>
      <c r="BG409" t="s">
        <v>697</v>
      </c>
      <c r="BH409" s="1">
        <v>44881.791666666664</v>
      </c>
      <c r="BI409">
        <v>48</v>
      </c>
      <c r="BJ409">
        <v>0</v>
      </c>
      <c r="BK409">
        <v>8</v>
      </c>
      <c r="BL409">
        <v>8</v>
      </c>
      <c r="BM409">
        <v>8</v>
      </c>
      <c r="BN409">
        <v>8</v>
      </c>
      <c r="BO409">
        <v>8</v>
      </c>
      <c r="BP409">
        <v>8</v>
      </c>
      <c r="BQ409" t="str">
        <f>"6:00 AM"</f>
        <v>6:00 AM</v>
      </c>
      <c r="BR409" t="str">
        <f>"3:00 PM"</f>
        <v>3:00 PM</v>
      </c>
      <c r="BS409" t="s">
        <v>133</v>
      </c>
      <c r="BT409">
        <v>0</v>
      </c>
      <c r="BU409">
        <v>0</v>
      </c>
      <c r="BV409" t="s">
        <v>134</v>
      </c>
      <c r="BX409" t="s">
        <v>13509</v>
      </c>
      <c r="BY409" t="s">
        <v>13510</v>
      </c>
      <c r="CA409" t="s">
        <v>13511</v>
      </c>
      <c r="CB409" t="s">
        <v>697</v>
      </c>
      <c r="CC409" s="4" t="str">
        <f>"63367"</f>
        <v>63367</v>
      </c>
      <c r="CD409" t="s">
        <v>1962</v>
      </c>
      <c r="CE409" t="s">
        <v>713</v>
      </c>
      <c r="CF409" s="6">
        <v>16.96</v>
      </c>
      <c r="CG409" s="6">
        <v>16.96</v>
      </c>
      <c r="CH409" s="6">
        <v>25.44</v>
      </c>
      <c r="CI409" s="6">
        <v>25.44</v>
      </c>
      <c r="CJ409" t="s">
        <v>137</v>
      </c>
      <c r="CK409" t="s">
        <v>950</v>
      </c>
      <c r="CL409" t="s">
        <v>13512</v>
      </c>
      <c r="CO409" t="s">
        <v>138</v>
      </c>
      <c r="CP409" t="s">
        <v>114</v>
      </c>
      <c r="CQ409" t="s">
        <v>114</v>
      </c>
      <c r="CR409" t="s">
        <v>114</v>
      </c>
      <c r="CS409" t="s">
        <v>114</v>
      </c>
      <c r="CT409" t="s">
        <v>114</v>
      </c>
      <c r="CU409" t="s">
        <v>114</v>
      </c>
      <c r="CV409" s="2" t="s">
        <v>13513</v>
      </c>
      <c r="CW409" s="5" t="str">
        <f>"+16366957800"</f>
        <v>+16366957800</v>
      </c>
      <c r="CX409" t="s">
        <v>138</v>
      </c>
      <c r="CY409" t="s">
        <v>2432</v>
      </c>
      <c r="CZ409" t="s">
        <v>139</v>
      </c>
      <c r="DA409" t="s">
        <v>134</v>
      </c>
      <c r="DB409" t="s">
        <v>114</v>
      </c>
      <c r="DC409" t="s">
        <v>114</v>
      </c>
      <c r="DD409" t="s">
        <v>134</v>
      </c>
    </row>
    <row r="410" spans="1:113" ht="15" customHeight="1" x14ac:dyDescent="0.25">
      <c r="A410" t="s">
        <v>8193</v>
      </c>
      <c r="B410" t="s">
        <v>165</v>
      </c>
      <c r="C410" s="1">
        <v>44881.787954513886</v>
      </c>
      <c r="D410" s="1">
        <v>44910</v>
      </c>
      <c r="E410" t="s">
        <v>134</v>
      </c>
      <c r="F410" t="s">
        <v>8194</v>
      </c>
      <c r="G410" t="str">
        <f>"39-2021.00"</f>
        <v>39-2021.00</v>
      </c>
      <c r="H410" t="s">
        <v>615</v>
      </c>
      <c r="I410">
        <v>85</v>
      </c>
      <c r="J410">
        <v>85</v>
      </c>
      <c r="K410" s="1">
        <v>44958</v>
      </c>
      <c r="L410" s="1">
        <v>45260</v>
      </c>
      <c r="M410" s="1">
        <v>44958</v>
      </c>
      <c r="N410" s="1">
        <v>45260</v>
      </c>
      <c r="O410" t="s">
        <v>117</v>
      </c>
      <c r="P410" t="s">
        <v>8195</v>
      </c>
      <c r="R410" t="s">
        <v>8196</v>
      </c>
      <c r="T410" t="s">
        <v>2915</v>
      </c>
      <c r="U410" t="s">
        <v>848</v>
      </c>
      <c r="V410" s="4" t="str">
        <f>"12866"</f>
        <v>12866</v>
      </c>
      <c r="W410" t="s">
        <v>120</v>
      </c>
      <c r="Y410" s="5">
        <v>15022624735</v>
      </c>
      <c r="AA410">
        <v>11292</v>
      </c>
      <c r="AB410" t="s">
        <v>8197</v>
      </c>
      <c r="AC410" t="s">
        <v>3955</v>
      </c>
      <c r="AE410" t="s">
        <v>8198</v>
      </c>
      <c r="AF410" t="s">
        <v>8196</v>
      </c>
      <c r="AH410" t="s">
        <v>2915</v>
      </c>
      <c r="AI410" t="s">
        <v>848</v>
      </c>
      <c r="AJ410" s="4" t="str">
        <f>"12866"</f>
        <v>12866</v>
      </c>
      <c r="AK410" t="s">
        <v>120</v>
      </c>
      <c r="AM410" s="5">
        <v>15022624735</v>
      </c>
      <c r="AO410" t="s">
        <v>8199</v>
      </c>
      <c r="AP410" t="s">
        <v>122</v>
      </c>
      <c r="AQ410" t="s">
        <v>7815</v>
      </c>
      <c r="AR410" t="s">
        <v>3955</v>
      </c>
      <c r="AS410" t="s">
        <v>2093</v>
      </c>
      <c r="AT410" t="s">
        <v>7816</v>
      </c>
      <c r="AV410" t="s">
        <v>1706</v>
      </c>
      <c r="AW410" t="s">
        <v>619</v>
      </c>
      <c r="AX410" s="4" t="str">
        <f>"40508"</f>
        <v>40508</v>
      </c>
      <c r="AY410" t="s">
        <v>120</v>
      </c>
      <c r="BA410" s="5">
        <v>18592687705</v>
      </c>
      <c r="BC410" t="s">
        <v>7817</v>
      </c>
      <c r="BD410" t="s">
        <v>8200</v>
      </c>
      <c r="BE410" t="s">
        <v>619</v>
      </c>
      <c r="BF410" t="s">
        <v>7819</v>
      </c>
      <c r="BG410" t="s">
        <v>848</v>
      </c>
      <c r="BH410" s="1">
        <v>44880.791666666664</v>
      </c>
      <c r="BI410">
        <v>36</v>
      </c>
      <c r="BJ410">
        <v>0</v>
      </c>
      <c r="BK410">
        <v>6</v>
      </c>
      <c r="BL410">
        <v>6</v>
      </c>
      <c r="BM410">
        <v>6</v>
      </c>
      <c r="BN410">
        <v>6</v>
      </c>
      <c r="BO410">
        <v>6</v>
      </c>
      <c r="BP410">
        <v>6</v>
      </c>
      <c r="BQ410" t="str">
        <f>"6:00 AM"</f>
        <v>6:00 AM</v>
      </c>
      <c r="BR410" t="str">
        <f>"12:00 PM"</f>
        <v>12:00 PM</v>
      </c>
      <c r="BS410" t="s">
        <v>133</v>
      </c>
      <c r="BT410">
        <v>0</v>
      </c>
      <c r="BU410">
        <v>0</v>
      </c>
      <c r="BV410" t="s">
        <v>134</v>
      </c>
      <c r="BX410" t="s">
        <v>138</v>
      </c>
      <c r="BY410" t="s">
        <v>8196</v>
      </c>
      <c r="CA410" t="s">
        <v>2915</v>
      </c>
      <c r="CB410" t="s">
        <v>848</v>
      </c>
      <c r="CC410" s="4" t="str">
        <f>"12866"</f>
        <v>12866</v>
      </c>
      <c r="CD410" t="s">
        <v>2916</v>
      </c>
      <c r="CE410" t="s">
        <v>2168</v>
      </c>
      <c r="CF410" s="6">
        <v>15.52</v>
      </c>
      <c r="CG410" s="6">
        <v>15.52</v>
      </c>
      <c r="CH410" s="6">
        <v>23.28</v>
      </c>
      <c r="CI410" s="6">
        <v>23.28</v>
      </c>
      <c r="CJ410" t="s">
        <v>137</v>
      </c>
      <c r="CL410" t="s">
        <v>8201</v>
      </c>
      <c r="CO410" t="s">
        <v>138</v>
      </c>
      <c r="CP410" t="s">
        <v>134</v>
      </c>
      <c r="CQ410" t="s">
        <v>134</v>
      </c>
      <c r="CR410" t="s">
        <v>114</v>
      </c>
      <c r="CS410" t="s">
        <v>114</v>
      </c>
      <c r="CT410" t="s">
        <v>114</v>
      </c>
      <c r="CU410" t="s">
        <v>134</v>
      </c>
      <c r="CV410" t="s">
        <v>138</v>
      </c>
      <c r="CW410" s="5" t="str">
        <f>"+15022624735"</f>
        <v>+15022624735</v>
      </c>
      <c r="CX410" t="s">
        <v>8202</v>
      </c>
      <c r="CY410" t="s">
        <v>138</v>
      </c>
      <c r="CZ410" t="s">
        <v>139</v>
      </c>
      <c r="DA410" t="s">
        <v>134</v>
      </c>
      <c r="DB410" t="s">
        <v>134</v>
      </c>
      <c r="DC410" t="s">
        <v>114</v>
      </c>
      <c r="DD410" t="s">
        <v>134</v>
      </c>
      <c r="DE410" t="s">
        <v>7815</v>
      </c>
      <c r="DF410" t="s">
        <v>7820</v>
      </c>
      <c r="DG410" t="s">
        <v>1905</v>
      </c>
      <c r="DH410" t="s">
        <v>7818</v>
      </c>
      <c r="DI410" t="s">
        <v>7821</v>
      </c>
    </row>
    <row r="411" spans="1:113" ht="15" customHeight="1" x14ac:dyDescent="0.25">
      <c r="A411" t="s">
        <v>7210</v>
      </c>
      <c r="B411" t="s">
        <v>165</v>
      </c>
      <c r="C411" s="1">
        <v>44881.713589236111</v>
      </c>
      <c r="D411" s="1">
        <v>44910</v>
      </c>
      <c r="E411" t="s">
        <v>134</v>
      </c>
      <c r="F411" t="s">
        <v>334</v>
      </c>
      <c r="G411" t="str">
        <f>"37-3011.00"</f>
        <v>37-3011.00</v>
      </c>
      <c r="H411" t="s">
        <v>335</v>
      </c>
      <c r="I411">
        <v>26</v>
      </c>
      <c r="J411">
        <v>26</v>
      </c>
      <c r="K411" s="1">
        <v>44968</v>
      </c>
      <c r="L411" s="1">
        <v>45269</v>
      </c>
      <c r="M411" s="1">
        <v>44968</v>
      </c>
      <c r="N411" s="1">
        <v>45269</v>
      </c>
      <c r="O411" t="s">
        <v>199</v>
      </c>
      <c r="P411" t="s">
        <v>7211</v>
      </c>
      <c r="R411" t="s">
        <v>7212</v>
      </c>
      <c r="T411" t="s">
        <v>7213</v>
      </c>
      <c r="U411" t="s">
        <v>1411</v>
      </c>
      <c r="V411" s="4" t="str">
        <f>"43230"</f>
        <v>43230</v>
      </c>
      <c r="W411" t="s">
        <v>120</v>
      </c>
      <c r="Y411" s="5">
        <v>16148669466</v>
      </c>
      <c r="AA411">
        <v>56173</v>
      </c>
      <c r="AB411" t="s">
        <v>561</v>
      </c>
      <c r="AC411" t="s">
        <v>7214</v>
      </c>
      <c r="AE411" t="s">
        <v>7215</v>
      </c>
      <c r="AF411" t="s">
        <v>7212</v>
      </c>
      <c r="AH411" t="s">
        <v>7213</v>
      </c>
      <c r="AI411" t="s">
        <v>1411</v>
      </c>
      <c r="AJ411" s="4" t="str">
        <f>"43230"</f>
        <v>43230</v>
      </c>
      <c r="AK411" t="s">
        <v>120</v>
      </c>
      <c r="AM411" s="5">
        <v>16148669466</v>
      </c>
      <c r="AO411" t="s">
        <v>7216</v>
      </c>
      <c r="AP411" t="s">
        <v>122</v>
      </c>
      <c r="AQ411" t="s">
        <v>1856</v>
      </c>
      <c r="AR411" t="s">
        <v>755</v>
      </c>
      <c r="AS411" t="s">
        <v>1857</v>
      </c>
      <c r="AT411" t="s">
        <v>1858</v>
      </c>
      <c r="AU411" t="s">
        <v>1859</v>
      </c>
      <c r="AV411" t="s">
        <v>1860</v>
      </c>
      <c r="AW411" t="s">
        <v>119</v>
      </c>
      <c r="AX411" s="4" t="str">
        <f>"28328"</f>
        <v>28328</v>
      </c>
      <c r="AY411" t="s">
        <v>120</v>
      </c>
      <c r="BA411" s="5">
        <v>19105924121</v>
      </c>
      <c r="BC411" t="s">
        <v>1861</v>
      </c>
      <c r="BD411" t="s">
        <v>1862</v>
      </c>
      <c r="BE411" t="s">
        <v>119</v>
      </c>
      <c r="BF411" t="s">
        <v>322</v>
      </c>
      <c r="BG411" t="s">
        <v>1411</v>
      </c>
      <c r="BH411" s="1">
        <v>44880.791666666664</v>
      </c>
      <c r="BI411">
        <v>40</v>
      </c>
      <c r="BJ411">
        <v>0</v>
      </c>
      <c r="BK411">
        <v>7</v>
      </c>
      <c r="BL411">
        <v>7</v>
      </c>
      <c r="BM411">
        <v>7</v>
      </c>
      <c r="BN411">
        <v>7</v>
      </c>
      <c r="BO411">
        <v>7</v>
      </c>
      <c r="BP411">
        <v>5</v>
      </c>
      <c r="BQ411" t="str">
        <f>"7:00 AM"</f>
        <v>7:00 AM</v>
      </c>
      <c r="BR411" t="str">
        <f>"3:00 PM"</f>
        <v>3:00 PM</v>
      </c>
      <c r="BS411" t="s">
        <v>133</v>
      </c>
      <c r="BT411">
        <v>0</v>
      </c>
      <c r="BU411">
        <v>0</v>
      </c>
      <c r="BV411" t="s">
        <v>134</v>
      </c>
      <c r="BX411" s="2" t="s">
        <v>7217</v>
      </c>
      <c r="BY411" t="s">
        <v>7212</v>
      </c>
      <c r="CA411" t="s">
        <v>7213</v>
      </c>
      <c r="CB411" t="s">
        <v>1411</v>
      </c>
      <c r="CC411" s="4" t="str">
        <f>"43230"</f>
        <v>43230</v>
      </c>
      <c r="CD411" t="s">
        <v>1679</v>
      </c>
      <c r="CE411" t="s">
        <v>2876</v>
      </c>
      <c r="CF411" s="6">
        <v>16.61</v>
      </c>
      <c r="CH411" s="6">
        <v>24.92</v>
      </c>
      <c r="CJ411" t="s">
        <v>137</v>
      </c>
      <c r="CK411" t="s">
        <v>7218</v>
      </c>
      <c r="CL411" t="s">
        <v>7219</v>
      </c>
      <c r="CO411" t="s">
        <v>138</v>
      </c>
      <c r="CP411" t="s">
        <v>114</v>
      </c>
      <c r="CQ411" t="s">
        <v>134</v>
      </c>
      <c r="CR411" t="s">
        <v>114</v>
      </c>
      <c r="CS411" t="s">
        <v>134</v>
      </c>
      <c r="CT411" t="s">
        <v>114</v>
      </c>
      <c r="CU411" t="s">
        <v>134</v>
      </c>
      <c r="CV411" t="s">
        <v>7220</v>
      </c>
      <c r="CW411" s="5" t="str">
        <f>"N/A"</f>
        <v>N/A</v>
      </c>
      <c r="CX411" t="s">
        <v>7216</v>
      </c>
      <c r="CY411" t="s">
        <v>7221</v>
      </c>
      <c r="CZ411" t="s">
        <v>139</v>
      </c>
      <c r="DA411" t="s">
        <v>134</v>
      </c>
      <c r="DB411" t="s">
        <v>114</v>
      </c>
      <c r="DC411" t="s">
        <v>114</v>
      </c>
      <c r="DD411" t="s">
        <v>134</v>
      </c>
    </row>
    <row r="412" spans="1:113" ht="15" customHeight="1" x14ac:dyDescent="0.25">
      <c r="A412" t="s">
        <v>16203</v>
      </c>
      <c r="B412" t="s">
        <v>165</v>
      </c>
      <c r="C412" s="1">
        <v>44881.538111921298</v>
      </c>
      <c r="D412" s="1">
        <v>44910</v>
      </c>
      <c r="E412" t="s">
        <v>134</v>
      </c>
      <c r="F412" t="s">
        <v>1296</v>
      </c>
      <c r="G412" t="str">
        <f>"37-3011.00"</f>
        <v>37-3011.00</v>
      </c>
      <c r="H412" t="s">
        <v>335</v>
      </c>
      <c r="I412">
        <v>10</v>
      </c>
      <c r="J412">
        <v>10</v>
      </c>
      <c r="K412" s="1">
        <v>44958</v>
      </c>
      <c r="L412" s="1">
        <v>45260</v>
      </c>
      <c r="M412" s="1">
        <v>44958</v>
      </c>
      <c r="N412" s="1">
        <v>45260</v>
      </c>
      <c r="O412" t="s">
        <v>117</v>
      </c>
      <c r="P412" t="s">
        <v>16204</v>
      </c>
      <c r="R412" t="s">
        <v>16205</v>
      </c>
      <c r="T412" t="s">
        <v>16206</v>
      </c>
      <c r="U412" t="s">
        <v>1003</v>
      </c>
      <c r="V412" s="4" t="str">
        <f>"08062"</f>
        <v>08062</v>
      </c>
      <c r="W412" t="s">
        <v>120</v>
      </c>
      <c r="Y412" s="5">
        <v>18564675500</v>
      </c>
      <c r="AA412">
        <v>56173</v>
      </c>
      <c r="AB412" t="s">
        <v>16207</v>
      </c>
      <c r="AC412" t="s">
        <v>2672</v>
      </c>
      <c r="AE412" t="s">
        <v>252</v>
      </c>
      <c r="AF412" t="s">
        <v>16205</v>
      </c>
      <c r="AH412" t="s">
        <v>16206</v>
      </c>
      <c r="AI412" t="s">
        <v>1003</v>
      </c>
      <c r="AJ412" s="4" t="str">
        <f>"08062"</f>
        <v>08062</v>
      </c>
      <c r="AK412" t="s">
        <v>120</v>
      </c>
      <c r="AM412" s="5">
        <v>18564675500</v>
      </c>
      <c r="AO412" t="s">
        <v>16208</v>
      </c>
      <c r="AP412" t="s">
        <v>122</v>
      </c>
      <c r="AQ412" t="s">
        <v>1303</v>
      </c>
      <c r="AR412" t="s">
        <v>1304</v>
      </c>
      <c r="AS412" t="s">
        <v>532</v>
      </c>
      <c r="AT412" t="s">
        <v>1305</v>
      </c>
      <c r="AV412" t="s">
        <v>1306</v>
      </c>
      <c r="AW412" t="s">
        <v>748</v>
      </c>
      <c r="AX412" s="4" t="str">
        <f>"19063"</f>
        <v>19063</v>
      </c>
      <c r="AY412" t="s">
        <v>120</v>
      </c>
      <c r="BA412" s="5">
        <v>16103585976</v>
      </c>
      <c r="BC412" t="s">
        <v>1307</v>
      </c>
      <c r="BD412" t="s">
        <v>1308</v>
      </c>
      <c r="BE412" t="s">
        <v>748</v>
      </c>
      <c r="BF412" t="s">
        <v>1309</v>
      </c>
      <c r="BG412" t="s">
        <v>1003</v>
      </c>
      <c r="BH412" s="1">
        <v>44880.791666666664</v>
      </c>
      <c r="BI412">
        <v>50</v>
      </c>
      <c r="BJ412">
        <v>0</v>
      </c>
      <c r="BK412">
        <v>8</v>
      </c>
      <c r="BL412">
        <v>8</v>
      </c>
      <c r="BM412">
        <v>8</v>
      </c>
      <c r="BN412">
        <v>8</v>
      </c>
      <c r="BO412">
        <v>8</v>
      </c>
      <c r="BP412">
        <v>10</v>
      </c>
      <c r="BQ412" t="str">
        <f>"6:00 AM"</f>
        <v>6:00 AM</v>
      </c>
      <c r="BR412" t="str">
        <f>"3:00 PM"</f>
        <v>3:00 PM</v>
      </c>
      <c r="BS412" t="s">
        <v>133</v>
      </c>
      <c r="BT412">
        <v>0</v>
      </c>
      <c r="BU412">
        <v>0</v>
      </c>
      <c r="BV412" t="s">
        <v>134</v>
      </c>
      <c r="BX412" s="2" t="s">
        <v>1310</v>
      </c>
      <c r="BY412" t="s">
        <v>16205</v>
      </c>
      <c r="CA412" t="s">
        <v>16206</v>
      </c>
      <c r="CB412" t="s">
        <v>1003</v>
      </c>
      <c r="CC412" s="4" t="str">
        <f>"08062"</f>
        <v>08062</v>
      </c>
      <c r="CD412" t="s">
        <v>10914</v>
      </c>
      <c r="CE412" t="s">
        <v>1266</v>
      </c>
      <c r="CF412" s="6">
        <v>17.82</v>
      </c>
      <c r="CG412" s="6">
        <v>17.82</v>
      </c>
      <c r="CH412" s="6">
        <v>26.73</v>
      </c>
      <c r="CI412" s="6">
        <v>26.73</v>
      </c>
      <c r="CJ412" t="s">
        <v>137</v>
      </c>
      <c r="CL412" t="s">
        <v>16209</v>
      </c>
      <c r="CO412" t="s">
        <v>138</v>
      </c>
      <c r="CP412" t="s">
        <v>114</v>
      </c>
      <c r="CQ412" t="s">
        <v>114</v>
      </c>
      <c r="CR412" t="s">
        <v>114</v>
      </c>
      <c r="CS412" t="s">
        <v>114</v>
      </c>
      <c r="CT412" t="s">
        <v>114</v>
      </c>
      <c r="CU412" t="s">
        <v>134</v>
      </c>
      <c r="CV412" t="s">
        <v>1313</v>
      </c>
      <c r="CW412" s="5" t="str">
        <f>"+18564675500"</f>
        <v>+18564675500</v>
      </c>
      <c r="CX412" t="s">
        <v>16208</v>
      </c>
      <c r="CY412" t="s">
        <v>138</v>
      </c>
      <c r="CZ412" t="s">
        <v>139</v>
      </c>
      <c r="DA412" t="s">
        <v>134</v>
      </c>
      <c r="DB412" t="s">
        <v>134</v>
      </c>
      <c r="DC412" t="s">
        <v>114</v>
      </c>
      <c r="DD412" t="s">
        <v>134</v>
      </c>
    </row>
    <row r="413" spans="1:113" ht="15" customHeight="1" x14ac:dyDescent="0.25">
      <c r="A413" t="s">
        <v>4720</v>
      </c>
      <c r="B413" t="s">
        <v>165</v>
      </c>
      <c r="C413" s="1">
        <v>44880.761016087963</v>
      </c>
      <c r="D413" s="1">
        <v>44910</v>
      </c>
      <c r="E413" t="s">
        <v>134</v>
      </c>
      <c r="F413" t="s">
        <v>2786</v>
      </c>
      <c r="G413" t="str">
        <f>"49-9099.00"</f>
        <v>49-9099.00</v>
      </c>
      <c r="H413" t="s">
        <v>4721</v>
      </c>
      <c r="I413">
        <v>7</v>
      </c>
      <c r="J413">
        <v>7</v>
      </c>
      <c r="K413" s="1">
        <v>44955</v>
      </c>
      <c r="L413" s="1">
        <v>44971</v>
      </c>
      <c r="M413" s="1">
        <v>44955</v>
      </c>
      <c r="N413" s="1">
        <v>44971</v>
      </c>
      <c r="O413" t="s">
        <v>117</v>
      </c>
      <c r="P413" t="s">
        <v>4722</v>
      </c>
      <c r="R413" t="s">
        <v>4723</v>
      </c>
      <c r="T413" t="s">
        <v>684</v>
      </c>
      <c r="U413" t="s">
        <v>232</v>
      </c>
      <c r="V413" s="4" t="str">
        <f>"78758"</f>
        <v>78758</v>
      </c>
      <c r="W413" t="s">
        <v>120</v>
      </c>
      <c r="Y413" s="5">
        <v>15128362325</v>
      </c>
      <c r="AA413">
        <v>561730</v>
      </c>
      <c r="AB413" t="s">
        <v>4724</v>
      </c>
      <c r="AC413" t="s">
        <v>1362</v>
      </c>
      <c r="AD413" t="s">
        <v>2149</v>
      </c>
      <c r="AE413" t="s">
        <v>424</v>
      </c>
      <c r="AF413" t="s">
        <v>4723</v>
      </c>
      <c r="AH413" t="s">
        <v>684</v>
      </c>
      <c r="AI413" t="s">
        <v>232</v>
      </c>
      <c r="AJ413" s="4" t="str">
        <f>"78758"</f>
        <v>78758</v>
      </c>
      <c r="AK413" t="s">
        <v>120</v>
      </c>
      <c r="AL413">
        <v>78758</v>
      </c>
      <c r="AM413" s="5">
        <v>15128362325</v>
      </c>
      <c r="AO413" t="s">
        <v>4725</v>
      </c>
      <c r="AP413" t="s">
        <v>122</v>
      </c>
      <c r="AQ413" t="s">
        <v>680</v>
      </c>
      <c r="AR413" t="s">
        <v>370</v>
      </c>
      <c r="AS413" t="s">
        <v>681</v>
      </c>
      <c r="AT413" t="s">
        <v>2787</v>
      </c>
      <c r="AU413" t="s">
        <v>683</v>
      </c>
      <c r="AV413" t="s">
        <v>684</v>
      </c>
      <c r="AW413" t="s">
        <v>232</v>
      </c>
      <c r="AX413" s="4" t="str">
        <f>"78746"</f>
        <v>78746</v>
      </c>
      <c r="AY413" t="s">
        <v>120</v>
      </c>
      <c r="BA413" s="5">
        <v>17372040093</v>
      </c>
      <c r="BC413" t="s">
        <v>2833</v>
      </c>
      <c r="BD413" t="s">
        <v>686</v>
      </c>
      <c r="BE413" t="s">
        <v>232</v>
      </c>
      <c r="BF413" t="s">
        <v>687</v>
      </c>
      <c r="BG413" t="s">
        <v>232</v>
      </c>
      <c r="BH413" s="1">
        <v>44879.791666666664</v>
      </c>
      <c r="BI413">
        <v>40</v>
      </c>
      <c r="BJ413">
        <v>0</v>
      </c>
      <c r="BK413">
        <v>8</v>
      </c>
      <c r="BL413">
        <v>8</v>
      </c>
      <c r="BM413">
        <v>8</v>
      </c>
      <c r="BN413">
        <v>8</v>
      </c>
      <c r="BO413">
        <v>8</v>
      </c>
      <c r="BP413">
        <v>0</v>
      </c>
      <c r="BQ413" t="str">
        <f>"7:00 AM"</f>
        <v>7:00 AM</v>
      </c>
      <c r="BR413" t="str">
        <f>"3:30 AM"</f>
        <v>3:30 AM</v>
      </c>
      <c r="BS413" t="s">
        <v>133</v>
      </c>
      <c r="BT413">
        <v>0</v>
      </c>
      <c r="BU413">
        <v>3</v>
      </c>
      <c r="BV413" t="s">
        <v>134</v>
      </c>
      <c r="BX413" t="s">
        <v>138</v>
      </c>
      <c r="BY413" t="s">
        <v>4723</v>
      </c>
      <c r="CA413" t="s">
        <v>684</v>
      </c>
      <c r="CB413" t="s">
        <v>232</v>
      </c>
      <c r="CC413" s="4" t="str">
        <f>"78758"</f>
        <v>78758</v>
      </c>
      <c r="CD413" t="s">
        <v>948</v>
      </c>
      <c r="CE413" t="s">
        <v>949</v>
      </c>
      <c r="CF413" s="6">
        <v>21.25</v>
      </c>
      <c r="CG413" s="6">
        <v>21.25</v>
      </c>
      <c r="CH413" s="6">
        <v>31.88</v>
      </c>
      <c r="CI413" s="6">
        <v>31.88</v>
      </c>
      <c r="CJ413" t="s">
        <v>137</v>
      </c>
      <c r="CK413" t="s">
        <v>4726</v>
      </c>
      <c r="CL413" t="s">
        <v>4727</v>
      </c>
      <c r="CO413" t="s">
        <v>138</v>
      </c>
      <c r="CP413" t="s">
        <v>114</v>
      </c>
      <c r="CQ413" t="s">
        <v>114</v>
      </c>
      <c r="CR413" t="s">
        <v>114</v>
      </c>
      <c r="CS413" t="s">
        <v>114</v>
      </c>
      <c r="CT413" t="s">
        <v>114</v>
      </c>
      <c r="CU413" t="s">
        <v>134</v>
      </c>
      <c r="CV413" t="s">
        <v>133</v>
      </c>
      <c r="CW413" s="5" t="str">
        <f>"+15128362325"</f>
        <v>+15128362325</v>
      </c>
      <c r="CX413" t="s">
        <v>4725</v>
      </c>
      <c r="CY413" t="s">
        <v>138</v>
      </c>
      <c r="CZ413" t="s">
        <v>139</v>
      </c>
      <c r="DA413" t="s">
        <v>134</v>
      </c>
      <c r="DB413" t="s">
        <v>134</v>
      </c>
      <c r="DC413" t="s">
        <v>114</v>
      </c>
      <c r="DD413" t="s">
        <v>134</v>
      </c>
    </row>
    <row r="414" spans="1:113" ht="15" customHeight="1" x14ac:dyDescent="0.25">
      <c r="A414" t="s">
        <v>13492</v>
      </c>
      <c r="B414" t="s">
        <v>165</v>
      </c>
      <c r="C414" s="1">
        <v>44880.405439120368</v>
      </c>
      <c r="D414" s="1">
        <v>44910</v>
      </c>
      <c r="E414" t="s">
        <v>114</v>
      </c>
      <c r="F414" t="s">
        <v>334</v>
      </c>
      <c r="G414" t="str">
        <f>"37-3011.00"</f>
        <v>37-3011.00</v>
      </c>
      <c r="H414" t="s">
        <v>335</v>
      </c>
      <c r="I414">
        <v>26</v>
      </c>
      <c r="J414">
        <v>26</v>
      </c>
      <c r="K414" s="1">
        <v>44970</v>
      </c>
      <c r="L414" s="1">
        <v>45245</v>
      </c>
      <c r="M414" s="1">
        <v>44970</v>
      </c>
      <c r="N414" s="1">
        <v>45245</v>
      </c>
      <c r="O414" t="s">
        <v>117</v>
      </c>
      <c r="P414" t="s">
        <v>13493</v>
      </c>
      <c r="Q414" t="s">
        <v>13494</v>
      </c>
      <c r="R414" t="s">
        <v>13495</v>
      </c>
      <c r="S414" t="s">
        <v>138</v>
      </c>
      <c r="T414" t="s">
        <v>5633</v>
      </c>
      <c r="U414" t="s">
        <v>697</v>
      </c>
      <c r="V414" s="4" t="str">
        <f>"63044"</f>
        <v>63044</v>
      </c>
      <c r="W414" t="s">
        <v>120</v>
      </c>
      <c r="Y414" s="5">
        <v>13147702828</v>
      </c>
      <c r="AA414">
        <v>561730</v>
      </c>
      <c r="AB414" t="s">
        <v>13496</v>
      </c>
      <c r="AC414" t="s">
        <v>13497</v>
      </c>
      <c r="AE414" t="s">
        <v>13498</v>
      </c>
      <c r="AF414" t="s">
        <v>13495</v>
      </c>
      <c r="AG414" t="s">
        <v>138</v>
      </c>
      <c r="AH414" t="s">
        <v>5633</v>
      </c>
      <c r="AI414" t="s">
        <v>697</v>
      </c>
      <c r="AJ414" s="4" t="str">
        <f>"63044"</f>
        <v>63044</v>
      </c>
      <c r="AK414" t="s">
        <v>120</v>
      </c>
      <c r="AM414" s="5">
        <v>13147702828</v>
      </c>
      <c r="AO414" t="s">
        <v>13499</v>
      </c>
      <c r="AP414" t="s">
        <v>256</v>
      </c>
      <c r="AQ414" t="s">
        <v>2327</v>
      </c>
      <c r="AR414" t="s">
        <v>1063</v>
      </c>
      <c r="AS414" t="s">
        <v>1857</v>
      </c>
      <c r="AT414" t="s">
        <v>1284</v>
      </c>
      <c r="AU414" t="s">
        <v>138</v>
      </c>
      <c r="AV414" t="s">
        <v>1285</v>
      </c>
      <c r="AW414" t="s">
        <v>232</v>
      </c>
      <c r="AX414" s="4" t="str">
        <f>"77414"</f>
        <v>77414</v>
      </c>
      <c r="AY414" t="s">
        <v>120</v>
      </c>
      <c r="BA414" s="5">
        <v>19793187280</v>
      </c>
      <c r="BC414" t="s">
        <v>2328</v>
      </c>
      <c r="BD414" t="s">
        <v>1287</v>
      </c>
      <c r="BG414" t="s">
        <v>697</v>
      </c>
      <c r="BH414" s="1">
        <v>44879.791666666664</v>
      </c>
      <c r="BI414">
        <v>40</v>
      </c>
      <c r="BJ414">
        <v>0</v>
      </c>
      <c r="BK414">
        <v>10</v>
      </c>
      <c r="BL414">
        <v>10</v>
      </c>
      <c r="BM414">
        <v>10</v>
      </c>
      <c r="BN414">
        <v>10</v>
      </c>
      <c r="BO414">
        <v>0</v>
      </c>
      <c r="BP414">
        <v>0</v>
      </c>
      <c r="BQ414" t="str">
        <f>"7:00 AM"</f>
        <v>7:00 AM</v>
      </c>
      <c r="BR414" t="str">
        <f>"6:00 PM"</f>
        <v>6:00 PM</v>
      </c>
      <c r="BS414" t="s">
        <v>133</v>
      </c>
      <c r="BT414">
        <v>0</v>
      </c>
      <c r="BU414">
        <v>0</v>
      </c>
      <c r="BV414" t="s">
        <v>134</v>
      </c>
      <c r="BX414" s="2" t="s">
        <v>13500</v>
      </c>
      <c r="BY414" t="s">
        <v>13495</v>
      </c>
      <c r="BZ414" t="s">
        <v>138</v>
      </c>
      <c r="CA414" t="s">
        <v>5633</v>
      </c>
      <c r="CB414" t="s">
        <v>697</v>
      </c>
      <c r="CC414" s="4" t="str">
        <f>"63044"</f>
        <v>63044</v>
      </c>
      <c r="CD414" t="s">
        <v>712</v>
      </c>
      <c r="CE414" t="s">
        <v>713</v>
      </c>
      <c r="CF414" s="6">
        <v>16.96</v>
      </c>
      <c r="CH414" s="6">
        <v>25.44</v>
      </c>
      <c r="CJ414" t="s">
        <v>137</v>
      </c>
      <c r="CK414" t="s">
        <v>2461</v>
      </c>
      <c r="CL414" t="s">
        <v>13501</v>
      </c>
      <c r="CO414" t="s">
        <v>138</v>
      </c>
      <c r="CP414" t="s">
        <v>114</v>
      </c>
      <c r="CQ414" t="s">
        <v>114</v>
      </c>
      <c r="CR414" t="s">
        <v>114</v>
      </c>
      <c r="CS414" t="s">
        <v>114</v>
      </c>
      <c r="CT414" t="s">
        <v>114</v>
      </c>
      <c r="CU414" t="s">
        <v>114</v>
      </c>
      <c r="CV414" t="s">
        <v>13502</v>
      </c>
      <c r="CW414" s="5" t="str">
        <f>"+13149144580"</f>
        <v>+13149144580</v>
      </c>
      <c r="CX414" t="s">
        <v>13499</v>
      </c>
      <c r="CY414" t="s">
        <v>138</v>
      </c>
      <c r="CZ414" t="s">
        <v>139</v>
      </c>
      <c r="DA414" t="s">
        <v>134</v>
      </c>
      <c r="DB414" t="s">
        <v>134</v>
      </c>
      <c r="DC414" t="s">
        <v>114</v>
      </c>
      <c r="DD414" t="s">
        <v>134</v>
      </c>
    </row>
    <row r="415" spans="1:113" ht="15" customHeight="1" x14ac:dyDescent="0.25">
      <c r="A415" t="s">
        <v>15616</v>
      </c>
      <c r="B415" t="s">
        <v>165</v>
      </c>
      <c r="C415" s="1">
        <v>44880.003005439816</v>
      </c>
      <c r="D415" s="1">
        <v>44910</v>
      </c>
      <c r="E415" t="s">
        <v>134</v>
      </c>
      <c r="F415" t="s">
        <v>334</v>
      </c>
      <c r="G415" t="str">
        <f>"37-3011.00"</f>
        <v>37-3011.00</v>
      </c>
      <c r="H415" t="s">
        <v>335</v>
      </c>
      <c r="I415">
        <v>25</v>
      </c>
      <c r="J415">
        <v>25</v>
      </c>
      <c r="K415" s="1">
        <v>44970</v>
      </c>
      <c r="L415" s="1">
        <v>45261</v>
      </c>
      <c r="M415" s="1">
        <v>44970</v>
      </c>
      <c r="N415" s="1">
        <v>45261</v>
      </c>
      <c r="O415" t="s">
        <v>117</v>
      </c>
      <c r="P415" t="s">
        <v>15617</v>
      </c>
      <c r="R415" t="s">
        <v>15618</v>
      </c>
      <c r="T415" t="s">
        <v>11683</v>
      </c>
      <c r="U415" t="s">
        <v>214</v>
      </c>
      <c r="V415" s="4" t="str">
        <f>"70301"</f>
        <v>70301</v>
      </c>
      <c r="W415" t="s">
        <v>120</v>
      </c>
      <c r="Y415" s="5">
        <v>19854475296</v>
      </c>
      <c r="AA415">
        <v>5617</v>
      </c>
      <c r="AB415" t="s">
        <v>7154</v>
      </c>
      <c r="AC415" t="s">
        <v>1568</v>
      </c>
      <c r="AD415" t="s">
        <v>2702</v>
      </c>
      <c r="AE415" t="s">
        <v>7068</v>
      </c>
      <c r="AF415" t="s">
        <v>15618</v>
      </c>
      <c r="AG415" t="s">
        <v>15619</v>
      </c>
      <c r="AH415" t="s">
        <v>11683</v>
      </c>
      <c r="AI415" t="s">
        <v>214</v>
      </c>
      <c r="AJ415" s="4" t="str">
        <f>"70301"</f>
        <v>70301</v>
      </c>
      <c r="AK415" t="s">
        <v>120</v>
      </c>
      <c r="AM415" s="5">
        <v>19854475296</v>
      </c>
      <c r="AO415" t="s">
        <v>15620</v>
      </c>
      <c r="AP415" t="s">
        <v>256</v>
      </c>
      <c r="AQ415" t="s">
        <v>400</v>
      </c>
      <c r="AR415" t="s">
        <v>401</v>
      </c>
      <c r="AS415" t="s">
        <v>397</v>
      </c>
      <c r="AT415" t="s">
        <v>402</v>
      </c>
      <c r="AU415" t="s">
        <v>152</v>
      </c>
      <c r="AV415" t="s">
        <v>403</v>
      </c>
      <c r="AW415" t="s">
        <v>232</v>
      </c>
      <c r="AX415" s="4" t="str">
        <f>"75033"</f>
        <v>75033</v>
      </c>
      <c r="AY415" t="s">
        <v>120</v>
      </c>
      <c r="BA415" s="5">
        <v>19727789690</v>
      </c>
      <c r="BC415" t="s">
        <v>1534</v>
      </c>
      <c r="BD415" t="s">
        <v>405</v>
      </c>
      <c r="BG415" t="s">
        <v>214</v>
      </c>
      <c r="BH415" s="1">
        <v>44969.791666666664</v>
      </c>
      <c r="BI415">
        <v>40</v>
      </c>
      <c r="BJ415">
        <v>0</v>
      </c>
      <c r="BK415">
        <v>8</v>
      </c>
      <c r="BL415">
        <v>8</v>
      </c>
      <c r="BM415">
        <v>8</v>
      </c>
      <c r="BN415">
        <v>8</v>
      </c>
      <c r="BO415">
        <v>8</v>
      </c>
      <c r="BP415">
        <v>0</v>
      </c>
      <c r="BQ415" t="str">
        <f>"6:00 AM"</f>
        <v>6:00 AM</v>
      </c>
      <c r="BR415" t="str">
        <f>"2:30 PM"</f>
        <v>2:30 PM</v>
      </c>
      <c r="BS415" t="s">
        <v>133</v>
      </c>
      <c r="BT415">
        <v>0</v>
      </c>
      <c r="BU415">
        <v>0</v>
      </c>
      <c r="BV415" t="s">
        <v>134</v>
      </c>
      <c r="BX415" s="2" t="s">
        <v>15621</v>
      </c>
      <c r="BY415" t="s">
        <v>15618</v>
      </c>
      <c r="CA415" t="s">
        <v>11683</v>
      </c>
      <c r="CB415" t="s">
        <v>214</v>
      </c>
      <c r="CC415" s="4" t="str">
        <f>"70301"</f>
        <v>70301</v>
      </c>
      <c r="CD415" t="s">
        <v>11685</v>
      </c>
      <c r="CE415" t="s">
        <v>9107</v>
      </c>
      <c r="CF415" s="6">
        <v>15.75</v>
      </c>
      <c r="CG415" s="6">
        <v>15.75</v>
      </c>
      <c r="CH415" s="6">
        <v>23.63</v>
      </c>
      <c r="CI415" s="6">
        <v>23.63</v>
      </c>
      <c r="CJ415" t="s">
        <v>137</v>
      </c>
      <c r="CK415" t="s">
        <v>950</v>
      </c>
      <c r="CL415" t="s">
        <v>15622</v>
      </c>
      <c r="CO415" t="s">
        <v>138</v>
      </c>
      <c r="CP415" t="s">
        <v>114</v>
      </c>
      <c r="CQ415" t="s">
        <v>114</v>
      </c>
      <c r="CR415" t="s">
        <v>114</v>
      </c>
      <c r="CS415" t="s">
        <v>114</v>
      </c>
      <c r="CT415" t="s">
        <v>114</v>
      </c>
      <c r="CU415" t="s">
        <v>114</v>
      </c>
      <c r="CV415" s="2" t="s">
        <v>15623</v>
      </c>
      <c r="CW415" s="5" t="str">
        <f>"+19854475296"</f>
        <v>+19854475296</v>
      </c>
      <c r="CX415" t="s">
        <v>138</v>
      </c>
      <c r="CY415" t="s">
        <v>274</v>
      </c>
      <c r="CZ415" t="s">
        <v>139</v>
      </c>
      <c r="DA415" t="s">
        <v>134</v>
      </c>
      <c r="DB415" t="s">
        <v>114</v>
      </c>
      <c r="DC415" t="s">
        <v>114</v>
      </c>
      <c r="DD415" t="s">
        <v>134</v>
      </c>
    </row>
    <row r="416" spans="1:113" ht="15" customHeight="1" x14ac:dyDescent="0.25">
      <c r="A416" t="s">
        <v>3046</v>
      </c>
      <c r="B416" t="s">
        <v>165</v>
      </c>
      <c r="C416" s="1">
        <v>44869.757426157405</v>
      </c>
      <c r="D416" s="1">
        <v>44910</v>
      </c>
      <c r="E416" t="s">
        <v>114</v>
      </c>
      <c r="F416" t="s">
        <v>3047</v>
      </c>
      <c r="G416" t="str">
        <f>"37-1012.00"</f>
        <v>37-1012.00</v>
      </c>
      <c r="H416" t="s">
        <v>1348</v>
      </c>
      <c r="I416">
        <v>2</v>
      </c>
      <c r="J416">
        <v>2</v>
      </c>
      <c r="K416" s="1">
        <v>44958</v>
      </c>
      <c r="L416" s="1">
        <v>45200</v>
      </c>
      <c r="M416" s="1">
        <v>44958</v>
      </c>
      <c r="N416" s="1">
        <v>45200</v>
      </c>
      <c r="O416" t="s">
        <v>199</v>
      </c>
      <c r="P416" t="s">
        <v>1748</v>
      </c>
      <c r="R416" t="s">
        <v>1749</v>
      </c>
      <c r="T416" t="s">
        <v>1190</v>
      </c>
      <c r="U416" t="s">
        <v>1750</v>
      </c>
      <c r="V416" s="4" t="str">
        <f>"68512"</f>
        <v>68512</v>
      </c>
      <c r="W416" t="s">
        <v>120</v>
      </c>
      <c r="Y416" s="5">
        <v>14024236653</v>
      </c>
      <c r="AA416">
        <v>237990</v>
      </c>
      <c r="AB416" t="s">
        <v>1751</v>
      </c>
      <c r="AC416" t="s">
        <v>1752</v>
      </c>
      <c r="AE416" t="s">
        <v>1753</v>
      </c>
      <c r="AF416" t="s">
        <v>1749</v>
      </c>
      <c r="AH416" t="s">
        <v>1190</v>
      </c>
      <c r="AI416" t="s">
        <v>1750</v>
      </c>
      <c r="AJ416" s="4" t="str">
        <f>"68512"</f>
        <v>68512</v>
      </c>
      <c r="AK416" t="s">
        <v>120</v>
      </c>
      <c r="AM416" s="5">
        <v>14024236653</v>
      </c>
      <c r="AO416" t="s">
        <v>1754</v>
      </c>
      <c r="AP416" t="s">
        <v>122</v>
      </c>
      <c r="AQ416" t="s">
        <v>1755</v>
      </c>
      <c r="AR416" t="s">
        <v>1682</v>
      </c>
      <c r="AS416" t="s">
        <v>1756</v>
      </c>
      <c r="AT416" t="s">
        <v>1757</v>
      </c>
      <c r="AU416" t="s">
        <v>1758</v>
      </c>
      <c r="AV416" t="s">
        <v>1759</v>
      </c>
      <c r="AW416" t="s">
        <v>232</v>
      </c>
      <c r="AX416" s="4" t="str">
        <f>"75234"</f>
        <v>75234</v>
      </c>
      <c r="AY416" t="s">
        <v>120</v>
      </c>
      <c r="BA416" s="5">
        <v>19722416445</v>
      </c>
      <c r="BC416" t="s">
        <v>1760</v>
      </c>
      <c r="BD416" t="s">
        <v>1761</v>
      </c>
      <c r="BE416" t="s">
        <v>232</v>
      </c>
      <c r="BF416" t="s">
        <v>870</v>
      </c>
      <c r="BG416" t="s">
        <v>203</v>
      </c>
      <c r="BH416" s="1">
        <v>44866.833333333336</v>
      </c>
      <c r="BI416">
        <v>40</v>
      </c>
      <c r="BJ416">
        <v>5</v>
      </c>
      <c r="BK416">
        <v>6</v>
      </c>
      <c r="BL416">
        <v>6</v>
      </c>
      <c r="BM416">
        <v>6</v>
      </c>
      <c r="BN416">
        <v>6</v>
      </c>
      <c r="BO416">
        <v>6</v>
      </c>
      <c r="BP416">
        <v>5</v>
      </c>
      <c r="BQ416" t="str">
        <f>"6:00 AM"</f>
        <v>6:00 AM</v>
      </c>
      <c r="BR416" t="str">
        <f>"2:30 PM"</f>
        <v>2:30 PM</v>
      </c>
      <c r="BS416" t="s">
        <v>133</v>
      </c>
      <c r="BT416">
        <v>0</v>
      </c>
      <c r="BU416">
        <v>12</v>
      </c>
      <c r="BV416" t="s">
        <v>114</v>
      </c>
      <c r="BW416">
        <v>20</v>
      </c>
      <c r="BX416" s="2" t="s">
        <v>3048</v>
      </c>
      <c r="BY416" t="s">
        <v>3049</v>
      </c>
      <c r="BZ416" t="s">
        <v>1764</v>
      </c>
      <c r="CA416" t="s">
        <v>3050</v>
      </c>
      <c r="CB416" t="s">
        <v>203</v>
      </c>
      <c r="CC416" s="4" t="str">
        <f>"35010"</f>
        <v>35010</v>
      </c>
      <c r="CD416" t="s">
        <v>3051</v>
      </c>
      <c r="CE416" t="s">
        <v>3052</v>
      </c>
      <c r="CF416" s="6">
        <v>25.52</v>
      </c>
      <c r="CH416" s="6">
        <v>38.28</v>
      </c>
      <c r="CJ416" t="s">
        <v>137</v>
      </c>
      <c r="CK416" t="s">
        <v>1768</v>
      </c>
      <c r="CL416" t="s">
        <v>3053</v>
      </c>
      <c r="CO416" t="s">
        <v>138</v>
      </c>
      <c r="CP416" t="s">
        <v>114</v>
      </c>
      <c r="CQ416" t="s">
        <v>134</v>
      </c>
      <c r="CR416" t="s">
        <v>114</v>
      </c>
      <c r="CS416" t="s">
        <v>134</v>
      </c>
      <c r="CT416" t="s">
        <v>114</v>
      </c>
      <c r="CU416" t="s">
        <v>114</v>
      </c>
      <c r="CV416" t="s">
        <v>1770</v>
      </c>
      <c r="CW416" s="5" t="str">
        <f>"+18553006690"</f>
        <v>+18553006690</v>
      </c>
      <c r="CX416" t="s">
        <v>138</v>
      </c>
      <c r="CY416" t="s">
        <v>1771</v>
      </c>
      <c r="CZ416" t="s">
        <v>139</v>
      </c>
      <c r="DA416" t="s">
        <v>134</v>
      </c>
      <c r="DB416" t="s">
        <v>134</v>
      </c>
      <c r="DC416" t="s">
        <v>114</v>
      </c>
      <c r="DD416" t="s">
        <v>134</v>
      </c>
    </row>
    <row r="417" spans="1:108" ht="15" customHeight="1" x14ac:dyDescent="0.25">
      <c r="A417" t="s">
        <v>4676</v>
      </c>
      <c r="B417" t="s">
        <v>165</v>
      </c>
      <c r="C417" s="1">
        <v>44868.504362731481</v>
      </c>
      <c r="D417" s="1">
        <v>44910</v>
      </c>
      <c r="E417" t="s">
        <v>134</v>
      </c>
      <c r="F417" t="s">
        <v>334</v>
      </c>
      <c r="G417" t="str">
        <f>"37-3011.00"</f>
        <v>37-3011.00</v>
      </c>
      <c r="H417" t="s">
        <v>335</v>
      </c>
      <c r="I417">
        <v>20</v>
      </c>
      <c r="J417">
        <v>20</v>
      </c>
      <c r="K417" s="1">
        <v>44958</v>
      </c>
      <c r="L417" s="1">
        <v>45260</v>
      </c>
      <c r="M417" s="1">
        <v>44958</v>
      </c>
      <c r="N417" s="1">
        <v>45260</v>
      </c>
      <c r="O417" t="s">
        <v>199</v>
      </c>
      <c r="P417" t="s">
        <v>4677</v>
      </c>
      <c r="R417" t="s">
        <v>4678</v>
      </c>
      <c r="T417" t="s">
        <v>2341</v>
      </c>
      <c r="U417" t="s">
        <v>697</v>
      </c>
      <c r="V417" s="4" t="str">
        <f>"64131"</f>
        <v>64131</v>
      </c>
      <c r="W417" t="s">
        <v>120</v>
      </c>
      <c r="Y417" s="5">
        <v>18167039760</v>
      </c>
      <c r="AA417">
        <v>56173</v>
      </c>
      <c r="AB417" t="s">
        <v>4679</v>
      </c>
      <c r="AC417" t="s">
        <v>4680</v>
      </c>
      <c r="AE417" t="s">
        <v>1567</v>
      </c>
      <c r="AF417" t="s">
        <v>4678</v>
      </c>
      <c r="AH417" t="s">
        <v>2341</v>
      </c>
      <c r="AI417" t="s">
        <v>697</v>
      </c>
      <c r="AJ417" s="4" t="str">
        <f>"64131"</f>
        <v>64131</v>
      </c>
      <c r="AK417" t="s">
        <v>120</v>
      </c>
      <c r="AM417" s="5">
        <v>18167039760</v>
      </c>
      <c r="AO417" t="s">
        <v>4681</v>
      </c>
      <c r="AP417" t="s">
        <v>256</v>
      </c>
      <c r="AQ417" t="s">
        <v>3181</v>
      </c>
      <c r="AR417" t="s">
        <v>3182</v>
      </c>
      <c r="AT417" t="s">
        <v>346</v>
      </c>
      <c r="AU417" t="s">
        <v>347</v>
      </c>
      <c r="AV417" t="s">
        <v>828</v>
      </c>
      <c r="AW417" t="s">
        <v>349</v>
      </c>
      <c r="AX417" s="4" t="str">
        <f>"83814"</f>
        <v>83814</v>
      </c>
      <c r="AY417" t="s">
        <v>120</v>
      </c>
      <c r="BA417" s="5">
        <v>12087772654</v>
      </c>
      <c r="BC417" t="s">
        <v>3183</v>
      </c>
      <c r="BD417" t="s">
        <v>351</v>
      </c>
      <c r="BG417" t="s">
        <v>697</v>
      </c>
      <c r="BH417" s="1">
        <v>44859.833333333336</v>
      </c>
      <c r="BI417">
        <v>40</v>
      </c>
      <c r="BJ417">
        <v>0</v>
      </c>
      <c r="BK417">
        <v>8</v>
      </c>
      <c r="BL417">
        <v>8</v>
      </c>
      <c r="BM417">
        <v>8</v>
      </c>
      <c r="BN417">
        <v>8</v>
      </c>
      <c r="BO417">
        <v>8</v>
      </c>
      <c r="BP417">
        <v>0</v>
      </c>
      <c r="BQ417" t="str">
        <f>"8:00 AM"</f>
        <v>8:00 AM</v>
      </c>
      <c r="BR417" t="str">
        <f>"5:00 PM"</f>
        <v>5:00 PM</v>
      </c>
      <c r="BS417" t="s">
        <v>133</v>
      </c>
      <c r="BT417">
        <v>0</v>
      </c>
      <c r="BU417">
        <v>0</v>
      </c>
      <c r="BV417" t="s">
        <v>134</v>
      </c>
      <c r="BX417" s="2" t="s">
        <v>1836</v>
      </c>
      <c r="BY417" t="s">
        <v>4682</v>
      </c>
      <c r="CA417" t="s">
        <v>2341</v>
      </c>
      <c r="CB417" t="s">
        <v>697</v>
      </c>
      <c r="CC417" s="4" t="str">
        <f>"64131"</f>
        <v>64131</v>
      </c>
      <c r="CD417" t="s">
        <v>1116</v>
      </c>
      <c r="CE417" t="s">
        <v>1290</v>
      </c>
      <c r="CF417" s="6">
        <v>16.920000000000002</v>
      </c>
      <c r="CG417" s="6">
        <v>20</v>
      </c>
      <c r="CH417" s="6">
        <v>25.38</v>
      </c>
      <c r="CI417" s="6">
        <v>30</v>
      </c>
      <c r="CJ417" t="s">
        <v>137</v>
      </c>
      <c r="CK417" t="s">
        <v>356</v>
      </c>
      <c r="CL417" t="s">
        <v>4683</v>
      </c>
      <c r="CO417" t="s">
        <v>138</v>
      </c>
      <c r="CP417" t="s">
        <v>114</v>
      </c>
      <c r="CQ417" t="s">
        <v>114</v>
      </c>
      <c r="CR417" t="s">
        <v>114</v>
      </c>
      <c r="CS417" t="s">
        <v>114</v>
      </c>
      <c r="CT417" t="s">
        <v>114</v>
      </c>
      <c r="CU417" t="s">
        <v>114</v>
      </c>
      <c r="CV417" t="s">
        <v>4684</v>
      </c>
      <c r="CW417" s="5" t="str">
        <f>"+18167039760"</f>
        <v>+18167039760</v>
      </c>
      <c r="CX417" t="s">
        <v>4685</v>
      </c>
      <c r="CY417" t="s">
        <v>138</v>
      </c>
      <c r="CZ417" t="s">
        <v>139</v>
      </c>
      <c r="DA417" t="s">
        <v>134</v>
      </c>
      <c r="DB417" t="s">
        <v>134</v>
      </c>
      <c r="DC417" t="s">
        <v>114</v>
      </c>
      <c r="DD417" t="s">
        <v>134</v>
      </c>
    </row>
    <row r="418" spans="1:108" ht="15" customHeight="1" x14ac:dyDescent="0.25">
      <c r="A418" t="s">
        <v>11842</v>
      </c>
      <c r="B418" t="s">
        <v>165</v>
      </c>
      <c r="C418" s="1">
        <v>44861.726907291668</v>
      </c>
      <c r="D418" s="1">
        <v>44910</v>
      </c>
      <c r="E418" t="s">
        <v>134</v>
      </c>
      <c r="F418" t="s">
        <v>3920</v>
      </c>
      <c r="G418" t="str">
        <f>"35-3023.00"</f>
        <v>35-3023.00</v>
      </c>
      <c r="H418" t="s">
        <v>555</v>
      </c>
      <c r="I418">
        <v>20</v>
      </c>
      <c r="J418">
        <v>20</v>
      </c>
      <c r="K418" s="1">
        <v>44936</v>
      </c>
      <c r="L418" s="1">
        <v>45234</v>
      </c>
      <c r="M418" s="1">
        <v>44936</v>
      </c>
      <c r="N418" s="1">
        <v>45234</v>
      </c>
      <c r="O418" t="s">
        <v>199</v>
      </c>
      <c r="P418" t="s">
        <v>11843</v>
      </c>
      <c r="R418" t="s">
        <v>11844</v>
      </c>
      <c r="T418" t="s">
        <v>11845</v>
      </c>
      <c r="U418" t="s">
        <v>444</v>
      </c>
      <c r="V418" s="4" t="str">
        <f>"95482"</f>
        <v>95482</v>
      </c>
      <c r="W418" t="s">
        <v>120</v>
      </c>
      <c r="Y418" s="5">
        <v>17073916581</v>
      </c>
      <c r="Z418">
        <v>0</v>
      </c>
      <c r="AA418">
        <v>7139</v>
      </c>
      <c r="AB418" t="s">
        <v>11846</v>
      </c>
      <c r="AC418" t="s">
        <v>4248</v>
      </c>
      <c r="AE418" t="s">
        <v>285</v>
      </c>
      <c r="AF418" t="s">
        <v>11844</v>
      </c>
      <c r="AH418" t="s">
        <v>11845</v>
      </c>
      <c r="AI418" t="s">
        <v>444</v>
      </c>
      <c r="AJ418" s="4" t="str">
        <f>"95482"</f>
        <v>95482</v>
      </c>
      <c r="AK418" t="s">
        <v>120</v>
      </c>
      <c r="AM418" s="5">
        <v>17073916581</v>
      </c>
      <c r="AN418">
        <v>0</v>
      </c>
      <c r="AO418" t="s">
        <v>11847</v>
      </c>
      <c r="AP418" t="s">
        <v>256</v>
      </c>
      <c r="AQ418" t="s">
        <v>535</v>
      </c>
      <c r="AR418" t="s">
        <v>536</v>
      </c>
      <c r="AS418" t="s">
        <v>537</v>
      </c>
      <c r="AT418" t="s">
        <v>538</v>
      </c>
      <c r="AU418" t="s">
        <v>539</v>
      </c>
      <c r="AV418" t="s">
        <v>540</v>
      </c>
      <c r="AW418" t="s">
        <v>232</v>
      </c>
      <c r="AX418" s="4" t="str">
        <f>"78550"</f>
        <v>78550</v>
      </c>
      <c r="AY418" t="s">
        <v>120</v>
      </c>
      <c r="AZ418" t="s">
        <v>541</v>
      </c>
      <c r="BA418" s="5">
        <v>19564408720</v>
      </c>
      <c r="BB418">
        <v>0</v>
      </c>
      <c r="BC418" t="s">
        <v>542</v>
      </c>
      <c r="BD418" t="s">
        <v>543</v>
      </c>
      <c r="BG418" t="s">
        <v>444</v>
      </c>
      <c r="BH418" s="1">
        <v>44860.833333333336</v>
      </c>
      <c r="BI418">
        <v>40</v>
      </c>
      <c r="BJ418">
        <v>8</v>
      </c>
      <c r="BK418">
        <v>0</v>
      </c>
      <c r="BL418">
        <v>0</v>
      </c>
      <c r="BM418">
        <v>8</v>
      </c>
      <c r="BN418">
        <v>8</v>
      </c>
      <c r="BO418">
        <v>8</v>
      </c>
      <c r="BP418">
        <v>8</v>
      </c>
      <c r="BQ418" t="str">
        <f>"1:00 PM"</f>
        <v>1:00 PM</v>
      </c>
      <c r="BR418" t="str">
        <f>"10:00 PM"</f>
        <v>10:00 PM</v>
      </c>
      <c r="BS418" t="s">
        <v>133</v>
      </c>
      <c r="BT418">
        <v>0</v>
      </c>
      <c r="BU418">
        <v>0</v>
      </c>
      <c r="BV418" t="s">
        <v>134</v>
      </c>
      <c r="BX418" t="s">
        <v>5109</v>
      </c>
      <c r="BY418" t="s">
        <v>11844</v>
      </c>
      <c r="CA418" t="s">
        <v>11848</v>
      </c>
      <c r="CB418" t="s">
        <v>444</v>
      </c>
      <c r="CC418" s="4" t="str">
        <f>"95482"</f>
        <v>95482</v>
      </c>
      <c r="CD418" t="s">
        <v>3127</v>
      </c>
      <c r="CE418" t="s">
        <v>3128</v>
      </c>
      <c r="CF418" s="6">
        <v>14.07</v>
      </c>
      <c r="CG418" s="6">
        <v>17.48</v>
      </c>
      <c r="CH418" s="6">
        <v>0</v>
      </c>
      <c r="CI418" s="6">
        <v>0</v>
      </c>
      <c r="CJ418" t="s">
        <v>137</v>
      </c>
      <c r="CK418" t="s">
        <v>549</v>
      </c>
      <c r="CL418" t="s">
        <v>11849</v>
      </c>
      <c r="CO418" t="s">
        <v>138</v>
      </c>
      <c r="CP418" t="s">
        <v>114</v>
      </c>
      <c r="CQ418" t="s">
        <v>114</v>
      </c>
      <c r="CR418" t="s">
        <v>134</v>
      </c>
      <c r="CS418" t="s">
        <v>114</v>
      </c>
      <c r="CT418" t="s">
        <v>114</v>
      </c>
      <c r="CU418" t="s">
        <v>114</v>
      </c>
      <c r="CV418" t="s">
        <v>11850</v>
      </c>
      <c r="CW418" s="5" t="str">
        <f>"+17073916581"</f>
        <v>+17073916581</v>
      </c>
      <c r="CX418" t="s">
        <v>11847</v>
      </c>
      <c r="CY418" t="s">
        <v>138</v>
      </c>
      <c r="CZ418" t="s">
        <v>139</v>
      </c>
      <c r="DA418" t="s">
        <v>134</v>
      </c>
      <c r="DB418" t="s">
        <v>134</v>
      </c>
      <c r="DC418" t="s">
        <v>114</v>
      </c>
      <c r="DD418" t="s">
        <v>134</v>
      </c>
    </row>
    <row r="419" spans="1:108" ht="15" customHeight="1" x14ac:dyDescent="0.25">
      <c r="A419" t="s">
        <v>6172</v>
      </c>
      <c r="B419" t="s">
        <v>165</v>
      </c>
      <c r="C419" s="1">
        <v>44853.531842592594</v>
      </c>
      <c r="D419" s="1">
        <v>44910</v>
      </c>
      <c r="E419" t="s">
        <v>134</v>
      </c>
      <c r="F419" t="s">
        <v>6173</v>
      </c>
      <c r="G419" t="str">
        <f>"51-9193.00"</f>
        <v>51-9193.00</v>
      </c>
      <c r="H419" t="s">
        <v>2627</v>
      </c>
      <c r="I419">
        <v>2</v>
      </c>
      <c r="J419">
        <v>2</v>
      </c>
      <c r="K419" s="1">
        <v>44941</v>
      </c>
      <c r="L419" s="1">
        <v>45214</v>
      </c>
      <c r="M419" s="1">
        <v>44941</v>
      </c>
      <c r="N419" s="1">
        <v>45214</v>
      </c>
      <c r="O419" t="s">
        <v>117</v>
      </c>
      <c r="P419" t="s">
        <v>818</v>
      </c>
      <c r="R419" t="s">
        <v>6174</v>
      </c>
      <c r="T419" t="s">
        <v>820</v>
      </c>
      <c r="U419" t="s">
        <v>821</v>
      </c>
      <c r="V419" s="4" t="str">
        <f>"99615"</f>
        <v>99615</v>
      </c>
      <c r="W419" t="s">
        <v>120</v>
      </c>
      <c r="Y419" s="5">
        <v>12067269900</v>
      </c>
      <c r="AA419">
        <v>31171</v>
      </c>
      <c r="AB419" t="s">
        <v>822</v>
      </c>
      <c r="AC419" t="s">
        <v>823</v>
      </c>
      <c r="AD419" t="s">
        <v>138</v>
      </c>
      <c r="AE419" t="s">
        <v>824</v>
      </c>
      <c r="AF419" t="s">
        <v>6174</v>
      </c>
      <c r="AH419" t="s">
        <v>820</v>
      </c>
      <c r="AI419" t="s">
        <v>821</v>
      </c>
      <c r="AJ419" s="4" t="str">
        <f>"99615"</f>
        <v>99615</v>
      </c>
      <c r="AK419" t="s">
        <v>120</v>
      </c>
      <c r="AM419" s="5">
        <v>12067269900</v>
      </c>
      <c r="AO419" t="s">
        <v>825</v>
      </c>
      <c r="AP419" t="s">
        <v>256</v>
      </c>
      <c r="AQ419" t="s">
        <v>826</v>
      </c>
      <c r="AR419" t="s">
        <v>827</v>
      </c>
      <c r="AS419" t="s">
        <v>138</v>
      </c>
      <c r="AT419" t="s">
        <v>346</v>
      </c>
      <c r="AU419" t="s">
        <v>347</v>
      </c>
      <c r="AV419" t="s">
        <v>828</v>
      </c>
      <c r="AW419" t="s">
        <v>349</v>
      </c>
      <c r="AX419" s="4" t="str">
        <f>"83814"</f>
        <v>83814</v>
      </c>
      <c r="AY419" t="s">
        <v>120</v>
      </c>
      <c r="BA419" s="5">
        <v>12087772654</v>
      </c>
      <c r="BC419" t="s">
        <v>829</v>
      </c>
      <c r="BD419" t="s">
        <v>351</v>
      </c>
      <c r="BG419" t="s">
        <v>821</v>
      </c>
      <c r="BH419" s="1">
        <v>44852.833333333336</v>
      </c>
      <c r="BI419">
        <v>40</v>
      </c>
      <c r="BJ419">
        <v>0</v>
      </c>
      <c r="BK419">
        <v>8</v>
      </c>
      <c r="BL419">
        <v>8</v>
      </c>
      <c r="BM419">
        <v>8</v>
      </c>
      <c r="BN419">
        <v>8</v>
      </c>
      <c r="BO419">
        <v>8</v>
      </c>
      <c r="BP419">
        <v>0</v>
      </c>
      <c r="BQ419" t="str">
        <f>"6:00 AM"</f>
        <v>6:00 AM</v>
      </c>
      <c r="BR419" t="str">
        <f>"11:00 PM"</f>
        <v>11:00 PM</v>
      </c>
      <c r="BS419" t="s">
        <v>133</v>
      </c>
      <c r="BT419">
        <v>0</v>
      </c>
      <c r="BU419">
        <v>12</v>
      </c>
      <c r="BV419" t="s">
        <v>134</v>
      </c>
      <c r="BX419" s="2" t="s">
        <v>5228</v>
      </c>
      <c r="BY419" t="s">
        <v>819</v>
      </c>
      <c r="CA419" t="s">
        <v>820</v>
      </c>
      <c r="CB419" t="s">
        <v>821</v>
      </c>
      <c r="CC419" s="4" t="str">
        <f>"99615"</f>
        <v>99615</v>
      </c>
      <c r="CD419" t="s">
        <v>831</v>
      </c>
      <c r="CE419" t="s">
        <v>832</v>
      </c>
      <c r="CF419" s="6">
        <v>20.63</v>
      </c>
      <c r="CH419" s="6">
        <v>30.95</v>
      </c>
      <c r="CJ419" t="s">
        <v>137</v>
      </c>
      <c r="CK419" t="s">
        <v>138</v>
      </c>
      <c r="CL419" t="s">
        <v>6175</v>
      </c>
      <c r="CO419" t="s">
        <v>138</v>
      </c>
      <c r="CP419" t="s">
        <v>134</v>
      </c>
      <c r="CQ419" t="s">
        <v>134</v>
      </c>
      <c r="CR419" t="s">
        <v>114</v>
      </c>
      <c r="CS419" t="s">
        <v>134</v>
      </c>
      <c r="CT419" t="s">
        <v>114</v>
      </c>
      <c r="CU419" t="s">
        <v>114</v>
      </c>
      <c r="CV419" t="s">
        <v>6176</v>
      </c>
      <c r="CW419" s="5" t="str">
        <f>"+12067269900"</f>
        <v>+12067269900</v>
      </c>
      <c r="CX419" t="s">
        <v>825</v>
      </c>
      <c r="CY419" t="s">
        <v>138</v>
      </c>
      <c r="CZ419" t="s">
        <v>139</v>
      </c>
      <c r="DA419" t="s">
        <v>134</v>
      </c>
      <c r="DB419" t="s">
        <v>114</v>
      </c>
      <c r="DC419" t="s">
        <v>114</v>
      </c>
      <c r="DD419" t="s">
        <v>134</v>
      </c>
    </row>
    <row r="420" spans="1:108" ht="15" customHeight="1" x14ac:dyDescent="0.25">
      <c r="A420" t="s">
        <v>16181</v>
      </c>
      <c r="B420" t="s">
        <v>165</v>
      </c>
      <c r="C420" s="1">
        <v>44883.932551504629</v>
      </c>
      <c r="D420" s="1">
        <v>44909</v>
      </c>
      <c r="E420" t="s">
        <v>134</v>
      </c>
      <c r="F420" t="s">
        <v>1296</v>
      </c>
      <c r="G420" t="str">
        <f>"37-3011.00"</f>
        <v>37-3011.00</v>
      </c>
      <c r="H420" t="s">
        <v>335</v>
      </c>
      <c r="I420">
        <v>16</v>
      </c>
      <c r="J420">
        <v>16</v>
      </c>
      <c r="K420" s="1">
        <v>44958</v>
      </c>
      <c r="L420" s="1">
        <v>45247</v>
      </c>
      <c r="M420" s="1">
        <v>44958</v>
      </c>
      <c r="N420" s="1">
        <v>45247</v>
      </c>
      <c r="O420" t="s">
        <v>117</v>
      </c>
      <c r="P420" t="s">
        <v>16182</v>
      </c>
      <c r="Q420" t="s">
        <v>16183</v>
      </c>
      <c r="R420" t="s">
        <v>16184</v>
      </c>
      <c r="T420" t="s">
        <v>2857</v>
      </c>
      <c r="U420" t="s">
        <v>119</v>
      </c>
      <c r="V420" s="4" t="str">
        <f>"28216"</f>
        <v>28216</v>
      </c>
      <c r="W420" t="s">
        <v>120</v>
      </c>
      <c r="X420" t="s">
        <v>138</v>
      </c>
      <c r="Y420" s="5">
        <v>17045860201</v>
      </c>
      <c r="AA420">
        <v>56173</v>
      </c>
      <c r="AB420" t="s">
        <v>16185</v>
      </c>
      <c r="AC420" t="s">
        <v>1469</v>
      </c>
      <c r="AE420" t="s">
        <v>1526</v>
      </c>
      <c r="AF420" t="s">
        <v>16184</v>
      </c>
      <c r="AH420" t="s">
        <v>2857</v>
      </c>
      <c r="AI420" t="s">
        <v>119</v>
      </c>
      <c r="AJ420" s="4" t="str">
        <f>"28216"</f>
        <v>28216</v>
      </c>
      <c r="AK420" t="s">
        <v>120</v>
      </c>
      <c r="AM420" s="5">
        <v>17045860201</v>
      </c>
      <c r="AO420" t="s">
        <v>16186</v>
      </c>
      <c r="AP420" t="s">
        <v>256</v>
      </c>
      <c r="AQ420" t="s">
        <v>1731</v>
      </c>
      <c r="AR420" t="s">
        <v>1732</v>
      </c>
      <c r="AS420" t="s">
        <v>1733</v>
      </c>
      <c r="AT420" t="s">
        <v>1734</v>
      </c>
      <c r="AU420" t="s">
        <v>1735</v>
      </c>
      <c r="AV420" t="s">
        <v>1736</v>
      </c>
      <c r="AW420" t="s">
        <v>479</v>
      </c>
      <c r="AX420" s="4" t="str">
        <f>"24521"</f>
        <v>24521</v>
      </c>
      <c r="AY420" t="s">
        <v>120</v>
      </c>
      <c r="BA420" s="5">
        <v>14349460035</v>
      </c>
      <c r="BB420">
        <v>11</v>
      </c>
      <c r="BC420" t="s">
        <v>1737</v>
      </c>
      <c r="BD420" t="s">
        <v>1738</v>
      </c>
      <c r="BG420" t="s">
        <v>119</v>
      </c>
      <c r="BH420" s="1">
        <v>44882.791666666664</v>
      </c>
      <c r="BI420">
        <v>40</v>
      </c>
      <c r="BJ420">
        <v>0</v>
      </c>
      <c r="BK420">
        <v>8</v>
      </c>
      <c r="BL420">
        <v>8</v>
      </c>
      <c r="BM420">
        <v>8</v>
      </c>
      <c r="BN420">
        <v>8</v>
      </c>
      <c r="BO420">
        <v>8</v>
      </c>
      <c r="BP420">
        <v>0</v>
      </c>
      <c r="BQ420" t="str">
        <f>"6:30 AM"</f>
        <v>6:30 AM</v>
      </c>
      <c r="BR420" t="str">
        <f>"3:30 PM"</f>
        <v>3:30 PM</v>
      </c>
      <c r="BS420" t="s">
        <v>133</v>
      </c>
      <c r="BT420">
        <v>0</v>
      </c>
      <c r="BU420">
        <v>3</v>
      </c>
      <c r="BV420" t="s">
        <v>134</v>
      </c>
      <c r="BX420" s="2" t="s">
        <v>16187</v>
      </c>
      <c r="BY420" t="s">
        <v>16188</v>
      </c>
      <c r="CA420" t="s">
        <v>2857</v>
      </c>
      <c r="CB420" t="s">
        <v>119</v>
      </c>
      <c r="CC420" s="4" t="str">
        <f>"28216"</f>
        <v>28216</v>
      </c>
      <c r="CD420" t="s">
        <v>1403</v>
      </c>
      <c r="CE420" t="s">
        <v>1404</v>
      </c>
      <c r="CF420" s="6">
        <v>16.5</v>
      </c>
      <c r="CG420" s="6">
        <v>16.5</v>
      </c>
      <c r="CH420" s="6">
        <v>24.75</v>
      </c>
      <c r="CI420" s="6">
        <v>24.75</v>
      </c>
      <c r="CJ420" t="s">
        <v>137</v>
      </c>
      <c r="CK420" t="s">
        <v>16045</v>
      </c>
      <c r="CL420" t="s">
        <v>16189</v>
      </c>
      <c r="CO420" t="s">
        <v>138</v>
      </c>
      <c r="CP420" t="s">
        <v>114</v>
      </c>
      <c r="CQ420" t="s">
        <v>114</v>
      </c>
      <c r="CR420" t="s">
        <v>114</v>
      </c>
      <c r="CS420" t="s">
        <v>134</v>
      </c>
      <c r="CT420" t="s">
        <v>114</v>
      </c>
      <c r="CU420" t="s">
        <v>114</v>
      </c>
      <c r="CV420" s="2" t="s">
        <v>16190</v>
      </c>
      <c r="CW420" s="5" t="str">
        <f>"N/A"</f>
        <v>N/A</v>
      </c>
      <c r="CX420" t="s">
        <v>16191</v>
      </c>
      <c r="CY420" t="s">
        <v>16192</v>
      </c>
      <c r="CZ420" t="s">
        <v>139</v>
      </c>
      <c r="DA420" t="s">
        <v>134</v>
      </c>
      <c r="DB420" t="s">
        <v>114</v>
      </c>
      <c r="DC420" t="s">
        <v>114</v>
      </c>
      <c r="DD420" t="s">
        <v>134</v>
      </c>
    </row>
    <row r="421" spans="1:108" ht="15" customHeight="1" x14ac:dyDescent="0.25">
      <c r="A421" t="s">
        <v>4641</v>
      </c>
      <c r="B421" t="s">
        <v>165</v>
      </c>
      <c r="C421" s="1">
        <v>44883.755853935188</v>
      </c>
      <c r="D421" s="1">
        <v>44909</v>
      </c>
      <c r="E421" t="s">
        <v>134</v>
      </c>
      <c r="F421" t="s">
        <v>4642</v>
      </c>
      <c r="G421" t="str">
        <f>"37-2012.00"</f>
        <v>37-2012.00</v>
      </c>
      <c r="H421" t="s">
        <v>116</v>
      </c>
      <c r="I421">
        <v>12</v>
      </c>
      <c r="J421">
        <v>12</v>
      </c>
      <c r="K421" s="1">
        <v>44973</v>
      </c>
      <c r="L421" s="1">
        <v>45276</v>
      </c>
      <c r="M421" s="1">
        <v>44973</v>
      </c>
      <c r="N421" s="1">
        <v>45276</v>
      </c>
      <c r="O421" t="s">
        <v>117</v>
      </c>
      <c r="P421" t="s">
        <v>4643</v>
      </c>
      <c r="R421" t="s">
        <v>4644</v>
      </c>
      <c r="S421" t="s">
        <v>4645</v>
      </c>
      <c r="T421" t="s">
        <v>4646</v>
      </c>
      <c r="U421" t="s">
        <v>1750</v>
      </c>
      <c r="V421" s="4" t="str">
        <f>"68847"</f>
        <v>68847</v>
      </c>
      <c r="W421" t="s">
        <v>120</v>
      </c>
      <c r="Y421" s="5">
        <v>13089910306</v>
      </c>
      <c r="AA421">
        <v>561720</v>
      </c>
      <c r="AB421" t="s">
        <v>4647</v>
      </c>
      <c r="AC421" t="s">
        <v>1830</v>
      </c>
      <c r="AE421" t="s">
        <v>3928</v>
      </c>
      <c r="AF421" t="s">
        <v>4644</v>
      </c>
      <c r="AH421" t="s">
        <v>4646</v>
      </c>
      <c r="AI421" t="s">
        <v>1750</v>
      </c>
      <c r="AJ421" s="4" t="str">
        <f>"68847"</f>
        <v>68847</v>
      </c>
      <c r="AK421" t="s">
        <v>120</v>
      </c>
      <c r="AM421" s="5">
        <v>13089910306</v>
      </c>
      <c r="AO421" t="s">
        <v>1574</v>
      </c>
      <c r="AP421" t="s">
        <v>256</v>
      </c>
      <c r="AQ421" t="s">
        <v>1941</v>
      </c>
      <c r="AR421" t="s">
        <v>1942</v>
      </c>
      <c r="AT421" t="s">
        <v>1943</v>
      </c>
      <c r="AU421" t="s">
        <v>1944</v>
      </c>
      <c r="AV421" t="s">
        <v>1945</v>
      </c>
      <c r="AW421" t="s">
        <v>631</v>
      </c>
      <c r="AX421" s="4" t="str">
        <f>"74136"</f>
        <v>74136</v>
      </c>
      <c r="AY421" t="s">
        <v>120</v>
      </c>
      <c r="BA421" s="5">
        <v>19189065212</v>
      </c>
      <c r="BC421" t="s">
        <v>1946</v>
      </c>
      <c r="BD421" t="s">
        <v>1947</v>
      </c>
      <c r="BG421" t="s">
        <v>1750</v>
      </c>
      <c r="BH421" s="1">
        <v>44867.833333333336</v>
      </c>
      <c r="BI421">
        <v>40</v>
      </c>
      <c r="BJ421">
        <v>5</v>
      </c>
      <c r="BK421">
        <v>6</v>
      </c>
      <c r="BL421">
        <v>6</v>
      </c>
      <c r="BM421">
        <v>6</v>
      </c>
      <c r="BN421">
        <v>6</v>
      </c>
      <c r="BO421">
        <v>6</v>
      </c>
      <c r="BP421">
        <v>5</v>
      </c>
      <c r="BQ421" t="str">
        <f>"9:00 AM"</f>
        <v>9:00 AM</v>
      </c>
      <c r="BR421" t="str">
        <f>"3:00 PM"</f>
        <v>3:00 PM</v>
      </c>
      <c r="BS421" t="s">
        <v>133</v>
      </c>
      <c r="BT421">
        <v>0</v>
      </c>
      <c r="BU421">
        <v>0</v>
      </c>
      <c r="BV421" t="s">
        <v>134</v>
      </c>
      <c r="BX421" s="2" t="s">
        <v>4648</v>
      </c>
      <c r="BY421" t="s">
        <v>4649</v>
      </c>
      <c r="CA421" t="s">
        <v>4646</v>
      </c>
      <c r="CB421" t="s">
        <v>1750</v>
      </c>
      <c r="CC421" s="4" t="str">
        <f>"68847"</f>
        <v>68847</v>
      </c>
      <c r="CD421" t="s">
        <v>4650</v>
      </c>
      <c r="CE421" t="s">
        <v>2772</v>
      </c>
      <c r="CF421" s="6">
        <v>13.5</v>
      </c>
      <c r="CG421" s="6">
        <v>13.5</v>
      </c>
      <c r="CH421" s="6">
        <v>20.25</v>
      </c>
      <c r="CI421" s="6">
        <v>20.25</v>
      </c>
      <c r="CJ421" t="s">
        <v>137</v>
      </c>
      <c r="CK421" t="s">
        <v>1948</v>
      </c>
      <c r="CL421" t="s">
        <v>4651</v>
      </c>
      <c r="CO421" t="s">
        <v>138</v>
      </c>
      <c r="CP421" t="s">
        <v>114</v>
      </c>
      <c r="CQ421" t="s">
        <v>134</v>
      </c>
      <c r="CR421" t="s">
        <v>114</v>
      </c>
      <c r="CS421" t="s">
        <v>114</v>
      </c>
      <c r="CT421" t="s">
        <v>114</v>
      </c>
      <c r="CU421" t="s">
        <v>114</v>
      </c>
      <c r="CV421" s="2" t="s">
        <v>4652</v>
      </c>
      <c r="CW421" s="5" t="str">
        <f>"+13083381475"</f>
        <v>+13083381475</v>
      </c>
      <c r="CX421" t="s">
        <v>138</v>
      </c>
      <c r="CY421" t="s">
        <v>4200</v>
      </c>
      <c r="CZ421" t="s">
        <v>139</v>
      </c>
      <c r="DA421" t="s">
        <v>134</v>
      </c>
      <c r="DB421" t="s">
        <v>114</v>
      </c>
      <c r="DC421" t="s">
        <v>114</v>
      </c>
      <c r="DD421" t="s">
        <v>134</v>
      </c>
    </row>
    <row r="422" spans="1:108" ht="15" customHeight="1" x14ac:dyDescent="0.25">
      <c r="A422" t="s">
        <v>13524</v>
      </c>
      <c r="B422" t="s">
        <v>165</v>
      </c>
      <c r="C422" s="1">
        <v>44883.664210648145</v>
      </c>
      <c r="D422" s="1">
        <v>44909</v>
      </c>
      <c r="E422" t="s">
        <v>134</v>
      </c>
      <c r="F422" t="s">
        <v>2308</v>
      </c>
      <c r="G422" t="str">
        <f>"39-3091.00"</f>
        <v>39-3091.00</v>
      </c>
      <c r="H422" t="s">
        <v>362</v>
      </c>
      <c r="I422">
        <v>4</v>
      </c>
      <c r="J422">
        <v>4</v>
      </c>
      <c r="K422" s="1">
        <v>44958</v>
      </c>
      <c r="L422" s="1">
        <v>45230</v>
      </c>
      <c r="M422" s="1">
        <v>44958</v>
      </c>
      <c r="N422" s="1">
        <v>45230</v>
      </c>
      <c r="O422" t="s">
        <v>199</v>
      </c>
      <c r="P422" t="s">
        <v>13525</v>
      </c>
      <c r="R422" t="s">
        <v>13526</v>
      </c>
      <c r="T422" t="s">
        <v>2106</v>
      </c>
      <c r="U422" t="s">
        <v>154</v>
      </c>
      <c r="V422" s="4" t="str">
        <f>"33534"</f>
        <v>33534</v>
      </c>
      <c r="W422" t="s">
        <v>120</v>
      </c>
      <c r="Y422" s="5">
        <v>18133044987</v>
      </c>
      <c r="AA422">
        <v>7139</v>
      </c>
      <c r="AB422" t="s">
        <v>13527</v>
      </c>
      <c r="AC422" t="s">
        <v>3565</v>
      </c>
      <c r="AE422" t="s">
        <v>342</v>
      </c>
      <c r="AF422" t="s">
        <v>13526</v>
      </c>
      <c r="AH422" t="s">
        <v>2106</v>
      </c>
      <c r="AI422" t="s">
        <v>154</v>
      </c>
      <c r="AJ422" s="4" t="str">
        <f>"33534"</f>
        <v>33534</v>
      </c>
      <c r="AK422" t="s">
        <v>120</v>
      </c>
      <c r="AM422" s="5">
        <v>18133044987</v>
      </c>
      <c r="AO422" t="s">
        <v>13528</v>
      </c>
      <c r="AP422" t="s">
        <v>256</v>
      </c>
      <c r="AQ422" t="s">
        <v>535</v>
      </c>
      <c r="AR422" t="s">
        <v>536</v>
      </c>
      <c r="AS422" t="s">
        <v>537</v>
      </c>
      <c r="AT422" t="s">
        <v>538</v>
      </c>
      <c r="AU422" t="s">
        <v>539</v>
      </c>
      <c r="AV422" t="s">
        <v>540</v>
      </c>
      <c r="AW422" t="s">
        <v>232</v>
      </c>
      <c r="AX422" s="4" t="str">
        <f>"78550"</f>
        <v>78550</v>
      </c>
      <c r="AY422" t="s">
        <v>120</v>
      </c>
      <c r="BA422" s="5">
        <v>19564408720</v>
      </c>
      <c r="BB422">
        <v>0</v>
      </c>
      <c r="BC422" t="s">
        <v>1022</v>
      </c>
      <c r="BD422" t="s">
        <v>543</v>
      </c>
      <c r="BG422" t="s">
        <v>154</v>
      </c>
      <c r="BH422" s="1">
        <v>44882.791666666664</v>
      </c>
      <c r="BI422">
        <v>40</v>
      </c>
      <c r="BJ422">
        <v>8</v>
      </c>
      <c r="BK422">
        <v>0</v>
      </c>
      <c r="BL422">
        <v>0</v>
      </c>
      <c r="BM422">
        <v>8</v>
      </c>
      <c r="BN422">
        <v>8</v>
      </c>
      <c r="BO422">
        <v>8</v>
      </c>
      <c r="BP422">
        <v>8</v>
      </c>
      <c r="BQ422" t="str">
        <f>"1:00 PM"</f>
        <v>1:00 PM</v>
      </c>
      <c r="BR422" t="str">
        <f>"10:00 PM"</f>
        <v>10:00 PM</v>
      </c>
      <c r="BS422" t="s">
        <v>133</v>
      </c>
      <c r="BT422">
        <v>0</v>
      </c>
      <c r="BU422">
        <v>0</v>
      </c>
      <c r="BV422" t="s">
        <v>134</v>
      </c>
      <c r="BX422" s="2" t="s">
        <v>579</v>
      </c>
      <c r="BY422" t="s">
        <v>13526</v>
      </c>
      <c r="CA422" t="s">
        <v>2106</v>
      </c>
      <c r="CB422" t="s">
        <v>154</v>
      </c>
      <c r="CC422" s="4" t="str">
        <f>"33534"</f>
        <v>33534</v>
      </c>
      <c r="CD422" t="s">
        <v>566</v>
      </c>
      <c r="CE422" t="s">
        <v>567</v>
      </c>
      <c r="CF422" s="6">
        <v>9.51</v>
      </c>
      <c r="CG422" s="6">
        <v>14.2</v>
      </c>
      <c r="CJ422" t="s">
        <v>137</v>
      </c>
      <c r="CK422" t="s">
        <v>549</v>
      </c>
      <c r="CL422" t="s">
        <v>13529</v>
      </c>
      <c r="CM422" t="s">
        <v>13530</v>
      </c>
      <c r="CO422" t="s">
        <v>138</v>
      </c>
      <c r="CP422" t="s">
        <v>114</v>
      </c>
      <c r="CQ422" t="s">
        <v>114</v>
      </c>
      <c r="CR422" t="s">
        <v>134</v>
      </c>
      <c r="CS422" t="s">
        <v>114</v>
      </c>
      <c r="CT422" t="s">
        <v>114</v>
      </c>
      <c r="CU422" t="s">
        <v>114</v>
      </c>
      <c r="CV422" t="s">
        <v>1360</v>
      </c>
      <c r="CW422" s="5" t="str">
        <f>"+18133044987"</f>
        <v>+18133044987</v>
      </c>
      <c r="CX422" t="s">
        <v>13528</v>
      </c>
      <c r="CY422" t="s">
        <v>138</v>
      </c>
      <c r="CZ422" t="s">
        <v>139</v>
      </c>
      <c r="DA422" t="s">
        <v>134</v>
      </c>
      <c r="DB422" t="s">
        <v>114</v>
      </c>
      <c r="DC422" t="s">
        <v>114</v>
      </c>
      <c r="DD422" t="s">
        <v>134</v>
      </c>
    </row>
    <row r="423" spans="1:108" ht="15" customHeight="1" x14ac:dyDescent="0.25">
      <c r="A423" t="s">
        <v>8240</v>
      </c>
      <c r="B423" t="s">
        <v>165</v>
      </c>
      <c r="C423" s="1">
        <v>44883.40704027778</v>
      </c>
      <c r="D423" s="1">
        <v>44909</v>
      </c>
      <c r="E423" t="s">
        <v>134</v>
      </c>
      <c r="F423" t="s">
        <v>334</v>
      </c>
      <c r="G423" t="str">
        <f>"37-3011.00"</f>
        <v>37-3011.00</v>
      </c>
      <c r="H423" t="s">
        <v>335</v>
      </c>
      <c r="I423">
        <v>15</v>
      </c>
      <c r="J423">
        <v>15</v>
      </c>
      <c r="K423" s="1">
        <v>44973</v>
      </c>
      <c r="L423" s="1">
        <v>45230</v>
      </c>
      <c r="M423" s="1">
        <v>44973</v>
      </c>
      <c r="N423" s="1">
        <v>45230</v>
      </c>
      <c r="O423" t="s">
        <v>117</v>
      </c>
      <c r="P423" t="s">
        <v>8241</v>
      </c>
      <c r="Q423" t="s">
        <v>8242</v>
      </c>
      <c r="R423" t="s">
        <v>8243</v>
      </c>
      <c r="S423" t="s">
        <v>8244</v>
      </c>
      <c r="T423" t="s">
        <v>4596</v>
      </c>
      <c r="U423" t="s">
        <v>631</v>
      </c>
      <c r="V423" s="4" t="str">
        <f>"73003"</f>
        <v>73003</v>
      </c>
      <c r="W423" t="s">
        <v>120</v>
      </c>
      <c r="X423" t="s">
        <v>138</v>
      </c>
      <c r="Y423" s="5">
        <v>14057573181</v>
      </c>
      <c r="AA423">
        <v>561730</v>
      </c>
      <c r="AB423" t="s">
        <v>8245</v>
      </c>
      <c r="AC423" t="s">
        <v>1568</v>
      </c>
      <c r="AD423" t="s">
        <v>138</v>
      </c>
      <c r="AE423" t="s">
        <v>8246</v>
      </c>
      <c r="AF423" t="s">
        <v>8243</v>
      </c>
      <c r="AG423" t="s">
        <v>8244</v>
      </c>
      <c r="AH423" t="s">
        <v>4596</v>
      </c>
      <c r="AI423" t="s">
        <v>631</v>
      </c>
      <c r="AJ423" s="4" t="str">
        <f>"73003"</f>
        <v>73003</v>
      </c>
      <c r="AK423" t="s">
        <v>120</v>
      </c>
      <c r="AM423" s="5">
        <v>14057573181</v>
      </c>
      <c r="AO423" t="s">
        <v>8247</v>
      </c>
      <c r="AP423" t="s">
        <v>256</v>
      </c>
      <c r="AQ423" t="s">
        <v>2351</v>
      </c>
      <c r="AR423" t="s">
        <v>1353</v>
      </c>
      <c r="AS423" t="s">
        <v>259</v>
      </c>
      <c r="AT423" t="s">
        <v>2352</v>
      </c>
      <c r="AU423" t="s">
        <v>138</v>
      </c>
      <c r="AV423" t="s">
        <v>1285</v>
      </c>
      <c r="AW423" t="s">
        <v>232</v>
      </c>
      <c r="AX423" s="4" t="str">
        <f>"77414"</f>
        <v>77414</v>
      </c>
      <c r="AY423" t="s">
        <v>120</v>
      </c>
      <c r="BA423" s="5">
        <v>19793187283</v>
      </c>
      <c r="BC423" t="s">
        <v>2353</v>
      </c>
      <c r="BD423" t="s">
        <v>1287</v>
      </c>
      <c r="BG423" t="s">
        <v>631</v>
      </c>
      <c r="BH423" s="1">
        <v>44882.791666666664</v>
      </c>
      <c r="BI423">
        <v>40</v>
      </c>
      <c r="BJ423">
        <v>0</v>
      </c>
      <c r="BK423">
        <v>8</v>
      </c>
      <c r="BL423">
        <v>8</v>
      </c>
      <c r="BM423">
        <v>8</v>
      </c>
      <c r="BN423">
        <v>8</v>
      </c>
      <c r="BO423">
        <v>8</v>
      </c>
      <c r="BP423">
        <v>0</v>
      </c>
      <c r="BQ423" t="str">
        <f>"7:00 AM"</f>
        <v>7:00 AM</v>
      </c>
      <c r="BR423" t="str">
        <f>"4:00 PM"</f>
        <v>4:00 PM</v>
      </c>
      <c r="BS423" t="s">
        <v>133</v>
      </c>
      <c r="BT423">
        <v>0</v>
      </c>
      <c r="BU423">
        <v>0</v>
      </c>
      <c r="BV423" t="s">
        <v>134</v>
      </c>
      <c r="BX423" s="2" t="s">
        <v>8248</v>
      </c>
      <c r="BY423" t="s">
        <v>8243</v>
      </c>
      <c r="BZ423" t="s">
        <v>138</v>
      </c>
      <c r="CA423" t="s">
        <v>4596</v>
      </c>
      <c r="CB423" t="s">
        <v>631</v>
      </c>
      <c r="CC423" s="4" t="str">
        <f>"73003"</f>
        <v>73003</v>
      </c>
      <c r="CD423" t="s">
        <v>2925</v>
      </c>
      <c r="CE423" t="s">
        <v>2926</v>
      </c>
      <c r="CF423" s="6">
        <v>15.35</v>
      </c>
      <c r="CH423" s="6">
        <v>23.03</v>
      </c>
      <c r="CJ423" t="s">
        <v>137</v>
      </c>
      <c r="CK423" t="s">
        <v>138</v>
      </c>
      <c r="CL423" t="s">
        <v>8249</v>
      </c>
      <c r="CO423" t="s">
        <v>138</v>
      </c>
      <c r="CP423" t="s">
        <v>114</v>
      </c>
      <c r="CQ423" t="s">
        <v>114</v>
      </c>
      <c r="CR423" t="s">
        <v>114</v>
      </c>
      <c r="CS423" t="s">
        <v>114</v>
      </c>
      <c r="CT423" t="s">
        <v>114</v>
      </c>
      <c r="CU423" t="s">
        <v>134</v>
      </c>
      <c r="CV423" t="s">
        <v>2056</v>
      </c>
      <c r="CW423" s="5" t="str">
        <f>"+14057573181"</f>
        <v>+14057573181</v>
      </c>
      <c r="CX423" t="s">
        <v>8250</v>
      </c>
      <c r="CY423" t="s">
        <v>138</v>
      </c>
      <c r="CZ423" t="s">
        <v>139</v>
      </c>
      <c r="DA423" t="s">
        <v>134</v>
      </c>
      <c r="DB423" t="s">
        <v>134</v>
      </c>
      <c r="DC423" t="s">
        <v>114</v>
      </c>
      <c r="DD423" t="s">
        <v>134</v>
      </c>
    </row>
    <row r="424" spans="1:108" ht="15" customHeight="1" x14ac:dyDescent="0.25">
      <c r="A424" t="s">
        <v>13483</v>
      </c>
      <c r="B424" t="s">
        <v>165</v>
      </c>
      <c r="C424" s="1">
        <v>44883.310434143517</v>
      </c>
      <c r="D424" s="1">
        <v>44909</v>
      </c>
      <c r="E424" t="s">
        <v>134</v>
      </c>
      <c r="F424" t="s">
        <v>334</v>
      </c>
      <c r="G424" t="str">
        <f>"37-3011.00"</f>
        <v>37-3011.00</v>
      </c>
      <c r="H424" t="s">
        <v>335</v>
      </c>
      <c r="I424">
        <v>8</v>
      </c>
      <c r="J424">
        <v>8</v>
      </c>
      <c r="K424" s="1">
        <v>44973</v>
      </c>
      <c r="L424" s="1">
        <v>45275</v>
      </c>
      <c r="M424" s="1">
        <v>44973</v>
      </c>
      <c r="N424" s="1">
        <v>45275</v>
      </c>
      <c r="O424" t="s">
        <v>117</v>
      </c>
      <c r="P424" t="s">
        <v>13484</v>
      </c>
      <c r="R424" t="s">
        <v>13485</v>
      </c>
      <c r="S424" t="s">
        <v>138</v>
      </c>
      <c r="T424" t="s">
        <v>13486</v>
      </c>
      <c r="U424" t="s">
        <v>1003</v>
      </c>
      <c r="V424" s="4" t="str">
        <f>"08080"</f>
        <v>08080</v>
      </c>
      <c r="W424" t="s">
        <v>120</v>
      </c>
      <c r="X424" t="s">
        <v>138</v>
      </c>
      <c r="Y424" s="5">
        <v>18563744700</v>
      </c>
      <c r="AA424">
        <v>561730</v>
      </c>
      <c r="AB424" t="s">
        <v>13487</v>
      </c>
      <c r="AC424" t="s">
        <v>1841</v>
      </c>
      <c r="AD424" t="s">
        <v>138</v>
      </c>
      <c r="AE424" t="s">
        <v>342</v>
      </c>
      <c r="AF424" t="s">
        <v>13488</v>
      </c>
      <c r="AG424" t="s">
        <v>138</v>
      </c>
      <c r="AH424" t="s">
        <v>13486</v>
      </c>
      <c r="AI424" t="s">
        <v>1003</v>
      </c>
      <c r="AJ424" s="4" t="str">
        <f>"08080"</f>
        <v>08080</v>
      </c>
      <c r="AK424" t="s">
        <v>120</v>
      </c>
      <c r="AM424" s="5">
        <v>18563744700</v>
      </c>
      <c r="AO424" t="s">
        <v>13489</v>
      </c>
      <c r="AP424" t="s">
        <v>256</v>
      </c>
      <c r="AQ424" t="s">
        <v>4312</v>
      </c>
      <c r="AR424" t="s">
        <v>4313</v>
      </c>
      <c r="AS424" t="s">
        <v>4044</v>
      </c>
      <c r="AT424" t="s">
        <v>1284</v>
      </c>
      <c r="AU424" t="s">
        <v>138</v>
      </c>
      <c r="AV424" t="s">
        <v>1285</v>
      </c>
      <c r="AW424" t="s">
        <v>232</v>
      </c>
      <c r="AX424" s="4" t="str">
        <f>"77414"</f>
        <v>77414</v>
      </c>
      <c r="AY424" t="s">
        <v>120</v>
      </c>
      <c r="BA424" s="5">
        <v>19793187277</v>
      </c>
      <c r="BC424" t="s">
        <v>4314</v>
      </c>
      <c r="BD424" t="s">
        <v>1287</v>
      </c>
      <c r="BG424" t="s">
        <v>1003</v>
      </c>
      <c r="BH424" s="1">
        <v>44882.791666666664</v>
      </c>
      <c r="BI424">
        <v>40</v>
      </c>
      <c r="BJ424">
        <v>0</v>
      </c>
      <c r="BK424">
        <v>8</v>
      </c>
      <c r="BL424">
        <v>8</v>
      </c>
      <c r="BM424">
        <v>8</v>
      </c>
      <c r="BN424">
        <v>8</v>
      </c>
      <c r="BO424">
        <v>8</v>
      </c>
      <c r="BP424">
        <v>0</v>
      </c>
      <c r="BQ424" t="str">
        <f>"7:30 AM"</f>
        <v>7:30 AM</v>
      </c>
      <c r="BR424" t="str">
        <f>"4:30 PM"</f>
        <v>4:30 PM</v>
      </c>
      <c r="BS424" t="s">
        <v>133</v>
      </c>
      <c r="BT424">
        <v>0</v>
      </c>
      <c r="BU424">
        <v>0</v>
      </c>
      <c r="BV424" t="s">
        <v>134</v>
      </c>
      <c r="BX424" s="2" t="s">
        <v>13490</v>
      </c>
      <c r="BY424" t="s">
        <v>13488</v>
      </c>
      <c r="BZ424" t="s">
        <v>138</v>
      </c>
      <c r="CA424" t="s">
        <v>13486</v>
      </c>
      <c r="CB424" t="s">
        <v>1003</v>
      </c>
      <c r="CC424" s="4" t="str">
        <f>"08080"</f>
        <v>08080</v>
      </c>
      <c r="CD424" t="s">
        <v>10914</v>
      </c>
      <c r="CE424" t="s">
        <v>1266</v>
      </c>
      <c r="CF424" s="6">
        <v>17.82</v>
      </c>
      <c r="CG424" s="6">
        <v>18.5</v>
      </c>
      <c r="CH424" s="6">
        <v>26.73</v>
      </c>
      <c r="CI424" s="6">
        <v>27.75</v>
      </c>
      <c r="CJ424" t="s">
        <v>137</v>
      </c>
      <c r="CK424" t="s">
        <v>4317</v>
      </c>
      <c r="CL424" t="s">
        <v>13491</v>
      </c>
      <c r="CO424" t="s">
        <v>138</v>
      </c>
      <c r="CP424" t="s">
        <v>114</v>
      </c>
      <c r="CQ424" t="s">
        <v>114</v>
      </c>
      <c r="CR424" t="s">
        <v>114</v>
      </c>
      <c r="CS424" t="s">
        <v>114</v>
      </c>
      <c r="CT424" t="s">
        <v>114</v>
      </c>
      <c r="CU424" t="s">
        <v>134</v>
      </c>
      <c r="CV424" t="s">
        <v>2056</v>
      </c>
      <c r="CW424" s="5" t="str">
        <f>"+18563744700"</f>
        <v>+18563744700</v>
      </c>
      <c r="CX424" t="s">
        <v>13489</v>
      </c>
      <c r="CY424" t="s">
        <v>138</v>
      </c>
      <c r="CZ424" t="s">
        <v>139</v>
      </c>
      <c r="DA424" t="s">
        <v>134</v>
      </c>
      <c r="DB424" t="s">
        <v>134</v>
      </c>
      <c r="DC424" t="s">
        <v>114</v>
      </c>
      <c r="DD424" t="s">
        <v>134</v>
      </c>
    </row>
    <row r="425" spans="1:108" ht="15" customHeight="1" x14ac:dyDescent="0.25">
      <c r="A425" t="s">
        <v>14971</v>
      </c>
      <c r="B425" t="s">
        <v>165</v>
      </c>
      <c r="C425" s="1">
        <v>44882.828007407406</v>
      </c>
      <c r="D425" s="1">
        <v>44909</v>
      </c>
      <c r="E425" t="s">
        <v>134</v>
      </c>
      <c r="F425" t="s">
        <v>334</v>
      </c>
      <c r="G425" t="str">
        <f>"37-3011.00"</f>
        <v>37-3011.00</v>
      </c>
      <c r="H425" t="s">
        <v>335</v>
      </c>
      <c r="I425">
        <v>9</v>
      </c>
      <c r="J425">
        <v>9</v>
      </c>
      <c r="K425" s="1">
        <v>44972</v>
      </c>
      <c r="L425" s="1">
        <v>45245</v>
      </c>
      <c r="M425" s="1">
        <v>44972</v>
      </c>
      <c r="N425" s="1">
        <v>45245</v>
      </c>
      <c r="O425" t="s">
        <v>117</v>
      </c>
      <c r="P425" t="s">
        <v>7133</v>
      </c>
      <c r="R425" t="s">
        <v>7134</v>
      </c>
      <c r="T425" t="s">
        <v>4031</v>
      </c>
      <c r="U425" t="s">
        <v>232</v>
      </c>
      <c r="V425" s="4" t="str">
        <f>"75057"</f>
        <v>75057</v>
      </c>
      <c r="W425" t="s">
        <v>120</v>
      </c>
      <c r="Y425" s="5">
        <v>14694701115</v>
      </c>
      <c r="AA425">
        <v>56173</v>
      </c>
      <c r="AB425" t="s">
        <v>7135</v>
      </c>
      <c r="AC425" t="s">
        <v>1628</v>
      </c>
      <c r="AE425" t="s">
        <v>4231</v>
      </c>
      <c r="AF425" t="s">
        <v>7136</v>
      </c>
      <c r="AH425" t="s">
        <v>2252</v>
      </c>
      <c r="AI425" t="s">
        <v>214</v>
      </c>
      <c r="AJ425" s="4" t="str">
        <f>"70809"</f>
        <v>70809</v>
      </c>
      <c r="AK425" t="s">
        <v>120</v>
      </c>
      <c r="AM425" s="5">
        <v>14694701115</v>
      </c>
      <c r="AO425" t="s">
        <v>7137</v>
      </c>
      <c r="AP425" t="s">
        <v>256</v>
      </c>
      <c r="AQ425" t="s">
        <v>885</v>
      </c>
      <c r="AR425" t="s">
        <v>886</v>
      </c>
      <c r="AT425" t="s">
        <v>887</v>
      </c>
      <c r="AV425" t="s">
        <v>888</v>
      </c>
      <c r="AW425" t="s">
        <v>232</v>
      </c>
      <c r="AX425" s="4" t="str">
        <f>"75098"</f>
        <v>75098</v>
      </c>
      <c r="AY425" t="s">
        <v>120</v>
      </c>
      <c r="BA425" s="5">
        <v>19724424244</v>
      </c>
      <c r="BC425" t="s">
        <v>889</v>
      </c>
      <c r="BD425" t="s">
        <v>890</v>
      </c>
      <c r="BG425" t="s">
        <v>232</v>
      </c>
      <c r="BH425" s="1">
        <v>44881.791666666664</v>
      </c>
      <c r="BI425">
        <v>40</v>
      </c>
      <c r="BJ425">
        <v>0</v>
      </c>
      <c r="BK425">
        <v>8</v>
      </c>
      <c r="BL425">
        <v>8</v>
      </c>
      <c r="BM425">
        <v>8</v>
      </c>
      <c r="BN425">
        <v>8</v>
      </c>
      <c r="BO425">
        <v>8</v>
      </c>
      <c r="BP425">
        <v>0</v>
      </c>
      <c r="BQ425" t="str">
        <f>"5:00 AM"</f>
        <v>5:00 AM</v>
      </c>
      <c r="BR425" t="str">
        <f>"4:00 PM"</f>
        <v>4:00 PM</v>
      </c>
      <c r="BS425" t="s">
        <v>133</v>
      </c>
      <c r="BT425">
        <v>0</v>
      </c>
      <c r="BU425">
        <v>0</v>
      </c>
      <c r="BV425" t="s">
        <v>134</v>
      </c>
      <c r="BX425" s="2" t="s">
        <v>14972</v>
      </c>
      <c r="BY425" t="s">
        <v>7134</v>
      </c>
      <c r="CA425" t="s">
        <v>4031</v>
      </c>
      <c r="CB425" t="s">
        <v>232</v>
      </c>
      <c r="CC425" s="4" t="str">
        <f>"75057"</f>
        <v>75057</v>
      </c>
      <c r="CD425" t="s">
        <v>2071</v>
      </c>
      <c r="CE425" t="s">
        <v>1528</v>
      </c>
      <c r="CF425" s="6">
        <v>16.3</v>
      </c>
      <c r="CG425" s="6">
        <v>18</v>
      </c>
      <c r="CH425" s="6">
        <v>24.45</v>
      </c>
      <c r="CI425" s="6">
        <v>27</v>
      </c>
      <c r="CJ425" t="s">
        <v>137</v>
      </c>
      <c r="CL425" t="s">
        <v>7138</v>
      </c>
      <c r="CO425" t="s">
        <v>138</v>
      </c>
      <c r="CP425" t="s">
        <v>114</v>
      </c>
      <c r="CQ425" t="s">
        <v>114</v>
      </c>
      <c r="CR425" t="s">
        <v>114</v>
      </c>
      <c r="CS425" t="s">
        <v>114</v>
      </c>
      <c r="CT425" t="s">
        <v>114</v>
      </c>
      <c r="CU425" t="s">
        <v>114</v>
      </c>
      <c r="CV425" t="s">
        <v>14973</v>
      </c>
      <c r="CW425" s="5" t="str">
        <f>"+14694701115"</f>
        <v>+14694701115</v>
      </c>
      <c r="CX425" t="s">
        <v>138</v>
      </c>
      <c r="CY425" t="s">
        <v>2072</v>
      </c>
      <c r="CZ425" t="s">
        <v>139</v>
      </c>
      <c r="DA425" t="s">
        <v>134</v>
      </c>
      <c r="DB425" t="s">
        <v>134</v>
      </c>
      <c r="DC425" t="s">
        <v>114</v>
      </c>
      <c r="DD425" t="s">
        <v>134</v>
      </c>
    </row>
    <row r="426" spans="1:108" ht="15" customHeight="1" x14ac:dyDescent="0.25">
      <c r="A426" t="s">
        <v>11874</v>
      </c>
      <c r="B426" t="s">
        <v>165</v>
      </c>
      <c r="C426" s="1">
        <v>44882.527135648146</v>
      </c>
      <c r="D426" s="1">
        <v>44909</v>
      </c>
      <c r="E426" t="s">
        <v>134</v>
      </c>
      <c r="F426" t="s">
        <v>1994</v>
      </c>
      <c r="G426" t="str">
        <f>"47-2061.00"</f>
        <v>47-2061.00</v>
      </c>
      <c r="H426" t="s">
        <v>1625</v>
      </c>
      <c r="I426">
        <v>6</v>
      </c>
      <c r="J426">
        <v>6</v>
      </c>
      <c r="K426" s="1">
        <v>44972</v>
      </c>
      <c r="L426" s="1">
        <v>45245</v>
      </c>
      <c r="M426" s="1">
        <v>44972</v>
      </c>
      <c r="N426" s="1">
        <v>45245</v>
      </c>
      <c r="O426" t="s">
        <v>117</v>
      </c>
      <c r="P426" t="s">
        <v>11875</v>
      </c>
      <c r="R426" t="s">
        <v>11876</v>
      </c>
      <c r="T426" t="s">
        <v>2108</v>
      </c>
      <c r="U426" t="s">
        <v>232</v>
      </c>
      <c r="V426" s="4" t="str">
        <f>"78232"</f>
        <v>78232</v>
      </c>
      <c r="W426" t="s">
        <v>120</v>
      </c>
      <c r="Y426" s="5">
        <v>15123314484</v>
      </c>
      <c r="AA426">
        <v>23622</v>
      </c>
      <c r="AB426" t="s">
        <v>11877</v>
      </c>
      <c r="AC426" t="s">
        <v>4062</v>
      </c>
      <c r="AE426" t="s">
        <v>9969</v>
      </c>
      <c r="AF426" t="s">
        <v>11878</v>
      </c>
      <c r="AH426" t="s">
        <v>11879</v>
      </c>
      <c r="AI426" t="s">
        <v>232</v>
      </c>
      <c r="AJ426" s="4" t="str">
        <f>"78613"</f>
        <v>78613</v>
      </c>
      <c r="AK426" t="s">
        <v>120</v>
      </c>
      <c r="AM426" s="5">
        <v>15123314484</v>
      </c>
      <c r="AO426" t="s">
        <v>11880</v>
      </c>
      <c r="AP426" t="s">
        <v>256</v>
      </c>
      <c r="AQ426" t="s">
        <v>885</v>
      </c>
      <c r="AR426" t="s">
        <v>886</v>
      </c>
      <c r="AT426" t="s">
        <v>887</v>
      </c>
      <c r="AV426" t="s">
        <v>888</v>
      </c>
      <c r="AW426" t="s">
        <v>232</v>
      </c>
      <c r="AX426" s="4" t="str">
        <f>"75098"</f>
        <v>75098</v>
      </c>
      <c r="AY426" t="s">
        <v>120</v>
      </c>
      <c r="BA426" s="5">
        <v>19724424244</v>
      </c>
      <c r="BC426" t="s">
        <v>889</v>
      </c>
      <c r="BD426" t="s">
        <v>890</v>
      </c>
      <c r="BG426" t="s">
        <v>232</v>
      </c>
      <c r="BH426" s="1">
        <v>44881.791666666664</v>
      </c>
      <c r="BI426">
        <v>35</v>
      </c>
      <c r="BJ426">
        <v>0</v>
      </c>
      <c r="BK426">
        <v>7</v>
      </c>
      <c r="BL426">
        <v>7</v>
      </c>
      <c r="BM426">
        <v>7</v>
      </c>
      <c r="BN426">
        <v>7</v>
      </c>
      <c r="BO426">
        <v>7</v>
      </c>
      <c r="BP426">
        <v>0</v>
      </c>
      <c r="BQ426" t="str">
        <f>"7:00 AM"</f>
        <v>7:00 AM</v>
      </c>
      <c r="BR426" t="str">
        <f>"4:00 PM"</f>
        <v>4:00 PM</v>
      </c>
      <c r="BS426" t="s">
        <v>133</v>
      </c>
      <c r="BT426">
        <v>0</v>
      </c>
      <c r="BU426">
        <v>0</v>
      </c>
      <c r="BV426" t="s">
        <v>134</v>
      </c>
      <c r="BX426" t="s">
        <v>219</v>
      </c>
      <c r="BY426" t="s">
        <v>11876</v>
      </c>
      <c r="CA426" t="s">
        <v>2108</v>
      </c>
      <c r="CB426" t="s">
        <v>232</v>
      </c>
      <c r="CC426" s="4" t="str">
        <f>"78232"</f>
        <v>78232</v>
      </c>
      <c r="CD426" t="s">
        <v>2112</v>
      </c>
      <c r="CE426" t="s">
        <v>1342</v>
      </c>
      <c r="CF426" s="6">
        <v>17.07</v>
      </c>
      <c r="CG426" s="6">
        <v>19.07</v>
      </c>
      <c r="CH426" s="6">
        <v>25.61</v>
      </c>
      <c r="CI426" s="6">
        <v>28.61</v>
      </c>
      <c r="CJ426" t="s">
        <v>137</v>
      </c>
      <c r="CL426" t="s">
        <v>11881</v>
      </c>
      <c r="CO426" t="s">
        <v>138</v>
      </c>
      <c r="CP426" t="s">
        <v>114</v>
      </c>
      <c r="CQ426" t="s">
        <v>114</v>
      </c>
      <c r="CR426" t="s">
        <v>114</v>
      </c>
      <c r="CS426" t="s">
        <v>114</v>
      </c>
      <c r="CT426" t="s">
        <v>114</v>
      </c>
      <c r="CU426" t="s">
        <v>114</v>
      </c>
      <c r="CV426" t="s">
        <v>219</v>
      </c>
      <c r="CW426" s="5" t="str">
        <f>"+15123314484"</f>
        <v>+15123314484</v>
      </c>
      <c r="CX426" t="s">
        <v>138</v>
      </c>
      <c r="CY426" t="s">
        <v>2072</v>
      </c>
      <c r="CZ426" t="s">
        <v>139</v>
      </c>
      <c r="DA426" t="s">
        <v>134</v>
      </c>
      <c r="DB426" t="s">
        <v>134</v>
      </c>
      <c r="DC426" t="s">
        <v>114</v>
      </c>
      <c r="DD426" t="s">
        <v>134</v>
      </c>
    </row>
    <row r="427" spans="1:108" ht="15" customHeight="1" x14ac:dyDescent="0.25">
      <c r="A427" t="s">
        <v>2989</v>
      </c>
      <c r="B427" t="s">
        <v>165</v>
      </c>
      <c r="C427" s="1">
        <v>44882.516510879628</v>
      </c>
      <c r="D427" s="1">
        <v>44909</v>
      </c>
      <c r="E427" t="s">
        <v>134</v>
      </c>
      <c r="F427" t="s">
        <v>334</v>
      </c>
      <c r="G427" t="str">
        <f>"37-3011.00"</f>
        <v>37-3011.00</v>
      </c>
      <c r="H427" t="s">
        <v>335</v>
      </c>
      <c r="I427">
        <v>40</v>
      </c>
      <c r="J427">
        <v>40</v>
      </c>
      <c r="K427" s="1">
        <v>44972</v>
      </c>
      <c r="L427" s="1">
        <v>45245</v>
      </c>
      <c r="M427" s="1">
        <v>44972</v>
      </c>
      <c r="N427" s="1">
        <v>45245</v>
      </c>
      <c r="O427" t="s">
        <v>117</v>
      </c>
      <c r="P427" t="s">
        <v>2990</v>
      </c>
      <c r="R427" t="s">
        <v>2991</v>
      </c>
      <c r="T427" t="s">
        <v>2252</v>
      </c>
      <c r="U427" t="s">
        <v>214</v>
      </c>
      <c r="V427" s="4" t="str">
        <f>"70817"</f>
        <v>70817</v>
      </c>
      <c r="W427" t="s">
        <v>120</v>
      </c>
      <c r="Y427" s="5">
        <v>12257563905</v>
      </c>
      <c r="AA427">
        <v>56173</v>
      </c>
      <c r="AB427" t="s">
        <v>2992</v>
      </c>
      <c r="AC427" t="s">
        <v>1193</v>
      </c>
      <c r="AD427" t="s">
        <v>2217</v>
      </c>
      <c r="AE427" t="s">
        <v>424</v>
      </c>
      <c r="AF427" t="s">
        <v>2991</v>
      </c>
      <c r="AH427" t="s">
        <v>2252</v>
      </c>
      <c r="AI427" t="s">
        <v>214</v>
      </c>
      <c r="AJ427" s="4" t="str">
        <f>"70884"</f>
        <v>70884</v>
      </c>
      <c r="AK427" t="s">
        <v>120</v>
      </c>
      <c r="AM427" s="5">
        <v>12257563905</v>
      </c>
      <c r="AO427" t="s">
        <v>2993</v>
      </c>
      <c r="AP427" t="s">
        <v>256</v>
      </c>
      <c r="AQ427" t="s">
        <v>885</v>
      </c>
      <c r="AR427" t="s">
        <v>886</v>
      </c>
      <c r="AT427" t="s">
        <v>887</v>
      </c>
      <c r="AV427" t="s">
        <v>888</v>
      </c>
      <c r="AW427" t="s">
        <v>232</v>
      </c>
      <c r="AX427" s="4" t="str">
        <f>"75098"</f>
        <v>75098</v>
      </c>
      <c r="AY427" t="s">
        <v>120</v>
      </c>
      <c r="BA427" s="5">
        <v>19724424244</v>
      </c>
      <c r="BC427" t="s">
        <v>889</v>
      </c>
      <c r="BD427" t="s">
        <v>890</v>
      </c>
      <c r="BG427" t="s">
        <v>214</v>
      </c>
      <c r="BH427" s="1">
        <v>44881.791666666664</v>
      </c>
      <c r="BI427">
        <v>40</v>
      </c>
      <c r="BJ427">
        <v>0</v>
      </c>
      <c r="BK427">
        <v>7</v>
      </c>
      <c r="BL427">
        <v>7</v>
      </c>
      <c r="BM427">
        <v>7</v>
      </c>
      <c r="BN427">
        <v>7</v>
      </c>
      <c r="BO427">
        <v>6</v>
      </c>
      <c r="BP427">
        <v>6</v>
      </c>
      <c r="BQ427" t="str">
        <f>"8:00 AM"</f>
        <v>8:00 AM</v>
      </c>
      <c r="BR427" t="str">
        <f>"5:00 PM"</f>
        <v>5:00 PM</v>
      </c>
      <c r="BS427" t="s">
        <v>133</v>
      </c>
      <c r="BT427">
        <v>0</v>
      </c>
      <c r="BU427">
        <v>0</v>
      </c>
      <c r="BV427" t="s">
        <v>134</v>
      </c>
      <c r="BX427" t="s">
        <v>219</v>
      </c>
      <c r="BY427" t="s">
        <v>2991</v>
      </c>
      <c r="CA427" t="s">
        <v>2252</v>
      </c>
      <c r="CB427" t="s">
        <v>214</v>
      </c>
      <c r="CC427" s="4" t="str">
        <f>"70817"</f>
        <v>70817</v>
      </c>
      <c r="CD427" t="s">
        <v>2247</v>
      </c>
      <c r="CE427" t="s">
        <v>737</v>
      </c>
      <c r="CF427" s="6">
        <v>14.87</v>
      </c>
      <c r="CG427" s="6">
        <v>17.5</v>
      </c>
      <c r="CH427" s="6">
        <v>22.31</v>
      </c>
      <c r="CI427" s="6">
        <v>26.25</v>
      </c>
      <c r="CJ427" t="s">
        <v>137</v>
      </c>
      <c r="CL427" t="s">
        <v>2994</v>
      </c>
      <c r="CO427" t="s">
        <v>138</v>
      </c>
      <c r="CP427" t="s">
        <v>114</v>
      </c>
      <c r="CQ427" t="s">
        <v>114</v>
      </c>
      <c r="CR427" t="s">
        <v>114</v>
      </c>
      <c r="CS427" t="s">
        <v>114</v>
      </c>
      <c r="CT427" t="s">
        <v>114</v>
      </c>
      <c r="CU427" t="s">
        <v>114</v>
      </c>
      <c r="CV427" t="s">
        <v>2995</v>
      </c>
      <c r="CW427" s="5" t="str">
        <f>"+12257563905"</f>
        <v>+12257563905</v>
      </c>
      <c r="CX427" t="s">
        <v>138</v>
      </c>
      <c r="CY427" t="s">
        <v>2996</v>
      </c>
      <c r="CZ427" t="s">
        <v>139</v>
      </c>
      <c r="DA427" t="s">
        <v>134</v>
      </c>
      <c r="DB427" t="s">
        <v>134</v>
      </c>
      <c r="DC427" t="s">
        <v>114</v>
      </c>
      <c r="DD427" t="s">
        <v>134</v>
      </c>
    </row>
    <row r="428" spans="1:108" ht="15" customHeight="1" x14ac:dyDescent="0.25">
      <c r="A428" t="s">
        <v>11835</v>
      </c>
      <c r="B428" t="s">
        <v>165</v>
      </c>
      <c r="C428" s="1">
        <v>44882.458192361111</v>
      </c>
      <c r="D428" s="1">
        <v>44909</v>
      </c>
      <c r="E428" t="s">
        <v>134</v>
      </c>
      <c r="F428" t="s">
        <v>11836</v>
      </c>
      <c r="G428" t="str">
        <f>"37-3011.00"</f>
        <v>37-3011.00</v>
      </c>
      <c r="H428" t="s">
        <v>335</v>
      </c>
      <c r="I428">
        <v>9</v>
      </c>
      <c r="J428">
        <v>9</v>
      </c>
      <c r="K428" s="1">
        <v>44972</v>
      </c>
      <c r="L428" s="1">
        <v>45245</v>
      </c>
      <c r="M428" s="1">
        <v>44972</v>
      </c>
      <c r="N428" s="1">
        <v>45245</v>
      </c>
      <c r="O428" t="s">
        <v>117</v>
      </c>
      <c r="P428" t="s">
        <v>11837</v>
      </c>
      <c r="R428" t="s">
        <v>11838</v>
      </c>
      <c r="T428" t="s">
        <v>3199</v>
      </c>
      <c r="U428" t="s">
        <v>232</v>
      </c>
      <c r="V428" s="4" t="str">
        <f>"78626"</f>
        <v>78626</v>
      </c>
      <c r="W428" t="s">
        <v>120</v>
      </c>
      <c r="Y428" s="5">
        <v>15125084663</v>
      </c>
      <c r="AA428">
        <v>238220</v>
      </c>
      <c r="AB428" t="s">
        <v>2211</v>
      </c>
      <c r="AC428" t="s">
        <v>2376</v>
      </c>
      <c r="AE428" t="s">
        <v>342</v>
      </c>
      <c r="AF428" t="s">
        <v>11838</v>
      </c>
      <c r="AH428" t="s">
        <v>3199</v>
      </c>
      <c r="AI428" t="s">
        <v>232</v>
      </c>
      <c r="AJ428" s="4" t="str">
        <f>"78626"</f>
        <v>78626</v>
      </c>
      <c r="AK428" t="s">
        <v>120</v>
      </c>
      <c r="AM428" s="5">
        <v>15125084663</v>
      </c>
      <c r="AO428" t="s">
        <v>11839</v>
      </c>
      <c r="AP428" t="s">
        <v>256</v>
      </c>
      <c r="AQ428" t="s">
        <v>885</v>
      </c>
      <c r="AR428" t="s">
        <v>886</v>
      </c>
      <c r="AT428" t="s">
        <v>887</v>
      </c>
      <c r="AV428" t="s">
        <v>888</v>
      </c>
      <c r="AW428" t="s">
        <v>232</v>
      </c>
      <c r="AX428" s="4" t="str">
        <f>"75098"</f>
        <v>75098</v>
      </c>
      <c r="AY428" t="s">
        <v>120</v>
      </c>
      <c r="BA428" s="5">
        <v>19724424244</v>
      </c>
      <c r="BC428" t="s">
        <v>889</v>
      </c>
      <c r="BD428" t="s">
        <v>1264</v>
      </c>
      <c r="BG428" t="s">
        <v>232</v>
      </c>
      <c r="BH428" s="1">
        <v>44881.791666666664</v>
      </c>
      <c r="BI428">
        <v>40</v>
      </c>
      <c r="BJ428">
        <v>0</v>
      </c>
      <c r="BK428">
        <v>8</v>
      </c>
      <c r="BL428">
        <v>8</v>
      </c>
      <c r="BM428">
        <v>8</v>
      </c>
      <c r="BN428">
        <v>8</v>
      </c>
      <c r="BO428">
        <v>8</v>
      </c>
      <c r="BP428">
        <v>0</v>
      </c>
      <c r="BQ428" t="str">
        <f>"8:00 AM"</f>
        <v>8:00 AM</v>
      </c>
      <c r="BR428" t="str">
        <f>"5:00 PM"</f>
        <v>5:00 PM</v>
      </c>
      <c r="BS428" t="s">
        <v>133</v>
      </c>
      <c r="BT428">
        <v>0</v>
      </c>
      <c r="BU428">
        <v>0</v>
      </c>
      <c r="BV428" t="s">
        <v>134</v>
      </c>
      <c r="BX428" t="s">
        <v>11840</v>
      </c>
      <c r="BY428" t="s">
        <v>11838</v>
      </c>
      <c r="CA428" t="s">
        <v>3199</v>
      </c>
      <c r="CB428" t="s">
        <v>232</v>
      </c>
      <c r="CC428" s="4" t="str">
        <f>"78626"</f>
        <v>78626</v>
      </c>
      <c r="CD428" t="s">
        <v>2834</v>
      </c>
      <c r="CE428" t="s">
        <v>949</v>
      </c>
      <c r="CF428" s="6">
        <v>16.079999999999998</v>
      </c>
      <c r="CG428" s="6">
        <v>18</v>
      </c>
      <c r="CH428" s="6">
        <v>24.12</v>
      </c>
      <c r="CI428" s="6">
        <v>27</v>
      </c>
      <c r="CJ428" t="s">
        <v>137</v>
      </c>
      <c r="CL428" t="s">
        <v>11841</v>
      </c>
      <c r="CO428" t="s">
        <v>138</v>
      </c>
      <c r="CP428" t="s">
        <v>114</v>
      </c>
      <c r="CQ428" t="s">
        <v>114</v>
      </c>
      <c r="CR428" t="s">
        <v>114</v>
      </c>
      <c r="CS428" t="s">
        <v>114</v>
      </c>
      <c r="CT428" t="s">
        <v>114</v>
      </c>
      <c r="CU428" t="s">
        <v>114</v>
      </c>
      <c r="CV428" t="s">
        <v>219</v>
      </c>
      <c r="CW428" s="5" t="str">
        <f>"+15125084663"</f>
        <v>+15125084663</v>
      </c>
      <c r="CX428" t="s">
        <v>138</v>
      </c>
      <c r="CY428" t="s">
        <v>2072</v>
      </c>
      <c r="CZ428" t="s">
        <v>139</v>
      </c>
      <c r="DA428" t="s">
        <v>134</v>
      </c>
      <c r="DB428" t="s">
        <v>134</v>
      </c>
      <c r="DC428" t="s">
        <v>114</v>
      </c>
      <c r="DD428" t="s">
        <v>134</v>
      </c>
    </row>
    <row r="429" spans="1:108" ht="15" customHeight="1" x14ac:dyDescent="0.25">
      <c r="A429" t="s">
        <v>12828</v>
      </c>
      <c r="B429" t="s">
        <v>165</v>
      </c>
      <c r="C429" s="1">
        <v>44882.002249305559</v>
      </c>
      <c r="D429" s="1">
        <v>44909</v>
      </c>
      <c r="E429" t="s">
        <v>134</v>
      </c>
      <c r="F429" t="s">
        <v>361</v>
      </c>
      <c r="G429" t="str">
        <f>"39-3091.00"</f>
        <v>39-3091.00</v>
      </c>
      <c r="H429" t="s">
        <v>362</v>
      </c>
      <c r="I429">
        <v>20</v>
      </c>
      <c r="J429">
        <v>20</v>
      </c>
      <c r="K429" s="1">
        <v>44972</v>
      </c>
      <c r="L429" s="1">
        <v>45251</v>
      </c>
      <c r="M429" s="1">
        <v>44972</v>
      </c>
      <c r="N429" s="1">
        <v>45251</v>
      </c>
      <c r="O429" t="s">
        <v>199</v>
      </c>
      <c r="P429" t="s">
        <v>12829</v>
      </c>
      <c r="R429" t="s">
        <v>12830</v>
      </c>
      <c r="T429" t="s">
        <v>2108</v>
      </c>
      <c r="U429" t="s">
        <v>232</v>
      </c>
      <c r="V429" s="4" t="str">
        <f>"78216"</f>
        <v>78216</v>
      </c>
      <c r="W429" t="s">
        <v>120</v>
      </c>
      <c r="Y429" s="5">
        <v>12104101919</v>
      </c>
      <c r="AA429">
        <v>71399</v>
      </c>
      <c r="AB429" t="s">
        <v>3506</v>
      </c>
      <c r="AC429" t="s">
        <v>2689</v>
      </c>
      <c r="AE429" t="s">
        <v>342</v>
      </c>
      <c r="AF429" t="s">
        <v>12830</v>
      </c>
      <c r="AH429" t="s">
        <v>2108</v>
      </c>
      <c r="AI429" t="s">
        <v>232</v>
      </c>
      <c r="AJ429" s="4" t="str">
        <f>"78216"</f>
        <v>78216</v>
      </c>
      <c r="AK429" t="s">
        <v>120</v>
      </c>
      <c r="AM429" s="5">
        <v>12104101919</v>
      </c>
      <c r="AO429" t="s">
        <v>12831</v>
      </c>
      <c r="AP429" t="s">
        <v>256</v>
      </c>
      <c r="AQ429" t="s">
        <v>400</v>
      </c>
      <c r="AR429" t="s">
        <v>401</v>
      </c>
      <c r="AS429" t="s">
        <v>397</v>
      </c>
      <c r="AT429" t="s">
        <v>402</v>
      </c>
      <c r="AU429" t="s">
        <v>152</v>
      </c>
      <c r="AV429" t="s">
        <v>403</v>
      </c>
      <c r="AW429" t="s">
        <v>232</v>
      </c>
      <c r="AX429" s="4" t="str">
        <f>"75033"</f>
        <v>75033</v>
      </c>
      <c r="AY429" t="s">
        <v>120</v>
      </c>
      <c r="BA429" s="5">
        <v>19727789690</v>
      </c>
      <c r="BC429" t="s">
        <v>946</v>
      </c>
      <c r="BD429" t="s">
        <v>405</v>
      </c>
      <c r="BG429" t="s">
        <v>232</v>
      </c>
      <c r="BH429" s="1">
        <v>44881.791666666664</v>
      </c>
      <c r="BI429">
        <v>48</v>
      </c>
      <c r="BJ429">
        <v>8</v>
      </c>
      <c r="BK429">
        <v>0</v>
      </c>
      <c r="BL429">
        <v>8</v>
      </c>
      <c r="BM429">
        <v>8</v>
      </c>
      <c r="BN429">
        <v>8</v>
      </c>
      <c r="BO429">
        <v>8</v>
      </c>
      <c r="BP429">
        <v>8</v>
      </c>
      <c r="BQ429" t="str">
        <f>"10:00 AM"</f>
        <v>10:00 AM</v>
      </c>
      <c r="BR429" t="str">
        <f>"7:00 PM"</f>
        <v>7:00 PM</v>
      </c>
      <c r="BS429" t="s">
        <v>133</v>
      </c>
      <c r="BT429">
        <v>0</v>
      </c>
      <c r="BU429">
        <v>0</v>
      </c>
      <c r="BV429" t="s">
        <v>134</v>
      </c>
      <c r="BX429" s="2" t="s">
        <v>12832</v>
      </c>
      <c r="BY429" t="s">
        <v>12833</v>
      </c>
      <c r="CA429" t="s">
        <v>2108</v>
      </c>
      <c r="CB429" t="s">
        <v>232</v>
      </c>
      <c r="CC429" s="4" t="str">
        <f>"78214"</f>
        <v>78214</v>
      </c>
      <c r="CD429" t="s">
        <v>2112</v>
      </c>
      <c r="CE429" t="s">
        <v>1342</v>
      </c>
      <c r="CF429" s="6">
        <v>10.3</v>
      </c>
      <c r="CG429" s="6">
        <v>15.5</v>
      </c>
      <c r="CH429" s="6">
        <v>18.329999999999998</v>
      </c>
      <c r="CI429" s="6">
        <v>31</v>
      </c>
      <c r="CJ429" t="s">
        <v>137</v>
      </c>
      <c r="CK429" t="s">
        <v>593</v>
      </c>
      <c r="CL429" t="s">
        <v>12834</v>
      </c>
      <c r="CO429" t="s">
        <v>138</v>
      </c>
      <c r="CP429" t="s">
        <v>114</v>
      </c>
      <c r="CQ429" t="s">
        <v>114</v>
      </c>
      <c r="CR429" t="s">
        <v>114</v>
      </c>
      <c r="CS429" t="s">
        <v>114</v>
      </c>
      <c r="CT429" t="s">
        <v>114</v>
      </c>
      <c r="CU429" t="s">
        <v>114</v>
      </c>
      <c r="CV429" s="2" t="s">
        <v>12835</v>
      </c>
      <c r="CW429" s="5" t="str">
        <f>"+12104101919"</f>
        <v>+12104101919</v>
      </c>
      <c r="CX429" t="s">
        <v>138</v>
      </c>
      <c r="CY429" t="s">
        <v>953</v>
      </c>
      <c r="CZ429" t="s">
        <v>139</v>
      </c>
      <c r="DA429" t="s">
        <v>134</v>
      </c>
      <c r="DB429" t="s">
        <v>114</v>
      </c>
      <c r="DC429" t="s">
        <v>114</v>
      </c>
      <c r="DD429" t="s">
        <v>134</v>
      </c>
    </row>
    <row r="430" spans="1:108" ht="15" customHeight="1" x14ac:dyDescent="0.25">
      <c r="A430" t="s">
        <v>7248</v>
      </c>
      <c r="B430" t="s">
        <v>165</v>
      </c>
      <c r="C430" s="1">
        <v>44875.768706481482</v>
      </c>
      <c r="D430" s="1">
        <v>44909</v>
      </c>
      <c r="E430" t="s">
        <v>134</v>
      </c>
      <c r="F430" t="s">
        <v>1315</v>
      </c>
      <c r="G430" t="str">
        <f>"39-3091.00"</f>
        <v>39-3091.00</v>
      </c>
      <c r="H430" t="s">
        <v>362</v>
      </c>
      <c r="I430">
        <v>45</v>
      </c>
      <c r="J430">
        <v>45</v>
      </c>
      <c r="K430" s="1">
        <v>44950</v>
      </c>
      <c r="L430" s="1">
        <v>45244</v>
      </c>
      <c r="M430" s="1">
        <v>44950</v>
      </c>
      <c r="N430" s="1">
        <v>45244</v>
      </c>
      <c r="O430" t="s">
        <v>199</v>
      </c>
      <c r="P430" t="s">
        <v>7249</v>
      </c>
      <c r="R430" t="s">
        <v>7250</v>
      </c>
      <c r="S430" t="s">
        <v>7251</v>
      </c>
      <c r="T430" t="s">
        <v>7252</v>
      </c>
      <c r="U430" t="s">
        <v>444</v>
      </c>
      <c r="V430" s="4" t="str">
        <f>"92649"</f>
        <v>92649</v>
      </c>
      <c r="W430" t="s">
        <v>120</v>
      </c>
      <c r="Y430" s="5">
        <v>13104894047</v>
      </c>
      <c r="Z430">
        <v>0</v>
      </c>
      <c r="AA430">
        <v>71119</v>
      </c>
      <c r="AB430" t="s">
        <v>7000</v>
      </c>
      <c r="AC430" t="s">
        <v>2132</v>
      </c>
      <c r="AE430" t="s">
        <v>424</v>
      </c>
      <c r="AF430" t="s">
        <v>7253</v>
      </c>
      <c r="AG430" t="s">
        <v>7254</v>
      </c>
      <c r="AH430" t="s">
        <v>7255</v>
      </c>
      <c r="AI430" t="s">
        <v>444</v>
      </c>
      <c r="AJ430" s="4" t="str">
        <f>"92649"</f>
        <v>92649</v>
      </c>
      <c r="AK430" t="s">
        <v>120</v>
      </c>
      <c r="AM430" s="5">
        <v>13104894047</v>
      </c>
      <c r="AN430">
        <v>0</v>
      </c>
      <c r="AO430" t="s">
        <v>7256</v>
      </c>
      <c r="AP430" t="s">
        <v>256</v>
      </c>
      <c r="AQ430" t="s">
        <v>535</v>
      </c>
      <c r="AR430" t="s">
        <v>536</v>
      </c>
      <c r="AS430" t="s">
        <v>537</v>
      </c>
      <c r="AT430" t="s">
        <v>538</v>
      </c>
      <c r="AU430" t="s">
        <v>539</v>
      </c>
      <c r="AV430" t="s">
        <v>540</v>
      </c>
      <c r="AW430" t="s">
        <v>232</v>
      </c>
      <c r="AX430" s="4" t="str">
        <f>"78550"</f>
        <v>78550</v>
      </c>
      <c r="AY430" t="s">
        <v>120</v>
      </c>
      <c r="BA430" s="5">
        <v>19564408720</v>
      </c>
      <c r="BB430">
        <v>0</v>
      </c>
      <c r="BC430" t="s">
        <v>542</v>
      </c>
      <c r="BD430" t="s">
        <v>543</v>
      </c>
      <c r="BG430" t="s">
        <v>444</v>
      </c>
      <c r="BH430" s="1">
        <v>44874.791666666664</v>
      </c>
      <c r="BI430">
        <v>40</v>
      </c>
      <c r="BJ430">
        <v>8</v>
      </c>
      <c r="BK430">
        <v>0</v>
      </c>
      <c r="BL430">
        <v>0</v>
      </c>
      <c r="BM430">
        <v>8</v>
      </c>
      <c r="BN430">
        <v>8</v>
      </c>
      <c r="BO430">
        <v>8</v>
      </c>
      <c r="BP430">
        <v>8</v>
      </c>
      <c r="BQ430" t="str">
        <f>"1:00 PM"</f>
        <v>1:00 PM</v>
      </c>
      <c r="BR430" t="str">
        <f>"10:00 PM"</f>
        <v>10:00 PM</v>
      </c>
      <c r="BS430" t="s">
        <v>133</v>
      </c>
      <c r="BT430">
        <v>0</v>
      </c>
      <c r="BU430">
        <v>0</v>
      </c>
      <c r="BV430" t="s">
        <v>134</v>
      </c>
      <c r="BX430" t="s">
        <v>3921</v>
      </c>
      <c r="BY430" t="s">
        <v>7257</v>
      </c>
      <c r="CA430" t="s">
        <v>7258</v>
      </c>
      <c r="CB430" t="s">
        <v>444</v>
      </c>
      <c r="CC430" s="4" t="str">
        <f>"92284"</f>
        <v>92284</v>
      </c>
      <c r="CD430" t="s">
        <v>1789</v>
      </c>
      <c r="CE430" t="s">
        <v>609</v>
      </c>
      <c r="CF430" s="6">
        <v>10.86</v>
      </c>
      <c r="CG430" s="6">
        <v>17.100000000000001</v>
      </c>
      <c r="CH430" s="6">
        <v>0</v>
      </c>
      <c r="CI430" s="6">
        <v>0</v>
      </c>
      <c r="CJ430" t="s">
        <v>137</v>
      </c>
      <c r="CK430" t="s">
        <v>7259</v>
      </c>
      <c r="CL430" t="s">
        <v>7260</v>
      </c>
      <c r="CO430" t="s">
        <v>138</v>
      </c>
      <c r="CP430" t="s">
        <v>114</v>
      </c>
      <c r="CQ430" t="s">
        <v>114</v>
      </c>
      <c r="CR430" t="s">
        <v>134</v>
      </c>
      <c r="CS430" t="s">
        <v>114</v>
      </c>
      <c r="CT430" t="s">
        <v>114</v>
      </c>
      <c r="CU430" t="s">
        <v>114</v>
      </c>
      <c r="CV430" t="s">
        <v>1330</v>
      </c>
      <c r="CW430" s="5" t="str">
        <f>"+13104894047"</f>
        <v>+13104894047</v>
      </c>
      <c r="CX430" t="s">
        <v>7261</v>
      </c>
      <c r="CY430" t="s">
        <v>7262</v>
      </c>
      <c r="CZ430" t="s">
        <v>139</v>
      </c>
      <c r="DA430" t="s">
        <v>134</v>
      </c>
      <c r="DB430" t="s">
        <v>134</v>
      </c>
      <c r="DC430" t="s">
        <v>114</v>
      </c>
      <c r="DD430" t="s">
        <v>134</v>
      </c>
    </row>
    <row r="431" spans="1:108" ht="15" customHeight="1" x14ac:dyDescent="0.25">
      <c r="A431" t="s">
        <v>13517</v>
      </c>
      <c r="B431" t="s">
        <v>165</v>
      </c>
      <c r="C431" s="1">
        <v>44872.951024189817</v>
      </c>
      <c r="D431" s="1">
        <v>44909</v>
      </c>
      <c r="E431" t="s">
        <v>134</v>
      </c>
      <c r="F431" t="s">
        <v>7264</v>
      </c>
      <c r="G431" t="str">
        <f>"47-3015.00"</f>
        <v>47-3015.00</v>
      </c>
      <c r="H431" t="s">
        <v>5809</v>
      </c>
      <c r="I431">
        <v>10</v>
      </c>
      <c r="J431">
        <v>10</v>
      </c>
      <c r="K431" s="1">
        <v>44958</v>
      </c>
      <c r="L431" s="1">
        <v>45230</v>
      </c>
      <c r="M431" s="1">
        <v>44958</v>
      </c>
      <c r="N431" s="1">
        <v>45230</v>
      </c>
      <c r="O431" t="s">
        <v>117</v>
      </c>
      <c r="P431" t="s">
        <v>13518</v>
      </c>
      <c r="R431" t="s">
        <v>7266</v>
      </c>
      <c r="S431" t="s">
        <v>7267</v>
      </c>
      <c r="T431" t="s">
        <v>1384</v>
      </c>
      <c r="U431" t="s">
        <v>530</v>
      </c>
      <c r="V431" s="4" t="str">
        <f>"85206"</f>
        <v>85206</v>
      </c>
      <c r="W431" t="s">
        <v>120</v>
      </c>
      <c r="Y431" s="5">
        <v>14803855122</v>
      </c>
      <c r="AA431">
        <v>238220</v>
      </c>
      <c r="AB431" t="s">
        <v>7268</v>
      </c>
      <c r="AC431" t="s">
        <v>2058</v>
      </c>
      <c r="AE431" t="s">
        <v>700</v>
      </c>
      <c r="AF431" t="s">
        <v>7266</v>
      </c>
      <c r="AG431" t="s">
        <v>7267</v>
      </c>
      <c r="AH431" t="s">
        <v>1384</v>
      </c>
      <c r="AI431" t="s">
        <v>530</v>
      </c>
      <c r="AJ431" s="4" t="str">
        <f>"85206"</f>
        <v>85206</v>
      </c>
      <c r="AK431" t="s">
        <v>120</v>
      </c>
      <c r="AM431" s="5">
        <v>14803855122</v>
      </c>
      <c r="AO431" t="s">
        <v>7269</v>
      </c>
      <c r="AX431" s="4" t="str">
        <f>""</f>
        <v/>
      </c>
      <c r="BG431" t="s">
        <v>232</v>
      </c>
      <c r="BH431" s="1">
        <v>44871.791666666664</v>
      </c>
      <c r="BI431">
        <v>40</v>
      </c>
      <c r="BJ431">
        <v>0</v>
      </c>
      <c r="BK431">
        <v>8</v>
      </c>
      <c r="BL431">
        <v>8</v>
      </c>
      <c r="BM431">
        <v>8</v>
      </c>
      <c r="BN431">
        <v>8</v>
      </c>
      <c r="BO431">
        <v>8</v>
      </c>
      <c r="BP431">
        <v>0</v>
      </c>
      <c r="BQ431" t="str">
        <f>"7:00 AM"</f>
        <v>7:00 AM</v>
      </c>
      <c r="BR431" t="str">
        <f>"3:00 PM"</f>
        <v>3:00 PM</v>
      </c>
      <c r="BS431" t="s">
        <v>133</v>
      </c>
      <c r="BT431">
        <v>0</v>
      </c>
      <c r="BU431">
        <v>3</v>
      </c>
      <c r="BV431" t="s">
        <v>134</v>
      </c>
      <c r="BX431" s="2" t="s">
        <v>13519</v>
      </c>
      <c r="BY431" t="s">
        <v>13520</v>
      </c>
      <c r="CA431" t="s">
        <v>12494</v>
      </c>
      <c r="CB431" t="s">
        <v>232</v>
      </c>
      <c r="CC431" s="4" t="str">
        <f>"78660"</f>
        <v>78660</v>
      </c>
      <c r="CD431" t="s">
        <v>948</v>
      </c>
      <c r="CE431" t="s">
        <v>949</v>
      </c>
      <c r="CF431" s="6">
        <v>16.88</v>
      </c>
      <c r="CG431" s="6">
        <v>16.88</v>
      </c>
      <c r="CH431" s="6">
        <v>25.32</v>
      </c>
      <c r="CI431" s="6">
        <v>25.32</v>
      </c>
      <c r="CJ431" t="s">
        <v>137</v>
      </c>
      <c r="CK431" t="s">
        <v>13521</v>
      </c>
      <c r="CL431" t="s">
        <v>13522</v>
      </c>
      <c r="CO431" t="s">
        <v>138</v>
      </c>
      <c r="CP431" t="s">
        <v>134</v>
      </c>
      <c r="CQ431" t="s">
        <v>134</v>
      </c>
      <c r="CR431" t="s">
        <v>114</v>
      </c>
      <c r="CS431" t="s">
        <v>114</v>
      </c>
      <c r="CT431" t="s">
        <v>114</v>
      </c>
      <c r="CU431" t="s">
        <v>114</v>
      </c>
      <c r="CV431" s="2" t="s">
        <v>13523</v>
      </c>
      <c r="CW431" s="5" t="str">
        <f>"+14803855122"</f>
        <v>+14803855122</v>
      </c>
      <c r="CX431" t="s">
        <v>7276</v>
      </c>
      <c r="CY431" t="s">
        <v>138</v>
      </c>
      <c r="CZ431" t="s">
        <v>139</v>
      </c>
      <c r="DA431" t="s">
        <v>134</v>
      </c>
      <c r="DB431" t="s">
        <v>114</v>
      </c>
      <c r="DC431" t="s">
        <v>114</v>
      </c>
      <c r="DD431" t="s">
        <v>134</v>
      </c>
    </row>
    <row r="432" spans="1:108" ht="15" customHeight="1" x14ac:dyDescent="0.25">
      <c r="A432" t="s">
        <v>11833</v>
      </c>
      <c r="B432" t="s">
        <v>165</v>
      </c>
      <c r="C432" s="1">
        <v>44872.950201157408</v>
      </c>
      <c r="D432" s="1">
        <v>44909</v>
      </c>
      <c r="E432" t="s">
        <v>134</v>
      </c>
      <c r="F432" t="s">
        <v>1219</v>
      </c>
      <c r="G432" t="str">
        <f>"37-3011.00"</f>
        <v>37-3011.00</v>
      </c>
      <c r="H432" t="s">
        <v>335</v>
      </c>
      <c r="I432">
        <v>10</v>
      </c>
      <c r="J432">
        <v>10</v>
      </c>
      <c r="K432" s="1">
        <v>44962</v>
      </c>
      <c r="L432" s="1">
        <v>45260</v>
      </c>
      <c r="M432" s="1">
        <v>44962</v>
      </c>
      <c r="N432" s="1">
        <v>45260</v>
      </c>
      <c r="O432" t="s">
        <v>199</v>
      </c>
      <c r="P432" t="s">
        <v>9906</v>
      </c>
      <c r="R432" t="s">
        <v>9907</v>
      </c>
      <c r="S432" t="s">
        <v>9908</v>
      </c>
      <c r="T432" t="s">
        <v>9909</v>
      </c>
      <c r="U432" t="s">
        <v>848</v>
      </c>
      <c r="V432" s="4" t="str">
        <f>"10523"</f>
        <v>10523</v>
      </c>
      <c r="W432" t="s">
        <v>120</v>
      </c>
      <c r="Y432" s="5">
        <v>18458323107</v>
      </c>
      <c r="AA432">
        <v>56173</v>
      </c>
      <c r="AB432" t="s">
        <v>9910</v>
      </c>
      <c r="AC432" t="s">
        <v>7548</v>
      </c>
      <c r="AE432" t="s">
        <v>700</v>
      </c>
      <c r="AF432" t="s">
        <v>9911</v>
      </c>
      <c r="AG432" t="s">
        <v>9912</v>
      </c>
      <c r="AH432" t="s">
        <v>9913</v>
      </c>
      <c r="AI432" t="s">
        <v>848</v>
      </c>
      <c r="AJ432" s="4" t="str">
        <f>"12564"</f>
        <v>12564</v>
      </c>
      <c r="AK432" t="s">
        <v>120</v>
      </c>
      <c r="AM432" s="5">
        <v>18458323107</v>
      </c>
      <c r="AO432" t="s">
        <v>138</v>
      </c>
      <c r="AP432" t="s">
        <v>256</v>
      </c>
      <c r="AQ432" t="s">
        <v>1220</v>
      </c>
      <c r="AR432" t="s">
        <v>1221</v>
      </c>
      <c r="AT432" t="s">
        <v>1222</v>
      </c>
      <c r="AV432" t="s">
        <v>1223</v>
      </c>
      <c r="AW432" t="s">
        <v>848</v>
      </c>
      <c r="AX432" s="4" t="str">
        <f>"11590"</f>
        <v>11590</v>
      </c>
      <c r="AY432" t="s">
        <v>120</v>
      </c>
      <c r="BA432" s="5">
        <v>15163307168</v>
      </c>
      <c r="BC432" t="s">
        <v>1224</v>
      </c>
      <c r="BD432" t="s">
        <v>1225</v>
      </c>
      <c r="BG432" t="s">
        <v>848</v>
      </c>
      <c r="BH432" s="1">
        <v>44833.833333333336</v>
      </c>
      <c r="BI432">
        <v>40</v>
      </c>
      <c r="BJ432">
        <v>0</v>
      </c>
      <c r="BK432">
        <v>8</v>
      </c>
      <c r="BL432">
        <v>8</v>
      </c>
      <c r="BM432">
        <v>8</v>
      </c>
      <c r="BN432">
        <v>8</v>
      </c>
      <c r="BO432">
        <v>8</v>
      </c>
      <c r="BP432">
        <v>0</v>
      </c>
      <c r="BQ432" t="str">
        <f>"8:00 AM"</f>
        <v>8:00 AM</v>
      </c>
      <c r="BR432" t="str">
        <f>"4:00 PM"</f>
        <v>4:00 PM</v>
      </c>
      <c r="BS432" t="s">
        <v>133</v>
      </c>
      <c r="BT432">
        <v>0</v>
      </c>
      <c r="BU432">
        <v>0</v>
      </c>
      <c r="BV432" t="s">
        <v>134</v>
      </c>
      <c r="BX432" t="s">
        <v>138</v>
      </c>
      <c r="BY432" t="s">
        <v>9907</v>
      </c>
      <c r="CA432" t="s">
        <v>9909</v>
      </c>
      <c r="CB432" t="s">
        <v>848</v>
      </c>
      <c r="CC432" s="4" t="str">
        <f>"10523"</f>
        <v>10523</v>
      </c>
      <c r="CD432" t="s">
        <v>2303</v>
      </c>
      <c r="CE432" t="s">
        <v>1009</v>
      </c>
      <c r="CF432" s="6">
        <v>19.940000000000001</v>
      </c>
      <c r="CG432" s="6">
        <v>19.940000000000001</v>
      </c>
      <c r="CH432" s="6">
        <v>29.91</v>
      </c>
      <c r="CI432" s="6">
        <v>29.91</v>
      </c>
      <c r="CJ432" t="s">
        <v>137</v>
      </c>
      <c r="CL432" t="s">
        <v>9914</v>
      </c>
      <c r="CO432" t="s">
        <v>138</v>
      </c>
      <c r="CP432" t="s">
        <v>114</v>
      </c>
      <c r="CQ432" t="s">
        <v>114</v>
      </c>
      <c r="CR432" t="s">
        <v>114</v>
      </c>
      <c r="CS432" t="s">
        <v>134</v>
      </c>
      <c r="CT432" t="s">
        <v>114</v>
      </c>
      <c r="CU432" t="s">
        <v>134</v>
      </c>
      <c r="CV432" t="s">
        <v>2314</v>
      </c>
      <c r="CW432" s="5" t="str">
        <f>"+18458323107"</f>
        <v>+18458323107</v>
      </c>
      <c r="CX432" t="s">
        <v>11834</v>
      </c>
      <c r="CY432" t="s">
        <v>138</v>
      </c>
      <c r="CZ432" t="s">
        <v>139</v>
      </c>
      <c r="DA432" t="s">
        <v>134</v>
      </c>
      <c r="DB432" t="s">
        <v>134</v>
      </c>
      <c r="DC432" t="s">
        <v>114</v>
      </c>
      <c r="DD432" t="s">
        <v>134</v>
      </c>
    </row>
    <row r="433" spans="1:113" ht="15" customHeight="1" x14ac:dyDescent="0.25">
      <c r="A433" t="s">
        <v>7263</v>
      </c>
      <c r="B433" t="s">
        <v>165</v>
      </c>
      <c r="C433" s="1">
        <v>44871.174294097225</v>
      </c>
      <c r="D433" s="1">
        <v>44909</v>
      </c>
      <c r="E433" t="s">
        <v>134</v>
      </c>
      <c r="F433" t="s">
        <v>7264</v>
      </c>
      <c r="G433" t="str">
        <f>"47-3015.00"</f>
        <v>47-3015.00</v>
      </c>
      <c r="H433" t="s">
        <v>5809</v>
      </c>
      <c r="I433">
        <v>10</v>
      </c>
      <c r="J433">
        <v>10</v>
      </c>
      <c r="K433" s="1">
        <v>44958</v>
      </c>
      <c r="L433" s="1">
        <v>45230</v>
      </c>
      <c r="M433" s="1">
        <v>44958</v>
      </c>
      <c r="N433" s="1">
        <v>45230</v>
      </c>
      <c r="O433" t="s">
        <v>117</v>
      </c>
      <c r="P433" t="s">
        <v>7265</v>
      </c>
      <c r="R433" t="s">
        <v>7266</v>
      </c>
      <c r="S433" t="s">
        <v>7267</v>
      </c>
      <c r="T433" t="s">
        <v>1384</v>
      </c>
      <c r="U433" t="s">
        <v>530</v>
      </c>
      <c r="V433" s="4" t="str">
        <f>"85206"</f>
        <v>85206</v>
      </c>
      <c r="W433" t="s">
        <v>120</v>
      </c>
      <c r="Y433" s="5">
        <v>14803855122</v>
      </c>
      <c r="AA433">
        <v>238990</v>
      </c>
      <c r="AB433" t="s">
        <v>7268</v>
      </c>
      <c r="AC433" t="s">
        <v>2058</v>
      </c>
      <c r="AE433" t="s">
        <v>700</v>
      </c>
      <c r="AF433" t="s">
        <v>7266</v>
      </c>
      <c r="AG433" t="s">
        <v>7267</v>
      </c>
      <c r="AH433" t="s">
        <v>1384</v>
      </c>
      <c r="AI433" t="s">
        <v>530</v>
      </c>
      <c r="AJ433" s="4" t="str">
        <f>"85206"</f>
        <v>85206</v>
      </c>
      <c r="AK433" t="s">
        <v>120</v>
      </c>
      <c r="AM433" s="5">
        <v>14803855122</v>
      </c>
      <c r="AO433" t="s">
        <v>7269</v>
      </c>
      <c r="AX433" s="4" t="str">
        <f>""</f>
        <v/>
      </c>
      <c r="BG433" t="s">
        <v>530</v>
      </c>
      <c r="BH433" s="1">
        <v>44870.833333333336</v>
      </c>
      <c r="BI433">
        <v>40</v>
      </c>
      <c r="BJ433">
        <v>0</v>
      </c>
      <c r="BK433">
        <v>8</v>
      </c>
      <c r="BL433">
        <v>8</v>
      </c>
      <c r="BM433">
        <v>8</v>
      </c>
      <c r="BN433">
        <v>8</v>
      </c>
      <c r="BO433">
        <v>8</v>
      </c>
      <c r="BP433">
        <v>0</v>
      </c>
      <c r="BQ433" t="str">
        <f>"7:00 AM"</f>
        <v>7:00 AM</v>
      </c>
      <c r="BR433" t="str">
        <f>"3:00 PM"</f>
        <v>3:00 PM</v>
      </c>
      <c r="BS433" t="s">
        <v>295</v>
      </c>
      <c r="BT433">
        <v>0</v>
      </c>
      <c r="BU433">
        <v>3</v>
      </c>
      <c r="BV433" t="s">
        <v>134</v>
      </c>
      <c r="BX433" s="2" t="s">
        <v>7270</v>
      </c>
      <c r="BY433" t="s">
        <v>7271</v>
      </c>
      <c r="CA433" t="s">
        <v>7272</v>
      </c>
      <c r="CB433" t="s">
        <v>530</v>
      </c>
      <c r="CC433" s="4" t="str">
        <f>"85741"</f>
        <v>85741</v>
      </c>
      <c r="CD433" t="s">
        <v>1576</v>
      </c>
      <c r="CE433" t="s">
        <v>1577</v>
      </c>
      <c r="CF433" s="6">
        <v>14.43</v>
      </c>
      <c r="CG433" s="6">
        <v>14.43</v>
      </c>
      <c r="CH433" s="6">
        <v>21.65</v>
      </c>
      <c r="CI433" s="6">
        <v>21.65</v>
      </c>
      <c r="CJ433" t="s">
        <v>137</v>
      </c>
      <c r="CK433" t="s">
        <v>7273</v>
      </c>
      <c r="CL433" t="s">
        <v>7274</v>
      </c>
      <c r="CO433" t="s">
        <v>138</v>
      </c>
      <c r="CP433" t="s">
        <v>134</v>
      </c>
      <c r="CQ433" t="s">
        <v>134</v>
      </c>
      <c r="CR433" t="s">
        <v>114</v>
      </c>
      <c r="CS433" t="s">
        <v>114</v>
      </c>
      <c r="CT433" t="s">
        <v>114</v>
      </c>
      <c r="CU433" t="s">
        <v>114</v>
      </c>
      <c r="CV433" t="s">
        <v>7275</v>
      </c>
      <c r="CW433" s="5" t="str">
        <f>"+14803855122"</f>
        <v>+14803855122</v>
      </c>
      <c r="CX433" t="s">
        <v>7276</v>
      </c>
      <c r="CY433" t="s">
        <v>138</v>
      </c>
      <c r="CZ433" t="s">
        <v>139</v>
      </c>
      <c r="DA433" t="s">
        <v>134</v>
      </c>
      <c r="DB433" t="s">
        <v>114</v>
      </c>
      <c r="DC433" t="s">
        <v>114</v>
      </c>
      <c r="DD433" t="s">
        <v>134</v>
      </c>
    </row>
    <row r="434" spans="1:113" ht="15" customHeight="1" x14ac:dyDescent="0.25">
      <c r="A434" t="s">
        <v>11882</v>
      </c>
      <c r="B434" t="s">
        <v>165</v>
      </c>
      <c r="C434" s="1">
        <v>44871.142776157409</v>
      </c>
      <c r="D434" s="1">
        <v>44909</v>
      </c>
      <c r="E434" t="s">
        <v>134</v>
      </c>
      <c r="F434" t="s">
        <v>11883</v>
      </c>
      <c r="G434" t="str">
        <f>"47-3015.00"</f>
        <v>47-3015.00</v>
      </c>
      <c r="H434" t="s">
        <v>5809</v>
      </c>
      <c r="I434">
        <v>30</v>
      </c>
      <c r="J434">
        <v>30</v>
      </c>
      <c r="K434" s="1">
        <v>44958</v>
      </c>
      <c r="L434" s="1">
        <v>45230</v>
      </c>
      <c r="M434" s="1">
        <v>44958</v>
      </c>
      <c r="N434" s="1">
        <v>45230</v>
      </c>
      <c r="O434" t="s">
        <v>117</v>
      </c>
      <c r="P434" t="s">
        <v>7265</v>
      </c>
      <c r="R434" t="s">
        <v>7266</v>
      </c>
      <c r="S434" t="s">
        <v>7267</v>
      </c>
      <c r="T434" t="s">
        <v>1384</v>
      </c>
      <c r="U434" t="s">
        <v>530</v>
      </c>
      <c r="V434" s="4" t="str">
        <f>"85206"</f>
        <v>85206</v>
      </c>
      <c r="W434" t="s">
        <v>120</v>
      </c>
      <c r="Y434" s="5">
        <v>14803855122</v>
      </c>
      <c r="AA434">
        <v>238990</v>
      </c>
      <c r="AB434" t="s">
        <v>7268</v>
      </c>
      <c r="AC434" t="s">
        <v>2058</v>
      </c>
      <c r="AE434" t="s">
        <v>700</v>
      </c>
      <c r="AF434" t="s">
        <v>11884</v>
      </c>
      <c r="AG434" t="s">
        <v>7267</v>
      </c>
      <c r="AH434" t="s">
        <v>1384</v>
      </c>
      <c r="AI434" t="s">
        <v>530</v>
      </c>
      <c r="AJ434" s="4" t="str">
        <f>"85206"</f>
        <v>85206</v>
      </c>
      <c r="AK434" t="s">
        <v>120</v>
      </c>
      <c r="AM434" s="5">
        <v>14803855122</v>
      </c>
      <c r="AO434" t="s">
        <v>7269</v>
      </c>
      <c r="AX434" s="4" t="str">
        <f>""</f>
        <v/>
      </c>
      <c r="BG434" t="s">
        <v>530</v>
      </c>
      <c r="BH434" s="1">
        <v>44870.833333333336</v>
      </c>
      <c r="BI434">
        <v>40</v>
      </c>
      <c r="BJ434">
        <v>0</v>
      </c>
      <c r="BK434">
        <v>8</v>
      </c>
      <c r="BL434">
        <v>8</v>
      </c>
      <c r="BM434">
        <v>8</v>
      </c>
      <c r="BN434">
        <v>8</v>
      </c>
      <c r="BO434">
        <v>8</v>
      </c>
      <c r="BP434">
        <v>0</v>
      </c>
      <c r="BQ434" t="str">
        <f>"7:00 AM"</f>
        <v>7:00 AM</v>
      </c>
      <c r="BR434" t="str">
        <f>"3:00 PM"</f>
        <v>3:00 PM</v>
      </c>
      <c r="BS434" t="s">
        <v>295</v>
      </c>
      <c r="BT434">
        <v>0</v>
      </c>
      <c r="BU434">
        <v>3</v>
      </c>
      <c r="BV434" t="s">
        <v>134</v>
      </c>
      <c r="BX434" s="2" t="s">
        <v>11885</v>
      </c>
      <c r="BY434" t="s">
        <v>7266</v>
      </c>
      <c r="BZ434" t="s">
        <v>7267</v>
      </c>
      <c r="CA434" t="s">
        <v>1384</v>
      </c>
      <c r="CB434" t="s">
        <v>530</v>
      </c>
      <c r="CC434" s="4" t="str">
        <f>"85206"</f>
        <v>85206</v>
      </c>
      <c r="CD434" t="s">
        <v>592</v>
      </c>
      <c r="CE434" t="s">
        <v>548</v>
      </c>
      <c r="CF434" s="6">
        <v>16.739999999999998</v>
      </c>
      <c r="CG434" s="6">
        <v>16.739999999999998</v>
      </c>
      <c r="CH434" s="6">
        <v>25.11</v>
      </c>
      <c r="CI434" s="6">
        <v>25.11</v>
      </c>
      <c r="CJ434" t="s">
        <v>137</v>
      </c>
      <c r="CK434" t="s">
        <v>11886</v>
      </c>
      <c r="CL434" t="s">
        <v>11887</v>
      </c>
      <c r="CO434" t="s">
        <v>138</v>
      </c>
      <c r="CP434" t="s">
        <v>134</v>
      </c>
      <c r="CQ434" t="s">
        <v>134</v>
      </c>
      <c r="CR434" t="s">
        <v>114</v>
      </c>
      <c r="CS434" t="s">
        <v>114</v>
      </c>
      <c r="CT434" t="s">
        <v>114</v>
      </c>
      <c r="CU434" t="s">
        <v>114</v>
      </c>
      <c r="CV434" s="2" t="s">
        <v>11888</v>
      </c>
      <c r="CW434" s="5" t="str">
        <f>"+14803855122"</f>
        <v>+14803855122</v>
      </c>
      <c r="CX434" t="s">
        <v>7276</v>
      </c>
      <c r="CY434" t="s">
        <v>138</v>
      </c>
      <c r="CZ434" t="s">
        <v>139</v>
      </c>
      <c r="DA434" t="s">
        <v>134</v>
      </c>
      <c r="DB434" t="s">
        <v>114</v>
      </c>
      <c r="DC434" t="s">
        <v>114</v>
      </c>
      <c r="DD434" t="s">
        <v>134</v>
      </c>
    </row>
    <row r="435" spans="1:113" ht="15" customHeight="1" x14ac:dyDescent="0.25">
      <c r="A435" t="s">
        <v>4821</v>
      </c>
      <c r="B435" t="s">
        <v>165</v>
      </c>
      <c r="C435" s="1">
        <v>44871.085066782405</v>
      </c>
      <c r="D435" s="1">
        <v>44909</v>
      </c>
      <c r="E435" t="s">
        <v>134</v>
      </c>
      <c r="F435" t="s">
        <v>4822</v>
      </c>
      <c r="G435" t="str">
        <f>"51-9198.00"</f>
        <v>51-9198.00</v>
      </c>
      <c r="H435" t="s">
        <v>277</v>
      </c>
      <c r="I435">
        <v>30</v>
      </c>
      <c r="J435">
        <v>30</v>
      </c>
      <c r="K435" s="1">
        <v>44958</v>
      </c>
      <c r="L435" s="1">
        <v>45229</v>
      </c>
      <c r="M435" s="1">
        <v>44958</v>
      </c>
      <c r="N435" s="1">
        <v>45229</v>
      </c>
      <c r="O435" t="s">
        <v>117</v>
      </c>
      <c r="P435" t="s">
        <v>4823</v>
      </c>
      <c r="R435" t="s">
        <v>4824</v>
      </c>
      <c r="T435" t="s">
        <v>4825</v>
      </c>
      <c r="U435" t="s">
        <v>232</v>
      </c>
      <c r="V435" s="4" t="str">
        <f>"78503"</f>
        <v>78503</v>
      </c>
      <c r="W435" t="s">
        <v>120</v>
      </c>
      <c r="Y435" s="5">
        <v>19566303500</v>
      </c>
      <c r="AA435">
        <v>331313</v>
      </c>
      <c r="AB435" t="s">
        <v>4826</v>
      </c>
      <c r="AC435" t="s">
        <v>4827</v>
      </c>
      <c r="AE435" t="s">
        <v>2513</v>
      </c>
      <c r="AF435" t="s">
        <v>4824</v>
      </c>
      <c r="AH435" t="s">
        <v>4825</v>
      </c>
      <c r="AI435" t="s">
        <v>232</v>
      </c>
      <c r="AJ435" s="4" t="str">
        <f>"78503"</f>
        <v>78503</v>
      </c>
      <c r="AK435" t="s">
        <v>120</v>
      </c>
      <c r="AM435" s="5">
        <v>19566303500</v>
      </c>
      <c r="AO435" t="s">
        <v>4828</v>
      </c>
      <c r="AX435" s="4" t="str">
        <f>""</f>
        <v/>
      </c>
      <c r="BG435" t="s">
        <v>232</v>
      </c>
      <c r="BH435" s="1">
        <v>44870.833333333336</v>
      </c>
      <c r="BI435">
        <v>40</v>
      </c>
      <c r="BJ435">
        <v>0</v>
      </c>
      <c r="BK435">
        <v>8</v>
      </c>
      <c r="BL435">
        <v>8</v>
      </c>
      <c r="BM435">
        <v>8</v>
      </c>
      <c r="BN435">
        <v>8</v>
      </c>
      <c r="BO435">
        <v>8</v>
      </c>
      <c r="BP435">
        <v>0</v>
      </c>
      <c r="BQ435" t="str">
        <f>"7:00 AM"</f>
        <v>7:00 AM</v>
      </c>
      <c r="BR435" t="str">
        <f>"3:00 PM"</f>
        <v>3:00 PM</v>
      </c>
      <c r="BS435" t="s">
        <v>133</v>
      </c>
      <c r="BT435">
        <v>0</v>
      </c>
      <c r="BU435">
        <v>3</v>
      </c>
      <c r="BV435" t="s">
        <v>134</v>
      </c>
      <c r="BX435" s="2" t="s">
        <v>4829</v>
      </c>
      <c r="BY435" t="s">
        <v>4824</v>
      </c>
      <c r="CA435" t="s">
        <v>4825</v>
      </c>
      <c r="CB435" t="s">
        <v>232</v>
      </c>
      <c r="CC435" s="4" t="str">
        <f>"78503"</f>
        <v>78503</v>
      </c>
      <c r="CD435" t="s">
        <v>4281</v>
      </c>
      <c r="CE435" t="s">
        <v>4282</v>
      </c>
      <c r="CF435" s="6">
        <v>13.39</v>
      </c>
      <c r="CG435" s="6">
        <v>13.39</v>
      </c>
      <c r="CH435" s="6">
        <v>20.09</v>
      </c>
      <c r="CI435" s="6">
        <v>20.09</v>
      </c>
      <c r="CJ435" t="s">
        <v>137</v>
      </c>
      <c r="CK435" t="s">
        <v>4830</v>
      </c>
      <c r="CL435" t="s">
        <v>4831</v>
      </c>
      <c r="CO435" t="s">
        <v>138</v>
      </c>
      <c r="CP435" t="s">
        <v>134</v>
      </c>
      <c r="CQ435" t="s">
        <v>134</v>
      </c>
      <c r="CR435" t="s">
        <v>134</v>
      </c>
      <c r="CS435" t="s">
        <v>134</v>
      </c>
      <c r="CT435" t="s">
        <v>114</v>
      </c>
      <c r="CU435" t="s">
        <v>114</v>
      </c>
      <c r="CV435" t="s">
        <v>4832</v>
      </c>
      <c r="CW435" s="5" t="str">
        <f>"+19566303500"</f>
        <v>+19566303500</v>
      </c>
      <c r="CX435" t="s">
        <v>4828</v>
      </c>
      <c r="CY435" t="s">
        <v>138</v>
      </c>
      <c r="CZ435" t="s">
        <v>139</v>
      </c>
      <c r="DA435" t="s">
        <v>134</v>
      </c>
      <c r="DB435" t="s">
        <v>114</v>
      </c>
      <c r="DC435" t="s">
        <v>114</v>
      </c>
      <c r="DD435" t="s">
        <v>134</v>
      </c>
    </row>
    <row r="436" spans="1:113" ht="15" customHeight="1" x14ac:dyDescent="0.25">
      <c r="A436" t="s">
        <v>4694</v>
      </c>
      <c r="B436" t="s">
        <v>165</v>
      </c>
      <c r="C436" s="1">
        <v>44868.729095949071</v>
      </c>
      <c r="D436" s="1">
        <v>44909</v>
      </c>
      <c r="E436" t="s">
        <v>134</v>
      </c>
      <c r="F436" t="s">
        <v>4695</v>
      </c>
      <c r="G436" t="str">
        <f>"39-3091.00"</f>
        <v>39-3091.00</v>
      </c>
      <c r="H436" t="s">
        <v>362</v>
      </c>
      <c r="I436">
        <v>70</v>
      </c>
      <c r="J436">
        <v>70</v>
      </c>
      <c r="K436" s="1">
        <v>44958</v>
      </c>
      <c r="L436" s="1">
        <v>45260</v>
      </c>
      <c r="M436" s="1">
        <v>44958</v>
      </c>
      <c r="N436" s="1">
        <v>45260</v>
      </c>
      <c r="O436" t="s">
        <v>199</v>
      </c>
      <c r="P436" t="s">
        <v>4696</v>
      </c>
      <c r="Q436" t="s">
        <v>4697</v>
      </c>
      <c r="R436" t="s">
        <v>4698</v>
      </c>
      <c r="T436" t="s">
        <v>4699</v>
      </c>
      <c r="U436" t="s">
        <v>988</v>
      </c>
      <c r="V436" s="4" t="str">
        <f>"89108"</f>
        <v>89108</v>
      </c>
      <c r="W436" t="s">
        <v>120</v>
      </c>
      <c r="Y436" s="5">
        <v>18179469272</v>
      </c>
      <c r="AA436">
        <v>711190</v>
      </c>
      <c r="AB436" t="s">
        <v>4700</v>
      </c>
      <c r="AC436" t="s">
        <v>4701</v>
      </c>
      <c r="AE436" t="s">
        <v>4339</v>
      </c>
      <c r="AF436" t="s">
        <v>4702</v>
      </c>
      <c r="AH436" t="s">
        <v>2007</v>
      </c>
      <c r="AI436" t="s">
        <v>232</v>
      </c>
      <c r="AJ436" s="4" t="str">
        <f>"77316"</f>
        <v>77316</v>
      </c>
      <c r="AK436" t="s">
        <v>120</v>
      </c>
      <c r="AM436" s="5">
        <v>18179469272</v>
      </c>
      <c r="AO436" t="s">
        <v>4703</v>
      </c>
      <c r="AP436" t="s">
        <v>256</v>
      </c>
      <c r="AQ436" t="s">
        <v>1615</v>
      </c>
      <c r="AR436" t="s">
        <v>1616</v>
      </c>
      <c r="AT436" t="s">
        <v>1617</v>
      </c>
      <c r="AV436" t="s">
        <v>1618</v>
      </c>
      <c r="AW436" t="s">
        <v>444</v>
      </c>
      <c r="AX436" s="4" t="str">
        <f>"93446"</f>
        <v>93446</v>
      </c>
      <c r="AY436" t="s">
        <v>120</v>
      </c>
      <c r="AZ436" t="s">
        <v>1619</v>
      </c>
      <c r="BA436" s="5">
        <v>13217042589</v>
      </c>
      <c r="BC436" t="s">
        <v>1620</v>
      </c>
      <c r="BD436" t="s">
        <v>1621</v>
      </c>
      <c r="BG436" t="s">
        <v>232</v>
      </c>
      <c r="BH436" s="1">
        <v>44867.833333333336</v>
      </c>
      <c r="BI436">
        <v>40</v>
      </c>
      <c r="BJ436">
        <v>8</v>
      </c>
      <c r="BK436">
        <v>0</v>
      </c>
      <c r="BL436">
        <v>0</v>
      </c>
      <c r="BM436">
        <v>8</v>
      </c>
      <c r="BN436">
        <v>8</v>
      </c>
      <c r="BO436">
        <v>8</v>
      </c>
      <c r="BP436">
        <v>8</v>
      </c>
      <c r="BQ436" t="str">
        <f>"1:00 PM"</f>
        <v>1:00 PM</v>
      </c>
      <c r="BR436" t="str">
        <f>"10:00 PM"</f>
        <v>10:00 PM</v>
      </c>
      <c r="BS436" t="s">
        <v>133</v>
      </c>
      <c r="BT436">
        <v>0</v>
      </c>
      <c r="BU436">
        <v>0</v>
      </c>
      <c r="BV436" t="s">
        <v>134</v>
      </c>
      <c r="BX436" s="2" t="s">
        <v>4704</v>
      </c>
      <c r="BY436" t="s">
        <v>4705</v>
      </c>
      <c r="CA436" t="s">
        <v>1545</v>
      </c>
      <c r="CB436" t="s">
        <v>232</v>
      </c>
      <c r="CC436" s="4" t="str">
        <f>"77060"</f>
        <v>77060</v>
      </c>
      <c r="CD436" t="s">
        <v>3290</v>
      </c>
      <c r="CE436" t="s">
        <v>873</v>
      </c>
      <c r="CF436" s="6">
        <v>11.85</v>
      </c>
      <c r="CG436" s="6">
        <v>15.47</v>
      </c>
      <c r="CJ436" t="s">
        <v>137</v>
      </c>
      <c r="CK436" t="s">
        <v>4706</v>
      </c>
      <c r="CL436" t="s">
        <v>4707</v>
      </c>
      <c r="CO436" t="s">
        <v>138</v>
      </c>
      <c r="CP436" t="s">
        <v>114</v>
      </c>
      <c r="CQ436" t="s">
        <v>114</v>
      </c>
      <c r="CR436" t="s">
        <v>114</v>
      </c>
      <c r="CS436" t="s">
        <v>114</v>
      </c>
      <c r="CT436" t="s">
        <v>114</v>
      </c>
      <c r="CU436" t="s">
        <v>114</v>
      </c>
      <c r="CV436" t="s">
        <v>4708</v>
      </c>
      <c r="CW436" s="5" t="str">
        <f>"+18179469272"</f>
        <v>+18179469272</v>
      </c>
      <c r="CX436" t="s">
        <v>4703</v>
      </c>
      <c r="CY436" t="s">
        <v>138</v>
      </c>
      <c r="CZ436" t="s">
        <v>139</v>
      </c>
      <c r="DA436" t="s">
        <v>134</v>
      </c>
      <c r="DB436" t="s">
        <v>134</v>
      </c>
      <c r="DC436" t="s">
        <v>114</v>
      </c>
      <c r="DD436" t="s">
        <v>134</v>
      </c>
    </row>
    <row r="437" spans="1:113" ht="15" customHeight="1" x14ac:dyDescent="0.25">
      <c r="A437" t="s">
        <v>4863</v>
      </c>
      <c r="B437" t="s">
        <v>165</v>
      </c>
      <c r="C437" s="1">
        <v>44882.62764027778</v>
      </c>
      <c r="D437" s="1">
        <v>44908</v>
      </c>
      <c r="E437" t="s">
        <v>134</v>
      </c>
      <c r="F437" t="s">
        <v>334</v>
      </c>
      <c r="G437" t="str">
        <f>"37-3011.00"</f>
        <v>37-3011.00</v>
      </c>
      <c r="H437" t="s">
        <v>335</v>
      </c>
      <c r="I437">
        <v>35</v>
      </c>
      <c r="J437">
        <v>35</v>
      </c>
      <c r="K437" s="1">
        <v>44972</v>
      </c>
      <c r="L437" s="1">
        <v>45252</v>
      </c>
      <c r="M437" s="1">
        <v>44972</v>
      </c>
      <c r="N437" s="1">
        <v>45252</v>
      </c>
      <c r="O437" t="s">
        <v>117</v>
      </c>
      <c r="P437" t="s">
        <v>4306</v>
      </c>
      <c r="R437" t="s">
        <v>4307</v>
      </c>
      <c r="S437" t="s">
        <v>4308</v>
      </c>
      <c r="T437" t="s">
        <v>2831</v>
      </c>
      <c r="U437" t="s">
        <v>479</v>
      </c>
      <c r="V437" s="4" t="str">
        <f>"22003"</f>
        <v>22003</v>
      </c>
      <c r="W437" t="s">
        <v>120</v>
      </c>
      <c r="X437" t="s">
        <v>138</v>
      </c>
      <c r="Y437" s="5">
        <v>17038523429</v>
      </c>
      <c r="AA437">
        <v>561730</v>
      </c>
      <c r="AB437" t="s">
        <v>4309</v>
      </c>
      <c r="AC437" t="s">
        <v>1539</v>
      </c>
      <c r="AD437" t="s">
        <v>259</v>
      </c>
      <c r="AE437" t="s">
        <v>1831</v>
      </c>
      <c r="AF437" t="s">
        <v>4307</v>
      </c>
      <c r="AG437" t="s">
        <v>4310</v>
      </c>
      <c r="AH437" t="s">
        <v>2831</v>
      </c>
      <c r="AI437" t="s">
        <v>479</v>
      </c>
      <c r="AJ437" s="4" t="str">
        <f>"22003"</f>
        <v>22003</v>
      </c>
      <c r="AK437" t="s">
        <v>120</v>
      </c>
      <c r="AM437" s="5">
        <v>17038523429</v>
      </c>
      <c r="AO437" t="s">
        <v>4311</v>
      </c>
      <c r="AP437" t="s">
        <v>256</v>
      </c>
      <c r="AQ437" t="s">
        <v>4312</v>
      </c>
      <c r="AR437" t="s">
        <v>4313</v>
      </c>
      <c r="AS437" t="s">
        <v>4044</v>
      </c>
      <c r="AT437" t="s">
        <v>1284</v>
      </c>
      <c r="AU437" t="s">
        <v>138</v>
      </c>
      <c r="AV437" t="s">
        <v>1285</v>
      </c>
      <c r="AW437" t="s">
        <v>232</v>
      </c>
      <c r="AX437" s="4" t="str">
        <f>"77414"</f>
        <v>77414</v>
      </c>
      <c r="AY437" t="s">
        <v>120</v>
      </c>
      <c r="BA437" s="5">
        <v>19793187277</v>
      </c>
      <c r="BC437" t="s">
        <v>4314</v>
      </c>
      <c r="BD437" t="s">
        <v>1287</v>
      </c>
      <c r="BG437" t="s">
        <v>479</v>
      </c>
      <c r="BH437" s="1">
        <v>44881.791666666664</v>
      </c>
      <c r="BI437">
        <v>40</v>
      </c>
      <c r="BJ437">
        <v>0</v>
      </c>
      <c r="BK437">
        <v>8</v>
      </c>
      <c r="BL437">
        <v>8</v>
      </c>
      <c r="BM437">
        <v>8</v>
      </c>
      <c r="BN437">
        <v>8</v>
      </c>
      <c r="BO437">
        <v>8</v>
      </c>
      <c r="BP437">
        <v>0</v>
      </c>
      <c r="BQ437" t="str">
        <f>"7:00 AM"</f>
        <v>7:00 AM</v>
      </c>
      <c r="BR437" t="str">
        <f>"4:00 PM"</f>
        <v>4:00 PM</v>
      </c>
      <c r="BS437" t="s">
        <v>133</v>
      </c>
      <c r="BT437">
        <v>0</v>
      </c>
      <c r="BU437">
        <v>0</v>
      </c>
      <c r="BV437" t="s">
        <v>134</v>
      </c>
      <c r="BX437" s="2" t="s">
        <v>4315</v>
      </c>
      <c r="BY437" t="s">
        <v>4316</v>
      </c>
      <c r="BZ437" t="s">
        <v>138</v>
      </c>
      <c r="CA437" t="s">
        <v>4270</v>
      </c>
      <c r="CB437" t="s">
        <v>479</v>
      </c>
      <c r="CC437" s="4" t="str">
        <f>"22079"</f>
        <v>22079</v>
      </c>
      <c r="CD437" t="s">
        <v>2631</v>
      </c>
      <c r="CE437" t="s">
        <v>355</v>
      </c>
      <c r="CF437" s="6">
        <v>18.36</v>
      </c>
      <c r="CH437" s="6">
        <v>27.54</v>
      </c>
      <c r="CJ437" t="s">
        <v>137</v>
      </c>
      <c r="CK437" t="s">
        <v>4317</v>
      </c>
      <c r="CL437" t="s">
        <v>4318</v>
      </c>
      <c r="CO437" t="s">
        <v>138</v>
      </c>
      <c r="CP437" t="s">
        <v>114</v>
      </c>
      <c r="CQ437" t="s">
        <v>114</v>
      </c>
      <c r="CR437" t="s">
        <v>114</v>
      </c>
      <c r="CS437" t="s">
        <v>114</v>
      </c>
      <c r="CT437" t="s">
        <v>114</v>
      </c>
      <c r="CU437" t="s">
        <v>114</v>
      </c>
      <c r="CV437" t="s">
        <v>4319</v>
      </c>
      <c r="CW437" s="5" t="str">
        <f>"+17034703999"</f>
        <v>+17034703999</v>
      </c>
      <c r="CX437" t="s">
        <v>4320</v>
      </c>
      <c r="CY437" t="s">
        <v>138</v>
      </c>
      <c r="CZ437" t="s">
        <v>139</v>
      </c>
      <c r="DA437" t="s">
        <v>134</v>
      </c>
      <c r="DB437" t="s">
        <v>114</v>
      </c>
      <c r="DC437" t="s">
        <v>114</v>
      </c>
      <c r="DD437" t="s">
        <v>134</v>
      </c>
    </row>
    <row r="438" spans="1:113" ht="15" customHeight="1" x14ac:dyDescent="0.25">
      <c r="A438" t="s">
        <v>8275</v>
      </c>
      <c r="B438" t="s">
        <v>165</v>
      </c>
      <c r="C438" s="1">
        <v>44882.554897106478</v>
      </c>
      <c r="D438" s="1">
        <v>44908</v>
      </c>
      <c r="E438" t="s">
        <v>134</v>
      </c>
      <c r="F438" t="s">
        <v>334</v>
      </c>
      <c r="G438" t="str">
        <f>"37-3011.00"</f>
        <v>37-3011.00</v>
      </c>
      <c r="H438" t="s">
        <v>335</v>
      </c>
      <c r="I438">
        <v>36</v>
      </c>
      <c r="J438">
        <v>36</v>
      </c>
      <c r="K438" s="1">
        <v>44972</v>
      </c>
      <c r="L438" s="1">
        <v>45274</v>
      </c>
      <c r="M438" s="1">
        <v>44972</v>
      </c>
      <c r="N438" s="1">
        <v>45274</v>
      </c>
      <c r="O438" t="s">
        <v>199</v>
      </c>
      <c r="P438" t="s">
        <v>7868</v>
      </c>
      <c r="R438" t="s">
        <v>7869</v>
      </c>
      <c r="T438" t="s">
        <v>7870</v>
      </c>
      <c r="U438" t="s">
        <v>339</v>
      </c>
      <c r="V438" s="4" t="str">
        <f>"21102"</f>
        <v>21102</v>
      </c>
      <c r="W438" t="s">
        <v>120</v>
      </c>
      <c r="Y438" s="5">
        <v>14103296662</v>
      </c>
      <c r="AA438">
        <v>56173</v>
      </c>
      <c r="AB438" t="s">
        <v>2294</v>
      </c>
      <c r="AC438" t="s">
        <v>7871</v>
      </c>
      <c r="AE438" t="s">
        <v>4344</v>
      </c>
      <c r="AF438" t="s">
        <v>7869</v>
      </c>
      <c r="AH438" t="s">
        <v>7870</v>
      </c>
      <c r="AI438" t="s">
        <v>339</v>
      </c>
      <c r="AJ438" s="4" t="str">
        <f>"21102"</f>
        <v>21102</v>
      </c>
      <c r="AK438" t="s">
        <v>120</v>
      </c>
      <c r="AM438" s="5">
        <v>14103296662</v>
      </c>
      <c r="AN438">
        <v>102</v>
      </c>
      <c r="AO438" t="s">
        <v>7872</v>
      </c>
      <c r="AP438" t="s">
        <v>256</v>
      </c>
      <c r="AQ438" t="s">
        <v>475</v>
      </c>
      <c r="AR438" t="s">
        <v>1548</v>
      </c>
      <c r="AT438" t="s">
        <v>477</v>
      </c>
      <c r="AV438" t="s">
        <v>478</v>
      </c>
      <c r="AW438" t="s">
        <v>479</v>
      </c>
      <c r="AX438" s="4" t="str">
        <f>"22903"</f>
        <v>22903</v>
      </c>
      <c r="AY438" t="s">
        <v>120</v>
      </c>
      <c r="BA438" s="5">
        <v>14342634300</v>
      </c>
      <c r="BC438" t="s">
        <v>1678</v>
      </c>
      <c r="BD438" t="s">
        <v>481</v>
      </c>
      <c r="BG438" t="s">
        <v>339</v>
      </c>
      <c r="BH438" s="1">
        <v>44881.791666666664</v>
      </c>
      <c r="BI438">
        <v>40</v>
      </c>
      <c r="BJ438">
        <v>0</v>
      </c>
      <c r="BK438">
        <v>8</v>
      </c>
      <c r="BL438">
        <v>8</v>
      </c>
      <c r="BM438">
        <v>8</v>
      </c>
      <c r="BN438">
        <v>8</v>
      </c>
      <c r="BO438">
        <v>8</v>
      </c>
      <c r="BP438">
        <v>0</v>
      </c>
      <c r="BQ438" t="str">
        <f>"7:30 AM"</f>
        <v>7:30 AM</v>
      </c>
      <c r="BR438" t="str">
        <f>"4:00 PM"</f>
        <v>4:00 PM</v>
      </c>
      <c r="BS438" t="s">
        <v>133</v>
      </c>
      <c r="BT438">
        <v>0</v>
      </c>
      <c r="BU438">
        <v>0</v>
      </c>
      <c r="BV438" t="s">
        <v>134</v>
      </c>
      <c r="BX438" s="2" t="s">
        <v>7873</v>
      </c>
      <c r="BY438" t="s">
        <v>7869</v>
      </c>
      <c r="CA438" t="s">
        <v>7870</v>
      </c>
      <c r="CB438" t="s">
        <v>339</v>
      </c>
      <c r="CC438" s="4" t="str">
        <f>"21102"</f>
        <v>21102</v>
      </c>
      <c r="CD438" t="s">
        <v>1672</v>
      </c>
      <c r="CE438" t="s">
        <v>1673</v>
      </c>
      <c r="CF438" s="6">
        <v>17.579999999999998</v>
      </c>
      <c r="CH438" s="6">
        <v>26.37</v>
      </c>
      <c r="CJ438" t="s">
        <v>137</v>
      </c>
      <c r="CK438" t="s">
        <v>487</v>
      </c>
      <c r="CL438" t="s">
        <v>7874</v>
      </c>
      <c r="CO438" t="s">
        <v>138</v>
      </c>
      <c r="CP438" t="s">
        <v>114</v>
      </c>
      <c r="CQ438" t="s">
        <v>114</v>
      </c>
      <c r="CR438" t="s">
        <v>114</v>
      </c>
      <c r="CS438" t="s">
        <v>114</v>
      </c>
      <c r="CT438" t="s">
        <v>114</v>
      </c>
      <c r="CU438" t="s">
        <v>134</v>
      </c>
      <c r="CV438" t="s">
        <v>8276</v>
      </c>
      <c r="CW438" s="5" t="str">
        <f>"+14103296662"</f>
        <v>+14103296662</v>
      </c>
      <c r="CX438" t="s">
        <v>138</v>
      </c>
      <c r="CY438" t="s">
        <v>1674</v>
      </c>
      <c r="CZ438" t="s">
        <v>139</v>
      </c>
      <c r="DA438" t="s">
        <v>134</v>
      </c>
      <c r="DB438" t="s">
        <v>114</v>
      </c>
      <c r="DC438" t="s">
        <v>114</v>
      </c>
      <c r="DD438" t="s">
        <v>134</v>
      </c>
      <c r="DE438" t="s">
        <v>1681</v>
      </c>
      <c r="DF438" t="s">
        <v>1682</v>
      </c>
      <c r="DH438" t="s">
        <v>481</v>
      </c>
      <c r="DI438" t="s">
        <v>1678</v>
      </c>
    </row>
    <row r="439" spans="1:113" ht="15" customHeight="1" x14ac:dyDescent="0.25">
      <c r="A439" t="s">
        <v>7277</v>
      </c>
      <c r="B439" t="s">
        <v>165</v>
      </c>
      <c r="C439" s="1">
        <v>44882.532643749997</v>
      </c>
      <c r="D439" s="1">
        <v>44908</v>
      </c>
      <c r="E439" t="s">
        <v>134</v>
      </c>
      <c r="F439" t="s">
        <v>334</v>
      </c>
      <c r="G439" t="str">
        <f>"37-3011.00"</f>
        <v>37-3011.00</v>
      </c>
      <c r="H439" t="s">
        <v>335</v>
      </c>
      <c r="I439">
        <v>17</v>
      </c>
      <c r="J439">
        <v>17</v>
      </c>
      <c r="K439" s="1">
        <v>44972</v>
      </c>
      <c r="L439" s="1">
        <v>45259</v>
      </c>
      <c r="M439" s="1">
        <v>44972</v>
      </c>
      <c r="N439" s="1">
        <v>45259</v>
      </c>
      <c r="O439" t="s">
        <v>117</v>
      </c>
      <c r="P439" t="s">
        <v>4018</v>
      </c>
      <c r="Q439" t="s">
        <v>4019</v>
      </c>
      <c r="R439" t="s">
        <v>4020</v>
      </c>
      <c r="S439" t="s">
        <v>4021</v>
      </c>
      <c r="T439" t="s">
        <v>4022</v>
      </c>
      <c r="U439" t="s">
        <v>119</v>
      </c>
      <c r="V439" s="4" t="str">
        <f>"28027"</f>
        <v>28027</v>
      </c>
      <c r="W439" t="s">
        <v>120</v>
      </c>
      <c r="Y439" s="5">
        <v>17047953167</v>
      </c>
      <c r="AA439">
        <v>56173</v>
      </c>
      <c r="AB439" t="s">
        <v>4023</v>
      </c>
      <c r="AC439" t="s">
        <v>4024</v>
      </c>
      <c r="AE439" t="s">
        <v>424</v>
      </c>
      <c r="AF439" t="s">
        <v>4020</v>
      </c>
      <c r="AG439" t="s">
        <v>4021</v>
      </c>
      <c r="AH439" t="s">
        <v>4022</v>
      </c>
      <c r="AI439" t="s">
        <v>119</v>
      </c>
      <c r="AJ439" s="4" t="str">
        <f>"28027"</f>
        <v>28027</v>
      </c>
      <c r="AK439" t="s">
        <v>120</v>
      </c>
      <c r="AM439" s="5">
        <v>17047953167</v>
      </c>
      <c r="AO439" t="s">
        <v>4025</v>
      </c>
      <c r="AP439" t="s">
        <v>256</v>
      </c>
      <c r="AQ439" t="s">
        <v>1468</v>
      </c>
      <c r="AR439" t="s">
        <v>1469</v>
      </c>
      <c r="AS439" t="s">
        <v>1470</v>
      </c>
      <c r="AT439" t="s">
        <v>1471</v>
      </c>
      <c r="AU439" t="s">
        <v>1472</v>
      </c>
      <c r="AV439" t="s">
        <v>1473</v>
      </c>
      <c r="AW439" t="s">
        <v>479</v>
      </c>
      <c r="AX439" s="4" t="str">
        <f>"22949"</f>
        <v>22949</v>
      </c>
      <c r="AY439" t="s">
        <v>120</v>
      </c>
      <c r="BA439" s="5">
        <v>14342634300</v>
      </c>
      <c r="BC439" t="s">
        <v>2006</v>
      </c>
      <c r="BD439" t="s">
        <v>481</v>
      </c>
      <c r="BG439" t="s">
        <v>119</v>
      </c>
      <c r="BH439" s="1">
        <v>44881.791666666664</v>
      </c>
      <c r="BI439">
        <v>40</v>
      </c>
      <c r="BJ439">
        <v>0</v>
      </c>
      <c r="BK439">
        <v>8</v>
      </c>
      <c r="BL439">
        <v>8</v>
      </c>
      <c r="BM439">
        <v>8</v>
      </c>
      <c r="BN439">
        <v>8</v>
      </c>
      <c r="BO439">
        <v>8</v>
      </c>
      <c r="BP439">
        <v>0</v>
      </c>
      <c r="BQ439" t="str">
        <f>"7:00 AM"</f>
        <v>7:00 AM</v>
      </c>
      <c r="BR439" t="str">
        <f>"3:30 PM"</f>
        <v>3:30 PM</v>
      </c>
      <c r="BS439" t="s">
        <v>133</v>
      </c>
      <c r="BT439">
        <v>0</v>
      </c>
      <c r="BU439">
        <v>0</v>
      </c>
      <c r="BV439" t="s">
        <v>134</v>
      </c>
      <c r="BX439" s="2" t="s">
        <v>4026</v>
      </c>
      <c r="BY439" t="s">
        <v>7278</v>
      </c>
      <c r="CA439" t="s">
        <v>4022</v>
      </c>
      <c r="CB439" t="s">
        <v>119</v>
      </c>
      <c r="CC439" s="4" t="str">
        <f>"28027"</f>
        <v>28027</v>
      </c>
      <c r="CD439" t="s">
        <v>4027</v>
      </c>
      <c r="CE439" t="s">
        <v>1404</v>
      </c>
      <c r="CF439" s="6">
        <v>16.5</v>
      </c>
      <c r="CH439" s="6">
        <v>24.75</v>
      </c>
      <c r="CJ439" t="s">
        <v>137</v>
      </c>
      <c r="CK439" t="s">
        <v>487</v>
      </c>
      <c r="CL439" t="s">
        <v>4028</v>
      </c>
      <c r="CO439" t="s">
        <v>138</v>
      </c>
      <c r="CP439" t="s">
        <v>114</v>
      </c>
      <c r="CQ439" t="s">
        <v>114</v>
      </c>
      <c r="CR439" t="s">
        <v>114</v>
      </c>
      <c r="CS439" t="s">
        <v>114</v>
      </c>
      <c r="CT439" t="s">
        <v>114</v>
      </c>
      <c r="CU439" t="s">
        <v>114</v>
      </c>
      <c r="CV439" t="s">
        <v>7279</v>
      </c>
      <c r="CW439" s="5" t="str">
        <f>"N/A"</f>
        <v>N/A</v>
      </c>
      <c r="CX439" t="s">
        <v>4029</v>
      </c>
      <c r="CY439" t="s">
        <v>2142</v>
      </c>
      <c r="CZ439" t="s">
        <v>139</v>
      </c>
      <c r="DA439" t="s">
        <v>134</v>
      </c>
      <c r="DB439" t="s">
        <v>114</v>
      </c>
      <c r="DC439" t="s">
        <v>114</v>
      </c>
      <c r="DD439" t="s">
        <v>134</v>
      </c>
      <c r="DE439" t="s">
        <v>2009</v>
      </c>
      <c r="DF439" t="s">
        <v>2010</v>
      </c>
      <c r="DH439" t="s">
        <v>481</v>
      </c>
      <c r="DI439" t="s">
        <v>2006</v>
      </c>
    </row>
    <row r="440" spans="1:113" ht="15" customHeight="1" x14ac:dyDescent="0.25">
      <c r="A440" t="s">
        <v>3095</v>
      </c>
      <c r="B440" t="s">
        <v>165</v>
      </c>
      <c r="C440" s="1">
        <v>44882.501296064816</v>
      </c>
      <c r="D440" s="1">
        <v>44908</v>
      </c>
      <c r="E440" t="s">
        <v>134</v>
      </c>
      <c r="F440" t="s">
        <v>1994</v>
      </c>
      <c r="G440" t="str">
        <f>"47-2061.00"</f>
        <v>47-2061.00</v>
      </c>
      <c r="H440" t="s">
        <v>1625</v>
      </c>
      <c r="I440">
        <v>20</v>
      </c>
      <c r="J440">
        <v>20</v>
      </c>
      <c r="K440" s="1">
        <v>44972</v>
      </c>
      <c r="L440" s="1">
        <v>45274</v>
      </c>
      <c r="M440" s="1">
        <v>44972</v>
      </c>
      <c r="N440" s="1">
        <v>45274</v>
      </c>
      <c r="O440" t="s">
        <v>117</v>
      </c>
      <c r="P440" t="s">
        <v>3096</v>
      </c>
      <c r="R440" t="s">
        <v>3097</v>
      </c>
      <c r="T440" t="s">
        <v>3098</v>
      </c>
      <c r="U440" t="s">
        <v>232</v>
      </c>
      <c r="V440" s="4" t="str">
        <f>"76031"</f>
        <v>76031</v>
      </c>
      <c r="W440" t="s">
        <v>120</v>
      </c>
      <c r="Y440" s="5">
        <v>18175562045</v>
      </c>
      <c r="AA440">
        <v>23731</v>
      </c>
      <c r="AB440" t="s">
        <v>3099</v>
      </c>
      <c r="AC440" t="s">
        <v>3100</v>
      </c>
      <c r="AE440" t="s">
        <v>342</v>
      </c>
      <c r="AF440" t="s">
        <v>3097</v>
      </c>
      <c r="AH440" t="s">
        <v>3098</v>
      </c>
      <c r="AI440" t="s">
        <v>232</v>
      </c>
      <c r="AJ440" s="4" t="str">
        <f>"76031"</f>
        <v>76031</v>
      </c>
      <c r="AK440" t="s">
        <v>120</v>
      </c>
      <c r="AM440" s="5">
        <v>18175562045</v>
      </c>
      <c r="AO440" t="s">
        <v>3101</v>
      </c>
      <c r="AP440" t="s">
        <v>256</v>
      </c>
      <c r="AQ440" t="s">
        <v>2115</v>
      </c>
      <c r="AR440" t="s">
        <v>2116</v>
      </c>
      <c r="AT440" t="s">
        <v>1930</v>
      </c>
      <c r="AU440" t="s">
        <v>1931</v>
      </c>
      <c r="AV440" t="s">
        <v>1932</v>
      </c>
      <c r="AW440" t="s">
        <v>349</v>
      </c>
      <c r="AX440" s="4" t="str">
        <f>"83814"</f>
        <v>83814</v>
      </c>
      <c r="AY440" t="s">
        <v>120</v>
      </c>
      <c r="BA440" s="5">
        <v>12087772654</v>
      </c>
      <c r="BC440" t="s">
        <v>2117</v>
      </c>
      <c r="BD440" t="s">
        <v>351</v>
      </c>
      <c r="BF440" t="s">
        <v>1574</v>
      </c>
      <c r="BG440" t="s">
        <v>232</v>
      </c>
      <c r="BH440" s="1">
        <v>44854.833333333336</v>
      </c>
      <c r="BI440">
        <v>40</v>
      </c>
      <c r="BJ440">
        <v>0</v>
      </c>
      <c r="BK440">
        <v>8</v>
      </c>
      <c r="BL440">
        <v>8</v>
      </c>
      <c r="BM440">
        <v>8</v>
      </c>
      <c r="BN440">
        <v>8</v>
      </c>
      <c r="BO440">
        <v>8</v>
      </c>
      <c r="BP440">
        <v>0</v>
      </c>
      <c r="BQ440" t="str">
        <f>"7:00 AM"</f>
        <v>7:00 AM</v>
      </c>
      <c r="BR440" t="str">
        <f>"4:00 PM"</f>
        <v>4:00 PM</v>
      </c>
      <c r="BS440" t="s">
        <v>133</v>
      </c>
      <c r="BT440">
        <v>0</v>
      </c>
      <c r="BU440">
        <v>0</v>
      </c>
      <c r="BV440" t="s">
        <v>134</v>
      </c>
      <c r="BX440" s="2" t="s">
        <v>1836</v>
      </c>
      <c r="BY440" t="s">
        <v>3102</v>
      </c>
      <c r="CA440" t="s">
        <v>3098</v>
      </c>
      <c r="CB440" t="s">
        <v>232</v>
      </c>
      <c r="CC440" s="4" t="str">
        <f>"76031"</f>
        <v>76031</v>
      </c>
      <c r="CD440" t="s">
        <v>1289</v>
      </c>
      <c r="CE440" t="s">
        <v>1528</v>
      </c>
      <c r="CF440" s="6">
        <v>17.829999999999998</v>
      </c>
      <c r="CG440" s="6">
        <v>25</v>
      </c>
      <c r="CH440" s="6">
        <v>26.75</v>
      </c>
      <c r="CI440" s="6">
        <v>37.5</v>
      </c>
      <c r="CJ440" t="s">
        <v>137</v>
      </c>
      <c r="CK440" t="s">
        <v>356</v>
      </c>
      <c r="CL440" t="s">
        <v>3103</v>
      </c>
      <c r="CO440" t="s">
        <v>138</v>
      </c>
      <c r="CP440" t="s">
        <v>114</v>
      </c>
      <c r="CQ440" t="s">
        <v>114</v>
      </c>
      <c r="CR440" t="s">
        <v>114</v>
      </c>
      <c r="CS440" t="s">
        <v>114</v>
      </c>
      <c r="CT440" t="s">
        <v>114</v>
      </c>
      <c r="CU440" t="s">
        <v>134</v>
      </c>
      <c r="CV440" t="s">
        <v>358</v>
      </c>
      <c r="CW440" s="5" t="str">
        <f>"+18175562045"</f>
        <v>+18175562045</v>
      </c>
      <c r="CX440" t="s">
        <v>3101</v>
      </c>
      <c r="CY440" t="s">
        <v>138</v>
      </c>
      <c r="CZ440" t="s">
        <v>139</v>
      </c>
      <c r="DA440" t="s">
        <v>134</v>
      </c>
      <c r="DB440" t="s">
        <v>134</v>
      </c>
      <c r="DC440" t="s">
        <v>114</v>
      </c>
      <c r="DD440" t="s">
        <v>134</v>
      </c>
    </row>
    <row r="441" spans="1:113" ht="15" customHeight="1" x14ac:dyDescent="0.25">
      <c r="A441" t="s">
        <v>11150</v>
      </c>
      <c r="B441" t="s">
        <v>165</v>
      </c>
      <c r="C441" s="1">
        <v>44882.498749999999</v>
      </c>
      <c r="D441" s="1">
        <v>44908</v>
      </c>
      <c r="E441" t="s">
        <v>134</v>
      </c>
      <c r="F441" t="s">
        <v>334</v>
      </c>
      <c r="G441" t="str">
        <f>"37-3011.00"</f>
        <v>37-3011.00</v>
      </c>
      <c r="H441" t="s">
        <v>335</v>
      </c>
      <c r="I441">
        <v>6</v>
      </c>
      <c r="J441">
        <v>6</v>
      </c>
      <c r="K441" s="1">
        <v>44972</v>
      </c>
      <c r="L441" s="1">
        <v>45274</v>
      </c>
      <c r="M441" s="1">
        <v>44972</v>
      </c>
      <c r="N441" s="1">
        <v>45274</v>
      </c>
      <c r="O441" t="s">
        <v>117</v>
      </c>
      <c r="P441" t="s">
        <v>11151</v>
      </c>
      <c r="R441" t="s">
        <v>11152</v>
      </c>
      <c r="T441" t="s">
        <v>1701</v>
      </c>
      <c r="U441" t="s">
        <v>214</v>
      </c>
      <c r="V441" s="4" t="str">
        <f>"70507"</f>
        <v>70507</v>
      </c>
      <c r="W441" t="s">
        <v>120</v>
      </c>
      <c r="Y441" s="5">
        <v>13378861125</v>
      </c>
      <c r="AA441">
        <v>56173</v>
      </c>
      <c r="AB441" t="s">
        <v>11153</v>
      </c>
      <c r="AC441" t="s">
        <v>4615</v>
      </c>
      <c r="AE441" t="s">
        <v>424</v>
      </c>
      <c r="AF441" t="s">
        <v>11152</v>
      </c>
      <c r="AH441" t="s">
        <v>1701</v>
      </c>
      <c r="AI441" t="s">
        <v>214</v>
      </c>
      <c r="AJ441" s="4" t="str">
        <f>"70507"</f>
        <v>70507</v>
      </c>
      <c r="AK441" t="s">
        <v>120</v>
      </c>
      <c r="AM441" s="5">
        <v>13378861125</v>
      </c>
      <c r="AO441" t="s">
        <v>11154</v>
      </c>
      <c r="AP441" t="s">
        <v>256</v>
      </c>
      <c r="AQ441" t="s">
        <v>2115</v>
      </c>
      <c r="AR441" t="s">
        <v>2116</v>
      </c>
      <c r="AT441" t="s">
        <v>1930</v>
      </c>
      <c r="AU441" t="s">
        <v>1931</v>
      </c>
      <c r="AV441" t="s">
        <v>1932</v>
      </c>
      <c r="AW441" t="s">
        <v>349</v>
      </c>
      <c r="AX441" s="4" t="str">
        <f>"83814"</f>
        <v>83814</v>
      </c>
      <c r="AY441" t="s">
        <v>120</v>
      </c>
      <c r="BA441" s="5">
        <v>12087772654</v>
      </c>
      <c r="BC441" t="s">
        <v>2117</v>
      </c>
      <c r="BD441" t="s">
        <v>351</v>
      </c>
      <c r="BG441" t="s">
        <v>214</v>
      </c>
      <c r="BH441" s="1">
        <v>44854.833333333336</v>
      </c>
      <c r="BI441">
        <v>40</v>
      </c>
      <c r="BJ441">
        <v>0</v>
      </c>
      <c r="BK441">
        <v>8</v>
      </c>
      <c r="BL441">
        <v>8</v>
      </c>
      <c r="BM441">
        <v>8</v>
      </c>
      <c r="BN441">
        <v>8</v>
      </c>
      <c r="BO441">
        <v>8</v>
      </c>
      <c r="BP441">
        <v>0</v>
      </c>
      <c r="BQ441" t="str">
        <f>"7:00 AM"</f>
        <v>7:00 AM</v>
      </c>
      <c r="BR441" t="str">
        <f>"4:00 PM"</f>
        <v>4:00 PM</v>
      </c>
      <c r="BS441" t="s">
        <v>133</v>
      </c>
      <c r="BT441">
        <v>0</v>
      </c>
      <c r="BU441">
        <v>0</v>
      </c>
      <c r="BV441" t="s">
        <v>134</v>
      </c>
      <c r="BX441" s="2" t="s">
        <v>352</v>
      </c>
      <c r="BY441" t="s">
        <v>11155</v>
      </c>
      <c r="CA441" t="s">
        <v>1701</v>
      </c>
      <c r="CB441" t="s">
        <v>214</v>
      </c>
      <c r="CC441" s="4" t="str">
        <f>"70507"</f>
        <v>70507</v>
      </c>
      <c r="CD441" t="s">
        <v>2595</v>
      </c>
      <c r="CE441" t="s">
        <v>1822</v>
      </c>
      <c r="CF441" s="6">
        <v>14.34</v>
      </c>
      <c r="CG441" s="6">
        <v>15.42</v>
      </c>
      <c r="CH441" s="6">
        <v>21.51</v>
      </c>
      <c r="CI441" s="6">
        <v>23.13</v>
      </c>
      <c r="CJ441" t="s">
        <v>137</v>
      </c>
      <c r="CK441" t="s">
        <v>356</v>
      </c>
      <c r="CL441" t="s">
        <v>11156</v>
      </c>
      <c r="CO441" t="s">
        <v>138</v>
      </c>
      <c r="CP441" t="s">
        <v>114</v>
      </c>
      <c r="CQ441" t="s">
        <v>114</v>
      </c>
      <c r="CR441" t="s">
        <v>114</v>
      </c>
      <c r="CS441" t="s">
        <v>114</v>
      </c>
      <c r="CT441" t="s">
        <v>114</v>
      </c>
      <c r="CU441" t="s">
        <v>134</v>
      </c>
      <c r="CV441" t="s">
        <v>358</v>
      </c>
      <c r="CW441" s="5" t="str">
        <f>"+13378861125"</f>
        <v>+13378861125</v>
      </c>
      <c r="CX441" t="s">
        <v>11157</v>
      </c>
      <c r="CY441" t="s">
        <v>138</v>
      </c>
      <c r="CZ441" t="s">
        <v>139</v>
      </c>
      <c r="DA441" t="s">
        <v>134</v>
      </c>
      <c r="DB441" t="s">
        <v>134</v>
      </c>
      <c r="DC441" t="s">
        <v>114</v>
      </c>
      <c r="DD441" t="s">
        <v>134</v>
      </c>
    </row>
    <row r="442" spans="1:113" ht="15" customHeight="1" x14ac:dyDescent="0.25">
      <c r="A442" t="s">
        <v>11077</v>
      </c>
      <c r="B442" t="s">
        <v>165</v>
      </c>
      <c r="C442" s="1">
        <v>44882.477706597223</v>
      </c>
      <c r="D442" s="1">
        <v>44908</v>
      </c>
      <c r="E442" t="s">
        <v>134</v>
      </c>
      <c r="F442" t="s">
        <v>334</v>
      </c>
      <c r="G442" t="str">
        <f>"37-3011.00"</f>
        <v>37-3011.00</v>
      </c>
      <c r="H442" t="s">
        <v>335</v>
      </c>
      <c r="I442">
        <v>50</v>
      </c>
      <c r="J442">
        <v>50</v>
      </c>
      <c r="K442" s="1">
        <v>44972</v>
      </c>
      <c r="L442" s="1">
        <v>45252</v>
      </c>
      <c r="M442" s="1">
        <v>44972</v>
      </c>
      <c r="N442" s="1">
        <v>45252</v>
      </c>
      <c r="O442" t="s">
        <v>117</v>
      </c>
      <c r="P442" t="s">
        <v>4306</v>
      </c>
      <c r="R442" t="s">
        <v>4307</v>
      </c>
      <c r="S442" t="s">
        <v>4308</v>
      </c>
      <c r="T442" t="s">
        <v>2831</v>
      </c>
      <c r="U442" t="s">
        <v>479</v>
      </c>
      <c r="V442" s="4" t="str">
        <f>"22003"</f>
        <v>22003</v>
      </c>
      <c r="W442" t="s">
        <v>120</v>
      </c>
      <c r="X442" t="s">
        <v>138</v>
      </c>
      <c r="Y442" s="5">
        <v>17038523429</v>
      </c>
      <c r="AA442">
        <v>561730</v>
      </c>
      <c r="AB442" t="s">
        <v>4309</v>
      </c>
      <c r="AC442" t="s">
        <v>1539</v>
      </c>
      <c r="AD442" t="s">
        <v>259</v>
      </c>
      <c r="AE442" t="s">
        <v>1831</v>
      </c>
      <c r="AF442" t="s">
        <v>4307</v>
      </c>
      <c r="AG442" t="s">
        <v>4310</v>
      </c>
      <c r="AH442" t="s">
        <v>2831</v>
      </c>
      <c r="AI442" t="s">
        <v>479</v>
      </c>
      <c r="AJ442" s="4" t="str">
        <f>"22003"</f>
        <v>22003</v>
      </c>
      <c r="AK442" t="s">
        <v>120</v>
      </c>
      <c r="AM442" s="5">
        <v>17038523429</v>
      </c>
      <c r="AO442" t="s">
        <v>4311</v>
      </c>
      <c r="AP442" t="s">
        <v>256</v>
      </c>
      <c r="AQ442" t="s">
        <v>4312</v>
      </c>
      <c r="AR442" t="s">
        <v>4313</v>
      </c>
      <c r="AS442" t="s">
        <v>4044</v>
      </c>
      <c r="AT442" t="s">
        <v>1284</v>
      </c>
      <c r="AU442" t="s">
        <v>138</v>
      </c>
      <c r="AV442" t="s">
        <v>1285</v>
      </c>
      <c r="AW442" t="s">
        <v>232</v>
      </c>
      <c r="AX442" s="4" t="str">
        <f>"77414"</f>
        <v>77414</v>
      </c>
      <c r="AY442" t="s">
        <v>120</v>
      </c>
      <c r="BA442" s="5">
        <v>19793187277</v>
      </c>
      <c r="BC442" t="s">
        <v>4314</v>
      </c>
      <c r="BD442" t="s">
        <v>1287</v>
      </c>
      <c r="BG442" t="s">
        <v>339</v>
      </c>
      <c r="BH442" s="1">
        <v>44881.791666666664</v>
      </c>
      <c r="BI442">
        <v>40</v>
      </c>
      <c r="BJ442">
        <v>0</v>
      </c>
      <c r="BK442">
        <v>8</v>
      </c>
      <c r="BL442">
        <v>8</v>
      </c>
      <c r="BM442">
        <v>8</v>
      </c>
      <c r="BN442">
        <v>8</v>
      </c>
      <c r="BO442">
        <v>8</v>
      </c>
      <c r="BP442">
        <v>0</v>
      </c>
      <c r="BQ442" t="str">
        <f>"7:00 AM"</f>
        <v>7:00 AM</v>
      </c>
      <c r="BR442" t="str">
        <f>"4:00 PM"</f>
        <v>4:00 PM</v>
      </c>
      <c r="BS442" t="s">
        <v>133</v>
      </c>
      <c r="BT442">
        <v>0</v>
      </c>
      <c r="BU442">
        <v>0</v>
      </c>
      <c r="BV442" t="s">
        <v>134</v>
      </c>
      <c r="BX442" s="2" t="s">
        <v>11078</v>
      </c>
      <c r="BY442" t="s">
        <v>11079</v>
      </c>
      <c r="BZ442" t="s">
        <v>138</v>
      </c>
      <c r="CA442" t="s">
        <v>11080</v>
      </c>
      <c r="CB442" t="s">
        <v>339</v>
      </c>
      <c r="CC442" s="4" t="str">
        <f>"20854"</f>
        <v>20854</v>
      </c>
      <c r="CD442" t="s">
        <v>2007</v>
      </c>
      <c r="CE442" t="s">
        <v>355</v>
      </c>
      <c r="CF442" s="6">
        <v>18.36</v>
      </c>
      <c r="CH442" s="6">
        <v>27.54</v>
      </c>
      <c r="CJ442" t="s">
        <v>137</v>
      </c>
      <c r="CK442" t="s">
        <v>4317</v>
      </c>
      <c r="CL442" t="s">
        <v>11081</v>
      </c>
      <c r="CO442" t="s">
        <v>138</v>
      </c>
      <c r="CP442" t="s">
        <v>114</v>
      </c>
      <c r="CQ442" t="s">
        <v>114</v>
      </c>
      <c r="CR442" t="s">
        <v>114</v>
      </c>
      <c r="CS442" t="s">
        <v>114</v>
      </c>
      <c r="CT442" t="s">
        <v>114</v>
      </c>
      <c r="CU442" t="s">
        <v>114</v>
      </c>
      <c r="CV442" t="s">
        <v>11082</v>
      </c>
      <c r="CW442" s="5" t="str">
        <f>"+13016065256"</f>
        <v>+13016065256</v>
      </c>
      <c r="CX442" t="s">
        <v>11083</v>
      </c>
      <c r="CY442" t="s">
        <v>138</v>
      </c>
      <c r="CZ442" t="s">
        <v>139</v>
      </c>
      <c r="DA442" t="s">
        <v>134</v>
      </c>
      <c r="DB442" t="s">
        <v>114</v>
      </c>
      <c r="DC442" t="s">
        <v>114</v>
      </c>
      <c r="DD442" t="s">
        <v>134</v>
      </c>
    </row>
    <row r="443" spans="1:113" ht="15" customHeight="1" x14ac:dyDescent="0.25">
      <c r="A443" t="s">
        <v>11084</v>
      </c>
      <c r="B443" t="s">
        <v>165</v>
      </c>
      <c r="C443" s="1">
        <v>44882.460129629631</v>
      </c>
      <c r="D443" s="1">
        <v>44908</v>
      </c>
      <c r="E443" t="s">
        <v>134</v>
      </c>
      <c r="F443" t="s">
        <v>1296</v>
      </c>
      <c r="G443" t="str">
        <f>"37-3011.00"</f>
        <v>37-3011.00</v>
      </c>
      <c r="H443" t="s">
        <v>335</v>
      </c>
      <c r="I443">
        <v>25</v>
      </c>
      <c r="J443">
        <v>25</v>
      </c>
      <c r="K443" s="1">
        <v>44972</v>
      </c>
      <c r="L443" s="1">
        <v>45275</v>
      </c>
      <c r="M443" s="1">
        <v>44972</v>
      </c>
      <c r="N443" s="1">
        <v>45275</v>
      </c>
      <c r="O443" t="s">
        <v>117</v>
      </c>
      <c r="P443" t="s">
        <v>11085</v>
      </c>
      <c r="R443" t="s">
        <v>11086</v>
      </c>
      <c r="S443" t="s">
        <v>11087</v>
      </c>
      <c r="T443" t="s">
        <v>8009</v>
      </c>
      <c r="U443" t="s">
        <v>394</v>
      </c>
      <c r="V443" s="4" t="str">
        <f>"29429"</f>
        <v>29429</v>
      </c>
      <c r="W443" t="s">
        <v>120</v>
      </c>
      <c r="Y443" s="5">
        <v>18438869314</v>
      </c>
      <c r="AA443">
        <v>5617</v>
      </c>
      <c r="AB443" t="s">
        <v>2943</v>
      </c>
      <c r="AC443" t="s">
        <v>536</v>
      </c>
      <c r="AD443" t="s">
        <v>4253</v>
      </c>
      <c r="AE443" t="s">
        <v>342</v>
      </c>
      <c r="AF443" t="s">
        <v>11086</v>
      </c>
      <c r="AG443" t="s">
        <v>11087</v>
      </c>
      <c r="AH443" t="s">
        <v>8009</v>
      </c>
      <c r="AI443" t="s">
        <v>394</v>
      </c>
      <c r="AJ443" s="4" t="str">
        <f>"29429"</f>
        <v>29429</v>
      </c>
      <c r="AK443" t="s">
        <v>120</v>
      </c>
      <c r="AM443" s="5">
        <v>18438869314</v>
      </c>
      <c r="AO443" t="s">
        <v>11088</v>
      </c>
      <c r="AP443" t="s">
        <v>256</v>
      </c>
      <c r="AQ443" t="s">
        <v>1731</v>
      </c>
      <c r="AR443" t="s">
        <v>1732</v>
      </c>
      <c r="AS443" t="s">
        <v>1733</v>
      </c>
      <c r="AT443" t="s">
        <v>1734</v>
      </c>
      <c r="AU443" t="s">
        <v>1735</v>
      </c>
      <c r="AV443" t="s">
        <v>1736</v>
      </c>
      <c r="AW443" t="s">
        <v>479</v>
      </c>
      <c r="AX443" s="4" t="str">
        <f>"24521"</f>
        <v>24521</v>
      </c>
      <c r="AY443" t="s">
        <v>120</v>
      </c>
      <c r="BA443" s="5">
        <v>14349460035</v>
      </c>
      <c r="BB443">
        <v>11</v>
      </c>
      <c r="BC443" t="s">
        <v>1737</v>
      </c>
      <c r="BD443" t="s">
        <v>1738</v>
      </c>
      <c r="BG443" t="s">
        <v>394</v>
      </c>
      <c r="BH443" s="1">
        <v>44881.791666666664</v>
      </c>
      <c r="BI443">
        <v>35</v>
      </c>
      <c r="BJ443">
        <v>0</v>
      </c>
      <c r="BK443">
        <v>7</v>
      </c>
      <c r="BL443">
        <v>7</v>
      </c>
      <c r="BM443">
        <v>7</v>
      </c>
      <c r="BN443">
        <v>7</v>
      </c>
      <c r="BO443">
        <v>7</v>
      </c>
      <c r="BP443">
        <v>0</v>
      </c>
      <c r="BQ443" t="str">
        <f>"7:30 AM"</f>
        <v>7:30 AM</v>
      </c>
      <c r="BR443" t="str">
        <f>"3:30 PM"</f>
        <v>3:30 PM</v>
      </c>
      <c r="BS443" t="s">
        <v>133</v>
      </c>
      <c r="BT443">
        <v>0</v>
      </c>
      <c r="BU443">
        <v>0</v>
      </c>
      <c r="BV443" t="s">
        <v>134</v>
      </c>
      <c r="BX443" s="2" t="s">
        <v>11089</v>
      </c>
      <c r="BY443" t="s">
        <v>11086</v>
      </c>
      <c r="CA443" t="s">
        <v>8009</v>
      </c>
      <c r="CB443" t="s">
        <v>394</v>
      </c>
      <c r="CC443" s="4" t="str">
        <f>"29429"</f>
        <v>29429</v>
      </c>
      <c r="CD443" t="s">
        <v>1243</v>
      </c>
      <c r="CE443" t="s">
        <v>1244</v>
      </c>
      <c r="CF443" s="6">
        <v>16.09</v>
      </c>
      <c r="CG443" s="6">
        <v>16.09</v>
      </c>
      <c r="CH443" s="6">
        <v>24.14</v>
      </c>
      <c r="CI443" s="6">
        <v>24.14</v>
      </c>
      <c r="CJ443" t="s">
        <v>137</v>
      </c>
      <c r="CK443" t="s">
        <v>1739</v>
      </c>
      <c r="CL443" t="s">
        <v>11090</v>
      </c>
      <c r="CO443" t="s">
        <v>138</v>
      </c>
      <c r="CP443" t="s">
        <v>114</v>
      </c>
      <c r="CQ443" t="s">
        <v>114</v>
      </c>
      <c r="CR443" t="s">
        <v>114</v>
      </c>
      <c r="CS443" t="s">
        <v>114</v>
      </c>
      <c r="CT443" t="s">
        <v>114</v>
      </c>
      <c r="CU443" t="s">
        <v>114</v>
      </c>
      <c r="CV443" s="2" t="s">
        <v>11091</v>
      </c>
      <c r="CW443" s="5" t="str">
        <f>"N/A"</f>
        <v>N/A</v>
      </c>
      <c r="CX443" t="s">
        <v>11092</v>
      </c>
      <c r="CY443" t="s">
        <v>11093</v>
      </c>
      <c r="CZ443" t="s">
        <v>139</v>
      </c>
      <c r="DA443" t="s">
        <v>134</v>
      </c>
      <c r="DB443" t="s">
        <v>114</v>
      </c>
      <c r="DC443" t="s">
        <v>114</v>
      </c>
      <c r="DD443" t="s">
        <v>134</v>
      </c>
    </row>
    <row r="444" spans="1:113" ht="15" customHeight="1" x14ac:dyDescent="0.25">
      <c r="A444" t="s">
        <v>6268</v>
      </c>
      <c r="B444" t="s">
        <v>165</v>
      </c>
      <c r="C444" s="1">
        <v>44882.365935069443</v>
      </c>
      <c r="D444" s="1">
        <v>44908</v>
      </c>
      <c r="E444" t="s">
        <v>134</v>
      </c>
      <c r="F444" t="s">
        <v>1296</v>
      </c>
      <c r="G444" t="str">
        <f>"37-3011.00"</f>
        <v>37-3011.00</v>
      </c>
      <c r="H444" t="s">
        <v>335</v>
      </c>
      <c r="I444">
        <v>12</v>
      </c>
      <c r="J444">
        <v>12</v>
      </c>
      <c r="K444" s="1">
        <v>44972</v>
      </c>
      <c r="L444" s="1">
        <v>45275</v>
      </c>
      <c r="M444" s="1">
        <v>44972</v>
      </c>
      <c r="N444" s="1">
        <v>45275</v>
      </c>
      <c r="O444" t="s">
        <v>117</v>
      </c>
      <c r="P444" t="s">
        <v>6269</v>
      </c>
      <c r="Q444" t="s">
        <v>6269</v>
      </c>
      <c r="R444" t="s">
        <v>6270</v>
      </c>
      <c r="T444" t="s">
        <v>2255</v>
      </c>
      <c r="U444" t="s">
        <v>479</v>
      </c>
      <c r="V444" s="4" t="str">
        <f>"23509"</f>
        <v>23509</v>
      </c>
      <c r="W444" t="s">
        <v>120</v>
      </c>
      <c r="X444" t="s">
        <v>2114</v>
      </c>
      <c r="Y444" s="5">
        <v>17576505901</v>
      </c>
      <c r="AA444">
        <v>5617</v>
      </c>
      <c r="AB444" t="s">
        <v>6271</v>
      </c>
      <c r="AC444" t="s">
        <v>2380</v>
      </c>
      <c r="AD444" t="s">
        <v>3020</v>
      </c>
      <c r="AE444" t="s">
        <v>342</v>
      </c>
      <c r="AF444" t="s">
        <v>6270</v>
      </c>
      <c r="AH444" t="s">
        <v>2255</v>
      </c>
      <c r="AI444" t="s">
        <v>479</v>
      </c>
      <c r="AJ444" s="4" t="str">
        <f>"23509"</f>
        <v>23509</v>
      </c>
      <c r="AK444" t="s">
        <v>120</v>
      </c>
      <c r="AM444" s="5">
        <v>17576605901</v>
      </c>
      <c r="AO444" t="s">
        <v>6272</v>
      </c>
      <c r="AP444" t="s">
        <v>256</v>
      </c>
      <c r="AQ444" t="s">
        <v>1731</v>
      </c>
      <c r="AR444" t="s">
        <v>1732</v>
      </c>
      <c r="AS444" t="s">
        <v>1733</v>
      </c>
      <c r="AT444" t="s">
        <v>1734</v>
      </c>
      <c r="AU444" t="s">
        <v>1735</v>
      </c>
      <c r="AV444" t="s">
        <v>1736</v>
      </c>
      <c r="AW444" t="s">
        <v>479</v>
      </c>
      <c r="AX444" s="4" t="str">
        <f>"24521"</f>
        <v>24521</v>
      </c>
      <c r="AY444" t="s">
        <v>120</v>
      </c>
      <c r="BA444" s="5">
        <v>14349460035</v>
      </c>
      <c r="BB444">
        <v>11</v>
      </c>
      <c r="BC444" t="s">
        <v>1737</v>
      </c>
      <c r="BD444" t="s">
        <v>1738</v>
      </c>
      <c r="BG444" t="s">
        <v>479</v>
      </c>
      <c r="BH444" s="1">
        <v>44881.791666666664</v>
      </c>
      <c r="BI444">
        <v>40</v>
      </c>
      <c r="BJ444">
        <v>0</v>
      </c>
      <c r="BK444">
        <v>8</v>
      </c>
      <c r="BL444">
        <v>8</v>
      </c>
      <c r="BM444">
        <v>8</v>
      </c>
      <c r="BN444">
        <v>8</v>
      </c>
      <c r="BO444">
        <v>8</v>
      </c>
      <c r="BP444">
        <v>0</v>
      </c>
      <c r="BQ444" t="str">
        <f>"7:00 AM"</f>
        <v>7:00 AM</v>
      </c>
      <c r="BR444" t="str">
        <f>"3:30 PM"</f>
        <v>3:30 PM</v>
      </c>
      <c r="BS444" t="s">
        <v>133</v>
      </c>
      <c r="BT444">
        <v>0</v>
      </c>
      <c r="BU444">
        <v>3</v>
      </c>
      <c r="BV444" t="s">
        <v>134</v>
      </c>
      <c r="BX444" s="2" t="s">
        <v>6273</v>
      </c>
      <c r="BY444" t="s">
        <v>6270</v>
      </c>
      <c r="CA444" t="s">
        <v>2255</v>
      </c>
      <c r="CB444" t="s">
        <v>479</v>
      </c>
      <c r="CC444" s="4" t="str">
        <f>"23509"</f>
        <v>23509</v>
      </c>
      <c r="CD444" t="s">
        <v>4540</v>
      </c>
      <c r="CE444" t="s">
        <v>1687</v>
      </c>
      <c r="CF444" s="6">
        <v>15.16</v>
      </c>
      <c r="CG444" s="6">
        <v>15.16</v>
      </c>
      <c r="CH444" s="6">
        <v>22.74</v>
      </c>
      <c r="CI444" s="6">
        <v>22.74</v>
      </c>
      <c r="CJ444" t="s">
        <v>137</v>
      </c>
      <c r="CK444" t="s">
        <v>6274</v>
      </c>
      <c r="CL444" t="s">
        <v>6275</v>
      </c>
      <c r="CO444" t="s">
        <v>138</v>
      </c>
      <c r="CP444" t="s">
        <v>114</v>
      </c>
      <c r="CQ444" t="s">
        <v>114</v>
      </c>
      <c r="CR444" t="s">
        <v>114</v>
      </c>
      <c r="CS444" t="s">
        <v>134</v>
      </c>
      <c r="CT444" t="s">
        <v>114</v>
      </c>
      <c r="CU444" t="s">
        <v>114</v>
      </c>
      <c r="CV444" t="s">
        <v>6276</v>
      </c>
      <c r="CW444" s="5" t="str">
        <f>"+17576505901"</f>
        <v>+17576505901</v>
      </c>
      <c r="CX444" t="s">
        <v>138</v>
      </c>
      <c r="CY444" t="s">
        <v>1680</v>
      </c>
      <c r="CZ444" t="s">
        <v>139</v>
      </c>
      <c r="DA444" t="s">
        <v>134</v>
      </c>
      <c r="DB444" t="s">
        <v>114</v>
      </c>
      <c r="DC444" t="s">
        <v>114</v>
      </c>
      <c r="DD444" t="s">
        <v>134</v>
      </c>
    </row>
    <row r="445" spans="1:113" ht="15" customHeight="1" x14ac:dyDescent="0.25">
      <c r="A445" t="s">
        <v>12799</v>
      </c>
      <c r="B445" t="s">
        <v>165</v>
      </c>
      <c r="C445" s="1">
        <v>44882.349980439816</v>
      </c>
      <c r="D445" s="1">
        <v>44908</v>
      </c>
      <c r="E445" t="s">
        <v>134</v>
      </c>
      <c r="F445" t="s">
        <v>1296</v>
      </c>
      <c r="G445" t="str">
        <f>"37-3011.00"</f>
        <v>37-3011.00</v>
      </c>
      <c r="H445" t="s">
        <v>335</v>
      </c>
      <c r="I445">
        <v>10</v>
      </c>
      <c r="J445">
        <v>10</v>
      </c>
      <c r="K445" s="1">
        <v>44972</v>
      </c>
      <c r="L445" s="1">
        <v>45275</v>
      </c>
      <c r="M445" s="1">
        <v>44972</v>
      </c>
      <c r="N445" s="1">
        <v>45275</v>
      </c>
      <c r="O445" t="s">
        <v>117</v>
      </c>
      <c r="P445" t="s">
        <v>12800</v>
      </c>
      <c r="R445" t="s">
        <v>4537</v>
      </c>
      <c r="T445" t="s">
        <v>2255</v>
      </c>
      <c r="U445" t="s">
        <v>479</v>
      </c>
      <c r="V445" s="4" t="str">
        <f>"23504"</f>
        <v>23504</v>
      </c>
      <c r="W445" t="s">
        <v>120</v>
      </c>
      <c r="Y445" s="5">
        <v>17578574277</v>
      </c>
      <c r="AA445">
        <v>56173</v>
      </c>
      <c r="AB445" t="s">
        <v>4538</v>
      </c>
      <c r="AC445" t="s">
        <v>975</v>
      </c>
      <c r="AD445" t="s">
        <v>1730</v>
      </c>
      <c r="AE445" t="s">
        <v>342</v>
      </c>
      <c r="AF445" t="s">
        <v>4537</v>
      </c>
      <c r="AH445" t="s">
        <v>2255</v>
      </c>
      <c r="AI445" t="s">
        <v>479</v>
      </c>
      <c r="AJ445" s="4" t="str">
        <f>"23504"</f>
        <v>23504</v>
      </c>
      <c r="AK445" t="s">
        <v>120</v>
      </c>
      <c r="AM445" s="5">
        <v>17578574277</v>
      </c>
      <c r="AO445" t="s">
        <v>4539</v>
      </c>
      <c r="AP445" t="s">
        <v>256</v>
      </c>
      <c r="AQ445" t="s">
        <v>1731</v>
      </c>
      <c r="AR445" t="s">
        <v>1732</v>
      </c>
      <c r="AS445" t="s">
        <v>1733</v>
      </c>
      <c r="AT445" t="s">
        <v>1734</v>
      </c>
      <c r="AU445" t="s">
        <v>1735</v>
      </c>
      <c r="AV445" t="s">
        <v>1736</v>
      </c>
      <c r="AW445" t="s">
        <v>479</v>
      </c>
      <c r="AX445" s="4" t="str">
        <f>"24521"</f>
        <v>24521</v>
      </c>
      <c r="AY445" t="s">
        <v>120</v>
      </c>
      <c r="BA445" s="5">
        <v>14349460035</v>
      </c>
      <c r="BB445">
        <v>11</v>
      </c>
      <c r="BC445" t="s">
        <v>1737</v>
      </c>
      <c r="BD445" t="s">
        <v>1738</v>
      </c>
      <c r="BG445" t="s">
        <v>479</v>
      </c>
      <c r="BH445" s="1">
        <v>44881.791666666664</v>
      </c>
      <c r="BI445">
        <v>40</v>
      </c>
      <c r="BJ445">
        <v>0</v>
      </c>
      <c r="BK445">
        <v>8</v>
      </c>
      <c r="BL445">
        <v>8</v>
      </c>
      <c r="BM445">
        <v>8</v>
      </c>
      <c r="BN445">
        <v>8</v>
      </c>
      <c r="BO445">
        <v>8</v>
      </c>
      <c r="BP445">
        <v>0</v>
      </c>
      <c r="BQ445" t="str">
        <f>"7:00 AM"</f>
        <v>7:00 AM</v>
      </c>
      <c r="BR445" t="str">
        <f>"4:00 PM"</f>
        <v>4:00 PM</v>
      </c>
      <c r="BS445" t="s">
        <v>133</v>
      </c>
      <c r="BT445">
        <v>0</v>
      </c>
      <c r="BU445">
        <v>3</v>
      </c>
      <c r="BV445" t="s">
        <v>134</v>
      </c>
      <c r="BX445" s="2" t="s">
        <v>12801</v>
      </c>
      <c r="BY445" t="s">
        <v>4537</v>
      </c>
      <c r="CA445" t="s">
        <v>2255</v>
      </c>
      <c r="CB445" t="s">
        <v>479</v>
      </c>
      <c r="CC445" s="4" t="str">
        <f>"23504"</f>
        <v>23504</v>
      </c>
      <c r="CD445" t="s">
        <v>4540</v>
      </c>
      <c r="CE445" t="s">
        <v>1687</v>
      </c>
      <c r="CF445" s="6">
        <v>15.16</v>
      </c>
      <c r="CG445" s="6">
        <v>15.16</v>
      </c>
      <c r="CH445" s="6">
        <v>22.74</v>
      </c>
      <c r="CI445" s="6">
        <v>22.74</v>
      </c>
      <c r="CJ445" t="s">
        <v>137</v>
      </c>
      <c r="CK445" t="s">
        <v>7106</v>
      </c>
      <c r="CL445" t="s">
        <v>4541</v>
      </c>
      <c r="CO445" t="s">
        <v>138</v>
      </c>
      <c r="CP445" t="s">
        <v>114</v>
      </c>
      <c r="CQ445" t="s">
        <v>114</v>
      </c>
      <c r="CR445" t="s">
        <v>114</v>
      </c>
      <c r="CS445" t="s">
        <v>134</v>
      </c>
      <c r="CT445" t="s">
        <v>114</v>
      </c>
      <c r="CU445" t="s">
        <v>114</v>
      </c>
      <c r="CV445" t="s">
        <v>12802</v>
      </c>
      <c r="CW445" s="5" t="str">
        <f>"+17578574277"</f>
        <v>+17578574277</v>
      </c>
      <c r="CX445" t="s">
        <v>138</v>
      </c>
      <c r="CY445" t="s">
        <v>1680</v>
      </c>
      <c r="CZ445" t="s">
        <v>139</v>
      </c>
      <c r="DA445" t="s">
        <v>134</v>
      </c>
      <c r="DB445" t="s">
        <v>114</v>
      </c>
      <c r="DC445" t="s">
        <v>114</v>
      </c>
      <c r="DD445" t="s">
        <v>134</v>
      </c>
    </row>
    <row r="446" spans="1:113" ht="15" customHeight="1" x14ac:dyDescent="0.25">
      <c r="A446" t="s">
        <v>3116</v>
      </c>
      <c r="B446" t="s">
        <v>165</v>
      </c>
      <c r="C446" s="1">
        <v>44882.302137615741</v>
      </c>
      <c r="D446" s="1">
        <v>44908</v>
      </c>
      <c r="E446" t="s">
        <v>134</v>
      </c>
      <c r="F446" t="s">
        <v>1625</v>
      </c>
      <c r="G446" t="str">
        <f>"47-2061.00"</f>
        <v>47-2061.00</v>
      </c>
      <c r="H446" t="s">
        <v>1625</v>
      </c>
      <c r="I446">
        <v>12</v>
      </c>
      <c r="J446">
        <v>12</v>
      </c>
      <c r="K446" s="1">
        <v>44972</v>
      </c>
      <c r="L446" s="1">
        <v>45275</v>
      </c>
      <c r="M446" s="1">
        <v>44972</v>
      </c>
      <c r="N446" s="1">
        <v>45275</v>
      </c>
      <c r="O446" t="s">
        <v>117</v>
      </c>
      <c r="P446" t="s">
        <v>3117</v>
      </c>
      <c r="R446" t="s">
        <v>3118</v>
      </c>
      <c r="T446" t="s">
        <v>2439</v>
      </c>
      <c r="U446" t="s">
        <v>748</v>
      </c>
      <c r="V446" s="4" t="str">
        <f>"15236"</f>
        <v>15236</v>
      </c>
      <c r="W446" t="s">
        <v>120</v>
      </c>
      <c r="Y446" s="5">
        <v>14122924660</v>
      </c>
      <c r="AA446">
        <v>23811</v>
      </c>
      <c r="AB446" t="s">
        <v>3119</v>
      </c>
      <c r="AC446" t="s">
        <v>1469</v>
      </c>
      <c r="AD446" t="s">
        <v>1900</v>
      </c>
      <c r="AE446" t="s">
        <v>342</v>
      </c>
      <c r="AF446" t="s">
        <v>3118</v>
      </c>
      <c r="AH446" t="s">
        <v>2439</v>
      </c>
      <c r="AI446" t="s">
        <v>748</v>
      </c>
      <c r="AJ446" s="4" t="str">
        <f>"15236"</f>
        <v>15236</v>
      </c>
      <c r="AK446" t="s">
        <v>120</v>
      </c>
      <c r="AM446" s="5">
        <v>14122924660</v>
      </c>
      <c r="AO446" t="s">
        <v>3120</v>
      </c>
      <c r="AP446" t="s">
        <v>256</v>
      </c>
      <c r="AQ446" t="s">
        <v>475</v>
      </c>
      <c r="AR446" t="s">
        <v>476</v>
      </c>
      <c r="AT446" t="s">
        <v>477</v>
      </c>
      <c r="AV446" t="s">
        <v>478</v>
      </c>
      <c r="AW446" t="s">
        <v>479</v>
      </c>
      <c r="AX446" s="4" t="str">
        <f>"22903"</f>
        <v>22903</v>
      </c>
      <c r="AY446" t="s">
        <v>120</v>
      </c>
      <c r="BA446" s="5">
        <v>14342634300</v>
      </c>
      <c r="BC446" t="s">
        <v>480</v>
      </c>
      <c r="BD446" t="s">
        <v>481</v>
      </c>
      <c r="BG446" t="s">
        <v>748</v>
      </c>
      <c r="BH446" s="1">
        <v>44881.791666666664</v>
      </c>
      <c r="BI446">
        <v>40</v>
      </c>
      <c r="BJ446">
        <v>0</v>
      </c>
      <c r="BK446">
        <v>8</v>
      </c>
      <c r="BL446">
        <v>8</v>
      </c>
      <c r="BM446">
        <v>8</v>
      </c>
      <c r="BN446">
        <v>8</v>
      </c>
      <c r="BO446">
        <v>8</v>
      </c>
      <c r="BP446">
        <v>0</v>
      </c>
      <c r="BQ446" t="str">
        <f>"7:30 AM"</f>
        <v>7:30 AM</v>
      </c>
      <c r="BR446" t="str">
        <f>"4:00 PM"</f>
        <v>4:00 PM</v>
      </c>
      <c r="BS446" t="s">
        <v>133</v>
      </c>
      <c r="BT446">
        <v>0</v>
      </c>
      <c r="BU446">
        <v>12</v>
      </c>
      <c r="BV446" t="s">
        <v>134</v>
      </c>
      <c r="BX446" s="2" t="s">
        <v>3121</v>
      </c>
      <c r="BY446" t="s">
        <v>3122</v>
      </c>
      <c r="CA446" t="s">
        <v>2439</v>
      </c>
      <c r="CB446" t="s">
        <v>748</v>
      </c>
      <c r="CC446" s="4" t="str">
        <f>"15210"</f>
        <v>15210</v>
      </c>
      <c r="CD446" t="s">
        <v>1475</v>
      </c>
      <c r="CE446" t="s">
        <v>1346</v>
      </c>
      <c r="CF446" s="6">
        <v>23.21</v>
      </c>
      <c r="CH446" s="6">
        <v>34.82</v>
      </c>
      <c r="CJ446" t="s">
        <v>137</v>
      </c>
      <c r="CK446" t="s">
        <v>3123</v>
      </c>
      <c r="CL446" t="s">
        <v>3124</v>
      </c>
      <c r="CO446" t="s">
        <v>138</v>
      </c>
      <c r="CP446" t="s">
        <v>114</v>
      </c>
      <c r="CQ446" t="s">
        <v>114</v>
      </c>
      <c r="CR446" t="s">
        <v>114</v>
      </c>
      <c r="CS446" t="s">
        <v>134</v>
      </c>
      <c r="CT446" t="s">
        <v>114</v>
      </c>
      <c r="CU446" t="s">
        <v>114</v>
      </c>
      <c r="CV446" t="s">
        <v>3125</v>
      </c>
      <c r="CW446" s="5" t="str">
        <f>"+14122924660"</f>
        <v>+14122924660</v>
      </c>
      <c r="CX446" t="s">
        <v>138</v>
      </c>
      <c r="CY446" t="s">
        <v>1476</v>
      </c>
      <c r="CZ446" t="s">
        <v>139</v>
      </c>
      <c r="DA446" t="s">
        <v>134</v>
      </c>
      <c r="DB446" t="s">
        <v>114</v>
      </c>
      <c r="DC446" t="s">
        <v>114</v>
      </c>
      <c r="DD446" t="s">
        <v>134</v>
      </c>
      <c r="DE446" t="s">
        <v>492</v>
      </c>
      <c r="DF446" t="s">
        <v>493</v>
      </c>
      <c r="DH446" t="s">
        <v>481</v>
      </c>
      <c r="DI446" t="s">
        <v>480</v>
      </c>
    </row>
    <row r="447" spans="1:113" ht="15" customHeight="1" x14ac:dyDescent="0.25">
      <c r="A447" t="s">
        <v>3104</v>
      </c>
      <c r="B447" t="s">
        <v>165</v>
      </c>
      <c r="C447" s="1">
        <v>44882.201391550923</v>
      </c>
      <c r="D447" s="1">
        <v>44908</v>
      </c>
      <c r="E447" t="s">
        <v>134</v>
      </c>
      <c r="F447" t="s">
        <v>571</v>
      </c>
      <c r="G447" t="str">
        <f>"35-3023.00"</f>
        <v>35-3023.00</v>
      </c>
      <c r="H447" t="s">
        <v>555</v>
      </c>
      <c r="I447">
        <v>5</v>
      </c>
      <c r="J447">
        <v>5</v>
      </c>
      <c r="K447" s="1">
        <v>44972</v>
      </c>
      <c r="L447" s="1">
        <v>45245</v>
      </c>
      <c r="M447" s="1">
        <v>44972</v>
      </c>
      <c r="N447" s="1">
        <v>45245</v>
      </c>
      <c r="O447" t="s">
        <v>199</v>
      </c>
      <c r="P447" t="s">
        <v>3105</v>
      </c>
      <c r="R447" t="s">
        <v>3106</v>
      </c>
      <c r="S447" t="s">
        <v>3107</v>
      </c>
      <c r="T447" t="s">
        <v>3108</v>
      </c>
      <c r="U447" t="s">
        <v>232</v>
      </c>
      <c r="V447" s="4" t="str">
        <f>"75656"</f>
        <v>75656</v>
      </c>
      <c r="W447" t="s">
        <v>120</v>
      </c>
      <c r="Y447" s="5">
        <v>19039183694</v>
      </c>
      <c r="AA447">
        <v>7139</v>
      </c>
      <c r="AB447" t="s">
        <v>3109</v>
      </c>
      <c r="AC447" t="s">
        <v>1435</v>
      </c>
      <c r="AE447" t="s">
        <v>3110</v>
      </c>
      <c r="AF447" t="s">
        <v>3111</v>
      </c>
      <c r="AG447" t="s">
        <v>3107</v>
      </c>
      <c r="AH447" t="s">
        <v>1079</v>
      </c>
      <c r="AI447" t="s">
        <v>232</v>
      </c>
      <c r="AJ447" s="4" t="str">
        <f>"75656"</f>
        <v>75656</v>
      </c>
      <c r="AK447" t="s">
        <v>120</v>
      </c>
      <c r="AM447" s="5">
        <v>19039183694</v>
      </c>
      <c r="AO447" t="s">
        <v>3112</v>
      </c>
      <c r="AP447" t="s">
        <v>256</v>
      </c>
      <c r="AQ447" t="s">
        <v>535</v>
      </c>
      <c r="AR447" t="s">
        <v>536</v>
      </c>
      <c r="AS447" t="s">
        <v>537</v>
      </c>
      <c r="AT447" t="s">
        <v>538</v>
      </c>
      <c r="AU447" t="s">
        <v>539</v>
      </c>
      <c r="AV447" t="s">
        <v>540</v>
      </c>
      <c r="AW447" t="s">
        <v>232</v>
      </c>
      <c r="AX447" s="4" t="str">
        <f>"78550"</f>
        <v>78550</v>
      </c>
      <c r="AY447" t="s">
        <v>120</v>
      </c>
      <c r="BA447" s="5">
        <v>19564408720</v>
      </c>
      <c r="BB447">
        <v>0</v>
      </c>
      <c r="BC447" t="s">
        <v>563</v>
      </c>
      <c r="BD447" t="s">
        <v>543</v>
      </c>
      <c r="BG447" t="s">
        <v>232</v>
      </c>
      <c r="BH447" s="1">
        <v>44881.791666666664</v>
      </c>
      <c r="BI447">
        <v>40</v>
      </c>
      <c r="BJ447">
        <v>8</v>
      </c>
      <c r="BK447">
        <v>0</v>
      </c>
      <c r="BL447">
        <v>0</v>
      </c>
      <c r="BM447">
        <v>8</v>
      </c>
      <c r="BN447">
        <v>8</v>
      </c>
      <c r="BO447">
        <v>8</v>
      </c>
      <c r="BP447">
        <v>8</v>
      </c>
      <c r="BQ447" t="str">
        <f>"1:00 PM"</f>
        <v>1:00 PM</v>
      </c>
      <c r="BR447" t="str">
        <f>"10:00 PM"</f>
        <v>10:00 PM</v>
      </c>
      <c r="BS447" t="s">
        <v>133</v>
      </c>
      <c r="BT447">
        <v>0</v>
      </c>
      <c r="BU447">
        <v>0</v>
      </c>
      <c r="BV447" t="s">
        <v>134</v>
      </c>
      <c r="BX447" s="2" t="s">
        <v>3113</v>
      </c>
      <c r="BY447" t="s">
        <v>3111</v>
      </c>
      <c r="CA447" t="s">
        <v>1079</v>
      </c>
      <c r="CB447" t="s">
        <v>232</v>
      </c>
      <c r="CC447" s="4" t="str">
        <f>"75656"</f>
        <v>75656</v>
      </c>
      <c r="CD447" t="s">
        <v>1084</v>
      </c>
      <c r="CE447" t="s">
        <v>1085</v>
      </c>
      <c r="CF447" s="6">
        <v>8.84</v>
      </c>
      <c r="CG447" s="6">
        <v>11.5</v>
      </c>
      <c r="CJ447" t="s">
        <v>137</v>
      </c>
      <c r="CK447" t="s">
        <v>549</v>
      </c>
      <c r="CL447" t="s">
        <v>3114</v>
      </c>
      <c r="CO447" t="s">
        <v>138</v>
      </c>
      <c r="CP447" t="s">
        <v>114</v>
      </c>
      <c r="CQ447" t="s">
        <v>114</v>
      </c>
      <c r="CR447" t="s">
        <v>134</v>
      </c>
      <c r="CS447" t="s">
        <v>114</v>
      </c>
      <c r="CT447" t="s">
        <v>114</v>
      </c>
      <c r="CU447" t="s">
        <v>114</v>
      </c>
      <c r="CV447" t="s">
        <v>3115</v>
      </c>
      <c r="CW447" s="5" t="str">
        <f>"+19039183694"</f>
        <v>+19039183694</v>
      </c>
      <c r="CX447" t="s">
        <v>3112</v>
      </c>
      <c r="CY447" t="s">
        <v>138</v>
      </c>
      <c r="CZ447" t="s">
        <v>139</v>
      </c>
      <c r="DA447" t="s">
        <v>134</v>
      </c>
      <c r="DB447" t="s">
        <v>114</v>
      </c>
      <c r="DC447" t="s">
        <v>114</v>
      </c>
      <c r="DD447" t="s">
        <v>134</v>
      </c>
    </row>
    <row r="448" spans="1:113" ht="15" customHeight="1" x14ac:dyDescent="0.25">
      <c r="A448" t="s">
        <v>6188</v>
      </c>
      <c r="B448" t="s">
        <v>165</v>
      </c>
      <c r="C448" s="1">
        <v>44882.047458449073</v>
      </c>
      <c r="D448" s="1">
        <v>44908</v>
      </c>
      <c r="E448" t="s">
        <v>134</v>
      </c>
      <c r="F448" t="s">
        <v>334</v>
      </c>
      <c r="G448" t="str">
        <f>"37-3011.00"</f>
        <v>37-3011.00</v>
      </c>
      <c r="H448" t="s">
        <v>335</v>
      </c>
      <c r="I448">
        <v>14</v>
      </c>
      <c r="J448">
        <v>14</v>
      </c>
      <c r="K448" s="1">
        <v>44972</v>
      </c>
      <c r="L448" s="1">
        <v>45274</v>
      </c>
      <c r="M448" s="1">
        <v>44972</v>
      </c>
      <c r="N448" s="1">
        <v>45274</v>
      </c>
      <c r="O448" t="s">
        <v>199</v>
      </c>
      <c r="P448" t="s">
        <v>6189</v>
      </c>
      <c r="R448" t="s">
        <v>6190</v>
      </c>
      <c r="T448" t="s">
        <v>6191</v>
      </c>
      <c r="U448" t="s">
        <v>697</v>
      </c>
      <c r="V448" s="4" t="str">
        <f>"63069"</f>
        <v>63069</v>
      </c>
      <c r="W448" t="s">
        <v>120</v>
      </c>
      <c r="Y448" s="5">
        <v>13147575296</v>
      </c>
      <c r="AA448">
        <v>56173</v>
      </c>
      <c r="AB448" t="s">
        <v>6192</v>
      </c>
      <c r="AC448" t="s">
        <v>1980</v>
      </c>
      <c r="AE448" t="s">
        <v>342</v>
      </c>
      <c r="AF448" t="s">
        <v>6190</v>
      </c>
      <c r="AH448" t="s">
        <v>6191</v>
      </c>
      <c r="AI448" t="s">
        <v>697</v>
      </c>
      <c r="AJ448" s="4" t="str">
        <f>"63069"</f>
        <v>63069</v>
      </c>
      <c r="AK448" t="s">
        <v>120</v>
      </c>
      <c r="AM448" s="5">
        <v>13147575296</v>
      </c>
      <c r="AO448" t="s">
        <v>6193</v>
      </c>
      <c r="AP448" t="s">
        <v>256</v>
      </c>
      <c r="AQ448" t="s">
        <v>344</v>
      </c>
      <c r="AR448" t="s">
        <v>345</v>
      </c>
      <c r="AT448" t="s">
        <v>346</v>
      </c>
      <c r="AU448" t="s">
        <v>347</v>
      </c>
      <c r="AV448" t="s">
        <v>348</v>
      </c>
      <c r="AW448" t="s">
        <v>349</v>
      </c>
      <c r="AX448" s="4" t="str">
        <f>"83814"</f>
        <v>83814</v>
      </c>
      <c r="AY448" t="s">
        <v>120</v>
      </c>
      <c r="BA448" s="5">
        <v>12087772654</v>
      </c>
      <c r="BC448" t="s">
        <v>350</v>
      </c>
      <c r="BD448" t="s">
        <v>351</v>
      </c>
      <c r="BG448" t="s">
        <v>697</v>
      </c>
      <c r="BH448" s="1">
        <v>44858.833333333336</v>
      </c>
      <c r="BI448">
        <v>40</v>
      </c>
      <c r="BJ448">
        <v>0</v>
      </c>
      <c r="BK448">
        <v>8</v>
      </c>
      <c r="BL448">
        <v>8</v>
      </c>
      <c r="BM448">
        <v>8</v>
      </c>
      <c r="BN448">
        <v>8</v>
      </c>
      <c r="BO448">
        <v>8</v>
      </c>
      <c r="BP448">
        <v>0</v>
      </c>
      <c r="BQ448" t="str">
        <f>"7:00 AM"</f>
        <v>7:00 AM</v>
      </c>
      <c r="BR448" t="str">
        <f>"4:00 PM"</f>
        <v>4:00 PM</v>
      </c>
      <c r="BS448" t="s">
        <v>133</v>
      </c>
      <c r="BT448">
        <v>0</v>
      </c>
      <c r="BU448">
        <v>0</v>
      </c>
      <c r="BV448" t="s">
        <v>134</v>
      </c>
      <c r="BX448" s="2" t="s">
        <v>352</v>
      </c>
      <c r="BY448" t="s">
        <v>6194</v>
      </c>
      <c r="CA448" t="s">
        <v>6191</v>
      </c>
      <c r="CB448" t="s">
        <v>697</v>
      </c>
      <c r="CC448" s="4" t="str">
        <f>"63069"</f>
        <v>63069</v>
      </c>
      <c r="CD448" t="s">
        <v>1679</v>
      </c>
      <c r="CE448" t="s">
        <v>713</v>
      </c>
      <c r="CF448" s="6">
        <v>16.96</v>
      </c>
      <c r="CG448" s="6">
        <v>20</v>
      </c>
      <c r="CH448" s="6">
        <v>25.44</v>
      </c>
      <c r="CI448" s="6">
        <v>30</v>
      </c>
      <c r="CJ448" t="s">
        <v>137</v>
      </c>
      <c r="CK448" t="s">
        <v>356</v>
      </c>
      <c r="CL448" t="s">
        <v>6195</v>
      </c>
      <c r="CO448" t="s">
        <v>138</v>
      </c>
      <c r="CP448" t="s">
        <v>114</v>
      </c>
      <c r="CQ448" t="s">
        <v>114</v>
      </c>
      <c r="CR448" t="s">
        <v>114</v>
      </c>
      <c r="CS448" t="s">
        <v>114</v>
      </c>
      <c r="CT448" t="s">
        <v>114</v>
      </c>
      <c r="CU448" t="s">
        <v>114</v>
      </c>
      <c r="CV448" t="s">
        <v>6196</v>
      </c>
      <c r="CW448" s="5" t="str">
        <f>"+13147575296"</f>
        <v>+13147575296</v>
      </c>
      <c r="CX448" t="s">
        <v>6197</v>
      </c>
      <c r="CY448" t="s">
        <v>138</v>
      </c>
      <c r="CZ448" t="s">
        <v>139</v>
      </c>
      <c r="DA448" t="s">
        <v>134</v>
      </c>
      <c r="DB448" t="s">
        <v>134</v>
      </c>
      <c r="DC448" t="s">
        <v>114</v>
      </c>
      <c r="DD448" t="s">
        <v>134</v>
      </c>
    </row>
    <row r="449" spans="1:108" ht="15" customHeight="1" x14ac:dyDescent="0.25">
      <c r="A449" t="s">
        <v>11914</v>
      </c>
      <c r="B449" t="s">
        <v>165</v>
      </c>
      <c r="C449" s="1">
        <v>44882.04652048611</v>
      </c>
      <c r="D449" s="1">
        <v>44908</v>
      </c>
      <c r="E449" t="s">
        <v>134</v>
      </c>
      <c r="F449" t="s">
        <v>334</v>
      </c>
      <c r="G449" t="str">
        <f>"37-3011.00"</f>
        <v>37-3011.00</v>
      </c>
      <c r="H449" t="s">
        <v>335</v>
      </c>
      <c r="I449">
        <v>35</v>
      </c>
      <c r="J449">
        <v>35</v>
      </c>
      <c r="K449" s="1">
        <v>44972</v>
      </c>
      <c r="L449" s="1">
        <v>45274</v>
      </c>
      <c r="M449" s="1">
        <v>44972</v>
      </c>
      <c r="N449" s="1">
        <v>45274</v>
      </c>
      <c r="O449" t="s">
        <v>199</v>
      </c>
      <c r="P449" t="s">
        <v>11915</v>
      </c>
      <c r="R449" t="s">
        <v>11916</v>
      </c>
      <c r="T449" t="s">
        <v>4553</v>
      </c>
      <c r="U449" t="s">
        <v>697</v>
      </c>
      <c r="V449" s="4" t="str">
        <f>"63005"</f>
        <v>63005</v>
      </c>
      <c r="W449" t="s">
        <v>120</v>
      </c>
      <c r="Y449" s="5">
        <v>13145682717</v>
      </c>
      <c r="AA449">
        <v>56173</v>
      </c>
      <c r="AB449" t="s">
        <v>3954</v>
      </c>
      <c r="AC449" t="s">
        <v>5938</v>
      </c>
      <c r="AE449" t="s">
        <v>342</v>
      </c>
      <c r="AF449" t="s">
        <v>11916</v>
      </c>
      <c r="AH449" t="s">
        <v>4553</v>
      </c>
      <c r="AI449" t="s">
        <v>697</v>
      </c>
      <c r="AJ449" s="4" t="str">
        <f>"63005"</f>
        <v>63005</v>
      </c>
      <c r="AK449" t="s">
        <v>120</v>
      </c>
      <c r="AM449" s="5">
        <v>13145682717</v>
      </c>
      <c r="AO449" t="s">
        <v>11917</v>
      </c>
      <c r="AP449" t="s">
        <v>256</v>
      </c>
      <c r="AQ449" t="s">
        <v>344</v>
      </c>
      <c r="AR449" t="s">
        <v>345</v>
      </c>
      <c r="AT449" t="s">
        <v>346</v>
      </c>
      <c r="AU449" t="s">
        <v>347</v>
      </c>
      <c r="AV449" t="s">
        <v>348</v>
      </c>
      <c r="AW449" t="s">
        <v>349</v>
      </c>
      <c r="AX449" s="4" t="str">
        <f>"83814"</f>
        <v>83814</v>
      </c>
      <c r="AY449" t="s">
        <v>120</v>
      </c>
      <c r="BA449" s="5">
        <v>12087772654</v>
      </c>
      <c r="BC449" t="s">
        <v>350</v>
      </c>
      <c r="BD449" t="s">
        <v>351</v>
      </c>
      <c r="BG449" t="s">
        <v>697</v>
      </c>
      <c r="BH449" s="1">
        <v>44858.833333333336</v>
      </c>
      <c r="BI449">
        <v>40</v>
      </c>
      <c r="BJ449">
        <v>0</v>
      </c>
      <c r="BK449">
        <v>8</v>
      </c>
      <c r="BL449">
        <v>8</v>
      </c>
      <c r="BM449">
        <v>8</v>
      </c>
      <c r="BN449">
        <v>8</v>
      </c>
      <c r="BO449">
        <v>8</v>
      </c>
      <c r="BP449">
        <v>0</v>
      </c>
      <c r="BQ449" t="str">
        <f>"8:00 AM"</f>
        <v>8:00 AM</v>
      </c>
      <c r="BR449" t="str">
        <f>"5:00 PM"</f>
        <v>5:00 PM</v>
      </c>
      <c r="BS449" t="s">
        <v>133</v>
      </c>
      <c r="BT449">
        <v>0</v>
      </c>
      <c r="BU449">
        <v>0</v>
      </c>
      <c r="BV449" t="s">
        <v>134</v>
      </c>
      <c r="BX449" s="2" t="s">
        <v>1836</v>
      </c>
      <c r="BY449" t="s">
        <v>11918</v>
      </c>
      <c r="CA449" t="s">
        <v>4553</v>
      </c>
      <c r="CB449" t="s">
        <v>697</v>
      </c>
      <c r="CC449" s="4" t="str">
        <f>"63005"</f>
        <v>63005</v>
      </c>
      <c r="CD449" t="s">
        <v>712</v>
      </c>
      <c r="CE449" t="s">
        <v>713</v>
      </c>
      <c r="CF449" s="6">
        <v>16.96</v>
      </c>
      <c r="CG449" s="6">
        <v>17.8</v>
      </c>
      <c r="CH449" s="6">
        <v>25.44</v>
      </c>
      <c r="CI449" s="6">
        <v>26.7</v>
      </c>
      <c r="CJ449" t="s">
        <v>137</v>
      </c>
      <c r="CK449" t="s">
        <v>356</v>
      </c>
      <c r="CL449" t="s">
        <v>11919</v>
      </c>
      <c r="CO449" t="s">
        <v>138</v>
      </c>
      <c r="CP449" t="s">
        <v>114</v>
      </c>
      <c r="CQ449" t="s">
        <v>114</v>
      </c>
      <c r="CR449" t="s">
        <v>114</v>
      </c>
      <c r="CS449" t="s">
        <v>114</v>
      </c>
      <c r="CT449" t="s">
        <v>114</v>
      </c>
      <c r="CU449" t="s">
        <v>134</v>
      </c>
      <c r="CV449" t="s">
        <v>358</v>
      </c>
      <c r="CW449" s="5" t="str">
        <f>"+13145682717"</f>
        <v>+13145682717</v>
      </c>
      <c r="CX449" t="s">
        <v>11917</v>
      </c>
      <c r="CY449" t="s">
        <v>138</v>
      </c>
      <c r="CZ449" t="s">
        <v>139</v>
      </c>
      <c r="DA449" t="s">
        <v>134</v>
      </c>
      <c r="DB449" t="s">
        <v>134</v>
      </c>
      <c r="DC449" t="s">
        <v>114</v>
      </c>
      <c r="DD449" t="s">
        <v>134</v>
      </c>
    </row>
    <row r="450" spans="1:108" ht="15" customHeight="1" x14ac:dyDescent="0.25">
      <c r="A450" t="s">
        <v>9321</v>
      </c>
      <c r="B450" t="s">
        <v>165</v>
      </c>
      <c r="C450" s="1">
        <v>44882.009255671299</v>
      </c>
      <c r="D450" s="1">
        <v>44908</v>
      </c>
      <c r="E450" t="s">
        <v>134</v>
      </c>
      <c r="F450" t="s">
        <v>334</v>
      </c>
      <c r="G450" t="str">
        <f>"37-3011.00"</f>
        <v>37-3011.00</v>
      </c>
      <c r="H450" t="s">
        <v>335</v>
      </c>
      <c r="I450">
        <v>35</v>
      </c>
      <c r="J450">
        <v>35</v>
      </c>
      <c r="K450" s="1">
        <v>44972</v>
      </c>
      <c r="L450" s="1">
        <v>45274</v>
      </c>
      <c r="M450" s="1">
        <v>44972</v>
      </c>
      <c r="N450" s="1">
        <v>45274</v>
      </c>
      <c r="O450" t="s">
        <v>199</v>
      </c>
      <c r="P450" t="s">
        <v>9322</v>
      </c>
      <c r="R450" t="s">
        <v>9323</v>
      </c>
      <c r="T450" t="s">
        <v>9324</v>
      </c>
      <c r="U450" t="s">
        <v>339</v>
      </c>
      <c r="V450" s="4" t="str">
        <f>"21154"</f>
        <v>21154</v>
      </c>
      <c r="W450" t="s">
        <v>120</v>
      </c>
      <c r="Y450" s="5">
        <v>14109379871</v>
      </c>
      <c r="AA450">
        <v>56173</v>
      </c>
      <c r="AB450" t="s">
        <v>9325</v>
      </c>
      <c r="AC450" t="s">
        <v>1469</v>
      </c>
      <c r="AD450" t="s">
        <v>1458</v>
      </c>
      <c r="AE450" t="s">
        <v>342</v>
      </c>
      <c r="AF450" t="s">
        <v>9323</v>
      </c>
      <c r="AH450" t="s">
        <v>9324</v>
      </c>
      <c r="AI450" t="s">
        <v>339</v>
      </c>
      <c r="AJ450" s="4" t="str">
        <f>"21154"</f>
        <v>21154</v>
      </c>
      <c r="AK450" t="s">
        <v>120</v>
      </c>
      <c r="AM450" s="5">
        <v>14109379871</v>
      </c>
      <c r="AO450" t="s">
        <v>9326</v>
      </c>
      <c r="AP450" t="s">
        <v>256</v>
      </c>
      <c r="AQ450" t="s">
        <v>3181</v>
      </c>
      <c r="AR450" t="s">
        <v>3182</v>
      </c>
      <c r="AT450" t="s">
        <v>346</v>
      </c>
      <c r="AU450" t="s">
        <v>347</v>
      </c>
      <c r="AV450" t="s">
        <v>828</v>
      </c>
      <c r="AW450" t="s">
        <v>349</v>
      </c>
      <c r="AX450" s="4" t="str">
        <f>"83814"</f>
        <v>83814</v>
      </c>
      <c r="AY450" t="s">
        <v>120</v>
      </c>
      <c r="BA450" s="5">
        <v>12087772654</v>
      </c>
      <c r="BC450" t="s">
        <v>3183</v>
      </c>
      <c r="BD450" t="s">
        <v>351</v>
      </c>
      <c r="BG450" t="s">
        <v>339</v>
      </c>
      <c r="BH450" s="1">
        <v>44860.833333333336</v>
      </c>
      <c r="BI450">
        <v>40</v>
      </c>
      <c r="BJ450">
        <v>0</v>
      </c>
      <c r="BK450">
        <v>8</v>
      </c>
      <c r="BL450">
        <v>8</v>
      </c>
      <c r="BM450">
        <v>8</v>
      </c>
      <c r="BN450">
        <v>8</v>
      </c>
      <c r="BO450">
        <v>8</v>
      </c>
      <c r="BP450">
        <v>0</v>
      </c>
      <c r="BQ450" t="str">
        <f>"7:00 AM"</f>
        <v>7:00 AM</v>
      </c>
      <c r="BR450" t="str">
        <f>"4:00 PM"</f>
        <v>4:00 PM</v>
      </c>
      <c r="BS450" t="s">
        <v>133</v>
      </c>
      <c r="BT450">
        <v>0</v>
      </c>
      <c r="BU450">
        <v>0</v>
      </c>
      <c r="BV450" t="s">
        <v>134</v>
      </c>
      <c r="BX450" s="2" t="s">
        <v>352</v>
      </c>
      <c r="BY450" t="s">
        <v>9327</v>
      </c>
      <c r="CA450" t="s">
        <v>9324</v>
      </c>
      <c r="CB450" t="s">
        <v>339</v>
      </c>
      <c r="CC450" s="4" t="str">
        <f>"21154"</f>
        <v>21154</v>
      </c>
      <c r="CD450" t="s">
        <v>2811</v>
      </c>
      <c r="CE450" t="s">
        <v>1673</v>
      </c>
      <c r="CF450" s="6">
        <v>17.82</v>
      </c>
      <c r="CG450" s="6">
        <v>19</v>
      </c>
      <c r="CH450" s="6">
        <v>26.73</v>
      </c>
      <c r="CI450" s="6">
        <v>28.5</v>
      </c>
      <c r="CJ450" t="s">
        <v>137</v>
      </c>
      <c r="CK450" t="s">
        <v>356</v>
      </c>
      <c r="CL450" t="s">
        <v>9328</v>
      </c>
      <c r="CO450" t="s">
        <v>138</v>
      </c>
      <c r="CP450" t="s">
        <v>114</v>
      </c>
      <c r="CQ450" t="s">
        <v>114</v>
      </c>
      <c r="CR450" t="s">
        <v>114</v>
      </c>
      <c r="CS450" t="s">
        <v>114</v>
      </c>
      <c r="CT450" t="s">
        <v>114</v>
      </c>
      <c r="CU450" t="s">
        <v>114</v>
      </c>
      <c r="CV450" t="s">
        <v>9329</v>
      </c>
      <c r="CW450" s="5" t="str">
        <f>"+14104575296"</f>
        <v>+14104575296</v>
      </c>
      <c r="CX450" t="s">
        <v>9326</v>
      </c>
      <c r="CY450" t="s">
        <v>138</v>
      </c>
      <c r="CZ450" t="s">
        <v>139</v>
      </c>
      <c r="DA450" t="s">
        <v>134</v>
      </c>
      <c r="DB450" t="s">
        <v>134</v>
      </c>
      <c r="DC450" t="s">
        <v>114</v>
      </c>
      <c r="DD450" t="s">
        <v>134</v>
      </c>
    </row>
    <row r="451" spans="1:108" ht="15" customHeight="1" x14ac:dyDescent="0.25">
      <c r="A451" t="s">
        <v>11100</v>
      </c>
      <c r="B451" t="s">
        <v>165</v>
      </c>
      <c r="C451" s="1">
        <v>44882.006395486111</v>
      </c>
      <c r="D451" s="1">
        <v>44908</v>
      </c>
      <c r="E451" t="s">
        <v>134</v>
      </c>
      <c r="F451" t="s">
        <v>334</v>
      </c>
      <c r="G451" t="str">
        <f>"37-3011.00"</f>
        <v>37-3011.00</v>
      </c>
      <c r="H451" t="s">
        <v>335</v>
      </c>
      <c r="I451">
        <v>7</v>
      </c>
      <c r="J451">
        <v>7</v>
      </c>
      <c r="K451" s="1">
        <v>44972</v>
      </c>
      <c r="L451" s="1">
        <v>45274</v>
      </c>
      <c r="M451" s="1">
        <v>44972</v>
      </c>
      <c r="N451" s="1">
        <v>45274</v>
      </c>
      <c r="O451" t="s">
        <v>199</v>
      </c>
      <c r="P451" t="s">
        <v>11101</v>
      </c>
      <c r="R451" t="s">
        <v>11102</v>
      </c>
      <c r="T451" t="s">
        <v>3178</v>
      </c>
      <c r="U451" t="s">
        <v>339</v>
      </c>
      <c r="V451" s="4" t="str">
        <f>"21014"</f>
        <v>21014</v>
      </c>
      <c r="W451" t="s">
        <v>120</v>
      </c>
      <c r="Y451" s="5">
        <v>14108381700</v>
      </c>
      <c r="AA451">
        <v>56173</v>
      </c>
      <c r="AB451" t="s">
        <v>11103</v>
      </c>
      <c r="AC451" t="s">
        <v>2810</v>
      </c>
      <c r="AE451" t="s">
        <v>424</v>
      </c>
      <c r="AF451" t="s">
        <v>11102</v>
      </c>
      <c r="AH451" t="s">
        <v>3178</v>
      </c>
      <c r="AI451" t="s">
        <v>339</v>
      </c>
      <c r="AJ451" s="4" t="str">
        <f>"21014"</f>
        <v>21014</v>
      </c>
      <c r="AK451" t="s">
        <v>120</v>
      </c>
      <c r="AM451" s="5">
        <v>14108381700</v>
      </c>
      <c r="AO451" t="s">
        <v>11104</v>
      </c>
      <c r="AP451" t="s">
        <v>256</v>
      </c>
      <c r="AQ451" t="s">
        <v>3181</v>
      </c>
      <c r="AR451" t="s">
        <v>3182</v>
      </c>
      <c r="AT451" t="s">
        <v>346</v>
      </c>
      <c r="AU451" t="s">
        <v>347</v>
      </c>
      <c r="AV451" t="s">
        <v>828</v>
      </c>
      <c r="AW451" t="s">
        <v>349</v>
      </c>
      <c r="AX451" s="4" t="str">
        <f>"83814"</f>
        <v>83814</v>
      </c>
      <c r="AY451" t="s">
        <v>120</v>
      </c>
      <c r="BA451" s="5">
        <v>12087772654</v>
      </c>
      <c r="BC451" t="s">
        <v>3183</v>
      </c>
      <c r="BD451" t="s">
        <v>351</v>
      </c>
      <c r="BG451" t="s">
        <v>339</v>
      </c>
      <c r="BH451" s="1">
        <v>44879.791666666664</v>
      </c>
      <c r="BI451">
        <v>40</v>
      </c>
      <c r="BJ451">
        <v>0</v>
      </c>
      <c r="BK451">
        <v>8</v>
      </c>
      <c r="BL451">
        <v>8</v>
      </c>
      <c r="BM451">
        <v>8</v>
      </c>
      <c r="BN451">
        <v>8</v>
      </c>
      <c r="BO451">
        <v>8</v>
      </c>
      <c r="BP451">
        <v>0</v>
      </c>
      <c r="BQ451" t="str">
        <f>"7:00 AM"</f>
        <v>7:00 AM</v>
      </c>
      <c r="BR451" t="str">
        <f>"4:00 PM"</f>
        <v>4:00 PM</v>
      </c>
      <c r="BS451" t="s">
        <v>133</v>
      </c>
      <c r="BT451">
        <v>0</v>
      </c>
      <c r="BU451">
        <v>0</v>
      </c>
      <c r="BV451" t="s">
        <v>134</v>
      </c>
      <c r="BX451" s="2" t="s">
        <v>352</v>
      </c>
      <c r="BY451" t="s">
        <v>11105</v>
      </c>
      <c r="CA451" t="s">
        <v>3178</v>
      </c>
      <c r="CB451" t="s">
        <v>339</v>
      </c>
      <c r="CC451" s="4" t="str">
        <f>"21014"</f>
        <v>21014</v>
      </c>
      <c r="CD451" t="s">
        <v>2811</v>
      </c>
      <c r="CE451" t="s">
        <v>1673</v>
      </c>
      <c r="CF451" s="6">
        <v>17.579999999999998</v>
      </c>
      <c r="CG451" s="6">
        <v>22</v>
      </c>
      <c r="CH451" s="6">
        <v>26.37</v>
      </c>
      <c r="CI451" s="6">
        <v>33</v>
      </c>
      <c r="CJ451" t="s">
        <v>137</v>
      </c>
      <c r="CK451" t="s">
        <v>356</v>
      </c>
      <c r="CL451" t="s">
        <v>11106</v>
      </c>
      <c r="CO451" t="s">
        <v>138</v>
      </c>
      <c r="CP451" t="s">
        <v>114</v>
      </c>
      <c r="CQ451" t="s">
        <v>114</v>
      </c>
      <c r="CR451" t="s">
        <v>114</v>
      </c>
      <c r="CS451" t="s">
        <v>114</v>
      </c>
      <c r="CT451" t="s">
        <v>114</v>
      </c>
      <c r="CU451" t="s">
        <v>114</v>
      </c>
      <c r="CV451" s="2" t="s">
        <v>11107</v>
      </c>
      <c r="CW451" s="5" t="str">
        <f>"+14108381700"</f>
        <v>+14108381700</v>
      </c>
      <c r="CX451" t="s">
        <v>11104</v>
      </c>
      <c r="CY451" t="s">
        <v>138</v>
      </c>
      <c r="CZ451" t="s">
        <v>139</v>
      </c>
      <c r="DA451" t="s">
        <v>134</v>
      </c>
      <c r="DB451" t="s">
        <v>134</v>
      </c>
      <c r="DC451" t="s">
        <v>114</v>
      </c>
      <c r="DD451" t="s">
        <v>134</v>
      </c>
    </row>
    <row r="452" spans="1:108" ht="15" customHeight="1" x14ac:dyDescent="0.25">
      <c r="A452" t="s">
        <v>12837</v>
      </c>
      <c r="B452" t="s">
        <v>165</v>
      </c>
      <c r="C452" s="1">
        <v>44880.593795023146</v>
      </c>
      <c r="D452" s="1">
        <v>44908</v>
      </c>
      <c r="E452" t="s">
        <v>134</v>
      </c>
      <c r="F452" t="s">
        <v>334</v>
      </c>
      <c r="G452" t="str">
        <f>"37-3011.00"</f>
        <v>37-3011.00</v>
      </c>
      <c r="H452" t="s">
        <v>335</v>
      </c>
      <c r="I452">
        <v>15</v>
      </c>
      <c r="J452">
        <v>15</v>
      </c>
      <c r="K452" s="1">
        <v>44970</v>
      </c>
      <c r="L452" s="1">
        <v>45272</v>
      </c>
      <c r="M452" s="1">
        <v>44970</v>
      </c>
      <c r="N452" s="1">
        <v>45272</v>
      </c>
      <c r="O452" t="s">
        <v>117</v>
      </c>
      <c r="P452" t="s">
        <v>2041</v>
      </c>
      <c r="R452" t="s">
        <v>2042</v>
      </c>
      <c r="S452" t="s">
        <v>2043</v>
      </c>
      <c r="T452" t="s">
        <v>2044</v>
      </c>
      <c r="U452" t="s">
        <v>232</v>
      </c>
      <c r="V452" s="4" t="str">
        <f>"76092"</f>
        <v>76092</v>
      </c>
      <c r="W452" t="s">
        <v>120</v>
      </c>
      <c r="Y452" s="5">
        <v>18173290528</v>
      </c>
      <c r="AA452">
        <v>561730</v>
      </c>
      <c r="AB452" t="s">
        <v>536</v>
      </c>
      <c r="AC452" t="s">
        <v>2045</v>
      </c>
      <c r="AD452" t="s">
        <v>2046</v>
      </c>
      <c r="AE452" t="s">
        <v>342</v>
      </c>
      <c r="AF452" t="s">
        <v>2042</v>
      </c>
      <c r="AG452" t="s">
        <v>2043</v>
      </c>
      <c r="AH452" t="s">
        <v>2044</v>
      </c>
      <c r="AI452" t="s">
        <v>232</v>
      </c>
      <c r="AJ452" s="4" t="str">
        <f>"76092"</f>
        <v>76092</v>
      </c>
      <c r="AK452" t="s">
        <v>120</v>
      </c>
      <c r="AM452" s="5">
        <v>18173290528</v>
      </c>
      <c r="AO452" t="s">
        <v>2047</v>
      </c>
      <c r="AP452" t="s">
        <v>256</v>
      </c>
      <c r="AQ452" t="s">
        <v>2048</v>
      </c>
      <c r="AR452" t="s">
        <v>2049</v>
      </c>
      <c r="AS452" t="s">
        <v>1378</v>
      </c>
      <c r="AT452" t="s">
        <v>2050</v>
      </c>
      <c r="AU452" t="s">
        <v>138</v>
      </c>
      <c r="AV452" t="s">
        <v>1285</v>
      </c>
      <c r="AW452" t="s">
        <v>232</v>
      </c>
      <c r="AX452" s="4" t="str">
        <f>"77414"</f>
        <v>77414</v>
      </c>
      <c r="AY452" t="s">
        <v>120</v>
      </c>
      <c r="BA452" s="5">
        <v>19793187278</v>
      </c>
      <c r="BC452" t="s">
        <v>2051</v>
      </c>
      <c r="BD452" t="s">
        <v>1287</v>
      </c>
      <c r="BG452" t="s">
        <v>232</v>
      </c>
      <c r="BH452" s="1">
        <v>44879.791666666664</v>
      </c>
      <c r="BI452">
        <v>40</v>
      </c>
      <c r="BJ452">
        <v>0</v>
      </c>
      <c r="BK452">
        <v>8</v>
      </c>
      <c r="BL452">
        <v>8</v>
      </c>
      <c r="BM452">
        <v>8</v>
      </c>
      <c r="BN452">
        <v>8</v>
      </c>
      <c r="BO452">
        <v>8</v>
      </c>
      <c r="BP452">
        <v>0</v>
      </c>
      <c r="BQ452" t="str">
        <f>"7:30 AM"</f>
        <v>7:30 AM</v>
      </c>
      <c r="BR452" t="str">
        <f>"4:30 PM"</f>
        <v>4:30 PM</v>
      </c>
      <c r="BS452" t="s">
        <v>133</v>
      </c>
      <c r="BT452">
        <v>0</v>
      </c>
      <c r="BU452">
        <v>0</v>
      </c>
      <c r="BV452" t="s">
        <v>134</v>
      </c>
      <c r="BX452" s="2" t="s">
        <v>12838</v>
      </c>
      <c r="BY452" t="s">
        <v>2052</v>
      </c>
      <c r="BZ452" t="s">
        <v>138</v>
      </c>
      <c r="CA452" t="s">
        <v>2053</v>
      </c>
      <c r="CB452" t="s">
        <v>232</v>
      </c>
      <c r="CC452" s="4" t="str">
        <f>"76248"</f>
        <v>76248</v>
      </c>
      <c r="CD452" t="s">
        <v>2054</v>
      </c>
      <c r="CE452" t="s">
        <v>1528</v>
      </c>
      <c r="CF452" s="6">
        <v>16.3</v>
      </c>
      <c r="CG452" s="6">
        <v>28</v>
      </c>
      <c r="CH452" s="6">
        <v>24.45</v>
      </c>
      <c r="CI452" s="6">
        <v>42</v>
      </c>
      <c r="CJ452" t="s">
        <v>137</v>
      </c>
      <c r="CK452" t="s">
        <v>12839</v>
      </c>
      <c r="CL452" t="s">
        <v>2055</v>
      </c>
      <c r="CO452" t="s">
        <v>138</v>
      </c>
      <c r="CP452" t="s">
        <v>114</v>
      </c>
      <c r="CQ452" t="s">
        <v>114</v>
      </c>
      <c r="CR452" t="s">
        <v>114</v>
      </c>
      <c r="CS452" t="s">
        <v>114</v>
      </c>
      <c r="CT452" t="s">
        <v>114</v>
      </c>
      <c r="CU452" t="s">
        <v>134</v>
      </c>
      <c r="CV452" t="s">
        <v>2056</v>
      </c>
      <c r="CW452" s="5" t="str">
        <f>"+18173290528"</f>
        <v>+18173290528</v>
      </c>
      <c r="CX452" t="s">
        <v>2047</v>
      </c>
      <c r="CY452" t="s">
        <v>138</v>
      </c>
      <c r="CZ452" t="s">
        <v>139</v>
      </c>
      <c r="DA452" t="s">
        <v>134</v>
      </c>
      <c r="DB452" t="s">
        <v>134</v>
      </c>
      <c r="DC452" t="s">
        <v>114</v>
      </c>
      <c r="DD452" t="s">
        <v>134</v>
      </c>
    </row>
    <row r="453" spans="1:108" ht="15" customHeight="1" x14ac:dyDescent="0.25">
      <c r="A453" t="s">
        <v>15003</v>
      </c>
      <c r="B453" t="s">
        <v>165</v>
      </c>
      <c r="C453" s="1">
        <v>44876.941752314815</v>
      </c>
      <c r="D453" s="1">
        <v>44908</v>
      </c>
      <c r="E453" t="s">
        <v>134</v>
      </c>
      <c r="F453" t="s">
        <v>15004</v>
      </c>
      <c r="G453" t="str">
        <f>"49-3053.00"</f>
        <v>49-3053.00</v>
      </c>
      <c r="H453" t="s">
        <v>8141</v>
      </c>
      <c r="I453">
        <v>1</v>
      </c>
      <c r="J453">
        <v>1</v>
      </c>
      <c r="K453" s="1">
        <v>44951</v>
      </c>
      <c r="L453" s="1">
        <v>45229</v>
      </c>
      <c r="M453" s="1">
        <v>44951</v>
      </c>
      <c r="N453" s="1">
        <v>45229</v>
      </c>
      <c r="O453" t="s">
        <v>117</v>
      </c>
      <c r="P453" t="s">
        <v>4144</v>
      </c>
      <c r="R453" t="s">
        <v>4145</v>
      </c>
      <c r="T453" t="s">
        <v>1482</v>
      </c>
      <c r="U453" t="s">
        <v>232</v>
      </c>
      <c r="V453" s="4" t="str">
        <f>"75220"</f>
        <v>75220</v>
      </c>
      <c r="W453" t="s">
        <v>120</v>
      </c>
      <c r="Y453" s="5">
        <v>12143585296</v>
      </c>
      <c r="AA453">
        <v>56173</v>
      </c>
      <c r="AB453" t="s">
        <v>4146</v>
      </c>
      <c r="AC453" t="s">
        <v>4147</v>
      </c>
      <c r="AE453" t="s">
        <v>4148</v>
      </c>
      <c r="AF453" t="s">
        <v>13850</v>
      </c>
      <c r="AH453" t="s">
        <v>1525</v>
      </c>
      <c r="AI453" t="s">
        <v>232</v>
      </c>
      <c r="AJ453" s="4" t="str">
        <f>"75220"</f>
        <v>75220</v>
      </c>
      <c r="AK453" t="s">
        <v>120</v>
      </c>
      <c r="AM453" s="5">
        <v>12143585296</v>
      </c>
      <c r="AO453" t="s">
        <v>4149</v>
      </c>
      <c r="AP453" t="s">
        <v>256</v>
      </c>
      <c r="AQ453" t="s">
        <v>400</v>
      </c>
      <c r="AR453" t="s">
        <v>401</v>
      </c>
      <c r="AS453" t="s">
        <v>397</v>
      </c>
      <c r="AT453" t="s">
        <v>402</v>
      </c>
      <c r="AU453" t="s">
        <v>152</v>
      </c>
      <c r="AV453" t="s">
        <v>403</v>
      </c>
      <c r="AW453" t="s">
        <v>232</v>
      </c>
      <c r="AX453" s="4" t="str">
        <f>"75033"</f>
        <v>75033</v>
      </c>
      <c r="AY453" t="s">
        <v>120</v>
      </c>
      <c r="BA453" s="5">
        <v>19727789690</v>
      </c>
      <c r="BC453" t="s">
        <v>1534</v>
      </c>
      <c r="BD453" t="s">
        <v>405</v>
      </c>
      <c r="BG453" t="s">
        <v>232</v>
      </c>
      <c r="BH453" s="1">
        <v>44875.791666666664</v>
      </c>
      <c r="BI453">
        <v>40</v>
      </c>
      <c r="BJ453">
        <v>0</v>
      </c>
      <c r="BK453">
        <v>8</v>
      </c>
      <c r="BL453">
        <v>8</v>
      </c>
      <c r="BM453">
        <v>8</v>
      </c>
      <c r="BN453">
        <v>8</v>
      </c>
      <c r="BO453">
        <v>8</v>
      </c>
      <c r="BP453">
        <v>0</v>
      </c>
      <c r="BQ453" t="str">
        <f>"6:45 AM"</f>
        <v>6:45 AM</v>
      </c>
      <c r="BR453" t="str">
        <f>"3:45 PM"</f>
        <v>3:45 PM</v>
      </c>
      <c r="BS453" t="s">
        <v>133</v>
      </c>
      <c r="BT453">
        <v>0</v>
      </c>
      <c r="BU453">
        <v>0</v>
      </c>
      <c r="BV453" t="s">
        <v>134</v>
      </c>
      <c r="BX453" s="2" t="s">
        <v>4150</v>
      </c>
      <c r="BY453" t="s">
        <v>13850</v>
      </c>
      <c r="CA453" t="s">
        <v>1525</v>
      </c>
      <c r="CB453" t="s">
        <v>232</v>
      </c>
      <c r="CC453" s="4" t="str">
        <f>"75220"</f>
        <v>75220</v>
      </c>
      <c r="CD453" t="s">
        <v>1482</v>
      </c>
      <c r="CE453" t="s">
        <v>1528</v>
      </c>
      <c r="CF453" s="6">
        <v>19.59</v>
      </c>
      <c r="CG453" s="6">
        <v>19.59</v>
      </c>
      <c r="CH453" s="6">
        <v>29.39</v>
      </c>
      <c r="CI453" s="6">
        <v>29.39</v>
      </c>
      <c r="CJ453" t="s">
        <v>137</v>
      </c>
      <c r="CK453" t="s">
        <v>2812</v>
      </c>
      <c r="CL453" t="s">
        <v>15005</v>
      </c>
      <c r="CO453" t="s">
        <v>138</v>
      </c>
      <c r="CP453" t="s">
        <v>114</v>
      </c>
      <c r="CQ453" t="s">
        <v>114</v>
      </c>
      <c r="CR453" t="s">
        <v>114</v>
      </c>
      <c r="CS453" t="s">
        <v>114</v>
      </c>
      <c r="CT453" t="s">
        <v>114</v>
      </c>
      <c r="CU453" t="s">
        <v>114</v>
      </c>
      <c r="CV453" s="2" t="s">
        <v>15006</v>
      </c>
      <c r="CW453" s="5" t="str">
        <f>"+12143585296"</f>
        <v>+12143585296</v>
      </c>
      <c r="CX453" t="s">
        <v>138</v>
      </c>
      <c r="CY453" t="s">
        <v>953</v>
      </c>
      <c r="CZ453" t="s">
        <v>139</v>
      </c>
      <c r="DA453" t="s">
        <v>134</v>
      </c>
      <c r="DB453" t="s">
        <v>114</v>
      </c>
      <c r="DC453" t="s">
        <v>114</v>
      </c>
      <c r="DD453" t="s">
        <v>134</v>
      </c>
    </row>
    <row r="454" spans="1:108" ht="15" customHeight="1" x14ac:dyDescent="0.25">
      <c r="A454" t="s">
        <v>6198</v>
      </c>
      <c r="B454" t="s">
        <v>165</v>
      </c>
      <c r="C454" s="1">
        <v>44852.881463888887</v>
      </c>
      <c r="D454" s="1">
        <v>44908</v>
      </c>
      <c r="E454" t="s">
        <v>114</v>
      </c>
      <c r="F454" t="s">
        <v>6199</v>
      </c>
      <c r="G454" t="str">
        <f>"39-2011.00"</f>
        <v>39-2011.00</v>
      </c>
      <c r="H454" t="s">
        <v>6200</v>
      </c>
      <c r="I454">
        <v>1</v>
      </c>
      <c r="J454">
        <v>1</v>
      </c>
      <c r="K454" s="1">
        <v>44929</v>
      </c>
      <c r="L454" s="1">
        <v>45566</v>
      </c>
      <c r="M454" s="1">
        <v>44929</v>
      </c>
      <c r="N454" s="1">
        <v>45566</v>
      </c>
      <c r="O454" t="s">
        <v>168</v>
      </c>
      <c r="P454" t="s">
        <v>6201</v>
      </c>
      <c r="Q454" t="s">
        <v>138</v>
      </c>
      <c r="R454" t="s">
        <v>6202</v>
      </c>
      <c r="S454" t="s">
        <v>138</v>
      </c>
      <c r="T454" t="s">
        <v>6203</v>
      </c>
      <c r="U454" t="s">
        <v>444</v>
      </c>
      <c r="V454" s="4" t="str">
        <f>"95003"</f>
        <v>95003</v>
      </c>
      <c r="W454" t="s">
        <v>120</v>
      </c>
      <c r="X454" t="s">
        <v>138</v>
      </c>
      <c r="Y454" s="5">
        <v>18317220698</v>
      </c>
      <c r="AA454">
        <v>115210</v>
      </c>
      <c r="AB454" t="s">
        <v>6204</v>
      </c>
      <c r="AC454" t="s">
        <v>6205</v>
      </c>
      <c r="AD454" t="s">
        <v>138</v>
      </c>
      <c r="AE454" t="s">
        <v>700</v>
      </c>
      <c r="AF454" t="s">
        <v>6202</v>
      </c>
      <c r="AG454" t="s">
        <v>138</v>
      </c>
      <c r="AH454" t="s">
        <v>6203</v>
      </c>
      <c r="AI454" t="s">
        <v>444</v>
      </c>
      <c r="AJ454" s="4" t="str">
        <f>"95003"</f>
        <v>95003</v>
      </c>
      <c r="AK454" t="s">
        <v>120</v>
      </c>
      <c r="AM454" s="5">
        <v>18317220698</v>
      </c>
      <c r="AO454" t="s">
        <v>6206</v>
      </c>
      <c r="AP454" t="s">
        <v>122</v>
      </c>
      <c r="AQ454" t="s">
        <v>6207</v>
      </c>
      <c r="AR454" t="s">
        <v>5983</v>
      </c>
      <c r="AS454" t="s">
        <v>4827</v>
      </c>
      <c r="AT454" t="s">
        <v>6208</v>
      </c>
      <c r="AU454" t="s">
        <v>6209</v>
      </c>
      <c r="AV454" t="s">
        <v>1766</v>
      </c>
      <c r="AW454" t="s">
        <v>444</v>
      </c>
      <c r="AX454" s="4" t="str">
        <f>"90014"</f>
        <v>90014</v>
      </c>
      <c r="AY454" t="s">
        <v>120</v>
      </c>
      <c r="BA454" s="5">
        <v>19253858240</v>
      </c>
      <c r="BC454" t="s">
        <v>6210</v>
      </c>
      <c r="BD454" t="s">
        <v>6211</v>
      </c>
      <c r="BE454" t="s">
        <v>444</v>
      </c>
      <c r="BF454" t="s">
        <v>218</v>
      </c>
      <c r="BG454" t="s">
        <v>444</v>
      </c>
      <c r="BH454" s="1">
        <v>44851.833333333336</v>
      </c>
      <c r="BI454">
        <v>40</v>
      </c>
      <c r="BJ454">
        <v>0</v>
      </c>
      <c r="BK454">
        <v>8</v>
      </c>
      <c r="BL454">
        <v>6</v>
      </c>
      <c r="BM454">
        <v>6</v>
      </c>
      <c r="BN454">
        <v>6</v>
      </c>
      <c r="BO454">
        <v>6</v>
      </c>
      <c r="BP454">
        <v>8</v>
      </c>
      <c r="BQ454" t="str">
        <f>"8:00 AM"</f>
        <v>8:00 AM</v>
      </c>
      <c r="BR454" t="str">
        <f>"3:00 PM"</f>
        <v>3:00 PM</v>
      </c>
      <c r="BS454" t="s">
        <v>133</v>
      </c>
      <c r="BT454">
        <v>0</v>
      </c>
      <c r="BU454">
        <v>12</v>
      </c>
      <c r="BV454" t="s">
        <v>114</v>
      </c>
      <c r="BW454">
        <v>3</v>
      </c>
      <c r="BX454" t="s">
        <v>219</v>
      </c>
      <c r="BY454" t="s">
        <v>6202</v>
      </c>
      <c r="BZ454" t="s">
        <v>138</v>
      </c>
      <c r="CA454" t="s">
        <v>6203</v>
      </c>
      <c r="CB454" t="s">
        <v>444</v>
      </c>
      <c r="CC454" s="4" t="str">
        <f>"95003"</f>
        <v>95003</v>
      </c>
      <c r="CD454" t="s">
        <v>6212</v>
      </c>
      <c r="CE454" t="s">
        <v>6213</v>
      </c>
      <c r="CF454" s="6">
        <v>23.71</v>
      </c>
      <c r="CG454" s="6">
        <v>23.71</v>
      </c>
      <c r="CJ454" t="s">
        <v>137</v>
      </c>
      <c r="CL454" t="s">
        <v>6214</v>
      </c>
      <c r="CO454" t="s">
        <v>138</v>
      </c>
      <c r="CP454" t="s">
        <v>134</v>
      </c>
      <c r="CQ454" t="s">
        <v>134</v>
      </c>
      <c r="CR454" t="s">
        <v>134</v>
      </c>
      <c r="CS454" t="s">
        <v>134</v>
      </c>
      <c r="CT454" t="s">
        <v>114</v>
      </c>
      <c r="CU454" t="s">
        <v>134</v>
      </c>
      <c r="CV454" t="s">
        <v>219</v>
      </c>
      <c r="CW454" s="5" t="str">
        <f>"+18317220698"</f>
        <v>+18317220698</v>
      </c>
      <c r="CX454" t="s">
        <v>6215</v>
      </c>
      <c r="CY454" t="s">
        <v>138</v>
      </c>
      <c r="CZ454" t="s">
        <v>139</v>
      </c>
      <c r="DA454" t="s">
        <v>134</v>
      </c>
      <c r="DB454" t="s">
        <v>134</v>
      </c>
      <c r="DC454" t="s">
        <v>114</v>
      </c>
      <c r="DD454" t="s">
        <v>134</v>
      </c>
    </row>
    <row r="455" spans="1:108" ht="15" customHeight="1" x14ac:dyDescent="0.25">
      <c r="A455" t="s">
        <v>15650</v>
      </c>
      <c r="B455" t="s">
        <v>165</v>
      </c>
      <c r="C455" s="1">
        <v>44840.530169907404</v>
      </c>
      <c r="D455" s="1">
        <v>44908</v>
      </c>
      <c r="E455" t="s">
        <v>134</v>
      </c>
      <c r="F455" t="s">
        <v>1106</v>
      </c>
      <c r="G455" t="str">
        <f>"45-4011.00"</f>
        <v>45-4011.00</v>
      </c>
      <c r="H455" t="s">
        <v>1107</v>
      </c>
      <c r="I455">
        <v>15</v>
      </c>
      <c r="J455">
        <v>15</v>
      </c>
      <c r="K455" s="1">
        <v>44915</v>
      </c>
      <c r="L455" s="1">
        <v>44986</v>
      </c>
      <c r="M455" s="1">
        <v>44915</v>
      </c>
      <c r="N455" s="1">
        <v>44986</v>
      </c>
      <c r="O455" t="s">
        <v>199</v>
      </c>
      <c r="P455" t="s">
        <v>15651</v>
      </c>
      <c r="R455" t="s">
        <v>15652</v>
      </c>
      <c r="S455" t="s">
        <v>15653</v>
      </c>
      <c r="T455" t="s">
        <v>15654</v>
      </c>
      <c r="U455" t="s">
        <v>129</v>
      </c>
      <c r="V455" s="4" t="str">
        <f>"30161"</f>
        <v>30161</v>
      </c>
      <c r="W455" t="s">
        <v>120</v>
      </c>
      <c r="Y455" s="5">
        <v>16788771361</v>
      </c>
      <c r="AA455">
        <v>11531</v>
      </c>
      <c r="AB455" t="s">
        <v>15655</v>
      </c>
      <c r="AC455" t="s">
        <v>15656</v>
      </c>
      <c r="AD455" t="s">
        <v>138</v>
      </c>
      <c r="AE455" t="s">
        <v>424</v>
      </c>
      <c r="AF455" t="s">
        <v>15652</v>
      </c>
      <c r="AG455" t="s">
        <v>15657</v>
      </c>
      <c r="AH455" t="s">
        <v>15654</v>
      </c>
      <c r="AI455" t="s">
        <v>129</v>
      </c>
      <c r="AJ455" s="4" t="str">
        <f>"30161"</f>
        <v>30161</v>
      </c>
      <c r="AK455" t="s">
        <v>120</v>
      </c>
      <c r="AM455" s="5">
        <v>16788771361</v>
      </c>
      <c r="AO455" t="s">
        <v>138</v>
      </c>
      <c r="AP455" t="s">
        <v>256</v>
      </c>
      <c r="AQ455" t="s">
        <v>1511</v>
      </c>
      <c r="AR455" t="s">
        <v>1512</v>
      </c>
      <c r="AS455" t="s">
        <v>138</v>
      </c>
      <c r="AT455" t="s">
        <v>1422</v>
      </c>
      <c r="AU455" t="s">
        <v>347</v>
      </c>
      <c r="AV455" t="s">
        <v>828</v>
      </c>
      <c r="AW455" t="s">
        <v>349</v>
      </c>
      <c r="AX455" s="4" t="str">
        <f>"83814"</f>
        <v>83814</v>
      </c>
      <c r="AY455" t="s">
        <v>120</v>
      </c>
      <c r="BA455" s="5">
        <v>12087772654</v>
      </c>
      <c r="BC455" t="s">
        <v>1513</v>
      </c>
      <c r="BD455" t="s">
        <v>351</v>
      </c>
      <c r="BG455" t="s">
        <v>479</v>
      </c>
      <c r="BH455" s="1">
        <v>44830.833333333336</v>
      </c>
      <c r="BI455">
        <v>35</v>
      </c>
      <c r="BJ455">
        <v>0</v>
      </c>
      <c r="BK455">
        <v>7</v>
      </c>
      <c r="BL455">
        <v>7</v>
      </c>
      <c r="BM455">
        <v>7</v>
      </c>
      <c r="BN455">
        <v>7</v>
      </c>
      <c r="BO455">
        <v>7</v>
      </c>
      <c r="BP455">
        <v>0</v>
      </c>
      <c r="BQ455" t="str">
        <f>"8:00 AM"</f>
        <v>8:00 AM</v>
      </c>
      <c r="BR455" t="str">
        <f>"4:00 PM"</f>
        <v>4:00 PM</v>
      </c>
      <c r="BS455" t="s">
        <v>133</v>
      </c>
      <c r="BT455">
        <v>0</v>
      </c>
      <c r="BU455">
        <v>0</v>
      </c>
      <c r="BV455" t="s">
        <v>134</v>
      </c>
      <c r="BX455" s="2" t="s">
        <v>15658</v>
      </c>
      <c r="BY455" t="s">
        <v>15659</v>
      </c>
      <c r="CA455" t="s">
        <v>4398</v>
      </c>
      <c r="CB455" t="s">
        <v>479</v>
      </c>
      <c r="CC455" s="4" t="str">
        <f>"22980"</f>
        <v>22980</v>
      </c>
      <c r="CD455" t="s">
        <v>10271</v>
      </c>
      <c r="CE455" t="s">
        <v>4399</v>
      </c>
      <c r="CF455" s="6">
        <v>16.2</v>
      </c>
      <c r="CG455" s="6">
        <v>26.74</v>
      </c>
      <c r="CH455" s="6">
        <v>24.3</v>
      </c>
      <c r="CI455" s="6">
        <v>40.11</v>
      </c>
      <c r="CJ455" t="s">
        <v>137</v>
      </c>
      <c r="CK455" t="s">
        <v>12602</v>
      </c>
      <c r="CL455" t="s">
        <v>15660</v>
      </c>
      <c r="CO455" t="s">
        <v>138</v>
      </c>
      <c r="CP455" t="s">
        <v>114</v>
      </c>
      <c r="CQ455" t="s">
        <v>114</v>
      </c>
      <c r="CR455" t="s">
        <v>114</v>
      </c>
      <c r="CS455" t="s">
        <v>114</v>
      </c>
      <c r="CT455" t="s">
        <v>114</v>
      </c>
      <c r="CU455" t="s">
        <v>114</v>
      </c>
      <c r="CV455" t="s">
        <v>358</v>
      </c>
      <c r="CW455" s="5" t="str">
        <f>"+16788771602"</f>
        <v>+16788771602</v>
      </c>
      <c r="CX455" t="s">
        <v>15661</v>
      </c>
      <c r="CY455" t="s">
        <v>1939</v>
      </c>
      <c r="CZ455" t="s">
        <v>139</v>
      </c>
      <c r="DA455" t="s">
        <v>134</v>
      </c>
      <c r="DB455" t="s">
        <v>134</v>
      </c>
      <c r="DC455" t="s">
        <v>114</v>
      </c>
      <c r="DD455" t="s">
        <v>134</v>
      </c>
    </row>
    <row r="456" spans="1:108" ht="15" customHeight="1" x14ac:dyDescent="0.25">
      <c r="A456" t="s">
        <v>6216</v>
      </c>
      <c r="B456" t="s">
        <v>165</v>
      </c>
      <c r="C456" s="1">
        <v>44882.494324537038</v>
      </c>
      <c r="D456" s="1">
        <v>44907</v>
      </c>
      <c r="E456" t="s">
        <v>134</v>
      </c>
      <c r="F456" t="s">
        <v>1331</v>
      </c>
      <c r="G456" t="str">
        <f>"35-2014.00"</f>
        <v>35-2014.00</v>
      </c>
      <c r="H456" t="s">
        <v>915</v>
      </c>
      <c r="I456">
        <v>10</v>
      </c>
      <c r="J456">
        <v>10</v>
      </c>
      <c r="K456" s="1">
        <v>44972</v>
      </c>
      <c r="L456" s="1">
        <v>45245</v>
      </c>
      <c r="M456" s="1">
        <v>44972</v>
      </c>
      <c r="N456" s="1">
        <v>45245</v>
      </c>
      <c r="O456" t="s">
        <v>117</v>
      </c>
      <c r="P456" t="s">
        <v>6217</v>
      </c>
      <c r="Q456" t="s">
        <v>6218</v>
      </c>
      <c r="R456" t="s">
        <v>6219</v>
      </c>
      <c r="T456" t="s">
        <v>684</v>
      </c>
      <c r="U456" t="s">
        <v>232</v>
      </c>
      <c r="V456" s="4" t="str">
        <f>"78735"</f>
        <v>78735</v>
      </c>
      <c r="W456" t="s">
        <v>120</v>
      </c>
      <c r="Y456" s="5">
        <v>15123294000</v>
      </c>
      <c r="AA456">
        <v>72111</v>
      </c>
      <c r="AB456" t="s">
        <v>6220</v>
      </c>
      <c r="AC456" t="s">
        <v>6221</v>
      </c>
      <c r="AE456" t="s">
        <v>1915</v>
      </c>
      <c r="AF456" t="s">
        <v>6219</v>
      </c>
      <c r="AH456" t="s">
        <v>684</v>
      </c>
      <c r="AI456" t="s">
        <v>232</v>
      </c>
      <c r="AJ456" s="4" t="str">
        <f>"78735"</f>
        <v>78735</v>
      </c>
      <c r="AK456" t="s">
        <v>120</v>
      </c>
      <c r="AM456" s="5">
        <v>15123294000</v>
      </c>
      <c r="AO456" t="s">
        <v>1911</v>
      </c>
      <c r="AP456" t="s">
        <v>256</v>
      </c>
      <c r="AQ456" t="s">
        <v>400</v>
      </c>
      <c r="AR456" t="s">
        <v>401</v>
      </c>
      <c r="AS456" t="s">
        <v>397</v>
      </c>
      <c r="AT456" t="s">
        <v>402</v>
      </c>
      <c r="AU456" t="s">
        <v>152</v>
      </c>
      <c r="AV456" t="s">
        <v>403</v>
      </c>
      <c r="AW456" t="s">
        <v>232</v>
      </c>
      <c r="AX456" s="4" t="str">
        <f>"75033"</f>
        <v>75033</v>
      </c>
      <c r="AY456" t="s">
        <v>120</v>
      </c>
      <c r="BA456" s="5">
        <v>19727789690</v>
      </c>
      <c r="BC456" t="s">
        <v>905</v>
      </c>
      <c r="BD456" t="s">
        <v>405</v>
      </c>
      <c r="BG456" t="s">
        <v>232</v>
      </c>
      <c r="BH456" s="1">
        <v>44881.791666666664</v>
      </c>
      <c r="BI456">
        <v>40</v>
      </c>
      <c r="BJ456">
        <v>8</v>
      </c>
      <c r="BK456">
        <v>0</v>
      </c>
      <c r="BL456">
        <v>0</v>
      </c>
      <c r="BM456">
        <v>8</v>
      </c>
      <c r="BN456">
        <v>8</v>
      </c>
      <c r="BO456">
        <v>8</v>
      </c>
      <c r="BP456">
        <v>8</v>
      </c>
      <c r="BQ456" t="str">
        <f>"5:00 AM"</f>
        <v>5:00 AM</v>
      </c>
      <c r="BR456" t="str">
        <f>"2:00 PM"</f>
        <v>2:00 PM</v>
      </c>
      <c r="BS456" t="s">
        <v>133</v>
      </c>
      <c r="BT456">
        <v>0</v>
      </c>
      <c r="BU456">
        <v>0</v>
      </c>
      <c r="BV456" t="s">
        <v>134</v>
      </c>
      <c r="BX456" s="2" t="s">
        <v>6222</v>
      </c>
      <c r="BY456" t="s">
        <v>6219</v>
      </c>
      <c r="CA456" t="s">
        <v>684</v>
      </c>
      <c r="CB456" t="s">
        <v>232</v>
      </c>
      <c r="CC456" s="4" t="str">
        <f>"78735"</f>
        <v>78735</v>
      </c>
      <c r="CD456" t="s">
        <v>948</v>
      </c>
      <c r="CE456" t="s">
        <v>949</v>
      </c>
      <c r="CF456" s="6">
        <v>18</v>
      </c>
      <c r="CH456" s="6">
        <v>27</v>
      </c>
      <c r="CJ456" t="s">
        <v>137</v>
      </c>
      <c r="CK456" t="s">
        <v>6223</v>
      </c>
      <c r="CL456" t="s">
        <v>6224</v>
      </c>
      <c r="CO456" t="s">
        <v>138</v>
      </c>
      <c r="CP456" t="s">
        <v>134</v>
      </c>
      <c r="CQ456" t="s">
        <v>134</v>
      </c>
      <c r="CR456" t="s">
        <v>114</v>
      </c>
      <c r="CS456" t="s">
        <v>114</v>
      </c>
      <c r="CT456" t="s">
        <v>114</v>
      </c>
      <c r="CU456" t="s">
        <v>114</v>
      </c>
      <c r="CV456" s="2" t="s">
        <v>6225</v>
      </c>
      <c r="CW456" s="5" t="str">
        <f>"+15123294000"</f>
        <v>+15123294000</v>
      </c>
      <c r="CX456" t="s">
        <v>138</v>
      </c>
      <c r="CY456" t="s">
        <v>6226</v>
      </c>
      <c r="CZ456" t="s">
        <v>139</v>
      </c>
      <c r="DA456" t="s">
        <v>134</v>
      </c>
      <c r="DB456" t="s">
        <v>114</v>
      </c>
      <c r="DC456" t="s">
        <v>114</v>
      </c>
      <c r="DD456" t="s">
        <v>134</v>
      </c>
    </row>
    <row r="457" spans="1:108" ht="15" customHeight="1" x14ac:dyDescent="0.25">
      <c r="A457" t="s">
        <v>11930</v>
      </c>
      <c r="B457" t="s">
        <v>165</v>
      </c>
      <c r="C457" s="1">
        <v>44882.48832592593</v>
      </c>
      <c r="D457" s="1">
        <v>44907</v>
      </c>
      <c r="E457" t="s">
        <v>134</v>
      </c>
      <c r="F457" t="s">
        <v>2269</v>
      </c>
      <c r="G457" t="str">
        <f>"35-9011.00"</f>
        <v>35-9011.00</v>
      </c>
      <c r="H457" t="s">
        <v>743</v>
      </c>
      <c r="I457">
        <v>7</v>
      </c>
      <c r="J457">
        <v>7</v>
      </c>
      <c r="K457" s="1">
        <v>44972</v>
      </c>
      <c r="L457" s="1">
        <v>45245</v>
      </c>
      <c r="M457" s="1">
        <v>44972</v>
      </c>
      <c r="N457" s="1">
        <v>45245</v>
      </c>
      <c r="O457" t="s">
        <v>117</v>
      </c>
      <c r="P457" t="s">
        <v>6217</v>
      </c>
      <c r="Q457" t="s">
        <v>6218</v>
      </c>
      <c r="R457" t="s">
        <v>6219</v>
      </c>
      <c r="T457" t="s">
        <v>684</v>
      </c>
      <c r="U457" t="s">
        <v>232</v>
      </c>
      <c r="V457" s="4" t="str">
        <f>"78735"</f>
        <v>78735</v>
      </c>
      <c r="W457" t="s">
        <v>120</v>
      </c>
      <c r="Y457" s="5">
        <v>15123294000</v>
      </c>
      <c r="AA457">
        <v>72111</v>
      </c>
      <c r="AB457" t="s">
        <v>6220</v>
      </c>
      <c r="AC457" t="s">
        <v>6221</v>
      </c>
      <c r="AE457" t="s">
        <v>1915</v>
      </c>
      <c r="AF457" t="s">
        <v>6219</v>
      </c>
      <c r="AH457" t="s">
        <v>684</v>
      </c>
      <c r="AI457" t="s">
        <v>232</v>
      </c>
      <c r="AJ457" s="4" t="str">
        <f>"78735"</f>
        <v>78735</v>
      </c>
      <c r="AK457" t="s">
        <v>120</v>
      </c>
      <c r="AM457" s="5">
        <v>15123294000</v>
      </c>
      <c r="AO457" t="s">
        <v>1911</v>
      </c>
      <c r="AP457" t="s">
        <v>256</v>
      </c>
      <c r="AQ457" t="s">
        <v>400</v>
      </c>
      <c r="AR457" t="s">
        <v>401</v>
      </c>
      <c r="AS457" t="s">
        <v>397</v>
      </c>
      <c r="AT457" t="s">
        <v>402</v>
      </c>
      <c r="AU457" t="s">
        <v>152</v>
      </c>
      <c r="AV457" t="s">
        <v>403</v>
      </c>
      <c r="AW457" t="s">
        <v>232</v>
      </c>
      <c r="AX457" s="4" t="str">
        <f>"75033"</f>
        <v>75033</v>
      </c>
      <c r="AY457" t="s">
        <v>120</v>
      </c>
      <c r="BA457" s="5">
        <v>19727789690</v>
      </c>
      <c r="BC457" t="s">
        <v>905</v>
      </c>
      <c r="BD457" t="s">
        <v>405</v>
      </c>
      <c r="BG457" t="s">
        <v>232</v>
      </c>
      <c r="BH457" s="1">
        <v>44881.791666666664</v>
      </c>
      <c r="BI457">
        <v>40</v>
      </c>
      <c r="BJ457">
        <v>8</v>
      </c>
      <c r="BK457">
        <v>0</v>
      </c>
      <c r="BL457">
        <v>0</v>
      </c>
      <c r="BM457">
        <v>8</v>
      </c>
      <c r="BN457">
        <v>8</v>
      </c>
      <c r="BO457">
        <v>8</v>
      </c>
      <c r="BP457">
        <v>8</v>
      </c>
      <c r="BQ457" t="str">
        <f>"7:00 AM"</f>
        <v>7:00 AM</v>
      </c>
      <c r="BR457" t="str">
        <f>"4:00 PM"</f>
        <v>4:00 PM</v>
      </c>
      <c r="BS457" t="s">
        <v>133</v>
      </c>
      <c r="BT457">
        <v>0</v>
      </c>
      <c r="BU457">
        <v>0</v>
      </c>
      <c r="BV457" t="s">
        <v>134</v>
      </c>
      <c r="BX457" s="2" t="s">
        <v>11931</v>
      </c>
      <c r="BY457" t="s">
        <v>6219</v>
      </c>
      <c r="CA457" t="s">
        <v>684</v>
      </c>
      <c r="CB457" t="s">
        <v>232</v>
      </c>
      <c r="CC457" s="4" t="str">
        <f>"78735"</f>
        <v>78735</v>
      </c>
      <c r="CD457" t="s">
        <v>948</v>
      </c>
      <c r="CE457" t="s">
        <v>949</v>
      </c>
      <c r="CF457" s="6">
        <v>15</v>
      </c>
      <c r="CH457" s="6">
        <v>22.5</v>
      </c>
      <c r="CJ457" t="s">
        <v>137</v>
      </c>
      <c r="CK457" t="s">
        <v>909</v>
      </c>
      <c r="CL457" t="s">
        <v>11932</v>
      </c>
      <c r="CO457" t="s">
        <v>138</v>
      </c>
      <c r="CP457" t="s">
        <v>134</v>
      </c>
      <c r="CQ457" t="s">
        <v>134</v>
      </c>
      <c r="CR457" t="s">
        <v>114</v>
      </c>
      <c r="CS457" t="s">
        <v>114</v>
      </c>
      <c r="CT457" t="s">
        <v>114</v>
      </c>
      <c r="CU457" t="s">
        <v>114</v>
      </c>
      <c r="CV457" s="2" t="s">
        <v>6225</v>
      </c>
      <c r="CW457" s="5" t="str">
        <f>"+15123294000"</f>
        <v>+15123294000</v>
      </c>
      <c r="CX457" t="s">
        <v>138</v>
      </c>
      <c r="CY457" t="s">
        <v>1913</v>
      </c>
      <c r="CZ457" t="s">
        <v>139</v>
      </c>
      <c r="DA457" t="s">
        <v>134</v>
      </c>
      <c r="DB457" t="s">
        <v>114</v>
      </c>
      <c r="DC457" t="s">
        <v>114</v>
      </c>
      <c r="DD457" t="s">
        <v>134</v>
      </c>
    </row>
    <row r="458" spans="1:108" ht="15" customHeight="1" x14ac:dyDescent="0.25">
      <c r="A458" t="s">
        <v>16812</v>
      </c>
      <c r="B458" t="s">
        <v>165</v>
      </c>
      <c r="C458" s="1">
        <v>44882.486815625001</v>
      </c>
      <c r="D458" s="1">
        <v>44907</v>
      </c>
      <c r="E458" t="s">
        <v>134</v>
      </c>
      <c r="F458" t="s">
        <v>2068</v>
      </c>
      <c r="G458" t="str">
        <f>"35-9021.00"</f>
        <v>35-9021.00</v>
      </c>
      <c r="H458" t="s">
        <v>1910</v>
      </c>
      <c r="I458">
        <v>10</v>
      </c>
      <c r="J458">
        <v>10</v>
      </c>
      <c r="K458" s="1">
        <v>44972</v>
      </c>
      <c r="L458" s="1">
        <v>45245</v>
      </c>
      <c r="M458" s="1">
        <v>44972</v>
      </c>
      <c r="N458" s="1">
        <v>45245</v>
      </c>
      <c r="O458" t="s">
        <v>117</v>
      </c>
      <c r="P458" t="s">
        <v>6217</v>
      </c>
      <c r="Q458" t="s">
        <v>6218</v>
      </c>
      <c r="R458" t="s">
        <v>6219</v>
      </c>
      <c r="T458" t="s">
        <v>684</v>
      </c>
      <c r="U458" t="s">
        <v>232</v>
      </c>
      <c r="V458" s="4" t="str">
        <f>"78735"</f>
        <v>78735</v>
      </c>
      <c r="W458" t="s">
        <v>120</v>
      </c>
      <c r="Y458" s="5">
        <v>15123294000</v>
      </c>
      <c r="AA458">
        <v>72111</v>
      </c>
      <c r="AB458" t="s">
        <v>16813</v>
      </c>
      <c r="AC458" t="s">
        <v>6221</v>
      </c>
      <c r="AE458" t="s">
        <v>1915</v>
      </c>
      <c r="AF458" t="s">
        <v>6219</v>
      </c>
      <c r="AH458" t="s">
        <v>684</v>
      </c>
      <c r="AI458" t="s">
        <v>232</v>
      </c>
      <c r="AJ458" s="4" t="str">
        <f>"78735"</f>
        <v>78735</v>
      </c>
      <c r="AK458" t="s">
        <v>120</v>
      </c>
      <c r="AM458" s="5">
        <v>15123294000</v>
      </c>
      <c r="AO458" t="s">
        <v>1911</v>
      </c>
      <c r="AP458" t="s">
        <v>256</v>
      </c>
      <c r="AQ458" t="s">
        <v>400</v>
      </c>
      <c r="AR458" t="s">
        <v>401</v>
      </c>
      <c r="AS458" t="s">
        <v>397</v>
      </c>
      <c r="AT458" t="s">
        <v>402</v>
      </c>
      <c r="AU458" t="s">
        <v>152</v>
      </c>
      <c r="AV458" t="s">
        <v>403</v>
      </c>
      <c r="AW458" t="s">
        <v>232</v>
      </c>
      <c r="AX458" s="4" t="str">
        <f>"75033"</f>
        <v>75033</v>
      </c>
      <c r="AY458" t="s">
        <v>120</v>
      </c>
      <c r="BA458" s="5">
        <v>19727789690</v>
      </c>
      <c r="BC458" t="s">
        <v>905</v>
      </c>
      <c r="BD458" t="s">
        <v>405</v>
      </c>
      <c r="BG458" t="s">
        <v>232</v>
      </c>
      <c r="BH458" s="1">
        <v>44881.791666666664</v>
      </c>
      <c r="BI458">
        <v>40</v>
      </c>
      <c r="BJ458">
        <v>8</v>
      </c>
      <c r="BK458">
        <v>0</v>
      </c>
      <c r="BL458">
        <v>0</v>
      </c>
      <c r="BM458">
        <v>8</v>
      </c>
      <c r="BN458">
        <v>8</v>
      </c>
      <c r="BO458">
        <v>8</v>
      </c>
      <c r="BP458">
        <v>8</v>
      </c>
      <c r="BQ458" t="str">
        <f>"5:00 AM"</f>
        <v>5:00 AM</v>
      </c>
      <c r="BR458" t="str">
        <f>"2:00 PM"</f>
        <v>2:00 PM</v>
      </c>
      <c r="BS458" t="s">
        <v>133</v>
      </c>
      <c r="BT458">
        <v>0</v>
      </c>
      <c r="BU458">
        <v>0</v>
      </c>
      <c r="BV458" t="s">
        <v>134</v>
      </c>
      <c r="BX458" t="s">
        <v>16814</v>
      </c>
      <c r="BY458" t="s">
        <v>6219</v>
      </c>
      <c r="CA458" t="s">
        <v>684</v>
      </c>
      <c r="CB458" t="s">
        <v>232</v>
      </c>
      <c r="CC458" s="4" t="str">
        <f>"78735"</f>
        <v>78735</v>
      </c>
      <c r="CD458" t="s">
        <v>948</v>
      </c>
      <c r="CE458" t="s">
        <v>949</v>
      </c>
      <c r="CF458" s="6">
        <v>16</v>
      </c>
      <c r="CH458" s="6">
        <v>24</v>
      </c>
      <c r="CJ458" t="s">
        <v>137</v>
      </c>
      <c r="CK458" t="s">
        <v>909</v>
      </c>
      <c r="CL458" t="s">
        <v>16815</v>
      </c>
      <c r="CO458" t="s">
        <v>138</v>
      </c>
      <c r="CP458" t="s">
        <v>134</v>
      </c>
      <c r="CQ458" t="s">
        <v>134</v>
      </c>
      <c r="CR458" t="s">
        <v>114</v>
      </c>
      <c r="CS458" t="s">
        <v>114</v>
      </c>
      <c r="CT458" t="s">
        <v>114</v>
      </c>
      <c r="CU458" t="s">
        <v>114</v>
      </c>
      <c r="CV458" t="s">
        <v>16816</v>
      </c>
      <c r="CW458" s="5" t="str">
        <f>"+15123294000"</f>
        <v>+15123294000</v>
      </c>
      <c r="CX458" t="s">
        <v>138</v>
      </c>
      <c r="CY458" t="s">
        <v>1913</v>
      </c>
      <c r="CZ458" t="s">
        <v>139</v>
      </c>
      <c r="DA458" t="s">
        <v>134</v>
      </c>
      <c r="DB458" t="s">
        <v>114</v>
      </c>
      <c r="DC458" t="s">
        <v>114</v>
      </c>
      <c r="DD458" t="s">
        <v>134</v>
      </c>
    </row>
    <row r="459" spans="1:108" ht="15" customHeight="1" x14ac:dyDescent="0.25">
      <c r="A459" t="s">
        <v>11933</v>
      </c>
      <c r="B459" t="s">
        <v>165</v>
      </c>
      <c r="C459" s="1">
        <v>44881.497414583333</v>
      </c>
      <c r="D459" s="1">
        <v>44907</v>
      </c>
      <c r="E459" t="s">
        <v>134</v>
      </c>
      <c r="F459" t="s">
        <v>334</v>
      </c>
      <c r="G459" t="str">
        <f>"37-3011.00"</f>
        <v>37-3011.00</v>
      </c>
      <c r="H459" t="s">
        <v>335</v>
      </c>
      <c r="I459">
        <v>50</v>
      </c>
      <c r="J459">
        <v>50</v>
      </c>
      <c r="K459" s="1">
        <v>44971</v>
      </c>
      <c r="L459" s="1">
        <v>45260</v>
      </c>
      <c r="M459" s="1">
        <v>44971</v>
      </c>
      <c r="N459" s="1">
        <v>45260</v>
      </c>
      <c r="O459" t="s">
        <v>117</v>
      </c>
      <c r="P459" t="s">
        <v>11934</v>
      </c>
      <c r="R459" t="s">
        <v>11935</v>
      </c>
      <c r="T459" t="s">
        <v>2252</v>
      </c>
      <c r="U459" t="s">
        <v>214</v>
      </c>
      <c r="V459" s="4" t="str">
        <f>"70817"</f>
        <v>70817</v>
      </c>
      <c r="W459" t="s">
        <v>120</v>
      </c>
      <c r="Y459" s="5">
        <v>12257535296</v>
      </c>
      <c r="AA459">
        <v>56173</v>
      </c>
      <c r="AB459" t="s">
        <v>11936</v>
      </c>
      <c r="AC459" t="s">
        <v>2208</v>
      </c>
      <c r="AE459" t="s">
        <v>342</v>
      </c>
      <c r="AF459" t="s">
        <v>11935</v>
      </c>
      <c r="AH459" t="s">
        <v>2252</v>
      </c>
      <c r="AI459" t="s">
        <v>214</v>
      </c>
      <c r="AJ459" s="4" t="str">
        <f>"70817"</f>
        <v>70817</v>
      </c>
      <c r="AK459" t="s">
        <v>120</v>
      </c>
      <c r="AM459" s="5">
        <v>12257535296</v>
      </c>
      <c r="AO459" t="s">
        <v>11937</v>
      </c>
      <c r="AP459" t="s">
        <v>256</v>
      </c>
      <c r="AQ459" t="s">
        <v>2115</v>
      </c>
      <c r="AR459" t="s">
        <v>2116</v>
      </c>
      <c r="AT459" t="s">
        <v>1930</v>
      </c>
      <c r="AU459" t="s">
        <v>1931</v>
      </c>
      <c r="AV459" t="s">
        <v>1932</v>
      </c>
      <c r="AW459" t="s">
        <v>349</v>
      </c>
      <c r="AX459" s="4" t="str">
        <f>"83814"</f>
        <v>83814</v>
      </c>
      <c r="AY459" t="s">
        <v>120</v>
      </c>
      <c r="BA459" s="5">
        <v>12087772654</v>
      </c>
      <c r="BC459" t="s">
        <v>2117</v>
      </c>
      <c r="BD459" t="s">
        <v>351</v>
      </c>
      <c r="BG459" t="s">
        <v>214</v>
      </c>
      <c r="BH459" s="1">
        <v>44852.833333333336</v>
      </c>
      <c r="BI459">
        <v>40</v>
      </c>
      <c r="BJ459">
        <v>0</v>
      </c>
      <c r="BK459">
        <v>8</v>
      </c>
      <c r="BL459">
        <v>8</v>
      </c>
      <c r="BM459">
        <v>8</v>
      </c>
      <c r="BN459">
        <v>8</v>
      </c>
      <c r="BO459">
        <v>8</v>
      </c>
      <c r="BP459">
        <v>0</v>
      </c>
      <c r="BQ459" t="str">
        <f>"6:30 AM"</f>
        <v>6:30 AM</v>
      </c>
      <c r="BR459" t="str">
        <f>"3:30 PM"</f>
        <v>3:30 PM</v>
      </c>
      <c r="BS459" t="s">
        <v>133</v>
      </c>
      <c r="BT459">
        <v>0</v>
      </c>
      <c r="BU459">
        <v>0</v>
      </c>
      <c r="BV459" t="s">
        <v>134</v>
      </c>
      <c r="BX459" s="2" t="s">
        <v>2209</v>
      </c>
      <c r="BY459" t="s">
        <v>11938</v>
      </c>
      <c r="CA459" t="s">
        <v>2252</v>
      </c>
      <c r="CB459" t="s">
        <v>214</v>
      </c>
      <c r="CC459" s="4" t="str">
        <f>"70817"</f>
        <v>70817</v>
      </c>
      <c r="CD459" t="s">
        <v>2247</v>
      </c>
      <c r="CE459" t="s">
        <v>737</v>
      </c>
      <c r="CF459" s="6">
        <v>14.87</v>
      </c>
      <c r="CG459" s="6">
        <v>16</v>
      </c>
      <c r="CH459" s="6">
        <v>22.31</v>
      </c>
      <c r="CI459" s="6">
        <v>24</v>
      </c>
      <c r="CJ459" t="s">
        <v>137</v>
      </c>
      <c r="CK459" t="s">
        <v>356</v>
      </c>
      <c r="CL459" t="s">
        <v>11939</v>
      </c>
      <c r="CO459" t="s">
        <v>138</v>
      </c>
      <c r="CP459" t="s">
        <v>114</v>
      </c>
      <c r="CQ459" t="s">
        <v>114</v>
      </c>
      <c r="CR459" t="s">
        <v>114</v>
      </c>
      <c r="CS459" t="s">
        <v>114</v>
      </c>
      <c r="CT459" t="s">
        <v>114</v>
      </c>
      <c r="CU459" t="s">
        <v>114</v>
      </c>
      <c r="CV459" t="s">
        <v>11940</v>
      </c>
      <c r="CW459" s="5" t="str">
        <f>"+12257535296"</f>
        <v>+12257535296</v>
      </c>
      <c r="CX459" t="s">
        <v>11941</v>
      </c>
      <c r="CY459" t="s">
        <v>138</v>
      </c>
      <c r="CZ459" t="s">
        <v>139</v>
      </c>
      <c r="DA459" t="s">
        <v>134</v>
      </c>
      <c r="DB459" t="s">
        <v>134</v>
      </c>
      <c r="DC459" t="s">
        <v>114</v>
      </c>
      <c r="DD459" t="s">
        <v>134</v>
      </c>
    </row>
    <row r="460" spans="1:108" ht="15" customHeight="1" x14ac:dyDescent="0.25">
      <c r="A460" t="s">
        <v>16222</v>
      </c>
      <c r="B460" t="s">
        <v>165</v>
      </c>
      <c r="C460" s="1">
        <v>44874.46044490741</v>
      </c>
      <c r="D460" s="1">
        <v>44907</v>
      </c>
      <c r="E460" t="s">
        <v>134</v>
      </c>
      <c r="F460" t="s">
        <v>1662</v>
      </c>
      <c r="G460" t="str">
        <f>"37-3011.00"</f>
        <v>37-3011.00</v>
      </c>
      <c r="H460" t="s">
        <v>335</v>
      </c>
      <c r="I460">
        <v>9</v>
      </c>
      <c r="J460">
        <v>9</v>
      </c>
      <c r="K460" s="1">
        <v>44958</v>
      </c>
      <c r="L460" s="1">
        <v>45231</v>
      </c>
      <c r="M460" s="1">
        <v>44958</v>
      </c>
      <c r="N460" s="1">
        <v>45231</v>
      </c>
      <c r="O460" t="s">
        <v>117</v>
      </c>
      <c r="P460" t="s">
        <v>16223</v>
      </c>
      <c r="R460" t="s">
        <v>16224</v>
      </c>
      <c r="T460" t="s">
        <v>1701</v>
      </c>
      <c r="U460" t="s">
        <v>214</v>
      </c>
      <c r="V460" s="4" t="str">
        <f>"70508"</f>
        <v>70508</v>
      </c>
      <c r="W460" t="s">
        <v>120</v>
      </c>
      <c r="Y460" s="5">
        <v>13372665551</v>
      </c>
      <c r="AA460">
        <v>56173</v>
      </c>
      <c r="AB460" t="s">
        <v>16225</v>
      </c>
      <c r="AC460" t="s">
        <v>6915</v>
      </c>
      <c r="AE460" t="s">
        <v>342</v>
      </c>
      <c r="AF460" t="s">
        <v>16224</v>
      </c>
      <c r="AH460" t="s">
        <v>1701</v>
      </c>
      <c r="AI460" t="s">
        <v>214</v>
      </c>
      <c r="AJ460" s="4" t="str">
        <f>"70508"</f>
        <v>70508</v>
      </c>
      <c r="AK460" t="s">
        <v>120</v>
      </c>
      <c r="AM460" s="5">
        <v>13372665551</v>
      </c>
      <c r="AO460" t="s">
        <v>16226</v>
      </c>
      <c r="AP460" t="s">
        <v>256</v>
      </c>
      <c r="AQ460" t="s">
        <v>885</v>
      </c>
      <c r="AR460" t="s">
        <v>886</v>
      </c>
      <c r="AT460" t="s">
        <v>887</v>
      </c>
      <c r="AV460" t="s">
        <v>888</v>
      </c>
      <c r="AW460" t="s">
        <v>232</v>
      </c>
      <c r="AX460" s="4" t="str">
        <f>"75098"</f>
        <v>75098</v>
      </c>
      <c r="AY460" t="s">
        <v>120</v>
      </c>
      <c r="BA460" s="5">
        <v>19724424244</v>
      </c>
      <c r="BC460" t="s">
        <v>889</v>
      </c>
      <c r="BD460" t="s">
        <v>1264</v>
      </c>
      <c r="BG460" t="s">
        <v>214</v>
      </c>
      <c r="BH460" s="1">
        <v>44873.791666666664</v>
      </c>
      <c r="BI460">
        <v>40</v>
      </c>
      <c r="BJ460">
        <v>0</v>
      </c>
      <c r="BK460">
        <v>8</v>
      </c>
      <c r="BL460">
        <v>8</v>
      </c>
      <c r="BM460">
        <v>8</v>
      </c>
      <c r="BN460">
        <v>8</v>
      </c>
      <c r="BO460">
        <v>8</v>
      </c>
      <c r="BP460">
        <v>0</v>
      </c>
      <c r="BQ460" t="str">
        <f>"7:00 AM"</f>
        <v>7:00 AM</v>
      </c>
      <c r="BR460" t="str">
        <f>"4:00 PM"</f>
        <v>4:00 PM</v>
      </c>
      <c r="BS460" t="s">
        <v>133</v>
      </c>
      <c r="BT460">
        <v>0</v>
      </c>
      <c r="BU460">
        <v>0</v>
      </c>
      <c r="BV460" t="s">
        <v>134</v>
      </c>
      <c r="BX460" s="2" t="s">
        <v>2039</v>
      </c>
      <c r="BY460" t="s">
        <v>16224</v>
      </c>
      <c r="CA460" t="s">
        <v>1701</v>
      </c>
      <c r="CB460" t="s">
        <v>214</v>
      </c>
      <c r="CC460" s="4" t="str">
        <f>"70508"</f>
        <v>70508</v>
      </c>
      <c r="CD460" t="s">
        <v>2595</v>
      </c>
      <c r="CE460" t="s">
        <v>1822</v>
      </c>
      <c r="CF460" s="6">
        <v>14.34</v>
      </c>
      <c r="CG460" s="6">
        <v>17.41</v>
      </c>
      <c r="CH460" s="6">
        <v>21.51</v>
      </c>
      <c r="CI460" s="6">
        <v>26.12</v>
      </c>
      <c r="CJ460" t="s">
        <v>137</v>
      </c>
      <c r="CL460" t="s">
        <v>16227</v>
      </c>
      <c r="CO460" t="s">
        <v>138</v>
      </c>
      <c r="CP460" t="s">
        <v>114</v>
      </c>
      <c r="CQ460" t="s">
        <v>114</v>
      </c>
      <c r="CR460" t="s">
        <v>114</v>
      </c>
      <c r="CS460" t="s">
        <v>114</v>
      </c>
      <c r="CT460" t="s">
        <v>114</v>
      </c>
      <c r="CU460" t="s">
        <v>114</v>
      </c>
      <c r="CV460" t="s">
        <v>219</v>
      </c>
      <c r="CW460" s="5" t="str">
        <f>"+13372665551"</f>
        <v>+13372665551</v>
      </c>
      <c r="CX460" t="s">
        <v>138</v>
      </c>
      <c r="CY460" t="s">
        <v>2996</v>
      </c>
      <c r="CZ460" t="s">
        <v>139</v>
      </c>
      <c r="DA460" t="s">
        <v>134</v>
      </c>
      <c r="DB460" t="s">
        <v>134</v>
      </c>
      <c r="DC460" t="s">
        <v>114</v>
      </c>
      <c r="DD460" t="s">
        <v>134</v>
      </c>
    </row>
    <row r="461" spans="1:108" ht="15" customHeight="1" x14ac:dyDescent="0.25">
      <c r="A461" t="s">
        <v>11920</v>
      </c>
      <c r="B461" t="s">
        <v>165</v>
      </c>
      <c r="C461" s="1">
        <v>44868.691794212966</v>
      </c>
      <c r="D461" s="1">
        <v>44907</v>
      </c>
      <c r="E461" t="s">
        <v>134</v>
      </c>
      <c r="F461" t="s">
        <v>334</v>
      </c>
      <c r="G461" t="str">
        <f>"37-3011.00"</f>
        <v>37-3011.00</v>
      </c>
      <c r="H461" t="s">
        <v>335</v>
      </c>
      <c r="I461">
        <v>5</v>
      </c>
      <c r="J461">
        <v>5</v>
      </c>
      <c r="K461" s="1">
        <v>44958</v>
      </c>
      <c r="L461" s="1">
        <v>45138</v>
      </c>
      <c r="M461" s="1">
        <v>44958</v>
      </c>
      <c r="N461" s="1">
        <v>45138</v>
      </c>
      <c r="O461" t="s">
        <v>117</v>
      </c>
      <c r="P461" t="s">
        <v>11921</v>
      </c>
      <c r="R461" t="s">
        <v>11922</v>
      </c>
      <c r="S461" t="s">
        <v>11923</v>
      </c>
      <c r="T461" t="s">
        <v>4393</v>
      </c>
      <c r="U461" t="s">
        <v>748</v>
      </c>
      <c r="V461" s="4" t="str">
        <f>"19040"</f>
        <v>19040</v>
      </c>
      <c r="W461" t="s">
        <v>120</v>
      </c>
      <c r="Y461" s="5">
        <v>19087633256</v>
      </c>
      <c r="AA461">
        <v>5617</v>
      </c>
      <c r="AB461" t="s">
        <v>11924</v>
      </c>
      <c r="AC461" t="s">
        <v>2336</v>
      </c>
      <c r="AE461" t="s">
        <v>424</v>
      </c>
      <c r="AF461" t="s">
        <v>11922</v>
      </c>
      <c r="AH461" t="s">
        <v>4393</v>
      </c>
      <c r="AI461" t="s">
        <v>748</v>
      </c>
      <c r="AJ461" s="4" t="str">
        <f>"19040"</f>
        <v>19040</v>
      </c>
      <c r="AK461" t="s">
        <v>120</v>
      </c>
      <c r="AM461" s="5">
        <v>19087633256</v>
      </c>
      <c r="AO461" t="s">
        <v>11925</v>
      </c>
      <c r="AP461" t="s">
        <v>256</v>
      </c>
      <c r="AQ461" t="s">
        <v>400</v>
      </c>
      <c r="AR461" t="s">
        <v>401</v>
      </c>
      <c r="AS461" t="s">
        <v>397</v>
      </c>
      <c r="AT461" t="s">
        <v>402</v>
      </c>
      <c r="AU461" t="s">
        <v>152</v>
      </c>
      <c r="AV461" t="s">
        <v>403</v>
      </c>
      <c r="AW461" t="s">
        <v>232</v>
      </c>
      <c r="AX461" s="4" t="str">
        <f>"75033"</f>
        <v>75033</v>
      </c>
      <c r="AY461" t="s">
        <v>120</v>
      </c>
      <c r="BA461" s="5">
        <v>19727789690</v>
      </c>
      <c r="BC461" t="s">
        <v>1534</v>
      </c>
      <c r="BD461" t="s">
        <v>405</v>
      </c>
      <c r="BG461" t="s">
        <v>748</v>
      </c>
      <c r="BH461" s="1">
        <v>44867.833333333336</v>
      </c>
      <c r="BI461">
        <v>50</v>
      </c>
      <c r="BJ461">
        <v>0</v>
      </c>
      <c r="BK461">
        <v>10</v>
      </c>
      <c r="BL461">
        <v>10</v>
      </c>
      <c r="BM461">
        <v>10</v>
      </c>
      <c r="BN461">
        <v>10</v>
      </c>
      <c r="BO461">
        <v>10</v>
      </c>
      <c r="BP461">
        <v>0</v>
      </c>
      <c r="BQ461" t="str">
        <f>"6:00 AM"</f>
        <v>6:00 AM</v>
      </c>
      <c r="BR461" t="str">
        <f>"5:00 PM"</f>
        <v>5:00 PM</v>
      </c>
      <c r="BS461" t="s">
        <v>133</v>
      </c>
      <c r="BT461">
        <v>0</v>
      </c>
      <c r="BU461">
        <v>0</v>
      </c>
      <c r="BV461" t="s">
        <v>134</v>
      </c>
      <c r="BX461" s="2" t="s">
        <v>11926</v>
      </c>
      <c r="BY461" t="s">
        <v>11927</v>
      </c>
      <c r="CA461" t="s">
        <v>7019</v>
      </c>
      <c r="CB461" t="s">
        <v>748</v>
      </c>
      <c r="CC461" s="4" t="str">
        <f>"19040"</f>
        <v>19040</v>
      </c>
      <c r="CD461" t="s">
        <v>2007</v>
      </c>
      <c r="CE461" t="s">
        <v>1266</v>
      </c>
      <c r="CF461" s="6">
        <v>17.82</v>
      </c>
      <c r="CG461" s="6">
        <v>17.82</v>
      </c>
      <c r="CH461" s="6">
        <v>26.73</v>
      </c>
      <c r="CI461" s="6">
        <v>26.73</v>
      </c>
      <c r="CJ461" t="s">
        <v>137</v>
      </c>
      <c r="CK461" t="s">
        <v>950</v>
      </c>
      <c r="CL461" t="s">
        <v>11928</v>
      </c>
      <c r="CO461" t="s">
        <v>138</v>
      </c>
      <c r="CP461" t="s">
        <v>114</v>
      </c>
      <c r="CQ461" t="s">
        <v>114</v>
      </c>
      <c r="CR461" t="s">
        <v>114</v>
      </c>
      <c r="CS461" t="s">
        <v>114</v>
      </c>
      <c r="CT461" t="s">
        <v>114</v>
      </c>
      <c r="CU461" t="s">
        <v>114</v>
      </c>
      <c r="CV461" t="s">
        <v>11929</v>
      </c>
      <c r="CW461" s="5" t="str">
        <f>"+19087633256"</f>
        <v>+19087633256</v>
      </c>
      <c r="CX461" t="s">
        <v>138</v>
      </c>
      <c r="CY461" t="s">
        <v>2440</v>
      </c>
      <c r="CZ461" t="s">
        <v>139</v>
      </c>
      <c r="DA461" t="s">
        <v>134</v>
      </c>
      <c r="DB461" t="s">
        <v>114</v>
      </c>
      <c r="DC461" t="s">
        <v>114</v>
      </c>
      <c r="DD461" t="s">
        <v>134</v>
      </c>
    </row>
    <row r="462" spans="1:108" ht="15" customHeight="1" x14ac:dyDescent="0.25">
      <c r="A462" t="s">
        <v>15672</v>
      </c>
      <c r="B462" t="s">
        <v>165</v>
      </c>
      <c r="C462" s="1">
        <v>44868.476681944441</v>
      </c>
      <c r="D462" s="1">
        <v>44907</v>
      </c>
      <c r="E462" t="s">
        <v>134</v>
      </c>
      <c r="F462" t="s">
        <v>334</v>
      </c>
      <c r="G462" t="str">
        <f>"37-3011.00"</f>
        <v>37-3011.00</v>
      </c>
      <c r="H462" t="s">
        <v>335</v>
      </c>
      <c r="I462">
        <v>30</v>
      </c>
      <c r="J462">
        <v>30</v>
      </c>
      <c r="K462" s="1">
        <v>44958</v>
      </c>
      <c r="L462" s="1">
        <v>45248</v>
      </c>
      <c r="M462" s="1">
        <v>44958</v>
      </c>
      <c r="N462" s="1">
        <v>45248</v>
      </c>
      <c r="O462" t="s">
        <v>117</v>
      </c>
      <c r="P462" t="s">
        <v>14857</v>
      </c>
      <c r="R462" t="s">
        <v>14858</v>
      </c>
      <c r="S462" t="s">
        <v>14859</v>
      </c>
      <c r="T462" t="s">
        <v>4125</v>
      </c>
      <c r="U462" t="s">
        <v>232</v>
      </c>
      <c r="V462" s="4" t="str">
        <f>"77494"</f>
        <v>77494</v>
      </c>
      <c r="W462" t="s">
        <v>120</v>
      </c>
      <c r="X462" t="s">
        <v>138</v>
      </c>
      <c r="Y462" s="5">
        <v>12813923607</v>
      </c>
      <c r="AA462">
        <v>561730</v>
      </c>
      <c r="AB462" t="s">
        <v>4249</v>
      </c>
      <c r="AC462" t="s">
        <v>1271</v>
      </c>
      <c r="AD462" t="s">
        <v>926</v>
      </c>
      <c r="AE462" t="s">
        <v>2138</v>
      </c>
      <c r="AF462" t="s">
        <v>14858</v>
      </c>
      <c r="AG462" t="s">
        <v>14859</v>
      </c>
      <c r="AH462" t="s">
        <v>4125</v>
      </c>
      <c r="AI462" t="s">
        <v>232</v>
      </c>
      <c r="AJ462" s="4" t="str">
        <f>"77494"</f>
        <v>77494</v>
      </c>
      <c r="AK462" t="s">
        <v>120</v>
      </c>
      <c r="AM462" s="5">
        <v>12813923607</v>
      </c>
      <c r="AO462" t="s">
        <v>14860</v>
      </c>
      <c r="AP462" t="s">
        <v>256</v>
      </c>
      <c r="AQ462" t="s">
        <v>4312</v>
      </c>
      <c r="AR462" t="s">
        <v>4313</v>
      </c>
      <c r="AS462" t="s">
        <v>4044</v>
      </c>
      <c r="AT462" t="s">
        <v>1284</v>
      </c>
      <c r="AU462" t="s">
        <v>138</v>
      </c>
      <c r="AV462" t="s">
        <v>1285</v>
      </c>
      <c r="AW462" t="s">
        <v>232</v>
      </c>
      <c r="AX462" s="4" t="str">
        <f>"77414"</f>
        <v>77414</v>
      </c>
      <c r="AY462" t="s">
        <v>120</v>
      </c>
      <c r="BA462" s="5">
        <v>19793187277</v>
      </c>
      <c r="BC462" t="s">
        <v>4314</v>
      </c>
      <c r="BD462" t="s">
        <v>1287</v>
      </c>
      <c r="BG462" t="s">
        <v>232</v>
      </c>
      <c r="BH462" s="1">
        <v>44867.833333333336</v>
      </c>
      <c r="BI462">
        <v>40</v>
      </c>
      <c r="BJ462">
        <v>0</v>
      </c>
      <c r="BK462">
        <v>8</v>
      </c>
      <c r="BL462">
        <v>8</v>
      </c>
      <c r="BM462">
        <v>8</v>
      </c>
      <c r="BN462">
        <v>8</v>
      </c>
      <c r="BO462">
        <v>8</v>
      </c>
      <c r="BP462">
        <v>0</v>
      </c>
      <c r="BQ462" t="str">
        <f>"7:00 AM"</f>
        <v>7:00 AM</v>
      </c>
      <c r="BR462" t="str">
        <f>"3:30 PM"</f>
        <v>3:30 PM</v>
      </c>
      <c r="BS462" t="s">
        <v>133</v>
      </c>
      <c r="BT462">
        <v>0</v>
      </c>
      <c r="BU462">
        <v>0</v>
      </c>
      <c r="BV462" t="s">
        <v>134</v>
      </c>
      <c r="BX462" s="2" t="s">
        <v>14861</v>
      </c>
      <c r="BY462" t="s">
        <v>14858</v>
      </c>
      <c r="BZ462" t="s">
        <v>138</v>
      </c>
      <c r="CA462" t="s">
        <v>4125</v>
      </c>
      <c r="CB462" t="s">
        <v>232</v>
      </c>
      <c r="CC462" s="4" t="str">
        <f>"77494"</f>
        <v>77494</v>
      </c>
      <c r="CD462" t="s">
        <v>5697</v>
      </c>
      <c r="CE462" t="s">
        <v>873</v>
      </c>
      <c r="CF462" s="6">
        <v>15.56</v>
      </c>
      <c r="CG462" s="6">
        <v>17</v>
      </c>
      <c r="CH462" s="6">
        <v>23.34</v>
      </c>
      <c r="CI462" s="6">
        <v>25.5</v>
      </c>
      <c r="CJ462" t="s">
        <v>137</v>
      </c>
      <c r="CK462" t="s">
        <v>15673</v>
      </c>
      <c r="CL462" t="s">
        <v>14862</v>
      </c>
      <c r="CO462" t="s">
        <v>138</v>
      </c>
      <c r="CP462" t="s">
        <v>114</v>
      </c>
      <c r="CQ462" t="s">
        <v>114</v>
      </c>
      <c r="CR462" t="s">
        <v>114</v>
      </c>
      <c r="CS462" t="s">
        <v>114</v>
      </c>
      <c r="CT462" t="s">
        <v>114</v>
      </c>
      <c r="CU462" t="s">
        <v>134</v>
      </c>
      <c r="CV462" t="s">
        <v>2360</v>
      </c>
      <c r="CW462" s="5" t="str">
        <f>"+12813923607"</f>
        <v>+12813923607</v>
      </c>
      <c r="CX462" t="s">
        <v>14860</v>
      </c>
      <c r="CY462" t="s">
        <v>138</v>
      </c>
      <c r="CZ462" t="s">
        <v>139</v>
      </c>
      <c r="DA462" t="s">
        <v>134</v>
      </c>
      <c r="DB462" t="s">
        <v>134</v>
      </c>
      <c r="DC462" t="s">
        <v>114</v>
      </c>
      <c r="DD462" t="s">
        <v>134</v>
      </c>
    </row>
    <row r="463" spans="1:108" ht="15" customHeight="1" x14ac:dyDescent="0.25">
      <c r="A463" t="s">
        <v>14978</v>
      </c>
      <c r="B463" t="s">
        <v>165</v>
      </c>
      <c r="C463" s="1">
        <v>44860.722234953704</v>
      </c>
      <c r="D463" s="1">
        <v>44907</v>
      </c>
      <c r="E463" t="s">
        <v>134</v>
      </c>
      <c r="F463" t="s">
        <v>3920</v>
      </c>
      <c r="G463" t="str">
        <f>"35-3023.00"</f>
        <v>35-3023.00</v>
      </c>
      <c r="H463" t="s">
        <v>555</v>
      </c>
      <c r="I463">
        <v>9</v>
      </c>
      <c r="J463">
        <v>9</v>
      </c>
      <c r="K463" s="1">
        <v>44935</v>
      </c>
      <c r="L463" s="1">
        <v>45230</v>
      </c>
      <c r="M463" s="1">
        <v>44935</v>
      </c>
      <c r="N463" s="1">
        <v>45230</v>
      </c>
      <c r="O463" t="s">
        <v>199</v>
      </c>
      <c r="P463" t="s">
        <v>14979</v>
      </c>
      <c r="R463" t="s">
        <v>14980</v>
      </c>
      <c r="S463" t="s">
        <v>14981</v>
      </c>
      <c r="T463" t="s">
        <v>14982</v>
      </c>
      <c r="U463" t="s">
        <v>420</v>
      </c>
      <c r="V463" s="4" t="str">
        <f>"84040"</f>
        <v>84040</v>
      </c>
      <c r="W463" t="s">
        <v>120</v>
      </c>
      <c r="Y463" s="5">
        <v>18013098081</v>
      </c>
      <c r="Z463">
        <v>0</v>
      </c>
      <c r="AA463">
        <v>7139</v>
      </c>
      <c r="AB463" t="s">
        <v>5567</v>
      </c>
      <c r="AC463" t="s">
        <v>14983</v>
      </c>
      <c r="AE463" t="s">
        <v>424</v>
      </c>
      <c r="AF463" t="s">
        <v>14980</v>
      </c>
      <c r="AG463" t="s">
        <v>14981</v>
      </c>
      <c r="AH463" t="s">
        <v>14982</v>
      </c>
      <c r="AI463" t="s">
        <v>420</v>
      </c>
      <c r="AJ463" s="4" t="str">
        <f>"84040"</f>
        <v>84040</v>
      </c>
      <c r="AK463" t="s">
        <v>120</v>
      </c>
      <c r="AM463" s="5">
        <v>18013098081</v>
      </c>
      <c r="AN463">
        <v>0</v>
      </c>
      <c r="AO463" t="s">
        <v>14984</v>
      </c>
      <c r="AP463" t="s">
        <v>256</v>
      </c>
      <c r="AQ463" t="s">
        <v>535</v>
      </c>
      <c r="AR463" t="s">
        <v>536</v>
      </c>
      <c r="AS463" t="s">
        <v>537</v>
      </c>
      <c r="AT463" t="s">
        <v>538</v>
      </c>
      <c r="AU463" t="s">
        <v>539</v>
      </c>
      <c r="AV463" t="s">
        <v>540</v>
      </c>
      <c r="AW463" t="s">
        <v>232</v>
      </c>
      <c r="AX463" s="4" t="str">
        <f>"78550"</f>
        <v>78550</v>
      </c>
      <c r="AY463" t="s">
        <v>120</v>
      </c>
      <c r="AZ463" t="s">
        <v>541</v>
      </c>
      <c r="BA463" s="5">
        <v>19564408720</v>
      </c>
      <c r="BB463">
        <v>0</v>
      </c>
      <c r="BC463" t="s">
        <v>542</v>
      </c>
      <c r="BD463" t="s">
        <v>543</v>
      </c>
      <c r="BG463" t="s">
        <v>444</v>
      </c>
      <c r="BH463" s="1">
        <v>44859.833333333336</v>
      </c>
      <c r="BI463">
        <v>40</v>
      </c>
      <c r="BJ463">
        <v>8</v>
      </c>
      <c r="BK463">
        <v>0</v>
      </c>
      <c r="BL463">
        <v>0</v>
      </c>
      <c r="BM463">
        <v>8</v>
      </c>
      <c r="BN463">
        <v>8</v>
      </c>
      <c r="BO463">
        <v>8</v>
      </c>
      <c r="BP463">
        <v>8</v>
      </c>
      <c r="BQ463" t="str">
        <f>"1:00 PM"</f>
        <v>1:00 PM</v>
      </c>
      <c r="BR463" t="str">
        <f>"10:00 PM"</f>
        <v>10:00 PM</v>
      </c>
      <c r="BS463" t="s">
        <v>133</v>
      </c>
      <c r="BT463">
        <v>0</v>
      </c>
      <c r="BU463">
        <v>0</v>
      </c>
      <c r="BV463" t="s">
        <v>134</v>
      </c>
      <c r="BX463" s="2" t="s">
        <v>1324</v>
      </c>
      <c r="BY463" t="s">
        <v>14985</v>
      </c>
      <c r="CA463" t="s">
        <v>6939</v>
      </c>
      <c r="CB463" t="s">
        <v>444</v>
      </c>
      <c r="CC463" s="4" t="str">
        <f>"95815"</f>
        <v>95815</v>
      </c>
      <c r="CD463" t="s">
        <v>11806</v>
      </c>
      <c r="CE463" t="s">
        <v>463</v>
      </c>
      <c r="CF463" s="6">
        <v>12.39</v>
      </c>
      <c r="CG463" s="6">
        <v>17.48</v>
      </c>
      <c r="CH463" s="6">
        <v>0</v>
      </c>
      <c r="CI463" s="6">
        <v>0</v>
      </c>
      <c r="CJ463" t="s">
        <v>137</v>
      </c>
      <c r="CK463" t="s">
        <v>549</v>
      </c>
      <c r="CL463" t="s">
        <v>14986</v>
      </c>
      <c r="CO463" t="s">
        <v>138</v>
      </c>
      <c r="CP463" t="s">
        <v>114</v>
      </c>
      <c r="CQ463" t="s">
        <v>114</v>
      </c>
      <c r="CR463" t="s">
        <v>134</v>
      </c>
      <c r="CS463" t="s">
        <v>114</v>
      </c>
      <c r="CT463" t="s">
        <v>114</v>
      </c>
      <c r="CU463" t="s">
        <v>114</v>
      </c>
      <c r="CV463" t="s">
        <v>1330</v>
      </c>
      <c r="CW463" s="5" t="str">
        <f>"+18013098081"</f>
        <v>+18013098081</v>
      </c>
      <c r="CX463" t="s">
        <v>14984</v>
      </c>
      <c r="CY463" t="s">
        <v>138</v>
      </c>
      <c r="CZ463" t="s">
        <v>139</v>
      </c>
      <c r="DA463" t="s">
        <v>134</v>
      </c>
      <c r="DB463" t="s">
        <v>134</v>
      </c>
      <c r="DC463" t="s">
        <v>114</v>
      </c>
      <c r="DD463" t="s">
        <v>134</v>
      </c>
    </row>
    <row r="464" spans="1:108" ht="15" customHeight="1" x14ac:dyDescent="0.25">
      <c r="A464" t="s">
        <v>16252</v>
      </c>
      <c r="B464" t="s">
        <v>165</v>
      </c>
      <c r="C464" s="1">
        <v>44852.538888310184</v>
      </c>
      <c r="D464" s="1">
        <v>44907</v>
      </c>
      <c r="E464" t="s">
        <v>114</v>
      </c>
      <c r="F464" t="s">
        <v>16253</v>
      </c>
      <c r="G464" t="str">
        <f>"45-4011.00"</f>
        <v>45-4011.00</v>
      </c>
      <c r="H464" t="s">
        <v>1107</v>
      </c>
      <c r="I464">
        <v>6</v>
      </c>
      <c r="J464">
        <v>6</v>
      </c>
      <c r="K464" s="1">
        <v>44927</v>
      </c>
      <c r="L464" s="1">
        <v>45108</v>
      </c>
      <c r="M464" s="1">
        <v>44927</v>
      </c>
      <c r="N464" s="1">
        <v>45108</v>
      </c>
      <c r="O464" t="s">
        <v>199</v>
      </c>
      <c r="P464" t="s">
        <v>16254</v>
      </c>
      <c r="R464" t="s">
        <v>16255</v>
      </c>
      <c r="T464" t="s">
        <v>5939</v>
      </c>
      <c r="U464" t="s">
        <v>792</v>
      </c>
      <c r="V464" s="4" t="str">
        <f>"98586"</f>
        <v>98586</v>
      </c>
      <c r="W464" t="s">
        <v>120</v>
      </c>
      <c r="Y464" s="5">
        <v>13605899264</v>
      </c>
      <c r="AA464">
        <v>115310</v>
      </c>
      <c r="AB464" t="s">
        <v>575</v>
      </c>
      <c r="AC464" t="s">
        <v>16256</v>
      </c>
      <c r="AE464" t="s">
        <v>424</v>
      </c>
      <c r="AF464" t="s">
        <v>16257</v>
      </c>
      <c r="AH464" t="s">
        <v>5939</v>
      </c>
      <c r="AI464" t="s">
        <v>792</v>
      </c>
      <c r="AJ464" s="4" t="str">
        <f>"98586"</f>
        <v>98586</v>
      </c>
      <c r="AK464" t="s">
        <v>120</v>
      </c>
      <c r="AM464" s="5">
        <v>13605899264</v>
      </c>
      <c r="AO464" t="s">
        <v>1574</v>
      </c>
      <c r="AP464" t="s">
        <v>256</v>
      </c>
      <c r="AQ464" t="s">
        <v>7177</v>
      </c>
      <c r="AR464" t="s">
        <v>1568</v>
      </c>
      <c r="AT464" t="s">
        <v>7907</v>
      </c>
      <c r="AU464" t="s">
        <v>7812</v>
      </c>
      <c r="AV464" t="s">
        <v>7178</v>
      </c>
      <c r="AW464" t="s">
        <v>792</v>
      </c>
      <c r="AX464" s="4" t="str">
        <f>"98516"</f>
        <v>98516</v>
      </c>
      <c r="AY464" t="s">
        <v>120</v>
      </c>
      <c r="BA464" s="5">
        <v>13604558064</v>
      </c>
      <c r="BB464">
        <v>110</v>
      </c>
      <c r="BC464" t="s">
        <v>7179</v>
      </c>
      <c r="BD464" t="s">
        <v>7180</v>
      </c>
      <c r="BG464" t="s">
        <v>792</v>
      </c>
      <c r="BH464" s="1">
        <v>44851.833333333336</v>
      </c>
      <c r="BI464">
        <v>40</v>
      </c>
      <c r="BJ464">
        <v>0</v>
      </c>
      <c r="BK464">
        <v>8</v>
      </c>
      <c r="BL464">
        <v>8</v>
      </c>
      <c r="BM464">
        <v>8</v>
      </c>
      <c r="BN464">
        <v>8</v>
      </c>
      <c r="BO464">
        <v>8</v>
      </c>
      <c r="BP464">
        <v>0</v>
      </c>
      <c r="BQ464" t="str">
        <f>"7:00 AM"</f>
        <v>7:00 AM</v>
      </c>
      <c r="BR464" t="str">
        <f>"3:30 PM"</f>
        <v>3:30 PM</v>
      </c>
      <c r="BS464" t="s">
        <v>133</v>
      </c>
      <c r="BT464">
        <v>0</v>
      </c>
      <c r="BU464">
        <v>1</v>
      </c>
      <c r="BV464" t="s">
        <v>134</v>
      </c>
      <c r="BX464" s="2" t="s">
        <v>16258</v>
      </c>
      <c r="BY464" t="s">
        <v>16259</v>
      </c>
      <c r="CA464" t="s">
        <v>5939</v>
      </c>
      <c r="CB464" t="s">
        <v>792</v>
      </c>
      <c r="CC464" s="4" t="str">
        <f>"98586"</f>
        <v>98586</v>
      </c>
      <c r="CD464" t="s">
        <v>11745</v>
      </c>
      <c r="CE464" t="s">
        <v>7852</v>
      </c>
      <c r="CF464" s="6">
        <v>19.71</v>
      </c>
      <c r="CH464" s="6">
        <v>29.57</v>
      </c>
      <c r="CJ464" t="s">
        <v>137</v>
      </c>
      <c r="CK464" t="s">
        <v>16260</v>
      </c>
      <c r="CL464" t="s">
        <v>16261</v>
      </c>
      <c r="CO464" t="s">
        <v>138</v>
      </c>
      <c r="CP464" t="s">
        <v>114</v>
      </c>
      <c r="CQ464" t="s">
        <v>134</v>
      </c>
      <c r="CR464" t="s">
        <v>114</v>
      </c>
      <c r="CS464" t="s">
        <v>134</v>
      </c>
      <c r="CT464" t="s">
        <v>114</v>
      </c>
      <c r="CU464" t="s">
        <v>114</v>
      </c>
      <c r="CV464" s="2" t="s">
        <v>16262</v>
      </c>
      <c r="CW464" s="5" t="str">
        <f>"+13605899264"</f>
        <v>+13605899264</v>
      </c>
      <c r="CX464" t="s">
        <v>138</v>
      </c>
      <c r="CY464" t="s">
        <v>7908</v>
      </c>
      <c r="CZ464" t="s">
        <v>139</v>
      </c>
      <c r="DA464" t="s">
        <v>134</v>
      </c>
      <c r="DB464" t="s">
        <v>114</v>
      </c>
      <c r="DC464" t="s">
        <v>114</v>
      </c>
      <c r="DD464" t="s">
        <v>134</v>
      </c>
    </row>
    <row r="465" spans="1:108" ht="15" customHeight="1" x14ac:dyDescent="0.25">
      <c r="A465" t="s">
        <v>16234</v>
      </c>
      <c r="B465" t="s">
        <v>165</v>
      </c>
      <c r="C465" s="1">
        <v>44880.363738773151</v>
      </c>
      <c r="D465" s="1">
        <v>44904</v>
      </c>
      <c r="E465" t="s">
        <v>134</v>
      </c>
      <c r="F465" t="s">
        <v>334</v>
      </c>
      <c r="G465" t="str">
        <f>"37-3011.00"</f>
        <v>37-3011.00</v>
      </c>
      <c r="H465" t="s">
        <v>335</v>
      </c>
      <c r="I465">
        <v>7</v>
      </c>
      <c r="J465">
        <v>7</v>
      </c>
      <c r="K465" s="1">
        <v>44970</v>
      </c>
      <c r="L465" s="1">
        <v>45273</v>
      </c>
      <c r="M465" s="1">
        <v>44970</v>
      </c>
      <c r="N465" s="1">
        <v>45273</v>
      </c>
      <c r="O465" t="s">
        <v>117</v>
      </c>
      <c r="P465" t="s">
        <v>16235</v>
      </c>
      <c r="R465" t="s">
        <v>16236</v>
      </c>
      <c r="S465" t="s">
        <v>16237</v>
      </c>
      <c r="T465" t="s">
        <v>4591</v>
      </c>
      <c r="U465" t="s">
        <v>1279</v>
      </c>
      <c r="V465" s="4" t="str">
        <f>"66030"</f>
        <v>66030</v>
      </c>
      <c r="W465" t="s">
        <v>120</v>
      </c>
      <c r="X465" t="s">
        <v>138</v>
      </c>
      <c r="Y465" s="5">
        <v>19137646159</v>
      </c>
      <c r="AA465">
        <v>5617</v>
      </c>
      <c r="AB465" t="s">
        <v>2212</v>
      </c>
      <c r="AC465" t="s">
        <v>2271</v>
      </c>
      <c r="AD465" t="s">
        <v>16238</v>
      </c>
      <c r="AE465" t="s">
        <v>1835</v>
      </c>
      <c r="AF465" t="s">
        <v>16239</v>
      </c>
      <c r="AG465" t="s">
        <v>16237</v>
      </c>
      <c r="AH465" t="s">
        <v>4591</v>
      </c>
      <c r="AI465" t="s">
        <v>1279</v>
      </c>
      <c r="AJ465" s="4" t="str">
        <f>"66030"</f>
        <v>66030</v>
      </c>
      <c r="AK465" t="s">
        <v>120</v>
      </c>
      <c r="AM465" s="5">
        <v>19137646159</v>
      </c>
      <c r="AO465" t="s">
        <v>16240</v>
      </c>
      <c r="AP465" t="s">
        <v>256</v>
      </c>
      <c r="AQ465" t="s">
        <v>1731</v>
      </c>
      <c r="AR465" t="s">
        <v>1732</v>
      </c>
      <c r="AS465" t="s">
        <v>1733</v>
      </c>
      <c r="AT465" t="s">
        <v>1734</v>
      </c>
      <c r="AU465" t="s">
        <v>1735</v>
      </c>
      <c r="AV465" t="s">
        <v>1736</v>
      </c>
      <c r="AW465" t="s">
        <v>479</v>
      </c>
      <c r="AX465" s="4" t="str">
        <f>"24521"</f>
        <v>24521</v>
      </c>
      <c r="AY465" t="s">
        <v>120</v>
      </c>
      <c r="BA465" s="5">
        <v>14349460035</v>
      </c>
      <c r="BB465">
        <v>11</v>
      </c>
      <c r="BC465" t="s">
        <v>1737</v>
      </c>
      <c r="BD465" t="s">
        <v>1738</v>
      </c>
      <c r="BG465" t="s">
        <v>1279</v>
      </c>
      <c r="BH465" s="1">
        <v>45244.791666666664</v>
      </c>
      <c r="BI465">
        <v>40</v>
      </c>
      <c r="BJ465">
        <v>0</v>
      </c>
      <c r="BK465">
        <v>8</v>
      </c>
      <c r="BL465">
        <v>8</v>
      </c>
      <c r="BM465">
        <v>8</v>
      </c>
      <c r="BN465">
        <v>8</v>
      </c>
      <c r="BO465">
        <v>8</v>
      </c>
      <c r="BP465">
        <v>0</v>
      </c>
      <c r="BQ465" t="str">
        <f>"8:00 AM"</f>
        <v>8:00 AM</v>
      </c>
      <c r="BR465" t="str">
        <f>"4:30 PM"</f>
        <v>4:30 PM</v>
      </c>
      <c r="BS465" t="s">
        <v>133</v>
      </c>
      <c r="BT465">
        <v>0</v>
      </c>
      <c r="BU465">
        <v>3</v>
      </c>
      <c r="BV465" t="s">
        <v>134</v>
      </c>
      <c r="BX465" t="s">
        <v>16241</v>
      </c>
      <c r="BY465" t="s">
        <v>16242</v>
      </c>
      <c r="CA465" t="s">
        <v>4591</v>
      </c>
      <c r="CB465" t="s">
        <v>1279</v>
      </c>
      <c r="CC465" s="4" t="str">
        <f>"66030"</f>
        <v>66030</v>
      </c>
      <c r="CD465" t="s">
        <v>1289</v>
      </c>
      <c r="CE465" t="s">
        <v>1290</v>
      </c>
      <c r="CF465" s="6">
        <v>16.920000000000002</v>
      </c>
      <c r="CG465" s="6">
        <v>16.920000000000002</v>
      </c>
      <c r="CH465" s="6">
        <v>25.38</v>
      </c>
      <c r="CI465" s="6">
        <v>25.38</v>
      </c>
      <c r="CJ465" t="s">
        <v>137</v>
      </c>
      <c r="CK465" t="s">
        <v>2162</v>
      </c>
      <c r="CL465" t="s">
        <v>16243</v>
      </c>
      <c r="CO465" t="s">
        <v>138</v>
      </c>
      <c r="CP465" t="s">
        <v>114</v>
      </c>
      <c r="CQ465" t="s">
        <v>114</v>
      </c>
      <c r="CR465" t="s">
        <v>114</v>
      </c>
      <c r="CS465" t="s">
        <v>134</v>
      </c>
      <c r="CT465" t="s">
        <v>114</v>
      </c>
      <c r="CU465" t="s">
        <v>114</v>
      </c>
      <c r="CV465" s="2" t="s">
        <v>16244</v>
      </c>
      <c r="CW465" s="5" t="str">
        <f>"+19137646159"</f>
        <v>+19137646159</v>
      </c>
      <c r="CX465" t="s">
        <v>138</v>
      </c>
      <c r="CY465" t="s">
        <v>16245</v>
      </c>
      <c r="CZ465" t="s">
        <v>139</v>
      </c>
      <c r="DA465" t="s">
        <v>134</v>
      </c>
      <c r="DB465" t="s">
        <v>114</v>
      </c>
      <c r="DC465" t="s">
        <v>114</v>
      </c>
      <c r="DD465" t="s">
        <v>134</v>
      </c>
    </row>
    <row r="466" spans="1:108" ht="15" customHeight="1" x14ac:dyDescent="0.25">
      <c r="A466" t="s">
        <v>4803</v>
      </c>
      <c r="B466" t="s">
        <v>165</v>
      </c>
      <c r="C466" s="1">
        <v>44879.581416898145</v>
      </c>
      <c r="D466" s="1">
        <v>44904</v>
      </c>
      <c r="E466" t="s">
        <v>134</v>
      </c>
      <c r="F466" t="s">
        <v>334</v>
      </c>
      <c r="G466" t="str">
        <f>"37-3011.00"</f>
        <v>37-3011.00</v>
      </c>
      <c r="H466" t="s">
        <v>335</v>
      </c>
      <c r="I466">
        <v>10</v>
      </c>
      <c r="J466">
        <v>10</v>
      </c>
      <c r="K466" s="1">
        <v>44967</v>
      </c>
      <c r="L466" s="1">
        <v>45240</v>
      </c>
      <c r="M466" s="1">
        <v>44967</v>
      </c>
      <c r="N466" s="1">
        <v>45240</v>
      </c>
      <c r="O466" t="s">
        <v>117</v>
      </c>
      <c r="P466" t="s">
        <v>3795</v>
      </c>
      <c r="R466" t="s">
        <v>4804</v>
      </c>
      <c r="T466" t="s">
        <v>291</v>
      </c>
      <c r="U466" t="s">
        <v>697</v>
      </c>
      <c r="V466" s="4" t="str">
        <f>"65808"</f>
        <v>65808</v>
      </c>
      <c r="W466" t="s">
        <v>120</v>
      </c>
      <c r="Y466" s="5">
        <v>16183989000</v>
      </c>
      <c r="AA466">
        <v>56173</v>
      </c>
      <c r="AB466" t="s">
        <v>3797</v>
      </c>
      <c r="AC466" t="s">
        <v>1438</v>
      </c>
      <c r="AE466" t="s">
        <v>3798</v>
      </c>
      <c r="AF466" t="s">
        <v>3796</v>
      </c>
      <c r="AH466" t="s">
        <v>2706</v>
      </c>
      <c r="AI466" t="s">
        <v>184</v>
      </c>
      <c r="AJ466" s="4" t="str">
        <f>"62232"</f>
        <v>62232</v>
      </c>
      <c r="AK466" t="s">
        <v>120</v>
      </c>
      <c r="AM466" s="5">
        <v>16183989000</v>
      </c>
      <c r="AO466" t="s">
        <v>3799</v>
      </c>
      <c r="AP466" t="s">
        <v>256</v>
      </c>
      <c r="AQ466" t="s">
        <v>885</v>
      </c>
      <c r="AR466" t="s">
        <v>886</v>
      </c>
      <c r="AT466" t="s">
        <v>887</v>
      </c>
      <c r="AV466" t="s">
        <v>888</v>
      </c>
      <c r="AW466" t="s">
        <v>232</v>
      </c>
      <c r="AX466" s="4" t="str">
        <f>"75098"</f>
        <v>75098</v>
      </c>
      <c r="AY466" t="s">
        <v>120</v>
      </c>
      <c r="BA466" s="5">
        <v>19724424244</v>
      </c>
      <c r="BC466" t="s">
        <v>889</v>
      </c>
      <c r="BD466" t="s">
        <v>890</v>
      </c>
      <c r="BG466" t="s">
        <v>184</v>
      </c>
      <c r="BH466" s="1">
        <v>44878.791666666664</v>
      </c>
      <c r="BI466">
        <v>40</v>
      </c>
      <c r="BJ466">
        <v>0</v>
      </c>
      <c r="BK466">
        <v>8</v>
      </c>
      <c r="BL466">
        <v>8</v>
      </c>
      <c r="BM466">
        <v>8</v>
      </c>
      <c r="BN466">
        <v>8</v>
      </c>
      <c r="BO466">
        <v>8</v>
      </c>
      <c r="BP466">
        <v>0</v>
      </c>
      <c r="BQ466" t="str">
        <f>"6:30 AM"</f>
        <v>6:30 AM</v>
      </c>
      <c r="BR466" t="str">
        <f>"3:30 PM"</f>
        <v>3:30 PM</v>
      </c>
      <c r="BS466" t="s">
        <v>133</v>
      </c>
      <c r="BT466">
        <v>0</v>
      </c>
      <c r="BU466">
        <v>0</v>
      </c>
      <c r="BV466" t="s">
        <v>134</v>
      </c>
      <c r="BX466" s="2" t="s">
        <v>3801</v>
      </c>
      <c r="BY466" t="s">
        <v>4804</v>
      </c>
      <c r="CA466" t="s">
        <v>291</v>
      </c>
      <c r="CB466" t="s">
        <v>697</v>
      </c>
      <c r="CC466" s="4" t="str">
        <f>"65808"</f>
        <v>65808</v>
      </c>
      <c r="CD466" t="s">
        <v>1363</v>
      </c>
      <c r="CE466" t="s">
        <v>1364</v>
      </c>
      <c r="CF466" s="6">
        <v>14.84</v>
      </c>
      <c r="CG466" s="6">
        <v>17</v>
      </c>
      <c r="CH466" s="6">
        <v>22.26</v>
      </c>
      <c r="CI466" s="6">
        <v>25.5</v>
      </c>
      <c r="CJ466" t="s">
        <v>137</v>
      </c>
      <c r="CL466" t="s">
        <v>4805</v>
      </c>
      <c r="CO466" t="s">
        <v>138</v>
      </c>
      <c r="CP466" t="s">
        <v>114</v>
      </c>
      <c r="CQ466" t="s">
        <v>114</v>
      </c>
      <c r="CR466" t="s">
        <v>114</v>
      </c>
      <c r="CS466" t="s">
        <v>114</v>
      </c>
      <c r="CT466" t="s">
        <v>114</v>
      </c>
      <c r="CU466" t="s">
        <v>114</v>
      </c>
      <c r="CV466" t="s">
        <v>3803</v>
      </c>
      <c r="CW466" s="5" t="str">
        <f>"+16183989000"</f>
        <v>+16183989000</v>
      </c>
      <c r="CX466" t="s">
        <v>138</v>
      </c>
      <c r="CY466" t="s">
        <v>2040</v>
      </c>
      <c r="CZ466" t="s">
        <v>139</v>
      </c>
      <c r="DA466" t="s">
        <v>134</v>
      </c>
      <c r="DB466" t="s">
        <v>134</v>
      </c>
      <c r="DC466" t="s">
        <v>114</v>
      </c>
      <c r="DD466" t="s">
        <v>134</v>
      </c>
    </row>
    <row r="467" spans="1:108" ht="15" customHeight="1" x14ac:dyDescent="0.25">
      <c r="A467" t="s">
        <v>16231</v>
      </c>
      <c r="B467" t="s">
        <v>165</v>
      </c>
      <c r="C467" s="1">
        <v>44879.579489930555</v>
      </c>
      <c r="D467" s="1">
        <v>44904</v>
      </c>
      <c r="E467" t="s">
        <v>134</v>
      </c>
      <c r="F467" t="s">
        <v>334</v>
      </c>
      <c r="G467" t="str">
        <f>"37-3011.00"</f>
        <v>37-3011.00</v>
      </c>
      <c r="H467" t="s">
        <v>335</v>
      </c>
      <c r="I467">
        <v>25</v>
      </c>
      <c r="J467">
        <v>25</v>
      </c>
      <c r="K467" s="1">
        <v>44967</v>
      </c>
      <c r="L467" s="1">
        <v>45240</v>
      </c>
      <c r="M467" s="1">
        <v>44967</v>
      </c>
      <c r="N467" s="1">
        <v>45240</v>
      </c>
      <c r="O467" t="s">
        <v>117</v>
      </c>
      <c r="P467" t="s">
        <v>3795</v>
      </c>
      <c r="R467" t="s">
        <v>3796</v>
      </c>
      <c r="T467" t="s">
        <v>2706</v>
      </c>
      <c r="U467" t="s">
        <v>184</v>
      </c>
      <c r="V467" s="4" t="str">
        <f>"62232"</f>
        <v>62232</v>
      </c>
      <c r="W467" t="s">
        <v>120</v>
      </c>
      <c r="Y467" s="5">
        <v>16183989000</v>
      </c>
      <c r="AA467">
        <v>56173</v>
      </c>
      <c r="AB467" t="s">
        <v>3797</v>
      </c>
      <c r="AC467" t="s">
        <v>1438</v>
      </c>
      <c r="AE467" t="s">
        <v>3798</v>
      </c>
      <c r="AF467" t="s">
        <v>3796</v>
      </c>
      <c r="AH467" t="s">
        <v>2706</v>
      </c>
      <c r="AI467" t="s">
        <v>184</v>
      </c>
      <c r="AJ467" s="4" t="str">
        <f>"62232"</f>
        <v>62232</v>
      </c>
      <c r="AK467" t="s">
        <v>120</v>
      </c>
      <c r="AM467" s="5">
        <v>16183989000</v>
      </c>
      <c r="AO467" t="s">
        <v>3799</v>
      </c>
      <c r="AP467" t="s">
        <v>256</v>
      </c>
      <c r="AQ467" t="s">
        <v>885</v>
      </c>
      <c r="AR467" t="s">
        <v>886</v>
      </c>
      <c r="AT467" t="s">
        <v>887</v>
      </c>
      <c r="AV467" t="s">
        <v>888</v>
      </c>
      <c r="AW467" t="s">
        <v>232</v>
      </c>
      <c r="AX467" s="4" t="str">
        <f>"75098"</f>
        <v>75098</v>
      </c>
      <c r="AY467" t="s">
        <v>120</v>
      </c>
      <c r="BA467" s="5">
        <v>19724424244</v>
      </c>
      <c r="BC467" t="s">
        <v>889</v>
      </c>
      <c r="BD467" t="s">
        <v>3800</v>
      </c>
      <c r="BG467" t="s">
        <v>184</v>
      </c>
      <c r="BH467" s="1">
        <v>44878.791666666664</v>
      </c>
      <c r="BI467">
        <v>40</v>
      </c>
      <c r="BJ467">
        <v>0</v>
      </c>
      <c r="BK467">
        <v>8</v>
      </c>
      <c r="BL467">
        <v>8</v>
      </c>
      <c r="BM467">
        <v>8</v>
      </c>
      <c r="BN467">
        <v>8</v>
      </c>
      <c r="BO467">
        <v>8</v>
      </c>
      <c r="BP467">
        <v>0</v>
      </c>
      <c r="BQ467" t="str">
        <f>"6:30 AM"</f>
        <v>6:30 AM</v>
      </c>
      <c r="BR467" t="str">
        <f>"3:30 PM"</f>
        <v>3:30 PM</v>
      </c>
      <c r="BS467" t="s">
        <v>133</v>
      </c>
      <c r="BT467">
        <v>0</v>
      </c>
      <c r="BU467">
        <v>0</v>
      </c>
      <c r="BV467" t="s">
        <v>134</v>
      </c>
      <c r="BX467" t="s">
        <v>16232</v>
      </c>
      <c r="BY467" t="s">
        <v>3796</v>
      </c>
      <c r="CA467" t="s">
        <v>2706</v>
      </c>
      <c r="CB467" t="s">
        <v>184</v>
      </c>
      <c r="CC467" s="4" t="str">
        <f>"62232"</f>
        <v>62232</v>
      </c>
      <c r="CD467" t="s">
        <v>2374</v>
      </c>
      <c r="CE467" t="s">
        <v>713</v>
      </c>
      <c r="CF467" s="6">
        <v>16.96</v>
      </c>
      <c r="CG467" s="6">
        <v>17</v>
      </c>
      <c r="CH467" s="6">
        <v>25.44</v>
      </c>
      <c r="CI467" s="6">
        <v>25.5</v>
      </c>
      <c r="CJ467" t="s">
        <v>137</v>
      </c>
      <c r="CL467" t="s">
        <v>3802</v>
      </c>
      <c r="CO467" t="s">
        <v>138</v>
      </c>
      <c r="CP467" t="s">
        <v>114</v>
      </c>
      <c r="CQ467" t="s">
        <v>114</v>
      </c>
      <c r="CR467" t="s">
        <v>114</v>
      </c>
      <c r="CS467" t="s">
        <v>114</v>
      </c>
      <c r="CT467" t="s">
        <v>114</v>
      </c>
      <c r="CU467" t="s">
        <v>114</v>
      </c>
      <c r="CV467" t="s">
        <v>16233</v>
      </c>
      <c r="CW467" s="5" t="str">
        <f>"+16183989000"</f>
        <v>+16183989000</v>
      </c>
      <c r="CX467" t="s">
        <v>138</v>
      </c>
      <c r="CY467" t="s">
        <v>3804</v>
      </c>
      <c r="CZ467" t="s">
        <v>139</v>
      </c>
      <c r="DA467" t="s">
        <v>134</v>
      </c>
      <c r="DB467" t="s">
        <v>134</v>
      </c>
      <c r="DC467" t="s">
        <v>114</v>
      </c>
      <c r="DD467" t="s">
        <v>134</v>
      </c>
    </row>
    <row r="468" spans="1:108" ht="15" customHeight="1" x14ac:dyDescent="0.25">
      <c r="A468" t="s">
        <v>14987</v>
      </c>
      <c r="B468" t="s">
        <v>165</v>
      </c>
      <c r="C468" s="1">
        <v>44879.575857870368</v>
      </c>
      <c r="D468" s="1">
        <v>44904</v>
      </c>
      <c r="E468" t="s">
        <v>134</v>
      </c>
      <c r="F468" t="s">
        <v>334</v>
      </c>
      <c r="G468" t="str">
        <f>"37-3011.00"</f>
        <v>37-3011.00</v>
      </c>
      <c r="H468" t="s">
        <v>335</v>
      </c>
      <c r="I468">
        <v>35</v>
      </c>
      <c r="J468">
        <v>35</v>
      </c>
      <c r="K468" s="1">
        <v>44967</v>
      </c>
      <c r="L468" s="1">
        <v>45240</v>
      </c>
      <c r="M468" s="1">
        <v>44967</v>
      </c>
      <c r="N468" s="1">
        <v>45240</v>
      </c>
      <c r="O468" t="s">
        <v>117</v>
      </c>
      <c r="P468" t="s">
        <v>3795</v>
      </c>
      <c r="R468" t="s">
        <v>13434</v>
      </c>
      <c r="T468" t="s">
        <v>13435</v>
      </c>
      <c r="U468" t="s">
        <v>697</v>
      </c>
      <c r="V468" s="4" t="str">
        <f>"63042"</f>
        <v>63042</v>
      </c>
      <c r="W468" t="s">
        <v>120</v>
      </c>
      <c r="Y468" s="5">
        <v>16183989000</v>
      </c>
      <c r="AA468">
        <v>56173</v>
      </c>
      <c r="AB468" t="s">
        <v>3797</v>
      </c>
      <c r="AC468" t="s">
        <v>1438</v>
      </c>
      <c r="AE468" t="s">
        <v>3798</v>
      </c>
      <c r="AF468" t="s">
        <v>3796</v>
      </c>
      <c r="AH468" t="s">
        <v>2706</v>
      </c>
      <c r="AI468" t="s">
        <v>184</v>
      </c>
      <c r="AJ468" s="4" t="str">
        <f>"62232"</f>
        <v>62232</v>
      </c>
      <c r="AK468" t="s">
        <v>120</v>
      </c>
      <c r="AM468" s="5">
        <v>16183989000</v>
      </c>
      <c r="AO468" t="s">
        <v>3799</v>
      </c>
      <c r="AP468" t="s">
        <v>256</v>
      </c>
      <c r="AQ468" t="s">
        <v>885</v>
      </c>
      <c r="AR468" t="s">
        <v>886</v>
      </c>
      <c r="AT468" t="s">
        <v>4622</v>
      </c>
      <c r="AV468" t="s">
        <v>888</v>
      </c>
      <c r="AW468" t="s">
        <v>232</v>
      </c>
      <c r="AX468" s="4" t="str">
        <f>"75098"</f>
        <v>75098</v>
      </c>
      <c r="AY468" t="s">
        <v>120</v>
      </c>
      <c r="BA468" s="5">
        <v>19724424244</v>
      </c>
      <c r="BC468" t="s">
        <v>889</v>
      </c>
      <c r="BD468" t="s">
        <v>1264</v>
      </c>
      <c r="BG468" t="s">
        <v>184</v>
      </c>
      <c r="BH468" s="1">
        <v>44878.791666666664</v>
      </c>
      <c r="BI468">
        <v>42</v>
      </c>
      <c r="BJ468">
        <v>2</v>
      </c>
      <c r="BK468">
        <v>8</v>
      </c>
      <c r="BL468">
        <v>8</v>
      </c>
      <c r="BM468">
        <v>8</v>
      </c>
      <c r="BN468">
        <v>8</v>
      </c>
      <c r="BO468">
        <v>8</v>
      </c>
      <c r="BP468">
        <v>0</v>
      </c>
      <c r="BQ468" t="str">
        <f>"6:30 PM"</f>
        <v>6:30 PM</v>
      </c>
      <c r="BR468" t="str">
        <f>"3:30 PM"</f>
        <v>3:30 PM</v>
      </c>
      <c r="BS468" t="s">
        <v>133</v>
      </c>
      <c r="BT468">
        <v>0</v>
      </c>
      <c r="BU468">
        <v>0</v>
      </c>
      <c r="BV468" t="s">
        <v>134</v>
      </c>
      <c r="BX468" s="2" t="s">
        <v>2039</v>
      </c>
      <c r="BY468" t="s">
        <v>13434</v>
      </c>
      <c r="CA468" t="s">
        <v>13435</v>
      </c>
      <c r="CB468" t="s">
        <v>697</v>
      </c>
      <c r="CC468" s="4" t="str">
        <f>"63042"</f>
        <v>63042</v>
      </c>
      <c r="CD468" t="s">
        <v>712</v>
      </c>
      <c r="CE468" t="s">
        <v>713</v>
      </c>
      <c r="CF468" s="6">
        <v>16.96</v>
      </c>
      <c r="CG468" s="6">
        <v>17</v>
      </c>
      <c r="CH468" s="6">
        <v>25.44</v>
      </c>
      <c r="CI468" s="6">
        <v>25.5</v>
      </c>
      <c r="CJ468" t="s">
        <v>137</v>
      </c>
      <c r="CL468" t="s">
        <v>14988</v>
      </c>
      <c r="CO468" t="s">
        <v>138</v>
      </c>
      <c r="CP468" t="s">
        <v>114</v>
      </c>
      <c r="CQ468" t="s">
        <v>114</v>
      </c>
      <c r="CR468" t="s">
        <v>114</v>
      </c>
      <c r="CS468" t="s">
        <v>114</v>
      </c>
      <c r="CT468" t="s">
        <v>114</v>
      </c>
      <c r="CU468" t="s">
        <v>114</v>
      </c>
      <c r="CV468" t="s">
        <v>3803</v>
      </c>
      <c r="CW468" s="5" t="str">
        <f>"+16183989000"</f>
        <v>+16183989000</v>
      </c>
      <c r="CX468" t="s">
        <v>138</v>
      </c>
      <c r="CY468" t="s">
        <v>2040</v>
      </c>
      <c r="CZ468" t="s">
        <v>139</v>
      </c>
      <c r="DA468" t="s">
        <v>134</v>
      </c>
      <c r="DB468" t="s">
        <v>134</v>
      </c>
      <c r="DC468" t="s">
        <v>114</v>
      </c>
      <c r="DD468" t="s">
        <v>134</v>
      </c>
    </row>
    <row r="469" spans="1:108" ht="15" customHeight="1" x14ac:dyDescent="0.25">
      <c r="A469" t="s">
        <v>12768</v>
      </c>
      <c r="B469" t="s">
        <v>165</v>
      </c>
      <c r="C469" s="1">
        <v>44876.309802314812</v>
      </c>
      <c r="D469" s="1">
        <v>44904</v>
      </c>
      <c r="E469" t="s">
        <v>134</v>
      </c>
      <c r="F469" t="s">
        <v>2308</v>
      </c>
      <c r="G469" t="str">
        <f>"39-3091.00"</f>
        <v>39-3091.00</v>
      </c>
      <c r="H469" t="s">
        <v>362</v>
      </c>
      <c r="I469">
        <v>35</v>
      </c>
      <c r="J469">
        <v>35</v>
      </c>
      <c r="K469" s="1">
        <v>44962</v>
      </c>
      <c r="L469" s="1">
        <v>45263</v>
      </c>
      <c r="M469" s="1">
        <v>44962</v>
      </c>
      <c r="N469" s="1">
        <v>45263</v>
      </c>
      <c r="O469" t="s">
        <v>199</v>
      </c>
      <c r="P469" t="s">
        <v>12769</v>
      </c>
      <c r="R469" t="s">
        <v>12770</v>
      </c>
      <c r="S469" t="s">
        <v>12771</v>
      </c>
      <c r="T469" t="s">
        <v>2150</v>
      </c>
      <c r="U469" t="s">
        <v>319</v>
      </c>
      <c r="V469" s="4" t="str">
        <f>"55330"</f>
        <v>55330</v>
      </c>
      <c r="W469" t="s">
        <v>120</v>
      </c>
      <c r="Y469" s="5">
        <v>17633609767</v>
      </c>
      <c r="AA469">
        <v>7139</v>
      </c>
      <c r="AB469" t="s">
        <v>1420</v>
      </c>
      <c r="AC469" t="s">
        <v>4600</v>
      </c>
      <c r="AE469" t="s">
        <v>424</v>
      </c>
      <c r="AF469" t="s">
        <v>12770</v>
      </c>
      <c r="AG469" t="s">
        <v>12771</v>
      </c>
      <c r="AH469" t="s">
        <v>2150</v>
      </c>
      <c r="AI469" t="s">
        <v>319</v>
      </c>
      <c r="AJ469" s="4" t="str">
        <f>"55330"</f>
        <v>55330</v>
      </c>
      <c r="AK469" t="s">
        <v>120</v>
      </c>
      <c r="AM469" s="5">
        <v>17633609767</v>
      </c>
      <c r="AO469" t="s">
        <v>12772</v>
      </c>
      <c r="AP469" t="s">
        <v>256</v>
      </c>
      <c r="AQ469" t="s">
        <v>535</v>
      </c>
      <c r="AR469" t="s">
        <v>536</v>
      </c>
      <c r="AS469" t="s">
        <v>537</v>
      </c>
      <c r="AT469" t="s">
        <v>538</v>
      </c>
      <c r="AU469" t="s">
        <v>539</v>
      </c>
      <c r="AV469" t="s">
        <v>540</v>
      </c>
      <c r="AW469" t="s">
        <v>232</v>
      </c>
      <c r="AX469" s="4" t="str">
        <f>"78550"</f>
        <v>78550</v>
      </c>
      <c r="AY469" t="s">
        <v>120</v>
      </c>
      <c r="BA469" s="5">
        <v>19564408720</v>
      </c>
      <c r="BB469">
        <v>0</v>
      </c>
      <c r="BC469" t="s">
        <v>563</v>
      </c>
      <c r="BD469" t="s">
        <v>543</v>
      </c>
      <c r="BG469" t="s">
        <v>319</v>
      </c>
      <c r="BH469" s="1">
        <v>44875.791666666664</v>
      </c>
      <c r="BI469">
        <v>40</v>
      </c>
      <c r="BJ469">
        <v>8</v>
      </c>
      <c r="BK469">
        <v>0</v>
      </c>
      <c r="BL469">
        <v>0</v>
      </c>
      <c r="BM469">
        <v>8</v>
      </c>
      <c r="BN469">
        <v>8</v>
      </c>
      <c r="BO469">
        <v>8</v>
      </c>
      <c r="BP469">
        <v>8</v>
      </c>
      <c r="BQ469" t="str">
        <f>"1:00 PM"</f>
        <v>1:00 PM</v>
      </c>
      <c r="BR469" t="str">
        <f>"10:00 PM"</f>
        <v>10:00 PM</v>
      </c>
      <c r="BS469" t="s">
        <v>133</v>
      </c>
      <c r="BT469">
        <v>0</v>
      </c>
      <c r="BU469">
        <v>0</v>
      </c>
      <c r="BV469" t="s">
        <v>134</v>
      </c>
      <c r="BX469" s="2" t="s">
        <v>3113</v>
      </c>
      <c r="BY469" t="s">
        <v>12770</v>
      </c>
      <c r="CA469" t="s">
        <v>2150</v>
      </c>
      <c r="CB469" t="s">
        <v>319</v>
      </c>
      <c r="CC469" s="4" t="str">
        <f>"55330"</f>
        <v>55330</v>
      </c>
      <c r="CD469" t="s">
        <v>2153</v>
      </c>
      <c r="CE469" t="s">
        <v>1443</v>
      </c>
      <c r="CF469" s="6">
        <v>9.84</v>
      </c>
      <c r="CG469" s="6">
        <v>13.28</v>
      </c>
      <c r="CJ469" t="s">
        <v>137</v>
      </c>
      <c r="CK469" t="s">
        <v>549</v>
      </c>
      <c r="CL469" t="s">
        <v>12773</v>
      </c>
      <c r="CO469" t="s">
        <v>138</v>
      </c>
      <c r="CP469" t="s">
        <v>114</v>
      </c>
      <c r="CQ469" t="s">
        <v>114</v>
      </c>
      <c r="CR469" t="s">
        <v>134</v>
      </c>
      <c r="CS469" t="s">
        <v>114</v>
      </c>
      <c r="CT469" t="s">
        <v>114</v>
      </c>
      <c r="CU469" t="s">
        <v>114</v>
      </c>
      <c r="CV469" t="s">
        <v>1360</v>
      </c>
      <c r="CW469" s="5" t="str">
        <f>"+17633609767"</f>
        <v>+17633609767</v>
      </c>
      <c r="CX469" t="s">
        <v>12772</v>
      </c>
      <c r="CY469" t="s">
        <v>138</v>
      </c>
      <c r="CZ469" t="s">
        <v>139</v>
      </c>
      <c r="DA469" t="s">
        <v>134</v>
      </c>
      <c r="DB469" t="s">
        <v>114</v>
      </c>
      <c r="DC469" t="s">
        <v>114</v>
      </c>
      <c r="DD469" t="s">
        <v>134</v>
      </c>
    </row>
    <row r="470" spans="1:108" ht="15" customHeight="1" x14ac:dyDescent="0.25">
      <c r="A470" t="s">
        <v>15624</v>
      </c>
      <c r="B470" t="s">
        <v>165</v>
      </c>
      <c r="C470" s="1">
        <v>44874.739185300925</v>
      </c>
      <c r="D470" s="1">
        <v>44904</v>
      </c>
      <c r="E470" t="s">
        <v>134</v>
      </c>
      <c r="F470" t="s">
        <v>1315</v>
      </c>
      <c r="G470" t="str">
        <f>"39-3091.00"</f>
        <v>39-3091.00</v>
      </c>
      <c r="H470" t="s">
        <v>362</v>
      </c>
      <c r="I470">
        <v>80</v>
      </c>
      <c r="J470">
        <v>80</v>
      </c>
      <c r="K470" s="1">
        <v>44949</v>
      </c>
      <c r="L470" s="1">
        <v>45235</v>
      </c>
      <c r="M470" s="1">
        <v>44949</v>
      </c>
      <c r="N470" s="1">
        <v>45235</v>
      </c>
      <c r="O470" t="s">
        <v>199</v>
      </c>
      <c r="P470" t="s">
        <v>15625</v>
      </c>
      <c r="Q470" t="s">
        <v>15626</v>
      </c>
      <c r="R470" t="s">
        <v>15627</v>
      </c>
      <c r="S470" t="s">
        <v>15628</v>
      </c>
      <c r="T470" t="s">
        <v>6996</v>
      </c>
      <c r="U470" t="s">
        <v>181</v>
      </c>
      <c r="V470" s="4" t="str">
        <f>"80106"</f>
        <v>80106</v>
      </c>
      <c r="W470" t="s">
        <v>120</v>
      </c>
      <c r="Y470" s="5">
        <v>12814604127</v>
      </c>
      <c r="Z470">
        <v>0</v>
      </c>
      <c r="AA470">
        <v>71119</v>
      </c>
      <c r="AB470" t="s">
        <v>10017</v>
      </c>
      <c r="AC470" t="s">
        <v>975</v>
      </c>
      <c r="AE470" t="s">
        <v>424</v>
      </c>
      <c r="AF470" t="s">
        <v>15627</v>
      </c>
      <c r="AG470" t="s">
        <v>15628</v>
      </c>
      <c r="AH470" t="s">
        <v>6996</v>
      </c>
      <c r="AI470" t="s">
        <v>181</v>
      </c>
      <c r="AJ470" s="4" t="str">
        <f>"80106"</f>
        <v>80106</v>
      </c>
      <c r="AK470" t="s">
        <v>120</v>
      </c>
      <c r="AM470" s="5">
        <v>12814604127</v>
      </c>
      <c r="AN470">
        <v>0</v>
      </c>
      <c r="AO470" t="s">
        <v>15629</v>
      </c>
      <c r="AP470" t="s">
        <v>256</v>
      </c>
      <c r="AQ470" t="s">
        <v>535</v>
      </c>
      <c r="AR470" t="s">
        <v>536</v>
      </c>
      <c r="AS470" t="s">
        <v>537</v>
      </c>
      <c r="AT470" t="s">
        <v>538</v>
      </c>
      <c r="AU470" t="s">
        <v>539</v>
      </c>
      <c r="AV470" t="s">
        <v>540</v>
      </c>
      <c r="AW470" t="s">
        <v>232</v>
      </c>
      <c r="AX470" s="4" t="str">
        <f>"78550"</f>
        <v>78550</v>
      </c>
      <c r="AY470" t="s">
        <v>120</v>
      </c>
      <c r="AZ470" t="s">
        <v>541</v>
      </c>
      <c r="BA470" s="5">
        <v>19564408720</v>
      </c>
      <c r="BB470">
        <v>0</v>
      </c>
      <c r="BC470" t="s">
        <v>542</v>
      </c>
      <c r="BD470" t="s">
        <v>543</v>
      </c>
      <c r="BG470" t="s">
        <v>181</v>
      </c>
      <c r="BH470" s="1">
        <v>44873.791666666664</v>
      </c>
      <c r="BI470">
        <v>40</v>
      </c>
      <c r="BJ470">
        <v>8</v>
      </c>
      <c r="BK470">
        <v>0</v>
      </c>
      <c r="BL470">
        <v>0</v>
      </c>
      <c r="BM470">
        <v>8</v>
      </c>
      <c r="BN470">
        <v>8</v>
      </c>
      <c r="BO470">
        <v>8</v>
      </c>
      <c r="BP470">
        <v>8</v>
      </c>
      <c r="BQ470" t="str">
        <f>"1:00 PM"</f>
        <v>1:00 PM</v>
      </c>
      <c r="BR470" t="str">
        <f>"10:00 PM"</f>
        <v>10:00 PM</v>
      </c>
      <c r="BS470" t="s">
        <v>133</v>
      </c>
      <c r="BT470">
        <v>0</v>
      </c>
      <c r="BU470">
        <v>0</v>
      </c>
      <c r="BV470" t="s">
        <v>134</v>
      </c>
      <c r="BX470" s="2" t="s">
        <v>1324</v>
      </c>
      <c r="BY470" t="s">
        <v>15630</v>
      </c>
      <c r="CA470" t="s">
        <v>15631</v>
      </c>
      <c r="CB470" t="s">
        <v>181</v>
      </c>
      <c r="CC470" s="4" t="str">
        <f>"80106"</f>
        <v>80106</v>
      </c>
      <c r="CD470" t="s">
        <v>6996</v>
      </c>
      <c r="CE470" t="s">
        <v>1610</v>
      </c>
      <c r="CF470" s="6">
        <v>9.27</v>
      </c>
      <c r="CG470" s="6">
        <v>15.96</v>
      </c>
      <c r="CH470" s="6">
        <v>0</v>
      </c>
      <c r="CI470" s="6">
        <v>0</v>
      </c>
      <c r="CJ470" t="s">
        <v>137</v>
      </c>
      <c r="CK470" t="s">
        <v>549</v>
      </c>
      <c r="CL470" t="s">
        <v>15632</v>
      </c>
      <c r="CO470" t="s">
        <v>138</v>
      </c>
      <c r="CP470" t="s">
        <v>114</v>
      </c>
      <c r="CQ470" t="s">
        <v>114</v>
      </c>
      <c r="CR470" t="s">
        <v>134</v>
      </c>
      <c r="CS470" t="s">
        <v>114</v>
      </c>
      <c r="CT470" t="s">
        <v>114</v>
      </c>
      <c r="CU470" t="s">
        <v>114</v>
      </c>
      <c r="CV470" t="s">
        <v>4912</v>
      </c>
      <c r="CW470" s="5" t="str">
        <f>"+12814604127"</f>
        <v>+12814604127</v>
      </c>
      <c r="CX470" t="s">
        <v>15629</v>
      </c>
      <c r="CY470" t="s">
        <v>138</v>
      </c>
      <c r="CZ470" t="s">
        <v>139</v>
      </c>
      <c r="DA470" t="s">
        <v>134</v>
      </c>
      <c r="DB470" t="s">
        <v>114</v>
      </c>
      <c r="DC470" t="s">
        <v>114</v>
      </c>
      <c r="DD470" t="s">
        <v>134</v>
      </c>
    </row>
    <row r="471" spans="1:108" ht="15" customHeight="1" x14ac:dyDescent="0.25">
      <c r="A471" t="s">
        <v>11045</v>
      </c>
      <c r="B471" t="s">
        <v>165</v>
      </c>
      <c r="C471" s="1">
        <v>44874.415063541666</v>
      </c>
      <c r="D471" s="1">
        <v>44904</v>
      </c>
      <c r="E471" t="s">
        <v>134</v>
      </c>
      <c r="F471" t="s">
        <v>334</v>
      </c>
      <c r="G471" t="str">
        <f>"37-3011.00"</f>
        <v>37-3011.00</v>
      </c>
      <c r="H471" t="s">
        <v>335</v>
      </c>
      <c r="I471">
        <v>21</v>
      </c>
      <c r="J471">
        <v>21</v>
      </c>
      <c r="K471" s="1">
        <v>44964</v>
      </c>
      <c r="L471" s="1">
        <v>45249</v>
      </c>
      <c r="M471" s="1">
        <v>44964</v>
      </c>
      <c r="N471" s="1">
        <v>45249</v>
      </c>
      <c r="O471" t="s">
        <v>117</v>
      </c>
      <c r="P471" t="s">
        <v>11046</v>
      </c>
      <c r="Q471" t="s">
        <v>11047</v>
      </c>
      <c r="R471" t="s">
        <v>11048</v>
      </c>
      <c r="S471" t="s">
        <v>11049</v>
      </c>
      <c r="T471" t="s">
        <v>11050</v>
      </c>
      <c r="U471" t="s">
        <v>232</v>
      </c>
      <c r="V471" s="4" t="str">
        <f>"76008"</f>
        <v>76008</v>
      </c>
      <c r="W471" t="s">
        <v>120</v>
      </c>
      <c r="Y471" s="5">
        <v>18179019848</v>
      </c>
      <c r="AA471">
        <v>56173</v>
      </c>
      <c r="AB471" t="s">
        <v>11051</v>
      </c>
      <c r="AC471" t="s">
        <v>11052</v>
      </c>
      <c r="AE471" t="s">
        <v>424</v>
      </c>
      <c r="AF471" t="s">
        <v>11048</v>
      </c>
      <c r="AG471" t="s">
        <v>11049</v>
      </c>
      <c r="AH471" t="s">
        <v>11050</v>
      </c>
      <c r="AI471" t="s">
        <v>232</v>
      </c>
      <c r="AJ471" s="4" t="str">
        <f>"76008"</f>
        <v>76008</v>
      </c>
      <c r="AK471" t="s">
        <v>120</v>
      </c>
      <c r="AM471" s="5">
        <v>18179019848</v>
      </c>
      <c r="AO471" t="s">
        <v>11053</v>
      </c>
      <c r="AP471" t="s">
        <v>122</v>
      </c>
      <c r="AQ471" t="s">
        <v>1867</v>
      </c>
      <c r="AR471" t="s">
        <v>1868</v>
      </c>
      <c r="AS471" t="s">
        <v>1869</v>
      </c>
      <c r="AT471" t="s">
        <v>1870</v>
      </c>
      <c r="AU471" t="s">
        <v>1871</v>
      </c>
      <c r="AV471" t="s">
        <v>1872</v>
      </c>
      <c r="AW471" t="s">
        <v>1003</v>
      </c>
      <c r="AX471" s="4" t="str">
        <f>"08034"</f>
        <v>08034</v>
      </c>
      <c r="AY471" t="s">
        <v>120</v>
      </c>
      <c r="AZ471" t="s">
        <v>1873</v>
      </c>
      <c r="BA471" s="5">
        <v>18562819750</v>
      </c>
      <c r="BC471" t="s">
        <v>1874</v>
      </c>
      <c r="BD471" t="s">
        <v>1875</v>
      </c>
      <c r="BE471" t="s">
        <v>1003</v>
      </c>
      <c r="BF471" t="s">
        <v>1876</v>
      </c>
      <c r="BG471" t="s">
        <v>232</v>
      </c>
      <c r="BH471" s="1">
        <v>44868.833333333336</v>
      </c>
      <c r="BI471">
        <v>40</v>
      </c>
      <c r="BJ471">
        <v>0</v>
      </c>
      <c r="BK471">
        <v>8</v>
      </c>
      <c r="BL471">
        <v>8</v>
      </c>
      <c r="BM471">
        <v>8</v>
      </c>
      <c r="BN471">
        <v>8</v>
      </c>
      <c r="BO471">
        <v>8</v>
      </c>
      <c r="BP471">
        <v>0</v>
      </c>
      <c r="BQ471" t="str">
        <f>"7:30 AM"</f>
        <v>7:30 AM</v>
      </c>
      <c r="BR471" t="str">
        <f>"4:00 PM"</f>
        <v>4:00 PM</v>
      </c>
      <c r="BS471" t="s">
        <v>133</v>
      </c>
      <c r="BT471">
        <v>0</v>
      </c>
      <c r="BU471">
        <v>3</v>
      </c>
      <c r="BV471" t="s">
        <v>134</v>
      </c>
      <c r="BX471" s="2" t="s">
        <v>11054</v>
      </c>
      <c r="BY471" t="s">
        <v>11048</v>
      </c>
      <c r="CA471" t="s">
        <v>11050</v>
      </c>
      <c r="CB471" t="s">
        <v>232</v>
      </c>
      <c r="CC471" s="4" t="str">
        <f>"76008"</f>
        <v>76008</v>
      </c>
      <c r="CD471" t="s">
        <v>11055</v>
      </c>
      <c r="CE471" t="s">
        <v>1528</v>
      </c>
      <c r="CF471" s="6">
        <v>16.3</v>
      </c>
      <c r="CG471" s="6">
        <v>16.3</v>
      </c>
      <c r="CH471" s="6">
        <v>24.45</v>
      </c>
      <c r="CI471" s="6">
        <v>24.45</v>
      </c>
      <c r="CJ471" t="s">
        <v>137</v>
      </c>
      <c r="CK471" t="s">
        <v>5514</v>
      </c>
      <c r="CL471" t="s">
        <v>11056</v>
      </c>
      <c r="CO471" t="s">
        <v>138</v>
      </c>
      <c r="CP471" t="s">
        <v>114</v>
      </c>
      <c r="CQ471" t="s">
        <v>114</v>
      </c>
      <c r="CR471" t="s">
        <v>114</v>
      </c>
      <c r="CS471" t="s">
        <v>114</v>
      </c>
      <c r="CT471" t="s">
        <v>114</v>
      </c>
      <c r="CU471" t="s">
        <v>134</v>
      </c>
      <c r="CV471" t="s">
        <v>138</v>
      </c>
      <c r="CW471" s="5" t="str">
        <f>"+18179019848"</f>
        <v>+18179019848</v>
      </c>
      <c r="CX471" t="s">
        <v>11057</v>
      </c>
      <c r="CY471" t="s">
        <v>138</v>
      </c>
      <c r="CZ471" t="s">
        <v>139</v>
      </c>
      <c r="DA471" t="s">
        <v>134</v>
      </c>
      <c r="DB471" t="s">
        <v>134</v>
      </c>
      <c r="DC471" t="s">
        <v>114</v>
      </c>
      <c r="DD471" t="s">
        <v>134</v>
      </c>
    </row>
    <row r="472" spans="1:108" ht="15" customHeight="1" x14ac:dyDescent="0.25">
      <c r="A472" t="s">
        <v>3072</v>
      </c>
      <c r="B472" t="s">
        <v>165</v>
      </c>
      <c r="C472" s="1">
        <v>44873.892234375002</v>
      </c>
      <c r="D472" s="1">
        <v>44904</v>
      </c>
      <c r="E472" t="s">
        <v>134</v>
      </c>
      <c r="F472" t="s">
        <v>1296</v>
      </c>
      <c r="G472" t="str">
        <f>"37-3011.00"</f>
        <v>37-3011.00</v>
      </c>
      <c r="H472" t="s">
        <v>335</v>
      </c>
      <c r="I472">
        <v>22</v>
      </c>
      <c r="J472">
        <v>22</v>
      </c>
      <c r="K472" s="1">
        <v>44958</v>
      </c>
      <c r="L472" s="1">
        <v>45260</v>
      </c>
      <c r="M472" s="1">
        <v>44958</v>
      </c>
      <c r="N472" s="1">
        <v>45260</v>
      </c>
      <c r="O472" t="s">
        <v>117</v>
      </c>
      <c r="P472" t="s">
        <v>3073</v>
      </c>
      <c r="R472" t="s">
        <v>3074</v>
      </c>
      <c r="T472" t="s">
        <v>3075</v>
      </c>
      <c r="U472" t="s">
        <v>2636</v>
      </c>
      <c r="V472" s="4" t="str">
        <f>"19702"</f>
        <v>19702</v>
      </c>
      <c r="W472" t="s">
        <v>120</v>
      </c>
      <c r="Y472" s="5">
        <v>13025591428</v>
      </c>
      <c r="AA472">
        <v>56173</v>
      </c>
      <c r="AB472" t="s">
        <v>3076</v>
      </c>
      <c r="AC472" t="s">
        <v>1841</v>
      </c>
      <c r="AE472" t="s">
        <v>342</v>
      </c>
      <c r="AF472" t="s">
        <v>3074</v>
      </c>
      <c r="AH472" t="s">
        <v>3075</v>
      </c>
      <c r="AI472" t="s">
        <v>2636</v>
      </c>
      <c r="AJ472" s="4" t="str">
        <f>"19702"</f>
        <v>19702</v>
      </c>
      <c r="AK472" t="s">
        <v>120</v>
      </c>
      <c r="AM472" s="5">
        <v>13025591428</v>
      </c>
      <c r="AO472" t="s">
        <v>3077</v>
      </c>
      <c r="AP472" t="s">
        <v>122</v>
      </c>
      <c r="AQ472" t="s">
        <v>1303</v>
      </c>
      <c r="AR472" t="s">
        <v>1304</v>
      </c>
      <c r="AS472" t="s">
        <v>532</v>
      </c>
      <c r="AT472" t="s">
        <v>1305</v>
      </c>
      <c r="AV472" t="s">
        <v>1306</v>
      </c>
      <c r="AW472" t="s">
        <v>748</v>
      </c>
      <c r="AX472" s="4" t="str">
        <f>"19063"</f>
        <v>19063</v>
      </c>
      <c r="AY472" t="s">
        <v>120</v>
      </c>
      <c r="BA472" s="5">
        <v>16103585976</v>
      </c>
      <c r="BC472" t="s">
        <v>1307</v>
      </c>
      <c r="BD472" t="s">
        <v>1308</v>
      </c>
      <c r="BE472" t="s">
        <v>748</v>
      </c>
      <c r="BF472" t="s">
        <v>1309</v>
      </c>
      <c r="BG472" t="s">
        <v>748</v>
      </c>
      <c r="BH472" s="1">
        <v>44868.833333333336</v>
      </c>
      <c r="BI472">
        <v>50</v>
      </c>
      <c r="BJ472">
        <v>0</v>
      </c>
      <c r="BK472">
        <v>8</v>
      </c>
      <c r="BL472">
        <v>8</v>
      </c>
      <c r="BM472">
        <v>8</v>
      </c>
      <c r="BN472">
        <v>8</v>
      </c>
      <c r="BO472">
        <v>8</v>
      </c>
      <c r="BP472">
        <v>10</v>
      </c>
      <c r="BQ472" t="str">
        <f>"7:00 AM"</f>
        <v>7:00 AM</v>
      </c>
      <c r="BR472" t="str">
        <f>"3:30 PM"</f>
        <v>3:30 PM</v>
      </c>
      <c r="BS472" t="s">
        <v>295</v>
      </c>
      <c r="BT472">
        <v>0</v>
      </c>
      <c r="BU472">
        <v>0</v>
      </c>
      <c r="BV472" t="s">
        <v>134</v>
      </c>
      <c r="BX472" s="2" t="s">
        <v>1310</v>
      </c>
      <c r="BY472" t="s">
        <v>3074</v>
      </c>
      <c r="CA472" t="s">
        <v>3075</v>
      </c>
      <c r="CB472" t="s">
        <v>2636</v>
      </c>
      <c r="CC472" s="4" t="str">
        <f>"19702"</f>
        <v>19702</v>
      </c>
      <c r="CD472" t="s">
        <v>2637</v>
      </c>
      <c r="CE472" t="s">
        <v>1266</v>
      </c>
      <c r="CF472" s="6">
        <v>17.82</v>
      </c>
      <c r="CG472" s="6">
        <v>17.82</v>
      </c>
      <c r="CH472" s="6">
        <v>26.73</v>
      </c>
      <c r="CI472" s="6">
        <v>26.73</v>
      </c>
      <c r="CJ472" t="s">
        <v>137</v>
      </c>
      <c r="CL472" t="s">
        <v>3078</v>
      </c>
      <c r="CO472" t="s">
        <v>138</v>
      </c>
      <c r="CP472" t="s">
        <v>114</v>
      </c>
      <c r="CQ472" t="s">
        <v>114</v>
      </c>
      <c r="CR472" t="s">
        <v>114</v>
      </c>
      <c r="CS472" t="s">
        <v>114</v>
      </c>
      <c r="CT472" t="s">
        <v>114</v>
      </c>
      <c r="CU472" t="s">
        <v>134</v>
      </c>
      <c r="CV472" t="s">
        <v>1313</v>
      </c>
      <c r="CW472" s="5" t="str">
        <f>"+13025591428"</f>
        <v>+13025591428</v>
      </c>
      <c r="CX472" t="s">
        <v>3077</v>
      </c>
      <c r="CY472" t="s">
        <v>138</v>
      </c>
      <c r="CZ472" t="s">
        <v>139</v>
      </c>
      <c r="DA472" t="s">
        <v>134</v>
      </c>
      <c r="DB472" t="s">
        <v>134</v>
      </c>
      <c r="DC472" t="s">
        <v>114</v>
      </c>
      <c r="DD472" t="s">
        <v>134</v>
      </c>
    </row>
    <row r="473" spans="1:108" ht="15" customHeight="1" x14ac:dyDescent="0.25">
      <c r="A473" t="s">
        <v>9302</v>
      </c>
      <c r="B473" t="s">
        <v>165</v>
      </c>
      <c r="C473" s="1">
        <v>44873.714499421294</v>
      </c>
      <c r="D473" s="1">
        <v>44904</v>
      </c>
      <c r="E473" t="s">
        <v>134</v>
      </c>
      <c r="F473" t="s">
        <v>334</v>
      </c>
      <c r="G473" t="str">
        <f>"37-3011.00"</f>
        <v>37-3011.00</v>
      </c>
      <c r="H473" t="s">
        <v>335</v>
      </c>
      <c r="I473">
        <v>27</v>
      </c>
      <c r="J473">
        <v>27</v>
      </c>
      <c r="K473" s="1">
        <v>44963</v>
      </c>
      <c r="L473" s="1">
        <v>45265</v>
      </c>
      <c r="M473" s="1">
        <v>44963</v>
      </c>
      <c r="N473" s="1">
        <v>45265</v>
      </c>
      <c r="O473" t="s">
        <v>117</v>
      </c>
      <c r="P473" t="s">
        <v>8958</v>
      </c>
      <c r="R473" t="s">
        <v>8959</v>
      </c>
      <c r="S473" t="s">
        <v>8960</v>
      </c>
      <c r="T473" t="s">
        <v>8961</v>
      </c>
      <c r="U473" t="s">
        <v>232</v>
      </c>
      <c r="V473" s="4" t="str">
        <f>"76040"</f>
        <v>76040</v>
      </c>
      <c r="W473" t="s">
        <v>120</v>
      </c>
      <c r="Y473" s="5">
        <v>18172672757</v>
      </c>
      <c r="AA473">
        <v>561730</v>
      </c>
      <c r="AB473" t="s">
        <v>3857</v>
      </c>
      <c r="AC473" t="s">
        <v>9303</v>
      </c>
      <c r="AD473" t="s">
        <v>138</v>
      </c>
      <c r="AE473" t="s">
        <v>5511</v>
      </c>
      <c r="AF473" t="s">
        <v>8959</v>
      </c>
      <c r="AG473" t="s">
        <v>8960</v>
      </c>
      <c r="AH473" t="s">
        <v>8961</v>
      </c>
      <c r="AI473" t="s">
        <v>232</v>
      </c>
      <c r="AJ473" s="4" t="str">
        <f>"76040"</f>
        <v>76040</v>
      </c>
      <c r="AK473" t="s">
        <v>120</v>
      </c>
      <c r="AM473" s="5">
        <v>18172672757</v>
      </c>
      <c r="AO473" t="s">
        <v>8962</v>
      </c>
      <c r="AP473" t="s">
        <v>256</v>
      </c>
      <c r="AQ473" t="s">
        <v>2048</v>
      </c>
      <c r="AR473" t="s">
        <v>2049</v>
      </c>
      <c r="AS473" t="s">
        <v>1378</v>
      </c>
      <c r="AT473" t="s">
        <v>2050</v>
      </c>
      <c r="AU473" t="s">
        <v>138</v>
      </c>
      <c r="AV473" t="s">
        <v>1285</v>
      </c>
      <c r="AW473" t="s">
        <v>232</v>
      </c>
      <c r="AX473" s="4" t="str">
        <f>"77414"</f>
        <v>77414</v>
      </c>
      <c r="AY473" t="s">
        <v>120</v>
      </c>
      <c r="BA473" s="5">
        <v>19793187278</v>
      </c>
      <c r="BC473" t="s">
        <v>2051</v>
      </c>
      <c r="BD473" t="s">
        <v>1287</v>
      </c>
      <c r="BG473" t="s">
        <v>232</v>
      </c>
      <c r="BH473" s="1">
        <v>44872.791666666664</v>
      </c>
      <c r="BI473">
        <v>40</v>
      </c>
      <c r="BJ473">
        <v>0</v>
      </c>
      <c r="BK473">
        <v>8</v>
      </c>
      <c r="BL473">
        <v>8</v>
      </c>
      <c r="BM473">
        <v>8</v>
      </c>
      <c r="BN473">
        <v>8</v>
      </c>
      <c r="BO473">
        <v>8</v>
      </c>
      <c r="BP473">
        <v>0</v>
      </c>
      <c r="BQ473" t="str">
        <f>"7:00 AM"</f>
        <v>7:00 AM</v>
      </c>
      <c r="BR473" t="str">
        <f>"4:00 PM"</f>
        <v>4:00 PM</v>
      </c>
      <c r="BS473" t="s">
        <v>133</v>
      </c>
      <c r="BT473">
        <v>0</v>
      </c>
      <c r="BU473">
        <v>0</v>
      </c>
      <c r="BV473" t="s">
        <v>134</v>
      </c>
      <c r="BX473" s="2" t="s">
        <v>8963</v>
      </c>
      <c r="BY473" t="s">
        <v>8959</v>
      </c>
      <c r="BZ473" t="s">
        <v>138</v>
      </c>
      <c r="CA473" t="s">
        <v>8961</v>
      </c>
      <c r="CB473" t="s">
        <v>232</v>
      </c>
      <c r="CC473" s="4" t="str">
        <f>"76040"</f>
        <v>76040</v>
      </c>
      <c r="CD473" t="s">
        <v>2054</v>
      </c>
      <c r="CE473" t="s">
        <v>1528</v>
      </c>
      <c r="CF473" s="6">
        <v>16.3</v>
      </c>
      <c r="CG473" s="6">
        <v>16.489999999999998</v>
      </c>
      <c r="CH473" s="6">
        <v>24.45</v>
      </c>
      <c r="CI473" s="6">
        <v>24.74</v>
      </c>
      <c r="CJ473" t="s">
        <v>137</v>
      </c>
      <c r="CK473" t="s">
        <v>4317</v>
      </c>
      <c r="CL473" t="s">
        <v>8964</v>
      </c>
      <c r="CO473" t="s">
        <v>138</v>
      </c>
      <c r="CP473" t="s">
        <v>114</v>
      </c>
      <c r="CQ473" t="s">
        <v>114</v>
      </c>
      <c r="CR473" t="s">
        <v>114</v>
      </c>
      <c r="CS473" t="s">
        <v>114</v>
      </c>
      <c r="CT473" t="s">
        <v>114</v>
      </c>
      <c r="CU473" t="s">
        <v>134</v>
      </c>
      <c r="CV473" t="s">
        <v>133</v>
      </c>
      <c r="CW473" s="5" t="str">
        <f>"+18172672757"</f>
        <v>+18172672757</v>
      </c>
      <c r="CX473" t="s">
        <v>8962</v>
      </c>
      <c r="CY473" t="s">
        <v>138</v>
      </c>
      <c r="CZ473" t="s">
        <v>139</v>
      </c>
      <c r="DA473" t="s">
        <v>134</v>
      </c>
      <c r="DB473" t="s">
        <v>134</v>
      </c>
      <c r="DC473" t="s">
        <v>114</v>
      </c>
      <c r="DD473" t="s">
        <v>134</v>
      </c>
    </row>
    <row r="474" spans="1:108" ht="15" customHeight="1" x14ac:dyDescent="0.25">
      <c r="A474" t="s">
        <v>10178</v>
      </c>
      <c r="B474" t="s">
        <v>165</v>
      </c>
      <c r="C474" s="1">
        <v>44873.600030208334</v>
      </c>
      <c r="D474" s="1">
        <v>44904</v>
      </c>
      <c r="E474" t="s">
        <v>134</v>
      </c>
      <c r="F474" t="s">
        <v>3920</v>
      </c>
      <c r="G474" t="str">
        <f>"35-3023.00"</f>
        <v>35-3023.00</v>
      </c>
      <c r="H474" t="s">
        <v>555</v>
      </c>
      <c r="I474">
        <v>19</v>
      </c>
      <c r="J474">
        <v>19</v>
      </c>
      <c r="K474" s="1">
        <v>44951</v>
      </c>
      <c r="L474" s="1">
        <v>45230</v>
      </c>
      <c r="M474" s="1">
        <v>44951</v>
      </c>
      <c r="N474" s="1">
        <v>45230</v>
      </c>
      <c r="O474" t="s">
        <v>199</v>
      </c>
      <c r="P474" t="s">
        <v>10179</v>
      </c>
      <c r="R474" t="s">
        <v>10180</v>
      </c>
      <c r="T474" t="s">
        <v>5868</v>
      </c>
      <c r="U474" t="s">
        <v>444</v>
      </c>
      <c r="V474" s="4" t="str">
        <f>"92117"</f>
        <v>92117</v>
      </c>
      <c r="W474" t="s">
        <v>120</v>
      </c>
      <c r="Y474" s="5">
        <v>16196009339</v>
      </c>
      <c r="Z474">
        <v>0</v>
      </c>
      <c r="AA474">
        <v>7139</v>
      </c>
      <c r="AB474" t="s">
        <v>10181</v>
      </c>
      <c r="AC474" t="s">
        <v>1796</v>
      </c>
      <c r="AE474" t="s">
        <v>342</v>
      </c>
      <c r="AF474" t="s">
        <v>10182</v>
      </c>
      <c r="AH474" t="s">
        <v>5867</v>
      </c>
      <c r="AI474" t="s">
        <v>444</v>
      </c>
      <c r="AJ474" s="4" t="str">
        <f>"92117"</f>
        <v>92117</v>
      </c>
      <c r="AK474" t="s">
        <v>120</v>
      </c>
      <c r="AM474" s="5">
        <v>16196009339</v>
      </c>
      <c r="AN474">
        <v>0</v>
      </c>
      <c r="AO474" t="s">
        <v>10183</v>
      </c>
      <c r="AP474" t="s">
        <v>256</v>
      </c>
      <c r="AQ474" t="s">
        <v>535</v>
      </c>
      <c r="AR474" t="s">
        <v>536</v>
      </c>
      <c r="AS474" t="s">
        <v>537</v>
      </c>
      <c r="AT474" t="s">
        <v>538</v>
      </c>
      <c r="AU474" t="s">
        <v>539</v>
      </c>
      <c r="AV474" t="s">
        <v>540</v>
      </c>
      <c r="AW474" t="s">
        <v>232</v>
      </c>
      <c r="AX474" s="4" t="str">
        <f>"78550"</f>
        <v>78550</v>
      </c>
      <c r="AY474" t="s">
        <v>120</v>
      </c>
      <c r="AZ474" t="s">
        <v>541</v>
      </c>
      <c r="BA474" s="5">
        <v>19564408720</v>
      </c>
      <c r="BB474">
        <v>0</v>
      </c>
      <c r="BC474" t="s">
        <v>542</v>
      </c>
      <c r="BD474" t="s">
        <v>543</v>
      </c>
      <c r="BG474" t="s">
        <v>444</v>
      </c>
      <c r="BH474" s="1">
        <v>44872.791666666664</v>
      </c>
      <c r="BI474">
        <v>40</v>
      </c>
      <c r="BJ474">
        <v>8</v>
      </c>
      <c r="BK474">
        <v>0</v>
      </c>
      <c r="BL474">
        <v>0</v>
      </c>
      <c r="BM474">
        <v>8</v>
      </c>
      <c r="BN474">
        <v>8</v>
      </c>
      <c r="BO474">
        <v>8</v>
      </c>
      <c r="BP474">
        <v>8</v>
      </c>
      <c r="BQ474" t="str">
        <f>"1:00 PM"</f>
        <v>1:00 PM</v>
      </c>
      <c r="BR474" t="str">
        <f>"10:00 PM"</f>
        <v>10:00 PM</v>
      </c>
      <c r="BS474" t="s">
        <v>133</v>
      </c>
      <c r="BT474">
        <v>0</v>
      </c>
      <c r="BU474">
        <v>0</v>
      </c>
      <c r="BV474" t="s">
        <v>134</v>
      </c>
      <c r="BX474" s="2" t="s">
        <v>1324</v>
      </c>
      <c r="BY474" t="s">
        <v>10184</v>
      </c>
      <c r="CA474" t="s">
        <v>1466</v>
      </c>
      <c r="CB474" t="s">
        <v>444</v>
      </c>
      <c r="CC474" s="4" t="str">
        <f>"92251"</f>
        <v>92251</v>
      </c>
      <c r="CD474" t="s">
        <v>10185</v>
      </c>
      <c r="CE474" t="s">
        <v>10186</v>
      </c>
      <c r="CF474" s="6">
        <v>15.5</v>
      </c>
      <c r="CG474" s="6">
        <v>15.52</v>
      </c>
      <c r="CH474" s="6">
        <v>0</v>
      </c>
      <c r="CI474" s="6">
        <v>0</v>
      </c>
      <c r="CJ474" t="s">
        <v>137</v>
      </c>
      <c r="CK474" t="s">
        <v>7259</v>
      </c>
      <c r="CL474" t="s">
        <v>10187</v>
      </c>
      <c r="CO474" t="s">
        <v>138</v>
      </c>
      <c r="CP474" t="s">
        <v>114</v>
      </c>
      <c r="CQ474" t="s">
        <v>114</v>
      </c>
      <c r="CR474" t="s">
        <v>134</v>
      </c>
      <c r="CS474" t="s">
        <v>114</v>
      </c>
      <c r="CT474" t="s">
        <v>114</v>
      </c>
      <c r="CU474" t="s">
        <v>114</v>
      </c>
      <c r="CV474" t="s">
        <v>10188</v>
      </c>
      <c r="CW474" s="5" t="str">
        <f>"+16196009339"</f>
        <v>+16196009339</v>
      </c>
      <c r="CX474" t="s">
        <v>10183</v>
      </c>
      <c r="CY474" t="s">
        <v>138</v>
      </c>
      <c r="CZ474" t="s">
        <v>139</v>
      </c>
      <c r="DA474" t="s">
        <v>134</v>
      </c>
      <c r="DB474" t="s">
        <v>134</v>
      </c>
      <c r="DC474" t="s">
        <v>114</v>
      </c>
      <c r="DD474" t="s">
        <v>134</v>
      </c>
    </row>
    <row r="475" spans="1:108" ht="15" customHeight="1" x14ac:dyDescent="0.25">
      <c r="A475" t="s">
        <v>15674</v>
      </c>
      <c r="B475" t="s">
        <v>165</v>
      </c>
      <c r="C475" s="1">
        <v>44872.589603935186</v>
      </c>
      <c r="D475" s="1">
        <v>44904</v>
      </c>
      <c r="E475" t="s">
        <v>134</v>
      </c>
      <c r="F475" t="s">
        <v>1034</v>
      </c>
      <c r="G475" t="str">
        <f t="shared" ref="G475:G484" si="30">"37-3011.00"</f>
        <v>37-3011.00</v>
      </c>
      <c r="H475" t="s">
        <v>335</v>
      </c>
      <c r="I475">
        <v>30</v>
      </c>
      <c r="J475">
        <v>30</v>
      </c>
      <c r="K475" s="1">
        <v>44949</v>
      </c>
      <c r="L475" s="1">
        <v>45247</v>
      </c>
      <c r="M475" s="1">
        <v>44949</v>
      </c>
      <c r="N475" s="1">
        <v>45247</v>
      </c>
      <c r="O475" t="s">
        <v>117</v>
      </c>
      <c r="P475" t="s">
        <v>15675</v>
      </c>
      <c r="R475" t="s">
        <v>15676</v>
      </c>
      <c r="T475" t="s">
        <v>5887</v>
      </c>
      <c r="U475" t="s">
        <v>530</v>
      </c>
      <c r="V475" s="4" t="str">
        <f>"85204"</f>
        <v>85204</v>
      </c>
      <c r="W475" t="s">
        <v>120</v>
      </c>
      <c r="Y475" s="5">
        <v>14808952684</v>
      </c>
      <c r="AA475">
        <v>5617</v>
      </c>
      <c r="AB475" t="s">
        <v>7049</v>
      </c>
      <c r="AC475" t="s">
        <v>2564</v>
      </c>
      <c r="AE475" t="s">
        <v>2082</v>
      </c>
      <c r="AF475" t="s">
        <v>15676</v>
      </c>
      <c r="AH475" t="s">
        <v>5887</v>
      </c>
      <c r="AI475" t="s">
        <v>530</v>
      </c>
      <c r="AJ475" s="4" t="str">
        <f>"85204"</f>
        <v>85204</v>
      </c>
      <c r="AK475" t="s">
        <v>120</v>
      </c>
      <c r="AM475" s="5">
        <v>14808952684</v>
      </c>
      <c r="AO475" t="s">
        <v>15677</v>
      </c>
      <c r="AP475" t="s">
        <v>256</v>
      </c>
      <c r="AQ475" t="s">
        <v>1042</v>
      </c>
      <c r="AR475" t="s">
        <v>1043</v>
      </c>
      <c r="AT475" t="s">
        <v>1044</v>
      </c>
      <c r="AU475" t="s">
        <v>1045</v>
      </c>
      <c r="AV475" t="s">
        <v>587</v>
      </c>
      <c r="AW475" t="s">
        <v>530</v>
      </c>
      <c r="AX475" s="4" t="str">
        <f>"85048"</f>
        <v>85048</v>
      </c>
      <c r="AY475" t="s">
        <v>120</v>
      </c>
      <c r="BA475" s="5">
        <v>14809411885</v>
      </c>
      <c r="BC475" t="s">
        <v>1046</v>
      </c>
      <c r="BD475" t="s">
        <v>1047</v>
      </c>
      <c r="BG475" t="s">
        <v>530</v>
      </c>
      <c r="BH475" s="1">
        <v>44867.833333333336</v>
      </c>
      <c r="BI475">
        <v>40</v>
      </c>
      <c r="BJ475">
        <v>0</v>
      </c>
      <c r="BK475">
        <v>8</v>
      </c>
      <c r="BL475">
        <v>8</v>
      </c>
      <c r="BM475">
        <v>8</v>
      </c>
      <c r="BN475">
        <v>8</v>
      </c>
      <c r="BO475">
        <v>8</v>
      </c>
      <c r="BP475">
        <v>0</v>
      </c>
      <c r="BQ475" t="str">
        <f>"6:00 AM"</f>
        <v>6:00 AM</v>
      </c>
      <c r="BR475" t="str">
        <f>"2:30 PM"</f>
        <v>2:30 PM</v>
      </c>
      <c r="BS475" t="s">
        <v>133</v>
      </c>
      <c r="BT475">
        <v>0</v>
      </c>
      <c r="BU475">
        <v>3</v>
      </c>
      <c r="BV475" t="s">
        <v>134</v>
      </c>
      <c r="BX475" s="2" t="s">
        <v>5341</v>
      </c>
      <c r="BY475" t="s">
        <v>15676</v>
      </c>
      <c r="CA475" t="s">
        <v>5887</v>
      </c>
      <c r="CB475" t="s">
        <v>530</v>
      </c>
      <c r="CC475" s="4" t="str">
        <f>"85204"</f>
        <v>85204</v>
      </c>
      <c r="CD475" t="s">
        <v>592</v>
      </c>
      <c r="CE475" t="s">
        <v>548</v>
      </c>
      <c r="CF475" s="6">
        <v>16.57</v>
      </c>
      <c r="CG475" s="6">
        <v>16.57</v>
      </c>
      <c r="CH475" s="6">
        <v>24.86</v>
      </c>
      <c r="CI475" s="6">
        <v>24.86</v>
      </c>
      <c r="CJ475" t="s">
        <v>137</v>
      </c>
      <c r="CK475" t="s">
        <v>1053</v>
      </c>
      <c r="CL475" t="s">
        <v>15678</v>
      </c>
      <c r="CO475" t="s">
        <v>138</v>
      </c>
      <c r="CP475" t="s">
        <v>114</v>
      </c>
      <c r="CQ475" t="s">
        <v>114</v>
      </c>
      <c r="CR475" t="s">
        <v>114</v>
      </c>
      <c r="CS475" t="s">
        <v>114</v>
      </c>
      <c r="CT475" t="s">
        <v>114</v>
      </c>
      <c r="CU475" t="s">
        <v>134</v>
      </c>
      <c r="CV475" t="s">
        <v>5345</v>
      </c>
      <c r="CW475" s="5" t="str">
        <f>"+14808952684"</f>
        <v>+14808952684</v>
      </c>
      <c r="CX475" t="s">
        <v>15677</v>
      </c>
      <c r="CY475" t="s">
        <v>138</v>
      </c>
      <c r="CZ475" t="s">
        <v>139</v>
      </c>
      <c r="DA475" t="s">
        <v>134</v>
      </c>
      <c r="DB475" t="s">
        <v>114</v>
      </c>
      <c r="DC475" t="s">
        <v>114</v>
      </c>
      <c r="DD475" t="s">
        <v>134</v>
      </c>
    </row>
    <row r="476" spans="1:108" ht="15" customHeight="1" x14ac:dyDescent="0.25">
      <c r="A476" t="s">
        <v>13514</v>
      </c>
      <c r="B476" t="s">
        <v>165</v>
      </c>
      <c r="C476" s="1">
        <v>44869.796463425926</v>
      </c>
      <c r="D476" s="1">
        <v>44904</v>
      </c>
      <c r="E476" t="s">
        <v>114</v>
      </c>
      <c r="F476" t="s">
        <v>1747</v>
      </c>
      <c r="G476" t="str">
        <f t="shared" si="30"/>
        <v>37-3011.00</v>
      </c>
      <c r="H476" t="s">
        <v>335</v>
      </c>
      <c r="I476">
        <v>20</v>
      </c>
      <c r="J476">
        <v>20</v>
      </c>
      <c r="K476" s="1">
        <v>44958</v>
      </c>
      <c r="L476" s="1">
        <v>45200</v>
      </c>
      <c r="M476" s="1">
        <v>44958</v>
      </c>
      <c r="N476" s="1">
        <v>45200</v>
      </c>
      <c r="O476" t="s">
        <v>199</v>
      </c>
      <c r="P476" t="s">
        <v>1748</v>
      </c>
      <c r="R476" t="s">
        <v>1749</v>
      </c>
      <c r="T476" t="s">
        <v>1190</v>
      </c>
      <c r="U476" t="s">
        <v>1750</v>
      </c>
      <c r="V476" s="4" t="str">
        <f>"68512"</f>
        <v>68512</v>
      </c>
      <c r="W476" t="s">
        <v>120</v>
      </c>
      <c r="Y476" s="5">
        <v>14024236653</v>
      </c>
      <c r="AA476">
        <v>237990</v>
      </c>
      <c r="AB476" t="s">
        <v>1751</v>
      </c>
      <c r="AC476" t="s">
        <v>1752</v>
      </c>
      <c r="AE476" t="s">
        <v>1753</v>
      </c>
      <c r="AF476" t="s">
        <v>1749</v>
      </c>
      <c r="AH476" t="s">
        <v>1190</v>
      </c>
      <c r="AI476" t="s">
        <v>1750</v>
      </c>
      <c r="AJ476" s="4" t="str">
        <f>"68512"</f>
        <v>68512</v>
      </c>
      <c r="AK476" t="s">
        <v>120</v>
      </c>
      <c r="AM476" s="5">
        <v>14024236653</v>
      </c>
      <c r="AO476" t="s">
        <v>1754</v>
      </c>
      <c r="AP476" t="s">
        <v>122</v>
      </c>
      <c r="AQ476" t="s">
        <v>1755</v>
      </c>
      <c r="AR476" t="s">
        <v>1682</v>
      </c>
      <c r="AS476" t="s">
        <v>1756</v>
      </c>
      <c r="AT476" t="s">
        <v>1757</v>
      </c>
      <c r="AU476" t="s">
        <v>1758</v>
      </c>
      <c r="AV476" t="s">
        <v>1759</v>
      </c>
      <c r="AW476" t="s">
        <v>232</v>
      </c>
      <c r="AX476" s="4" t="str">
        <f>"75234"</f>
        <v>75234</v>
      </c>
      <c r="AY476" t="s">
        <v>120</v>
      </c>
      <c r="BA476" s="5">
        <v>19722416445</v>
      </c>
      <c r="BC476" t="s">
        <v>1760</v>
      </c>
      <c r="BD476" t="s">
        <v>1761</v>
      </c>
      <c r="BE476" t="s">
        <v>232</v>
      </c>
      <c r="BF476" t="s">
        <v>870</v>
      </c>
      <c r="BG476" t="s">
        <v>203</v>
      </c>
      <c r="BH476" s="1">
        <v>44866.833333333336</v>
      </c>
      <c r="BI476">
        <v>40</v>
      </c>
      <c r="BJ476">
        <v>5</v>
      </c>
      <c r="BK476">
        <v>6</v>
      </c>
      <c r="BL476">
        <v>6</v>
      </c>
      <c r="BM476">
        <v>6</v>
      </c>
      <c r="BN476">
        <v>6</v>
      </c>
      <c r="BO476">
        <v>6</v>
      </c>
      <c r="BP476">
        <v>5</v>
      </c>
      <c r="BQ476" t="str">
        <f>"6:00 AM"</f>
        <v>6:00 AM</v>
      </c>
      <c r="BR476" t="str">
        <f>"2:30 PM"</f>
        <v>2:30 PM</v>
      </c>
      <c r="BS476" t="s">
        <v>133</v>
      </c>
      <c r="BT476">
        <v>0</v>
      </c>
      <c r="BU476">
        <v>6</v>
      </c>
      <c r="BV476" t="s">
        <v>134</v>
      </c>
      <c r="BX476" s="2" t="s">
        <v>2011</v>
      </c>
      <c r="BY476" t="s">
        <v>3049</v>
      </c>
      <c r="BZ476" t="s">
        <v>1764</v>
      </c>
      <c r="CA476" t="s">
        <v>3050</v>
      </c>
      <c r="CB476" t="s">
        <v>203</v>
      </c>
      <c r="CC476" s="4" t="str">
        <f>"35010"</f>
        <v>35010</v>
      </c>
      <c r="CD476" t="s">
        <v>3051</v>
      </c>
      <c r="CE476" t="s">
        <v>3052</v>
      </c>
      <c r="CF476" s="6">
        <v>16</v>
      </c>
      <c r="CH476" s="6">
        <v>24</v>
      </c>
      <c r="CJ476" t="s">
        <v>137</v>
      </c>
      <c r="CK476" t="s">
        <v>1768</v>
      </c>
      <c r="CL476" t="s">
        <v>13515</v>
      </c>
      <c r="CO476" t="s">
        <v>138</v>
      </c>
      <c r="CP476" t="s">
        <v>114</v>
      </c>
      <c r="CQ476" t="s">
        <v>134</v>
      </c>
      <c r="CR476" t="s">
        <v>114</v>
      </c>
      <c r="CS476" t="s">
        <v>134</v>
      </c>
      <c r="CT476" t="s">
        <v>114</v>
      </c>
      <c r="CU476" t="s">
        <v>114</v>
      </c>
      <c r="CV476" t="s">
        <v>1770</v>
      </c>
      <c r="CW476" s="5" t="str">
        <f>"+18553006690"</f>
        <v>+18553006690</v>
      </c>
      <c r="CX476" t="s">
        <v>138</v>
      </c>
      <c r="CY476" t="s">
        <v>1771</v>
      </c>
      <c r="CZ476" t="s">
        <v>139</v>
      </c>
      <c r="DA476" t="s">
        <v>134</v>
      </c>
      <c r="DB476" t="s">
        <v>134</v>
      </c>
      <c r="DC476" t="s">
        <v>114</v>
      </c>
      <c r="DD476" t="s">
        <v>134</v>
      </c>
    </row>
    <row r="477" spans="1:108" ht="15" customHeight="1" x14ac:dyDescent="0.25">
      <c r="A477" t="s">
        <v>12774</v>
      </c>
      <c r="B477" t="s">
        <v>165</v>
      </c>
      <c r="C477" s="1">
        <v>44868.404215277777</v>
      </c>
      <c r="D477" s="1">
        <v>44904</v>
      </c>
      <c r="E477" t="s">
        <v>134</v>
      </c>
      <c r="F477" t="s">
        <v>11727</v>
      </c>
      <c r="G477" t="str">
        <f t="shared" si="30"/>
        <v>37-3011.00</v>
      </c>
      <c r="H477" t="s">
        <v>335</v>
      </c>
      <c r="I477">
        <v>15</v>
      </c>
      <c r="J477">
        <v>15</v>
      </c>
      <c r="K477" s="1">
        <v>44958</v>
      </c>
      <c r="L477" s="1">
        <v>45260</v>
      </c>
      <c r="M477" s="1">
        <v>44958</v>
      </c>
      <c r="N477" s="1">
        <v>45260</v>
      </c>
      <c r="O477" t="s">
        <v>117</v>
      </c>
      <c r="P477" t="s">
        <v>11728</v>
      </c>
      <c r="Q477" t="s">
        <v>11729</v>
      </c>
      <c r="R477" t="s">
        <v>11730</v>
      </c>
      <c r="S477" t="s">
        <v>138</v>
      </c>
      <c r="T477" t="s">
        <v>4841</v>
      </c>
      <c r="U477" t="s">
        <v>232</v>
      </c>
      <c r="V477" s="4" t="str">
        <f>"76502"</f>
        <v>76502</v>
      </c>
      <c r="W477" t="s">
        <v>120</v>
      </c>
      <c r="X477" t="s">
        <v>138</v>
      </c>
      <c r="Y477" s="5">
        <v>12545980218</v>
      </c>
      <c r="AA477">
        <v>561730</v>
      </c>
      <c r="AB477" t="s">
        <v>2667</v>
      </c>
      <c r="AC477" t="s">
        <v>11731</v>
      </c>
      <c r="AD477" t="s">
        <v>138</v>
      </c>
      <c r="AE477" t="s">
        <v>342</v>
      </c>
      <c r="AF477" t="s">
        <v>11730</v>
      </c>
      <c r="AG477" t="s">
        <v>138</v>
      </c>
      <c r="AH477" t="s">
        <v>4841</v>
      </c>
      <c r="AI477" t="s">
        <v>232</v>
      </c>
      <c r="AJ477" s="4" t="str">
        <f>"76502"</f>
        <v>76502</v>
      </c>
      <c r="AK477" t="s">
        <v>120</v>
      </c>
      <c r="AM477" s="5">
        <v>12545980218</v>
      </c>
      <c r="AO477" t="s">
        <v>11732</v>
      </c>
      <c r="AP477" t="s">
        <v>256</v>
      </c>
      <c r="AQ477" t="s">
        <v>1352</v>
      </c>
      <c r="AR477" t="s">
        <v>1353</v>
      </c>
      <c r="AS477" t="s">
        <v>138</v>
      </c>
      <c r="AT477" t="s">
        <v>1284</v>
      </c>
      <c r="AU477" t="s">
        <v>138</v>
      </c>
      <c r="AV477" t="s">
        <v>1285</v>
      </c>
      <c r="AW477" t="s">
        <v>232</v>
      </c>
      <c r="AX477" s="4" t="str">
        <f>"77414"</f>
        <v>77414</v>
      </c>
      <c r="AY477" t="s">
        <v>120</v>
      </c>
      <c r="BA477" s="5">
        <v>19793187285</v>
      </c>
      <c r="BC477" t="s">
        <v>1354</v>
      </c>
      <c r="BD477" t="s">
        <v>1287</v>
      </c>
      <c r="BG477" t="s">
        <v>232</v>
      </c>
      <c r="BH477" s="1">
        <v>44867.833333333336</v>
      </c>
      <c r="BI477">
        <v>40</v>
      </c>
      <c r="BJ477">
        <v>0</v>
      </c>
      <c r="BK477">
        <v>10</v>
      </c>
      <c r="BL477">
        <v>10</v>
      </c>
      <c r="BM477">
        <v>10</v>
      </c>
      <c r="BN477">
        <v>10</v>
      </c>
      <c r="BO477">
        <v>0</v>
      </c>
      <c r="BP477">
        <v>0</v>
      </c>
      <c r="BQ477" t="str">
        <f>"7:00 AM"</f>
        <v>7:00 AM</v>
      </c>
      <c r="BR477" t="str">
        <f>"5:00 PM"</f>
        <v>5:00 PM</v>
      </c>
      <c r="BS477" t="s">
        <v>133</v>
      </c>
      <c r="BT477">
        <v>0</v>
      </c>
      <c r="BU477">
        <v>0</v>
      </c>
      <c r="BV477" t="s">
        <v>134</v>
      </c>
      <c r="BX477" t="s">
        <v>12775</v>
      </c>
      <c r="BY477" t="s">
        <v>11730</v>
      </c>
      <c r="BZ477" t="s">
        <v>138</v>
      </c>
      <c r="CA477" t="s">
        <v>4841</v>
      </c>
      <c r="CB477" t="s">
        <v>232</v>
      </c>
      <c r="CC477" s="4" t="str">
        <f>"76502"</f>
        <v>76502</v>
      </c>
      <c r="CD477" t="s">
        <v>4240</v>
      </c>
      <c r="CE477" t="s">
        <v>4241</v>
      </c>
      <c r="CF477" s="6">
        <v>14.58</v>
      </c>
      <c r="CG477" s="6">
        <v>18.25</v>
      </c>
      <c r="CH477" s="6">
        <v>21.87</v>
      </c>
      <c r="CI477" s="6">
        <v>27.38</v>
      </c>
      <c r="CJ477" t="s">
        <v>137</v>
      </c>
      <c r="CK477" t="s">
        <v>11733</v>
      </c>
      <c r="CL477" t="s">
        <v>11734</v>
      </c>
      <c r="CO477" t="s">
        <v>138</v>
      </c>
      <c r="CP477" t="s">
        <v>114</v>
      </c>
      <c r="CQ477" t="s">
        <v>114</v>
      </c>
      <c r="CR477" t="s">
        <v>114</v>
      </c>
      <c r="CS477" t="s">
        <v>114</v>
      </c>
      <c r="CT477" t="s">
        <v>114</v>
      </c>
      <c r="CU477" t="s">
        <v>134</v>
      </c>
      <c r="CV477" t="s">
        <v>1356</v>
      </c>
      <c r="CW477" s="5" t="str">
        <f>"+12545980218"</f>
        <v>+12545980218</v>
      </c>
      <c r="CX477" t="s">
        <v>11732</v>
      </c>
      <c r="CY477" t="s">
        <v>138</v>
      </c>
      <c r="CZ477" t="s">
        <v>139</v>
      </c>
      <c r="DA477" t="s">
        <v>134</v>
      </c>
      <c r="DB477" t="s">
        <v>134</v>
      </c>
      <c r="DC477" t="s">
        <v>114</v>
      </c>
      <c r="DD477" t="s">
        <v>134</v>
      </c>
    </row>
    <row r="478" spans="1:108" ht="15" customHeight="1" x14ac:dyDescent="0.25">
      <c r="A478" t="s">
        <v>15662</v>
      </c>
      <c r="B478" t="s">
        <v>165</v>
      </c>
      <c r="C478" s="1">
        <v>44868.401076620372</v>
      </c>
      <c r="D478" s="1">
        <v>44904</v>
      </c>
      <c r="E478" t="s">
        <v>134</v>
      </c>
      <c r="F478" t="s">
        <v>334</v>
      </c>
      <c r="G478" t="str">
        <f t="shared" si="30"/>
        <v>37-3011.00</v>
      </c>
      <c r="H478" t="s">
        <v>335</v>
      </c>
      <c r="I478">
        <v>15</v>
      </c>
      <c r="J478">
        <v>15</v>
      </c>
      <c r="K478" s="1">
        <v>44958</v>
      </c>
      <c r="L478" s="1">
        <v>45260</v>
      </c>
      <c r="M478" s="1">
        <v>44958</v>
      </c>
      <c r="N478" s="1">
        <v>45260</v>
      </c>
      <c r="O478" t="s">
        <v>117</v>
      </c>
      <c r="P478" t="s">
        <v>15663</v>
      </c>
      <c r="R478" t="s">
        <v>15664</v>
      </c>
      <c r="S478" t="s">
        <v>138</v>
      </c>
      <c r="T478" t="s">
        <v>2108</v>
      </c>
      <c r="U478" t="s">
        <v>232</v>
      </c>
      <c r="V478" s="4" t="str">
        <f>"78249"</f>
        <v>78249</v>
      </c>
      <c r="W478" t="s">
        <v>120</v>
      </c>
      <c r="Y478" s="5">
        <v>12104087010</v>
      </c>
      <c r="AA478">
        <v>561730</v>
      </c>
      <c r="AB478" t="s">
        <v>15665</v>
      </c>
      <c r="AC478" t="s">
        <v>6915</v>
      </c>
      <c r="AD478" t="s">
        <v>138</v>
      </c>
      <c r="AE478" t="s">
        <v>1542</v>
      </c>
      <c r="AF478" t="s">
        <v>15664</v>
      </c>
      <c r="AG478" t="s">
        <v>138</v>
      </c>
      <c r="AH478" t="s">
        <v>2108</v>
      </c>
      <c r="AI478" t="s">
        <v>232</v>
      </c>
      <c r="AJ478" s="4" t="str">
        <f>"78249"</f>
        <v>78249</v>
      </c>
      <c r="AK478" t="s">
        <v>120</v>
      </c>
      <c r="AM478" s="5">
        <v>12104087010</v>
      </c>
      <c r="AO478" t="s">
        <v>15666</v>
      </c>
      <c r="AP478" t="s">
        <v>256</v>
      </c>
      <c r="AQ478" t="s">
        <v>1282</v>
      </c>
      <c r="AR478" t="s">
        <v>1283</v>
      </c>
      <c r="AS478" t="s">
        <v>138</v>
      </c>
      <c r="AT478" t="s">
        <v>1284</v>
      </c>
      <c r="AU478" t="s">
        <v>138</v>
      </c>
      <c r="AV478" t="s">
        <v>1285</v>
      </c>
      <c r="AW478" t="s">
        <v>232</v>
      </c>
      <c r="AX478" s="4" t="str">
        <f>"77414"</f>
        <v>77414</v>
      </c>
      <c r="AY478" t="s">
        <v>120</v>
      </c>
      <c r="BA478" s="5">
        <v>19793187279</v>
      </c>
      <c r="BC478" t="s">
        <v>1286</v>
      </c>
      <c r="BD478" t="s">
        <v>1287</v>
      </c>
      <c r="BG478" t="s">
        <v>232</v>
      </c>
      <c r="BH478" s="1">
        <v>44867.833333333336</v>
      </c>
      <c r="BI478">
        <v>45</v>
      </c>
      <c r="BJ478">
        <v>0</v>
      </c>
      <c r="BK478">
        <v>9</v>
      </c>
      <c r="BL478">
        <v>9</v>
      </c>
      <c r="BM478">
        <v>9</v>
      </c>
      <c r="BN478">
        <v>9</v>
      </c>
      <c r="BO478">
        <v>9</v>
      </c>
      <c r="BP478">
        <v>0</v>
      </c>
      <c r="BQ478" t="str">
        <f>"7:30 AM"</f>
        <v>7:30 AM</v>
      </c>
      <c r="BR478" t="str">
        <f>"5:00 PM"</f>
        <v>5:00 PM</v>
      </c>
      <c r="BS478" t="s">
        <v>133</v>
      </c>
      <c r="BT478">
        <v>0</v>
      </c>
      <c r="BU478">
        <v>0</v>
      </c>
      <c r="BV478" t="s">
        <v>134</v>
      </c>
      <c r="BX478" s="2" t="s">
        <v>15667</v>
      </c>
      <c r="BY478" t="s">
        <v>15664</v>
      </c>
      <c r="BZ478" t="s">
        <v>138</v>
      </c>
      <c r="CA478" t="s">
        <v>2108</v>
      </c>
      <c r="CB478" t="s">
        <v>232</v>
      </c>
      <c r="CC478" s="4" t="str">
        <f>"78249"</f>
        <v>78249</v>
      </c>
      <c r="CD478" t="s">
        <v>2112</v>
      </c>
      <c r="CE478" t="s">
        <v>1342</v>
      </c>
      <c r="CF478" s="6">
        <v>15.05</v>
      </c>
      <c r="CH478" s="6">
        <v>22.58</v>
      </c>
      <c r="CJ478" t="s">
        <v>137</v>
      </c>
      <c r="CK478" t="s">
        <v>6849</v>
      </c>
      <c r="CL478" t="s">
        <v>15668</v>
      </c>
      <c r="CO478" t="s">
        <v>138</v>
      </c>
      <c r="CP478" t="s">
        <v>114</v>
      </c>
      <c r="CQ478" t="s">
        <v>114</v>
      </c>
      <c r="CR478" t="s">
        <v>114</v>
      </c>
      <c r="CS478" t="s">
        <v>114</v>
      </c>
      <c r="CT478" t="s">
        <v>114</v>
      </c>
      <c r="CU478" t="s">
        <v>134</v>
      </c>
      <c r="CV478" t="s">
        <v>15669</v>
      </c>
      <c r="CW478" s="5" t="str">
        <f>"+12104087010"</f>
        <v>+12104087010</v>
      </c>
      <c r="CX478" t="s">
        <v>15670</v>
      </c>
      <c r="CY478" t="s">
        <v>138</v>
      </c>
      <c r="CZ478" t="s">
        <v>139</v>
      </c>
      <c r="DA478" t="s">
        <v>134</v>
      </c>
      <c r="DB478" t="s">
        <v>134</v>
      </c>
      <c r="DC478" t="s">
        <v>114</v>
      </c>
      <c r="DD478" t="s">
        <v>134</v>
      </c>
    </row>
    <row r="479" spans="1:108" ht="15" customHeight="1" x14ac:dyDescent="0.25">
      <c r="A479" t="s">
        <v>14996</v>
      </c>
      <c r="B479" t="s">
        <v>165</v>
      </c>
      <c r="C479" s="1">
        <v>44868.059253703701</v>
      </c>
      <c r="D479" s="1">
        <v>44904</v>
      </c>
      <c r="E479" t="s">
        <v>134</v>
      </c>
      <c r="F479" t="s">
        <v>334</v>
      </c>
      <c r="G479" t="str">
        <f t="shared" si="30"/>
        <v>37-3011.00</v>
      </c>
      <c r="H479" t="s">
        <v>335</v>
      </c>
      <c r="I479">
        <v>10</v>
      </c>
      <c r="J479">
        <v>10</v>
      </c>
      <c r="K479" s="1">
        <v>44958</v>
      </c>
      <c r="L479" s="1">
        <v>45260</v>
      </c>
      <c r="M479" s="1">
        <v>44958</v>
      </c>
      <c r="N479" s="1">
        <v>45260</v>
      </c>
      <c r="O479" t="s">
        <v>117</v>
      </c>
      <c r="P479" t="s">
        <v>14997</v>
      </c>
      <c r="Q479" t="s">
        <v>4888</v>
      </c>
      <c r="R479" t="s">
        <v>14998</v>
      </c>
      <c r="S479" t="s">
        <v>2464</v>
      </c>
      <c r="T479" t="s">
        <v>9225</v>
      </c>
      <c r="U479" t="s">
        <v>232</v>
      </c>
      <c r="V479" s="4" t="str">
        <f>"76712"</f>
        <v>76712</v>
      </c>
      <c r="W479" t="s">
        <v>120</v>
      </c>
      <c r="Y479" s="5">
        <v>12548293800</v>
      </c>
      <c r="AA479">
        <v>56173</v>
      </c>
      <c r="AB479" t="s">
        <v>4890</v>
      </c>
      <c r="AC479" t="s">
        <v>4891</v>
      </c>
      <c r="AE479" t="s">
        <v>1407</v>
      </c>
      <c r="AF479" t="s">
        <v>14998</v>
      </c>
      <c r="AG479" t="s">
        <v>2464</v>
      </c>
      <c r="AH479" t="s">
        <v>9225</v>
      </c>
      <c r="AI479" t="s">
        <v>232</v>
      </c>
      <c r="AJ479" s="4" t="str">
        <f>"76712"</f>
        <v>76712</v>
      </c>
      <c r="AK479" t="s">
        <v>120</v>
      </c>
      <c r="AM479" s="5">
        <v>12548293800</v>
      </c>
      <c r="AO479" t="s">
        <v>4892</v>
      </c>
      <c r="AP479" t="s">
        <v>256</v>
      </c>
      <c r="AQ479" t="s">
        <v>344</v>
      </c>
      <c r="AR479" t="s">
        <v>345</v>
      </c>
      <c r="AT479" t="s">
        <v>346</v>
      </c>
      <c r="AU479" t="s">
        <v>347</v>
      </c>
      <c r="AV479" t="s">
        <v>348</v>
      </c>
      <c r="AW479" t="s">
        <v>349</v>
      </c>
      <c r="AX479" s="4" t="str">
        <f>"83814"</f>
        <v>83814</v>
      </c>
      <c r="AY479" t="s">
        <v>120</v>
      </c>
      <c r="BA479" s="5">
        <v>12087772654</v>
      </c>
      <c r="BC479" t="s">
        <v>350</v>
      </c>
      <c r="BD479" t="s">
        <v>351</v>
      </c>
      <c r="BG479" t="s">
        <v>232</v>
      </c>
      <c r="BH479" s="1">
        <v>44853.833333333336</v>
      </c>
      <c r="BI479">
        <v>40</v>
      </c>
      <c r="BJ479">
        <v>0</v>
      </c>
      <c r="BK479">
        <v>8</v>
      </c>
      <c r="BL479">
        <v>8</v>
      </c>
      <c r="BM479">
        <v>8</v>
      </c>
      <c r="BN479">
        <v>8</v>
      </c>
      <c r="BO479">
        <v>8</v>
      </c>
      <c r="BP479">
        <v>0</v>
      </c>
      <c r="BQ479" t="str">
        <f>"8:00 AM"</f>
        <v>8:00 AM</v>
      </c>
      <c r="BR479" t="str">
        <f>"5:00 PM"</f>
        <v>5:00 PM</v>
      </c>
      <c r="BS479" t="s">
        <v>133</v>
      </c>
      <c r="BT479">
        <v>0</v>
      </c>
      <c r="BU479">
        <v>0</v>
      </c>
      <c r="BV479" t="s">
        <v>134</v>
      </c>
      <c r="BX479" s="2" t="s">
        <v>14999</v>
      </c>
      <c r="BY479" t="s">
        <v>15000</v>
      </c>
      <c r="BZ479" t="s">
        <v>2464</v>
      </c>
      <c r="CA479" t="s">
        <v>9225</v>
      </c>
      <c r="CB479" t="s">
        <v>232</v>
      </c>
      <c r="CC479" s="4" t="str">
        <f>"76712"</f>
        <v>76712</v>
      </c>
      <c r="CD479" t="s">
        <v>10112</v>
      </c>
      <c r="CE479" t="s">
        <v>10113</v>
      </c>
      <c r="CF479" s="6">
        <v>14.58</v>
      </c>
      <c r="CG479" s="6">
        <v>15.64</v>
      </c>
      <c r="CH479" s="6">
        <v>21.87</v>
      </c>
      <c r="CI479" s="6">
        <v>23.46</v>
      </c>
      <c r="CJ479" t="s">
        <v>137</v>
      </c>
      <c r="CK479" t="s">
        <v>356</v>
      </c>
      <c r="CL479" t="s">
        <v>15001</v>
      </c>
      <c r="CO479" t="s">
        <v>138</v>
      </c>
      <c r="CP479" t="s">
        <v>114</v>
      </c>
      <c r="CQ479" t="s">
        <v>114</v>
      </c>
      <c r="CR479" t="s">
        <v>114</v>
      </c>
      <c r="CS479" t="s">
        <v>114</v>
      </c>
      <c r="CT479" t="s">
        <v>114</v>
      </c>
      <c r="CU479" t="s">
        <v>114</v>
      </c>
      <c r="CV479" s="2" t="s">
        <v>15002</v>
      </c>
      <c r="CW479" s="5" t="str">
        <f>"+19727071589"</f>
        <v>+19727071589</v>
      </c>
      <c r="CX479" t="s">
        <v>4896</v>
      </c>
      <c r="CY479" t="s">
        <v>138</v>
      </c>
      <c r="CZ479" t="s">
        <v>139</v>
      </c>
      <c r="DA479" t="s">
        <v>134</v>
      </c>
      <c r="DB479" t="s">
        <v>134</v>
      </c>
      <c r="DC479" t="s">
        <v>114</v>
      </c>
      <c r="DD479" t="s">
        <v>134</v>
      </c>
    </row>
    <row r="480" spans="1:108" ht="15" customHeight="1" x14ac:dyDescent="0.25">
      <c r="A480" t="s">
        <v>4795</v>
      </c>
      <c r="B480" t="s">
        <v>165</v>
      </c>
      <c r="C480" s="1">
        <v>44868.001041319447</v>
      </c>
      <c r="D480" s="1">
        <v>44904</v>
      </c>
      <c r="E480" t="s">
        <v>134</v>
      </c>
      <c r="F480" t="s">
        <v>334</v>
      </c>
      <c r="G480" t="str">
        <f t="shared" si="30"/>
        <v>37-3011.00</v>
      </c>
      <c r="H480" t="s">
        <v>335</v>
      </c>
      <c r="I480">
        <v>55</v>
      </c>
      <c r="J480">
        <v>55</v>
      </c>
      <c r="K480" s="1">
        <v>44958</v>
      </c>
      <c r="L480" s="1">
        <v>45241</v>
      </c>
      <c r="M480" s="1">
        <v>44958</v>
      </c>
      <c r="N480" s="1">
        <v>45241</v>
      </c>
      <c r="O480" t="s">
        <v>117</v>
      </c>
      <c r="P480" t="s">
        <v>4796</v>
      </c>
      <c r="R480" t="s">
        <v>4797</v>
      </c>
      <c r="T480" t="s">
        <v>4450</v>
      </c>
      <c r="U480" t="s">
        <v>232</v>
      </c>
      <c r="V480" s="4" t="str">
        <f>"76009"</f>
        <v>76009</v>
      </c>
      <c r="W480" t="s">
        <v>120</v>
      </c>
      <c r="Y480" s="5">
        <v>18174773910</v>
      </c>
      <c r="AA480">
        <v>5617</v>
      </c>
      <c r="AB480" t="s">
        <v>2249</v>
      </c>
      <c r="AC480" t="s">
        <v>1614</v>
      </c>
      <c r="AD480" t="s">
        <v>1685</v>
      </c>
      <c r="AE480" t="s">
        <v>342</v>
      </c>
      <c r="AF480" t="s">
        <v>4797</v>
      </c>
      <c r="AH480" t="s">
        <v>4450</v>
      </c>
      <c r="AI480" t="s">
        <v>232</v>
      </c>
      <c r="AJ480" s="4" t="str">
        <f>"76009"</f>
        <v>76009</v>
      </c>
      <c r="AK480" t="s">
        <v>120</v>
      </c>
      <c r="AM480" s="5">
        <v>18174773910</v>
      </c>
      <c r="AO480" t="s">
        <v>4798</v>
      </c>
      <c r="AP480" t="s">
        <v>256</v>
      </c>
      <c r="AQ480" t="s">
        <v>400</v>
      </c>
      <c r="AR480" t="s">
        <v>401</v>
      </c>
      <c r="AS480" t="s">
        <v>397</v>
      </c>
      <c r="AT480" t="s">
        <v>402</v>
      </c>
      <c r="AU480" t="s">
        <v>152</v>
      </c>
      <c r="AV480" t="s">
        <v>403</v>
      </c>
      <c r="AW480" t="s">
        <v>232</v>
      </c>
      <c r="AX480" s="4" t="str">
        <f>"75033"</f>
        <v>75033</v>
      </c>
      <c r="AY480" t="s">
        <v>120</v>
      </c>
      <c r="BA480" s="5">
        <v>19727789690</v>
      </c>
      <c r="BC480" t="s">
        <v>404</v>
      </c>
      <c r="BD480" t="s">
        <v>405</v>
      </c>
      <c r="BG480" t="s">
        <v>232</v>
      </c>
      <c r="BH480" s="1">
        <v>44867.833333333336</v>
      </c>
      <c r="BI480">
        <v>40</v>
      </c>
      <c r="BJ480">
        <v>0</v>
      </c>
      <c r="BK480">
        <v>8</v>
      </c>
      <c r="BL480">
        <v>8</v>
      </c>
      <c r="BM480">
        <v>8</v>
      </c>
      <c r="BN480">
        <v>8</v>
      </c>
      <c r="BO480">
        <v>8</v>
      </c>
      <c r="BP480">
        <v>0</v>
      </c>
      <c r="BQ480" t="str">
        <f>"8:00 AM"</f>
        <v>8:00 AM</v>
      </c>
      <c r="BR480" t="str">
        <f>"5:00 PM"</f>
        <v>5:00 PM</v>
      </c>
      <c r="BS480" t="s">
        <v>133</v>
      </c>
      <c r="BT480">
        <v>0</v>
      </c>
      <c r="BU480">
        <v>0</v>
      </c>
      <c r="BV480" t="s">
        <v>134</v>
      </c>
      <c r="BX480" s="2" t="s">
        <v>4799</v>
      </c>
      <c r="BY480" t="s">
        <v>4797</v>
      </c>
      <c r="CA480" t="s">
        <v>4450</v>
      </c>
      <c r="CB480" t="s">
        <v>232</v>
      </c>
      <c r="CC480" s="4" t="str">
        <f>"76009"</f>
        <v>76009</v>
      </c>
      <c r="CD480" t="s">
        <v>1289</v>
      </c>
      <c r="CE480" t="s">
        <v>1528</v>
      </c>
      <c r="CF480" s="6">
        <v>16.3</v>
      </c>
      <c r="CG480" s="6">
        <v>16.3</v>
      </c>
      <c r="CH480" s="6">
        <v>24.45</v>
      </c>
      <c r="CI480" s="6">
        <v>24.45</v>
      </c>
      <c r="CJ480" t="s">
        <v>137</v>
      </c>
      <c r="CK480" t="s">
        <v>4800</v>
      </c>
      <c r="CL480" t="s">
        <v>4801</v>
      </c>
      <c r="CO480" t="s">
        <v>138</v>
      </c>
      <c r="CP480" t="s">
        <v>114</v>
      </c>
      <c r="CQ480" t="s">
        <v>114</v>
      </c>
      <c r="CR480" t="s">
        <v>114</v>
      </c>
      <c r="CS480" t="s">
        <v>114</v>
      </c>
      <c r="CT480" t="s">
        <v>114</v>
      </c>
      <c r="CU480" t="s">
        <v>134</v>
      </c>
      <c r="CV480" s="2" t="s">
        <v>4802</v>
      </c>
      <c r="CW480" s="5" t="str">
        <f>"+18174773910"</f>
        <v>+18174773910</v>
      </c>
      <c r="CX480" t="s">
        <v>138</v>
      </c>
      <c r="CY480" t="s">
        <v>953</v>
      </c>
      <c r="CZ480" t="s">
        <v>139</v>
      </c>
      <c r="DA480" t="s">
        <v>134</v>
      </c>
      <c r="DB480" t="s">
        <v>114</v>
      </c>
      <c r="DC480" t="s">
        <v>114</v>
      </c>
      <c r="DD480" t="s">
        <v>134</v>
      </c>
    </row>
    <row r="481" spans="1:113" ht="15" customHeight="1" x14ac:dyDescent="0.25">
      <c r="A481" t="s">
        <v>6258</v>
      </c>
      <c r="B481" t="s">
        <v>165</v>
      </c>
      <c r="C481" s="1">
        <v>44882.496775115738</v>
      </c>
      <c r="D481" s="1">
        <v>44903</v>
      </c>
      <c r="E481" t="s">
        <v>134</v>
      </c>
      <c r="F481" t="s">
        <v>334</v>
      </c>
      <c r="G481" t="str">
        <f t="shared" si="30"/>
        <v>37-3011.00</v>
      </c>
      <c r="H481" t="s">
        <v>335</v>
      </c>
      <c r="I481">
        <v>20</v>
      </c>
      <c r="J481">
        <v>20</v>
      </c>
      <c r="K481" s="1">
        <v>44972</v>
      </c>
      <c r="L481" s="1">
        <v>45274</v>
      </c>
      <c r="M481" s="1">
        <v>44972</v>
      </c>
      <c r="N481" s="1">
        <v>45274</v>
      </c>
      <c r="O481" t="s">
        <v>117</v>
      </c>
      <c r="P481" t="s">
        <v>6259</v>
      </c>
      <c r="R481" t="s">
        <v>6260</v>
      </c>
      <c r="T481" t="s">
        <v>2252</v>
      </c>
      <c r="U481" t="s">
        <v>214</v>
      </c>
      <c r="V481" s="4" t="str">
        <f>"70805"</f>
        <v>70805</v>
      </c>
      <c r="W481" t="s">
        <v>120</v>
      </c>
      <c r="Y481" s="5">
        <v>12253832660</v>
      </c>
      <c r="AA481">
        <v>56173</v>
      </c>
      <c r="AB481" t="s">
        <v>6261</v>
      </c>
      <c r="AC481" t="s">
        <v>1676</v>
      </c>
      <c r="AE481" t="s">
        <v>424</v>
      </c>
      <c r="AF481" t="s">
        <v>6260</v>
      </c>
      <c r="AH481" t="s">
        <v>2252</v>
      </c>
      <c r="AI481" t="s">
        <v>214</v>
      </c>
      <c r="AJ481" s="4" t="str">
        <f>"70805"</f>
        <v>70805</v>
      </c>
      <c r="AK481" t="s">
        <v>120</v>
      </c>
      <c r="AM481" s="5">
        <v>12253832660</v>
      </c>
      <c r="AO481" t="s">
        <v>6262</v>
      </c>
      <c r="AP481" t="s">
        <v>256</v>
      </c>
      <c r="AQ481" t="s">
        <v>2115</v>
      </c>
      <c r="AR481" t="s">
        <v>2116</v>
      </c>
      <c r="AT481" t="s">
        <v>1930</v>
      </c>
      <c r="AU481" t="s">
        <v>1931</v>
      </c>
      <c r="AV481" t="s">
        <v>1932</v>
      </c>
      <c r="AW481" t="s">
        <v>349</v>
      </c>
      <c r="AX481" s="4" t="str">
        <f>"83814"</f>
        <v>83814</v>
      </c>
      <c r="AY481" t="s">
        <v>120</v>
      </c>
      <c r="BA481" s="5">
        <v>12087772654</v>
      </c>
      <c r="BC481" t="s">
        <v>2117</v>
      </c>
      <c r="BD481" t="s">
        <v>351</v>
      </c>
      <c r="BG481" t="s">
        <v>214</v>
      </c>
      <c r="BH481" s="1">
        <v>44853.833333333336</v>
      </c>
      <c r="BI481">
        <v>40</v>
      </c>
      <c r="BJ481">
        <v>0</v>
      </c>
      <c r="BK481">
        <v>8</v>
      </c>
      <c r="BL481">
        <v>8</v>
      </c>
      <c r="BM481">
        <v>8</v>
      </c>
      <c r="BN481">
        <v>8</v>
      </c>
      <c r="BO481">
        <v>8</v>
      </c>
      <c r="BP481">
        <v>0</v>
      </c>
      <c r="BQ481" t="str">
        <f>"6:00 AM"</f>
        <v>6:00 AM</v>
      </c>
      <c r="BR481" t="str">
        <f>"3:00 PM"</f>
        <v>3:00 PM</v>
      </c>
      <c r="BS481" t="s">
        <v>133</v>
      </c>
      <c r="BT481">
        <v>0</v>
      </c>
      <c r="BU481">
        <v>0</v>
      </c>
      <c r="BV481" t="s">
        <v>134</v>
      </c>
      <c r="BX481" s="2" t="s">
        <v>352</v>
      </c>
      <c r="BY481" t="s">
        <v>6263</v>
      </c>
      <c r="CA481" t="s">
        <v>2252</v>
      </c>
      <c r="CB481" t="s">
        <v>214</v>
      </c>
      <c r="CC481" s="4" t="str">
        <f>"70805"</f>
        <v>70805</v>
      </c>
      <c r="CD481" t="s">
        <v>2247</v>
      </c>
      <c r="CE481" t="s">
        <v>737</v>
      </c>
      <c r="CF481" s="6">
        <v>14.87</v>
      </c>
      <c r="CG481" s="6">
        <v>17</v>
      </c>
      <c r="CH481" s="6">
        <v>22.31</v>
      </c>
      <c r="CI481" s="6">
        <v>25.5</v>
      </c>
      <c r="CJ481" t="s">
        <v>137</v>
      </c>
      <c r="CK481" t="s">
        <v>356</v>
      </c>
      <c r="CL481" t="s">
        <v>6264</v>
      </c>
      <c r="CO481" t="s">
        <v>138</v>
      </c>
      <c r="CP481" t="s">
        <v>114</v>
      </c>
      <c r="CQ481" t="s">
        <v>114</v>
      </c>
      <c r="CR481" t="s">
        <v>114</v>
      </c>
      <c r="CS481" t="s">
        <v>114</v>
      </c>
      <c r="CT481" t="s">
        <v>114</v>
      </c>
      <c r="CU481" t="s">
        <v>114</v>
      </c>
      <c r="CV481" t="s">
        <v>6265</v>
      </c>
      <c r="CW481" s="5" t="str">
        <f>"+12253832660"</f>
        <v>+12253832660</v>
      </c>
      <c r="CX481" t="s">
        <v>6266</v>
      </c>
      <c r="CY481" t="s">
        <v>138</v>
      </c>
      <c r="CZ481" t="s">
        <v>139</v>
      </c>
      <c r="DA481" t="s">
        <v>134</v>
      </c>
      <c r="DB481" t="s">
        <v>134</v>
      </c>
      <c r="DC481" t="s">
        <v>114</v>
      </c>
      <c r="DD481" t="s">
        <v>134</v>
      </c>
    </row>
    <row r="482" spans="1:113" ht="15" customHeight="1" x14ac:dyDescent="0.25">
      <c r="A482" t="s">
        <v>4850</v>
      </c>
      <c r="B482" t="s">
        <v>165</v>
      </c>
      <c r="C482" s="1">
        <v>44879.515866087961</v>
      </c>
      <c r="D482" s="1">
        <v>44903</v>
      </c>
      <c r="E482" t="s">
        <v>134</v>
      </c>
      <c r="F482" t="s">
        <v>334</v>
      </c>
      <c r="G482" t="str">
        <f t="shared" si="30"/>
        <v>37-3011.00</v>
      </c>
      <c r="H482" t="s">
        <v>335</v>
      </c>
      <c r="I482">
        <v>45</v>
      </c>
      <c r="J482">
        <v>45</v>
      </c>
      <c r="K482" s="1">
        <v>44969</v>
      </c>
      <c r="L482" s="1">
        <v>45271</v>
      </c>
      <c r="M482" s="1">
        <v>44969</v>
      </c>
      <c r="N482" s="1">
        <v>45271</v>
      </c>
      <c r="O482" t="s">
        <v>117</v>
      </c>
      <c r="P482" t="s">
        <v>4851</v>
      </c>
      <c r="R482" t="s">
        <v>4852</v>
      </c>
      <c r="S482" t="s">
        <v>4853</v>
      </c>
      <c r="T482" t="s">
        <v>4854</v>
      </c>
      <c r="U482" t="s">
        <v>1411</v>
      </c>
      <c r="V482" s="4" t="str">
        <f>"44224"</f>
        <v>44224</v>
      </c>
      <c r="W482" t="s">
        <v>120</v>
      </c>
      <c r="X482" t="s">
        <v>138</v>
      </c>
      <c r="Y482" s="5">
        <v>13306860901</v>
      </c>
      <c r="AA482">
        <v>561730</v>
      </c>
      <c r="AB482" t="s">
        <v>4855</v>
      </c>
      <c r="AC482" t="s">
        <v>532</v>
      </c>
      <c r="AE482" t="s">
        <v>424</v>
      </c>
      <c r="AF482" t="s">
        <v>4856</v>
      </c>
      <c r="AG482" t="s">
        <v>4853</v>
      </c>
      <c r="AH482" t="s">
        <v>4854</v>
      </c>
      <c r="AI482" t="s">
        <v>1411</v>
      </c>
      <c r="AJ482" s="4" t="str">
        <f>"44224"</f>
        <v>44224</v>
      </c>
      <c r="AK482" t="s">
        <v>120</v>
      </c>
      <c r="AM482" s="5">
        <v>13306860901</v>
      </c>
      <c r="AO482" t="s">
        <v>4857</v>
      </c>
      <c r="AP482" t="s">
        <v>256</v>
      </c>
      <c r="AQ482" t="s">
        <v>4312</v>
      </c>
      <c r="AR482" t="s">
        <v>4313</v>
      </c>
      <c r="AS482" t="s">
        <v>4044</v>
      </c>
      <c r="AT482" t="s">
        <v>1284</v>
      </c>
      <c r="AU482" t="s">
        <v>138</v>
      </c>
      <c r="AV482" t="s">
        <v>1285</v>
      </c>
      <c r="AW482" t="s">
        <v>232</v>
      </c>
      <c r="AX482" s="4" t="str">
        <f>"77414"</f>
        <v>77414</v>
      </c>
      <c r="AY482" t="s">
        <v>120</v>
      </c>
      <c r="BA482" s="5">
        <v>19793187277</v>
      </c>
      <c r="BC482" t="s">
        <v>4314</v>
      </c>
      <c r="BD482" t="s">
        <v>1287</v>
      </c>
      <c r="BG482" t="s">
        <v>1411</v>
      </c>
      <c r="BH482" s="1">
        <v>44878.791666666664</v>
      </c>
      <c r="BI482">
        <v>40</v>
      </c>
      <c r="BJ482">
        <v>0</v>
      </c>
      <c r="BK482">
        <v>8</v>
      </c>
      <c r="BL482">
        <v>8</v>
      </c>
      <c r="BM482">
        <v>8</v>
      </c>
      <c r="BN482">
        <v>8</v>
      </c>
      <c r="BO482">
        <v>8</v>
      </c>
      <c r="BP482">
        <v>0</v>
      </c>
      <c r="BQ482" t="str">
        <f>"7:00 AM"</f>
        <v>7:00 AM</v>
      </c>
      <c r="BR482" t="str">
        <f>"4:00 PM"</f>
        <v>4:00 PM</v>
      </c>
      <c r="BS482" t="s">
        <v>133</v>
      </c>
      <c r="BT482">
        <v>0</v>
      </c>
      <c r="BU482">
        <v>0</v>
      </c>
      <c r="BV482" t="s">
        <v>134</v>
      </c>
      <c r="BX482" s="2" t="s">
        <v>4858</v>
      </c>
      <c r="BY482" t="s">
        <v>4859</v>
      </c>
      <c r="BZ482" t="s">
        <v>4853</v>
      </c>
      <c r="CA482" t="s">
        <v>4854</v>
      </c>
      <c r="CB482" t="s">
        <v>1411</v>
      </c>
      <c r="CC482" s="4" t="str">
        <f>"44224"</f>
        <v>44224</v>
      </c>
      <c r="CD482" t="s">
        <v>1459</v>
      </c>
      <c r="CE482" t="s">
        <v>1460</v>
      </c>
      <c r="CF482" s="6">
        <v>15.77</v>
      </c>
      <c r="CG482" s="6">
        <v>18</v>
      </c>
      <c r="CH482" s="6">
        <v>23.66</v>
      </c>
      <c r="CI482" s="6">
        <v>27</v>
      </c>
      <c r="CJ482" t="s">
        <v>137</v>
      </c>
      <c r="CK482" t="s">
        <v>4317</v>
      </c>
      <c r="CL482" t="s">
        <v>4860</v>
      </c>
      <c r="CO482" t="s">
        <v>138</v>
      </c>
      <c r="CP482" t="s">
        <v>114</v>
      </c>
      <c r="CQ482" t="s">
        <v>114</v>
      </c>
      <c r="CR482" t="s">
        <v>114</v>
      </c>
      <c r="CS482" t="s">
        <v>114</v>
      </c>
      <c r="CT482" t="s">
        <v>114</v>
      </c>
      <c r="CU482" t="s">
        <v>114</v>
      </c>
      <c r="CV482" t="s">
        <v>4861</v>
      </c>
      <c r="CW482" s="5" t="str">
        <f>"+13306860901"</f>
        <v>+13306860901</v>
      </c>
      <c r="CX482" t="s">
        <v>4862</v>
      </c>
      <c r="CY482" t="s">
        <v>138</v>
      </c>
      <c r="CZ482" t="s">
        <v>139</v>
      </c>
      <c r="DA482" t="s">
        <v>134</v>
      </c>
      <c r="DB482" t="s">
        <v>134</v>
      </c>
      <c r="DC482" t="s">
        <v>114</v>
      </c>
      <c r="DD482" t="s">
        <v>134</v>
      </c>
    </row>
    <row r="483" spans="1:113" ht="15" customHeight="1" x14ac:dyDescent="0.25">
      <c r="A483" t="s">
        <v>4763</v>
      </c>
      <c r="B483" t="s">
        <v>165</v>
      </c>
      <c r="C483" s="1">
        <v>44874.469843634259</v>
      </c>
      <c r="D483" s="1">
        <v>44903</v>
      </c>
      <c r="E483" t="s">
        <v>134</v>
      </c>
      <c r="F483" t="s">
        <v>334</v>
      </c>
      <c r="G483" t="str">
        <f t="shared" si="30"/>
        <v>37-3011.00</v>
      </c>
      <c r="H483" t="s">
        <v>335</v>
      </c>
      <c r="I483">
        <v>8</v>
      </c>
      <c r="J483">
        <v>8</v>
      </c>
      <c r="K483" s="1">
        <v>44950</v>
      </c>
      <c r="L483" s="1">
        <v>44985</v>
      </c>
      <c r="M483" s="1">
        <v>44950</v>
      </c>
      <c r="N483" s="1">
        <v>44985</v>
      </c>
      <c r="O483" t="s">
        <v>3130</v>
      </c>
      <c r="P483" t="s">
        <v>4764</v>
      </c>
      <c r="Q483" t="s">
        <v>4765</v>
      </c>
      <c r="R483" t="s">
        <v>4766</v>
      </c>
      <c r="T483" t="s">
        <v>4767</v>
      </c>
      <c r="U483" t="s">
        <v>232</v>
      </c>
      <c r="V483" s="4" t="str">
        <f>"75117"</f>
        <v>75117</v>
      </c>
      <c r="W483" t="s">
        <v>120</v>
      </c>
      <c r="Y483" s="5">
        <v>19038964454</v>
      </c>
      <c r="AA483">
        <v>53119</v>
      </c>
      <c r="AB483" t="s">
        <v>4575</v>
      </c>
      <c r="AC483" t="s">
        <v>1435</v>
      </c>
      <c r="AE483" t="s">
        <v>424</v>
      </c>
      <c r="AF483" t="s">
        <v>4766</v>
      </c>
      <c r="AH483" t="s">
        <v>4767</v>
      </c>
      <c r="AI483" t="s">
        <v>232</v>
      </c>
      <c r="AJ483" s="4" t="str">
        <f>"75117"</f>
        <v>75117</v>
      </c>
      <c r="AK483" t="s">
        <v>120</v>
      </c>
      <c r="AM483" s="5">
        <v>19038964454</v>
      </c>
      <c r="AO483" t="s">
        <v>4768</v>
      </c>
      <c r="AP483" t="s">
        <v>256</v>
      </c>
      <c r="AQ483" t="s">
        <v>885</v>
      </c>
      <c r="AR483" t="s">
        <v>886</v>
      </c>
      <c r="AT483" t="s">
        <v>887</v>
      </c>
      <c r="AV483" t="s">
        <v>888</v>
      </c>
      <c r="AW483" t="s">
        <v>232</v>
      </c>
      <c r="AX483" s="4" t="str">
        <f>"75098"</f>
        <v>75098</v>
      </c>
      <c r="AY483" t="s">
        <v>120</v>
      </c>
      <c r="BA483" s="5">
        <v>19724424244</v>
      </c>
      <c r="BC483" t="s">
        <v>889</v>
      </c>
      <c r="BD483" t="s">
        <v>1264</v>
      </c>
      <c r="BG483" t="s">
        <v>232</v>
      </c>
      <c r="BH483" s="1">
        <v>44873.791666666664</v>
      </c>
      <c r="BI483">
        <v>40</v>
      </c>
      <c r="BJ483">
        <v>0</v>
      </c>
      <c r="BK483">
        <v>8</v>
      </c>
      <c r="BL483">
        <v>8</v>
      </c>
      <c r="BM483">
        <v>8</v>
      </c>
      <c r="BN483">
        <v>8</v>
      </c>
      <c r="BO483">
        <v>8</v>
      </c>
      <c r="BP483">
        <v>0</v>
      </c>
      <c r="BQ483" t="str">
        <f>"6:00 AM"</f>
        <v>6:00 AM</v>
      </c>
      <c r="BR483" t="str">
        <f>"5:00 PM"</f>
        <v>5:00 PM</v>
      </c>
      <c r="BS483" t="s">
        <v>133</v>
      </c>
      <c r="BT483">
        <v>0</v>
      </c>
      <c r="BU483">
        <v>0</v>
      </c>
      <c r="BV483" t="s">
        <v>134</v>
      </c>
      <c r="BX483" t="s">
        <v>219</v>
      </c>
      <c r="BY483" t="s">
        <v>4766</v>
      </c>
      <c r="CA483" t="s">
        <v>4767</v>
      </c>
      <c r="CB483" t="s">
        <v>232</v>
      </c>
      <c r="CC483" s="4" t="str">
        <f>"75117"</f>
        <v>75117</v>
      </c>
      <c r="CD483" t="s">
        <v>4769</v>
      </c>
      <c r="CE483" t="s">
        <v>1085</v>
      </c>
      <c r="CF483" s="6">
        <v>14.07</v>
      </c>
      <c r="CG483" s="6">
        <v>15</v>
      </c>
      <c r="CH483" s="6">
        <v>21.11</v>
      </c>
      <c r="CI483" s="6">
        <v>22.5</v>
      </c>
      <c r="CJ483" t="s">
        <v>137</v>
      </c>
      <c r="CL483" t="s">
        <v>4770</v>
      </c>
      <c r="CO483" t="s">
        <v>138</v>
      </c>
      <c r="CP483" t="s">
        <v>134</v>
      </c>
      <c r="CQ483" t="s">
        <v>114</v>
      </c>
      <c r="CR483" t="s">
        <v>114</v>
      </c>
      <c r="CS483" t="s">
        <v>114</v>
      </c>
      <c r="CT483" t="s">
        <v>114</v>
      </c>
      <c r="CU483" t="s">
        <v>114</v>
      </c>
      <c r="CV483" t="s">
        <v>219</v>
      </c>
      <c r="CW483" s="5" t="str">
        <f>"+19038964454"</f>
        <v>+19038964454</v>
      </c>
      <c r="CX483" t="s">
        <v>138</v>
      </c>
      <c r="CY483" t="s">
        <v>2072</v>
      </c>
      <c r="CZ483" t="s">
        <v>139</v>
      </c>
      <c r="DA483" t="s">
        <v>134</v>
      </c>
      <c r="DB483" t="s">
        <v>134</v>
      </c>
      <c r="DC483" t="s">
        <v>114</v>
      </c>
      <c r="DD483" t="s">
        <v>134</v>
      </c>
    </row>
    <row r="484" spans="1:113" ht="15" customHeight="1" x14ac:dyDescent="0.25">
      <c r="A484" t="s">
        <v>11069</v>
      </c>
      <c r="B484" t="s">
        <v>165</v>
      </c>
      <c r="C484" s="1">
        <v>44868.436541550924</v>
      </c>
      <c r="D484" s="1">
        <v>44903</v>
      </c>
      <c r="E484" t="s">
        <v>134</v>
      </c>
      <c r="F484" t="s">
        <v>334</v>
      </c>
      <c r="G484" t="str">
        <f t="shared" si="30"/>
        <v>37-3011.00</v>
      </c>
      <c r="H484" t="s">
        <v>335</v>
      </c>
      <c r="I484">
        <v>8</v>
      </c>
      <c r="J484">
        <v>8</v>
      </c>
      <c r="K484" s="1">
        <v>44958</v>
      </c>
      <c r="L484" s="1">
        <v>45261</v>
      </c>
      <c r="M484" s="1">
        <v>44958</v>
      </c>
      <c r="N484" s="1">
        <v>45261</v>
      </c>
      <c r="O484" t="s">
        <v>117</v>
      </c>
      <c r="P484" t="s">
        <v>11070</v>
      </c>
      <c r="Q484" t="s">
        <v>11071</v>
      </c>
      <c r="R484" t="s">
        <v>11072</v>
      </c>
      <c r="T484" t="s">
        <v>11073</v>
      </c>
      <c r="U484" t="s">
        <v>232</v>
      </c>
      <c r="V484" s="4" t="str">
        <f>"75077"</f>
        <v>75077</v>
      </c>
      <c r="W484" t="s">
        <v>120</v>
      </c>
      <c r="Y484" s="5">
        <v>12147620005</v>
      </c>
      <c r="AA484">
        <v>56173</v>
      </c>
      <c r="AB484" t="s">
        <v>2210</v>
      </c>
      <c r="AC484" t="s">
        <v>5606</v>
      </c>
      <c r="AE484" t="s">
        <v>424</v>
      </c>
      <c r="AF484" t="s">
        <v>11072</v>
      </c>
      <c r="AH484" t="s">
        <v>11073</v>
      </c>
      <c r="AI484" t="s">
        <v>232</v>
      </c>
      <c r="AJ484" s="4" t="str">
        <f>"75077"</f>
        <v>75077</v>
      </c>
      <c r="AK484" t="s">
        <v>120</v>
      </c>
      <c r="AM484" s="5">
        <v>12147620005</v>
      </c>
      <c r="AO484" t="s">
        <v>11074</v>
      </c>
      <c r="AP484" t="s">
        <v>256</v>
      </c>
      <c r="AQ484" t="s">
        <v>2083</v>
      </c>
      <c r="AR484" t="s">
        <v>886</v>
      </c>
      <c r="AT484" t="s">
        <v>887</v>
      </c>
      <c r="AV484" t="s">
        <v>888</v>
      </c>
      <c r="AW484" t="s">
        <v>232</v>
      </c>
      <c r="AX484" s="4" t="str">
        <f>"75098"</f>
        <v>75098</v>
      </c>
      <c r="AY484" t="s">
        <v>120</v>
      </c>
      <c r="BA484" s="5">
        <v>19724424244</v>
      </c>
      <c r="BC484" t="s">
        <v>889</v>
      </c>
      <c r="BD484" t="s">
        <v>1264</v>
      </c>
      <c r="BG484" t="s">
        <v>232</v>
      </c>
      <c r="BH484" s="1">
        <v>44867.833333333336</v>
      </c>
      <c r="BI484">
        <v>40</v>
      </c>
      <c r="BJ484">
        <v>0</v>
      </c>
      <c r="BK484">
        <v>8</v>
      </c>
      <c r="BL484">
        <v>8</v>
      </c>
      <c r="BM484">
        <v>8</v>
      </c>
      <c r="BN484">
        <v>8</v>
      </c>
      <c r="BO484">
        <v>8</v>
      </c>
      <c r="BP484">
        <v>0</v>
      </c>
      <c r="BQ484" t="str">
        <f>"8:00 AM"</f>
        <v>8:00 AM</v>
      </c>
      <c r="BR484" t="str">
        <f>"4:30 PM"</f>
        <v>4:30 PM</v>
      </c>
      <c r="BS484" t="s">
        <v>133</v>
      </c>
      <c r="BT484">
        <v>0</v>
      </c>
      <c r="BU484">
        <v>0</v>
      </c>
      <c r="BV484" t="s">
        <v>134</v>
      </c>
      <c r="BX484" s="2" t="s">
        <v>5776</v>
      </c>
      <c r="BY484" t="s">
        <v>11072</v>
      </c>
      <c r="CA484" t="s">
        <v>11073</v>
      </c>
      <c r="CB484" t="s">
        <v>232</v>
      </c>
      <c r="CC484" s="4" t="str">
        <f>"75077"</f>
        <v>75077</v>
      </c>
      <c r="CD484" t="s">
        <v>2071</v>
      </c>
      <c r="CE484" t="s">
        <v>1528</v>
      </c>
      <c r="CF484" s="6">
        <v>16.3</v>
      </c>
      <c r="CG484" s="6">
        <v>18</v>
      </c>
      <c r="CH484" s="6">
        <v>24.45</v>
      </c>
      <c r="CI484" s="6">
        <v>27</v>
      </c>
      <c r="CJ484" t="s">
        <v>137</v>
      </c>
      <c r="CL484" t="s">
        <v>11075</v>
      </c>
      <c r="CO484" t="s">
        <v>138</v>
      </c>
      <c r="CP484" t="s">
        <v>114</v>
      </c>
      <c r="CQ484" t="s">
        <v>114</v>
      </c>
      <c r="CR484" t="s">
        <v>114</v>
      </c>
      <c r="CS484" t="s">
        <v>114</v>
      </c>
      <c r="CT484" t="s">
        <v>114</v>
      </c>
      <c r="CU484" t="s">
        <v>114</v>
      </c>
      <c r="CV484" t="s">
        <v>11076</v>
      </c>
      <c r="CW484" s="5" t="str">
        <f>"+12147620005"</f>
        <v>+12147620005</v>
      </c>
      <c r="CX484" t="s">
        <v>138</v>
      </c>
      <c r="CY484" t="s">
        <v>2072</v>
      </c>
      <c r="CZ484" t="s">
        <v>139</v>
      </c>
      <c r="DA484" t="s">
        <v>134</v>
      </c>
      <c r="DB484" t="s">
        <v>134</v>
      </c>
      <c r="DC484" t="s">
        <v>114</v>
      </c>
      <c r="DD484" t="s">
        <v>134</v>
      </c>
    </row>
    <row r="485" spans="1:113" ht="15" customHeight="1" x14ac:dyDescent="0.25">
      <c r="A485" t="s">
        <v>11905</v>
      </c>
      <c r="B485" t="s">
        <v>165</v>
      </c>
      <c r="C485" s="1">
        <v>44868.414961574075</v>
      </c>
      <c r="D485" s="1">
        <v>44903</v>
      </c>
      <c r="E485" t="s">
        <v>134</v>
      </c>
      <c r="F485" t="s">
        <v>5017</v>
      </c>
      <c r="G485" t="str">
        <f>"39-3091.00"</f>
        <v>39-3091.00</v>
      </c>
      <c r="H485" t="s">
        <v>362</v>
      </c>
      <c r="I485">
        <v>50</v>
      </c>
      <c r="J485">
        <v>50</v>
      </c>
      <c r="K485" s="1">
        <v>44958</v>
      </c>
      <c r="L485" s="1">
        <v>45245</v>
      </c>
      <c r="M485" s="1">
        <v>44958</v>
      </c>
      <c r="N485" s="1">
        <v>45245</v>
      </c>
      <c r="O485" t="s">
        <v>199</v>
      </c>
      <c r="P485" t="s">
        <v>11906</v>
      </c>
      <c r="R485" t="s">
        <v>11907</v>
      </c>
      <c r="T485" t="s">
        <v>2108</v>
      </c>
      <c r="U485" t="s">
        <v>232</v>
      </c>
      <c r="V485" s="4" t="str">
        <f>"78248"</f>
        <v>78248</v>
      </c>
      <c r="W485" t="s">
        <v>120</v>
      </c>
      <c r="Y485" s="5">
        <v>12108586078</v>
      </c>
      <c r="Z485">
        <v>0</v>
      </c>
      <c r="AA485">
        <v>71399</v>
      </c>
      <c r="AB485" t="s">
        <v>5554</v>
      </c>
      <c r="AC485" t="s">
        <v>1149</v>
      </c>
      <c r="AE485" t="s">
        <v>342</v>
      </c>
      <c r="AF485" t="s">
        <v>11907</v>
      </c>
      <c r="AH485" t="s">
        <v>2108</v>
      </c>
      <c r="AI485" t="s">
        <v>232</v>
      </c>
      <c r="AJ485" s="4" t="str">
        <f>"78248"</f>
        <v>78248</v>
      </c>
      <c r="AK485" t="s">
        <v>120</v>
      </c>
      <c r="AM485" s="5">
        <v>12108586078</v>
      </c>
      <c r="AN485">
        <v>0</v>
      </c>
      <c r="AO485" t="s">
        <v>11908</v>
      </c>
      <c r="AP485" t="s">
        <v>122</v>
      </c>
      <c r="AQ485" t="s">
        <v>369</v>
      </c>
      <c r="AR485" t="s">
        <v>370</v>
      </c>
      <c r="AS485" t="s">
        <v>371</v>
      </c>
      <c r="AT485" t="s">
        <v>372</v>
      </c>
      <c r="AU485" t="s">
        <v>373</v>
      </c>
      <c r="AV485" t="s">
        <v>374</v>
      </c>
      <c r="AW485" t="s">
        <v>339</v>
      </c>
      <c r="AX485" s="4" t="str">
        <f>"21401"</f>
        <v>21401</v>
      </c>
      <c r="AY485" t="s">
        <v>120</v>
      </c>
      <c r="BA485" s="5">
        <v>14105739955</v>
      </c>
      <c r="BB485">
        <v>0</v>
      </c>
      <c r="BC485" t="s">
        <v>375</v>
      </c>
      <c r="BD485" t="s">
        <v>376</v>
      </c>
      <c r="BE485" t="s">
        <v>339</v>
      </c>
      <c r="BF485" t="s">
        <v>377</v>
      </c>
      <c r="BG485" t="s">
        <v>232</v>
      </c>
      <c r="BH485" s="1">
        <v>44866.833333333336</v>
      </c>
      <c r="BI485">
        <v>35</v>
      </c>
      <c r="BJ485">
        <v>7</v>
      </c>
      <c r="BK485">
        <v>0</v>
      </c>
      <c r="BL485">
        <v>0</v>
      </c>
      <c r="BM485">
        <v>7</v>
      </c>
      <c r="BN485">
        <v>7</v>
      </c>
      <c r="BO485">
        <v>7</v>
      </c>
      <c r="BP485">
        <v>7</v>
      </c>
      <c r="BQ485" t="str">
        <f>"4:00 PM"</f>
        <v>4:00 PM</v>
      </c>
      <c r="BR485" t="str">
        <f>"11:00 PM"</f>
        <v>11:00 PM</v>
      </c>
      <c r="BS485" t="s">
        <v>133</v>
      </c>
      <c r="BT485">
        <v>0</v>
      </c>
      <c r="BU485">
        <v>0</v>
      </c>
      <c r="BV485" t="s">
        <v>134</v>
      </c>
      <c r="BX485" t="s">
        <v>6956</v>
      </c>
      <c r="BY485" t="s">
        <v>11909</v>
      </c>
      <c r="CA485" t="s">
        <v>2108</v>
      </c>
      <c r="CB485" t="s">
        <v>232</v>
      </c>
      <c r="CC485" s="4" t="str">
        <f>"78264"</f>
        <v>78264</v>
      </c>
      <c r="CD485" t="s">
        <v>2112</v>
      </c>
      <c r="CE485" t="s">
        <v>1342</v>
      </c>
      <c r="CF485" s="6">
        <v>9.2799999999999994</v>
      </c>
      <c r="CG485" s="6">
        <v>15.1</v>
      </c>
      <c r="CH485" s="6">
        <v>13.92</v>
      </c>
      <c r="CI485" s="6">
        <v>22.65</v>
      </c>
      <c r="CJ485" t="s">
        <v>137</v>
      </c>
      <c r="CK485" t="s">
        <v>383</v>
      </c>
      <c r="CL485" t="s">
        <v>11910</v>
      </c>
      <c r="CO485" t="s">
        <v>138</v>
      </c>
      <c r="CP485" t="s">
        <v>114</v>
      </c>
      <c r="CQ485" t="s">
        <v>134</v>
      </c>
      <c r="CR485" t="s">
        <v>114</v>
      </c>
      <c r="CS485" t="s">
        <v>114</v>
      </c>
      <c r="CT485" t="s">
        <v>114</v>
      </c>
      <c r="CU485" t="s">
        <v>114</v>
      </c>
      <c r="CV485" t="s">
        <v>11911</v>
      </c>
      <c r="CW485" s="5" t="str">
        <f>"+12108586078"</f>
        <v>+12108586078</v>
      </c>
      <c r="CX485" t="s">
        <v>11908</v>
      </c>
      <c r="CY485" t="s">
        <v>138</v>
      </c>
      <c r="CZ485" t="s">
        <v>139</v>
      </c>
      <c r="DA485" t="s">
        <v>134</v>
      </c>
      <c r="DB485" t="s">
        <v>114</v>
      </c>
      <c r="DC485" t="s">
        <v>114</v>
      </c>
      <c r="DD485" t="s">
        <v>134</v>
      </c>
    </row>
    <row r="486" spans="1:113" ht="15" customHeight="1" x14ac:dyDescent="0.25">
      <c r="A486" t="s">
        <v>15007</v>
      </c>
      <c r="B486" t="s">
        <v>165</v>
      </c>
      <c r="C486" s="1">
        <v>44868.007333564812</v>
      </c>
      <c r="D486" s="1">
        <v>44903</v>
      </c>
      <c r="E486" t="s">
        <v>134</v>
      </c>
      <c r="F486" t="s">
        <v>334</v>
      </c>
      <c r="G486" t="str">
        <f>"37-3011.00"</f>
        <v>37-3011.00</v>
      </c>
      <c r="H486" t="s">
        <v>335</v>
      </c>
      <c r="I486">
        <v>16</v>
      </c>
      <c r="J486">
        <v>16</v>
      </c>
      <c r="K486" s="1">
        <v>44958</v>
      </c>
      <c r="L486" s="1">
        <v>45260</v>
      </c>
      <c r="M486" s="1">
        <v>44958</v>
      </c>
      <c r="N486" s="1">
        <v>45260</v>
      </c>
      <c r="O486" t="s">
        <v>199</v>
      </c>
      <c r="P486" t="s">
        <v>15008</v>
      </c>
      <c r="R486" t="s">
        <v>15009</v>
      </c>
      <c r="T486" t="s">
        <v>4255</v>
      </c>
      <c r="U486" t="s">
        <v>1411</v>
      </c>
      <c r="V486" s="4" t="str">
        <f>"45014"</f>
        <v>45014</v>
      </c>
      <c r="W486" t="s">
        <v>120</v>
      </c>
      <c r="Y486" s="5">
        <v>15136877379</v>
      </c>
      <c r="AA486">
        <v>56173</v>
      </c>
      <c r="AB486" t="s">
        <v>15010</v>
      </c>
      <c r="AC486" t="s">
        <v>1412</v>
      </c>
      <c r="AE486" t="s">
        <v>342</v>
      </c>
      <c r="AF486" t="s">
        <v>15009</v>
      </c>
      <c r="AH486" t="s">
        <v>4255</v>
      </c>
      <c r="AI486" t="s">
        <v>1411</v>
      </c>
      <c r="AJ486" s="4" t="str">
        <f>"45014"</f>
        <v>45014</v>
      </c>
      <c r="AK486" t="s">
        <v>120</v>
      </c>
      <c r="AM486" s="5">
        <v>15136877379</v>
      </c>
      <c r="AO486" t="s">
        <v>15011</v>
      </c>
      <c r="AP486" t="s">
        <v>256</v>
      </c>
      <c r="AQ486" t="s">
        <v>3181</v>
      </c>
      <c r="AR486" t="s">
        <v>3182</v>
      </c>
      <c r="AT486" t="s">
        <v>346</v>
      </c>
      <c r="AU486" t="s">
        <v>347</v>
      </c>
      <c r="AV486" t="s">
        <v>828</v>
      </c>
      <c r="AW486" t="s">
        <v>349</v>
      </c>
      <c r="AX486" s="4" t="str">
        <f>"83814"</f>
        <v>83814</v>
      </c>
      <c r="AY486" t="s">
        <v>120</v>
      </c>
      <c r="BA486" s="5">
        <v>12087772654</v>
      </c>
      <c r="BC486" t="s">
        <v>3183</v>
      </c>
      <c r="BD486" t="s">
        <v>351</v>
      </c>
      <c r="BG486" t="s">
        <v>1411</v>
      </c>
      <c r="BH486" s="1">
        <v>44853.833333333336</v>
      </c>
      <c r="BI486">
        <v>40</v>
      </c>
      <c r="BJ486">
        <v>0</v>
      </c>
      <c r="BK486">
        <v>8</v>
      </c>
      <c r="BL486">
        <v>8</v>
      </c>
      <c r="BM486">
        <v>8</v>
      </c>
      <c r="BN486">
        <v>8</v>
      </c>
      <c r="BO486">
        <v>8</v>
      </c>
      <c r="BP486">
        <v>0</v>
      </c>
      <c r="BQ486" t="str">
        <f>"7:00 AM"</f>
        <v>7:00 AM</v>
      </c>
      <c r="BR486" t="str">
        <f>"4:00 PM"</f>
        <v>4:00 PM</v>
      </c>
      <c r="BS486" t="s">
        <v>133</v>
      </c>
      <c r="BT486">
        <v>0</v>
      </c>
      <c r="BU486">
        <v>0</v>
      </c>
      <c r="BV486" t="s">
        <v>134</v>
      </c>
      <c r="BX486" s="2" t="s">
        <v>10011</v>
      </c>
      <c r="BY486" t="s">
        <v>15012</v>
      </c>
      <c r="CA486" t="s">
        <v>4255</v>
      </c>
      <c r="CB486" t="s">
        <v>1411</v>
      </c>
      <c r="CC486" s="4" t="str">
        <f>"45014"</f>
        <v>45014</v>
      </c>
      <c r="CD486" t="s">
        <v>1416</v>
      </c>
      <c r="CE486" t="s">
        <v>1417</v>
      </c>
      <c r="CF486" s="6">
        <v>16.04</v>
      </c>
      <c r="CG486" s="6">
        <v>20</v>
      </c>
      <c r="CH486" s="6">
        <v>24.06</v>
      </c>
      <c r="CI486" s="6">
        <v>30</v>
      </c>
      <c r="CJ486" t="s">
        <v>137</v>
      </c>
      <c r="CK486" t="s">
        <v>356</v>
      </c>
      <c r="CL486" t="s">
        <v>15013</v>
      </c>
      <c r="CO486" t="s">
        <v>138</v>
      </c>
      <c r="CP486" t="s">
        <v>114</v>
      </c>
      <c r="CQ486" t="s">
        <v>114</v>
      </c>
      <c r="CR486" t="s">
        <v>114</v>
      </c>
      <c r="CS486" t="s">
        <v>114</v>
      </c>
      <c r="CT486" t="s">
        <v>114</v>
      </c>
      <c r="CU486" t="s">
        <v>114</v>
      </c>
      <c r="CV486" s="2" t="s">
        <v>15014</v>
      </c>
      <c r="CW486" s="5" t="str">
        <f>"+15136877379"</f>
        <v>+15136877379</v>
      </c>
      <c r="CX486" t="s">
        <v>15011</v>
      </c>
      <c r="CY486" t="s">
        <v>138</v>
      </c>
      <c r="CZ486" t="s">
        <v>139</v>
      </c>
      <c r="DA486" t="s">
        <v>134</v>
      </c>
      <c r="DB486" t="s">
        <v>134</v>
      </c>
      <c r="DC486" t="s">
        <v>114</v>
      </c>
      <c r="DD486" t="s">
        <v>134</v>
      </c>
    </row>
    <row r="487" spans="1:113" ht="15" customHeight="1" x14ac:dyDescent="0.25">
      <c r="A487" t="s">
        <v>11064</v>
      </c>
      <c r="B487" t="s">
        <v>165</v>
      </c>
      <c r="C487" s="1">
        <v>44868.000529398145</v>
      </c>
      <c r="D487" s="1">
        <v>44903</v>
      </c>
      <c r="E487" t="s">
        <v>134</v>
      </c>
      <c r="F487" t="s">
        <v>334</v>
      </c>
      <c r="G487" t="str">
        <f>"37-3011.00"</f>
        <v>37-3011.00</v>
      </c>
      <c r="H487" t="s">
        <v>335</v>
      </c>
      <c r="I487">
        <v>6</v>
      </c>
      <c r="J487">
        <v>6</v>
      </c>
      <c r="K487" s="1">
        <v>44958</v>
      </c>
      <c r="L487" s="1">
        <v>45255</v>
      </c>
      <c r="M487" s="1">
        <v>44958</v>
      </c>
      <c r="N487" s="1">
        <v>45255</v>
      </c>
      <c r="O487" t="s">
        <v>199</v>
      </c>
      <c r="P487" t="s">
        <v>8940</v>
      </c>
      <c r="R487" t="s">
        <v>8941</v>
      </c>
      <c r="T487" t="s">
        <v>8942</v>
      </c>
      <c r="U487" t="s">
        <v>697</v>
      </c>
      <c r="V487" s="4" t="str">
        <f>"63051"</f>
        <v>63051</v>
      </c>
      <c r="W487" t="s">
        <v>120</v>
      </c>
      <c r="Y487" s="5">
        <v>16362824140</v>
      </c>
      <c r="AA487">
        <v>56173</v>
      </c>
      <c r="AB487" t="s">
        <v>1834</v>
      </c>
      <c r="AC487" t="s">
        <v>2174</v>
      </c>
      <c r="AD487" t="s">
        <v>138</v>
      </c>
      <c r="AE487" t="s">
        <v>424</v>
      </c>
      <c r="AF487" t="s">
        <v>8941</v>
      </c>
      <c r="AH487" t="s">
        <v>8942</v>
      </c>
      <c r="AI487" t="s">
        <v>349</v>
      </c>
      <c r="AJ487" s="4" t="str">
        <f>"63051"</f>
        <v>63051</v>
      </c>
      <c r="AK487" t="s">
        <v>120</v>
      </c>
      <c r="AM487" s="5">
        <v>16362824140</v>
      </c>
      <c r="AO487" t="s">
        <v>8943</v>
      </c>
      <c r="AP487" t="s">
        <v>256</v>
      </c>
      <c r="AQ487" t="s">
        <v>1928</v>
      </c>
      <c r="AR487" t="s">
        <v>1929</v>
      </c>
      <c r="AS487" t="s">
        <v>1685</v>
      </c>
      <c r="AT487" t="s">
        <v>1930</v>
      </c>
      <c r="AU487" t="s">
        <v>1931</v>
      </c>
      <c r="AV487" t="s">
        <v>1932</v>
      </c>
      <c r="AW487" t="s">
        <v>349</v>
      </c>
      <c r="AX487" s="4" t="str">
        <f>"83814"</f>
        <v>83814</v>
      </c>
      <c r="AY487" t="s">
        <v>120</v>
      </c>
      <c r="BA487" s="5">
        <v>12087772654</v>
      </c>
      <c r="BC487" t="s">
        <v>1933</v>
      </c>
      <c r="BD487" t="s">
        <v>351</v>
      </c>
      <c r="BG487" t="s">
        <v>697</v>
      </c>
      <c r="BH487" s="1">
        <v>44854.833333333336</v>
      </c>
      <c r="BI487">
        <v>40</v>
      </c>
      <c r="BJ487">
        <v>0</v>
      </c>
      <c r="BK487">
        <v>8</v>
      </c>
      <c r="BL487">
        <v>8</v>
      </c>
      <c r="BM487">
        <v>8</v>
      </c>
      <c r="BN487">
        <v>8</v>
      </c>
      <c r="BO487">
        <v>8</v>
      </c>
      <c r="BP487">
        <v>0</v>
      </c>
      <c r="BQ487" t="str">
        <f>"6:00 AM"</f>
        <v>6:00 AM</v>
      </c>
      <c r="BR487" t="str">
        <f>"5:00 PM"</f>
        <v>5:00 PM</v>
      </c>
      <c r="BS487" t="s">
        <v>133</v>
      </c>
      <c r="BT487">
        <v>0</v>
      </c>
      <c r="BU487">
        <v>0</v>
      </c>
      <c r="BV487" t="s">
        <v>134</v>
      </c>
      <c r="BX487" t="s">
        <v>9905</v>
      </c>
      <c r="BY487" t="s">
        <v>8944</v>
      </c>
      <c r="CA487" t="s">
        <v>8942</v>
      </c>
      <c r="CB487" t="s">
        <v>697</v>
      </c>
      <c r="CC487" s="4" t="str">
        <f>"63051"</f>
        <v>63051</v>
      </c>
      <c r="CD487" t="s">
        <v>1387</v>
      </c>
      <c r="CE487" t="s">
        <v>713</v>
      </c>
      <c r="CF487" s="6">
        <v>16.96</v>
      </c>
      <c r="CG487" s="6">
        <v>21</v>
      </c>
      <c r="CH487" s="6">
        <v>25.44</v>
      </c>
      <c r="CI487" s="6">
        <v>31.5</v>
      </c>
      <c r="CJ487" t="s">
        <v>137</v>
      </c>
      <c r="CK487" t="s">
        <v>356</v>
      </c>
      <c r="CL487" t="s">
        <v>8945</v>
      </c>
      <c r="CO487" t="s">
        <v>138</v>
      </c>
      <c r="CP487" t="s">
        <v>114</v>
      </c>
      <c r="CQ487" t="s">
        <v>114</v>
      </c>
      <c r="CR487" t="s">
        <v>114</v>
      </c>
      <c r="CS487" t="s">
        <v>114</v>
      </c>
      <c r="CT487" t="s">
        <v>114</v>
      </c>
      <c r="CU487" t="s">
        <v>114</v>
      </c>
      <c r="CV487" s="2" t="s">
        <v>11065</v>
      </c>
      <c r="CW487" s="5" t="str">
        <f>"+16362824140"</f>
        <v>+16362824140</v>
      </c>
      <c r="CX487" t="s">
        <v>8946</v>
      </c>
      <c r="CY487" t="s">
        <v>138</v>
      </c>
      <c r="CZ487" t="s">
        <v>139</v>
      </c>
      <c r="DA487" t="s">
        <v>134</v>
      </c>
      <c r="DB487" t="s">
        <v>114</v>
      </c>
      <c r="DC487" t="s">
        <v>114</v>
      </c>
      <c r="DD487" t="s">
        <v>134</v>
      </c>
    </row>
    <row r="488" spans="1:113" ht="15" customHeight="1" x14ac:dyDescent="0.25">
      <c r="A488" t="s">
        <v>14246</v>
      </c>
      <c r="B488" t="s">
        <v>165</v>
      </c>
      <c r="C488" s="1">
        <v>44859.467891898152</v>
      </c>
      <c r="D488" s="1">
        <v>44903</v>
      </c>
      <c r="E488" t="s">
        <v>114</v>
      </c>
      <c r="F488" t="s">
        <v>14247</v>
      </c>
      <c r="G488" t="str">
        <f>"51-3092.00"</f>
        <v>51-3092.00</v>
      </c>
      <c r="H488" t="s">
        <v>2816</v>
      </c>
      <c r="I488">
        <v>3</v>
      </c>
      <c r="J488">
        <v>3</v>
      </c>
      <c r="K488" s="1">
        <v>44936</v>
      </c>
      <c r="L488" s="1">
        <v>45046</v>
      </c>
      <c r="M488" s="1">
        <v>44936</v>
      </c>
      <c r="N488" s="1">
        <v>45046</v>
      </c>
      <c r="O488" t="s">
        <v>199</v>
      </c>
      <c r="P488" t="s">
        <v>7807</v>
      </c>
      <c r="R488" t="s">
        <v>7810</v>
      </c>
      <c r="T488" t="s">
        <v>1632</v>
      </c>
      <c r="U488" t="s">
        <v>792</v>
      </c>
      <c r="V488" s="4" t="str">
        <f>"98107"</f>
        <v>98107</v>
      </c>
      <c r="W488" t="s">
        <v>120</v>
      </c>
      <c r="Y488" s="5" t="s">
        <v>7811</v>
      </c>
      <c r="AA488">
        <v>424460</v>
      </c>
      <c r="AB488" t="s">
        <v>7808</v>
      </c>
      <c r="AC488" t="s">
        <v>3955</v>
      </c>
      <c r="AE488" t="s">
        <v>7809</v>
      </c>
      <c r="AF488" t="s">
        <v>14248</v>
      </c>
      <c r="AH488" t="s">
        <v>1632</v>
      </c>
      <c r="AI488" t="s">
        <v>792</v>
      </c>
      <c r="AJ488" s="4" t="str">
        <f>"98107"</f>
        <v>98107</v>
      </c>
      <c r="AK488" t="s">
        <v>120</v>
      </c>
      <c r="AM488" s="5" t="s">
        <v>7811</v>
      </c>
      <c r="AO488" t="s">
        <v>14249</v>
      </c>
      <c r="AP488" t="s">
        <v>122</v>
      </c>
      <c r="AQ488" t="s">
        <v>843</v>
      </c>
      <c r="AR488" t="s">
        <v>9023</v>
      </c>
      <c r="AS488" t="s">
        <v>1857</v>
      </c>
      <c r="AT488" t="s">
        <v>10598</v>
      </c>
      <c r="AU488" t="s">
        <v>14250</v>
      </c>
      <c r="AV488" t="s">
        <v>1632</v>
      </c>
      <c r="AW488" t="s">
        <v>792</v>
      </c>
      <c r="AX488" s="4" t="str">
        <f>"98104"</f>
        <v>98104</v>
      </c>
      <c r="AY488" t="s">
        <v>120</v>
      </c>
      <c r="BA488" s="5" t="s">
        <v>14251</v>
      </c>
      <c r="BC488" t="s">
        <v>10599</v>
      </c>
      <c r="BD488" t="s">
        <v>10600</v>
      </c>
      <c r="BE488" t="s">
        <v>792</v>
      </c>
      <c r="BF488" t="s">
        <v>322</v>
      </c>
      <c r="BG488" t="s">
        <v>821</v>
      </c>
      <c r="BH488" s="1">
        <v>44851.833333333336</v>
      </c>
      <c r="BI488">
        <v>84</v>
      </c>
      <c r="BJ488">
        <v>12</v>
      </c>
      <c r="BK488">
        <v>12</v>
      </c>
      <c r="BL488">
        <v>12</v>
      </c>
      <c r="BM488">
        <v>12</v>
      </c>
      <c r="BN488">
        <v>12</v>
      </c>
      <c r="BO488">
        <v>12</v>
      </c>
      <c r="BP488">
        <v>12</v>
      </c>
      <c r="BQ488" t="str">
        <f>"6:00 AM"</f>
        <v>6:00 AM</v>
      </c>
      <c r="BR488" t="str">
        <f>"6:00 PM"</f>
        <v>6:00 PM</v>
      </c>
      <c r="BS488" t="s">
        <v>133</v>
      </c>
      <c r="BT488">
        <v>0</v>
      </c>
      <c r="BU488">
        <v>24</v>
      </c>
      <c r="BV488" t="s">
        <v>134</v>
      </c>
      <c r="BX488" s="2" t="s">
        <v>14252</v>
      </c>
      <c r="BY488" t="s">
        <v>14253</v>
      </c>
      <c r="CA488" t="s">
        <v>7813</v>
      </c>
      <c r="CB488" t="s">
        <v>821</v>
      </c>
      <c r="CC488" s="4" t="str">
        <f>"99553"</f>
        <v>99553</v>
      </c>
      <c r="CD488" t="s">
        <v>7814</v>
      </c>
      <c r="CE488" t="s">
        <v>832</v>
      </c>
      <c r="CF488" s="6">
        <v>23.99</v>
      </c>
      <c r="CG488" s="6">
        <v>23.99</v>
      </c>
      <c r="CH488" s="6">
        <v>35.99</v>
      </c>
      <c r="CI488" s="6">
        <v>35.99</v>
      </c>
      <c r="CJ488" t="s">
        <v>137</v>
      </c>
      <c r="CK488" t="s">
        <v>14254</v>
      </c>
      <c r="CL488" t="s">
        <v>14255</v>
      </c>
      <c r="CP488" t="s">
        <v>114</v>
      </c>
      <c r="CQ488" t="s">
        <v>114</v>
      </c>
      <c r="CR488" t="s">
        <v>114</v>
      </c>
      <c r="CS488" t="s">
        <v>134</v>
      </c>
      <c r="CT488" t="s">
        <v>114</v>
      </c>
      <c r="CU488" t="s">
        <v>114</v>
      </c>
      <c r="CV488" t="s">
        <v>14256</v>
      </c>
      <c r="CW488" s="5" t="str">
        <f>"N/A"</f>
        <v>N/A</v>
      </c>
      <c r="CX488" t="s">
        <v>10607</v>
      </c>
      <c r="CY488" t="s">
        <v>10608</v>
      </c>
      <c r="CZ488" t="s">
        <v>139</v>
      </c>
      <c r="DA488" t="s">
        <v>134</v>
      </c>
      <c r="DB488" t="s">
        <v>134</v>
      </c>
      <c r="DC488" t="s">
        <v>114</v>
      </c>
      <c r="DD488" t="s">
        <v>134</v>
      </c>
      <c r="DE488" t="s">
        <v>843</v>
      </c>
      <c r="DF488" t="s">
        <v>9023</v>
      </c>
      <c r="DG488" t="s">
        <v>1857</v>
      </c>
      <c r="DH488" t="s">
        <v>10600</v>
      </c>
      <c r="DI488" t="s">
        <v>10599</v>
      </c>
    </row>
    <row r="489" spans="1:113" ht="15" customHeight="1" x14ac:dyDescent="0.25">
      <c r="A489" t="s">
        <v>11059</v>
      </c>
      <c r="B489" t="s">
        <v>165</v>
      </c>
      <c r="C489" s="1">
        <v>44879.233589351854</v>
      </c>
      <c r="D489" s="1">
        <v>44902</v>
      </c>
      <c r="E489" t="s">
        <v>134</v>
      </c>
      <c r="F489" t="s">
        <v>571</v>
      </c>
      <c r="G489" t="str">
        <f>"35-3023.00"</f>
        <v>35-3023.00</v>
      </c>
      <c r="H489" t="s">
        <v>555</v>
      </c>
      <c r="I489">
        <v>10</v>
      </c>
      <c r="J489">
        <v>10</v>
      </c>
      <c r="K489" s="1">
        <v>44968</v>
      </c>
      <c r="L489" s="1">
        <v>45243</v>
      </c>
      <c r="M489" s="1">
        <v>44968</v>
      </c>
      <c r="N489" s="1">
        <v>45243</v>
      </c>
      <c r="O489" t="s">
        <v>199</v>
      </c>
      <c r="P489" t="s">
        <v>11060</v>
      </c>
      <c r="R489" t="s">
        <v>11061</v>
      </c>
      <c r="T489" t="s">
        <v>574</v>
      </c>
      <c r="U489" t="s">
        <v>444</v>
      </c>
      <c r="V489" s="4" t="str">
        <f>"93657"</f>
        <v>93657</v>
      </c>
      <c r="W489" t="s">
        <v>120</v>
      </c>
      <c r="Y489" s="5">
        <v>15592862522</v>
      </c>
      <c r="AA489">
        <v>7139</v>
      </c>
      <c r="AB489" t="s">
        <v>5755</v>
      </c>
      <c r="AC489" t="s">
        <v>1745</v>
      </c>
      <c r="AE489" t="s">
        <v>424</v>
      </c>
      <c r="AF489" t="s">
        <v>11061</v>
      </c>
      <c r="AH489" t="s">
        <v>574</v>
      </c>
      <c r="AI489" t="s">
        <v>444</v>
      </c>
      <c r="AJ489" s="4" t="str">
        <f>"93657"</f>
        <v>93657</v>
      </c>
      <c r="AK489" t="s">
        <v>120</v>
      </c>
      <c r="AM489" s="5">
        <v>15592862522</v>
      </c>
      <c r="AO489" t="s">
        <v>11062</v>
      </c>
      <c r="AP489" t="s">
        <v>256</v>
      </c>
      <c r="AQ489" t="s">
        <v>535</v>
      </c>
      <c r="AR489" t="s">
        <v>536</v>
      </c>
      <c r="AS489" t="s">
        <v>537</v>
      </c>
      <c r="AT489" t="s">
        <v>538</v>
      </c>
      <c r="AU489" t="s">
        <v>539</v>
      </c>
      <c r="AV489" t="s">
        <v>540</v>
      </c>
      <c r="AW489" t="s">
        <v>232</v>
      </c>
      <c r="AX489" s="4" t="str">
        <f>"78550"</f>
        <v>78550</v>
      </c>
      <c r="AY489" t="s">
        <v>120</v>
      </c>
      <c r="BA489" s="5">
        <v>19564408720</v>
      </c>
      <c r="BB489">
        <v>0</v>
      </c>
      <c r="BC489" t="s">
        <v>1022</v>
      </c>
      <c r="BD489" t="s">
        <v>543</v>
      </c>
      <c r="BG489" t="s">
        <v>444</v>
      </c>
      <c r="BH489" s="1">
        <v>44878.791666666664</v>
      </c>
      <c r="BI489">
        <v>40</v>
      </c>
      <c r="BJ489">
        <v>8</v>
      </c>
      <c r="BK489">
        <v>0</v>
      </c>
      <c r="BL489">
        <v>0</v>
      </c>
      <c r="BM489">
        <v>8</v>
      </c>
      <c r="BN489">
        <v>8</v>
      </c>
      <c r="BO489">
        <v>8</v>
      </c>
      <c r="BP489">
        <v>8</v>
      </c>
      <c r="BQ489" t="str">
        <f>"1:00 PM"</f>
        <v>1:00 PM</v>
      </c>
      <c r="BR489" t="str">
        <f>"10:00 PM"</f>
        <v>10:00 PM</v>
      </c>
      <c r="BS489" t="s">
        <v>133</v>
      </c>
      <c r="BT489">
        <v>0</v>
      </c>
      <c r="BU489">
        <v>0</v>
      </c>
      <c r="BV489" t="s">
        <v>134</v>
      </c>
      <c r="BX489" s="2" t="s">
        <v>579</v>
      </c>
      <c r="BY489" t="s">
        <v>11061</v>
      </c>
      <c r="CA489" t="s">
        <v>574</v>
      </c>
      <c r="CB489" t="s">
        <v>444</v>
      </c>
      <c r="CC489" s="4" t="str">
        <f>"93657"</f>
        <v>93657</v>
      </c>
      <c r="CD489" t="s">
        <v>580</v>
      </c>
      <c r="CE489" t="s">
        <v>581</v>
      </c>
      <c r="CF489" s="6">
        <v>11.91</v>
      </c>
      <c r="CG489" s="6">
        <v>17.48</v>
      </c>
      <c r="CJ489" t="s">
        <v>137</v>
      </c>
      <c r="CK489" t="s">
        <v>549</v>
      </c>
      <c r="CL489" t="s">
        <v>11063</v>
      </c>
      <c r="CO489" t="s">
        <v>138</v>
      </c>
      <c r="CP489" t="s">
        <v>114</v>
      </c>
      <c r="CQ489" t="s">
        <v>114</v>
      </c>
      <c r="CR489" t="s">
        <v>134</v>
      </c>
      <c r="CS489" t="s">
        <v>114</v>
      </c>
      <c r="CT489" t="s">
        <v>114</v>
      </c>
      <c r="CU489" t="s">
        <v>114</v>
      </c>
      <c r="CV489" t="s">
        <v>569</v>
      </c>
      <c r="CW489" s="5" t="str">
        <f>"+15592862522"</f>
        <v>+15592862522</v>
      </c>
      <c r="CX489" t="s">
        <v>11062</v>
      </c>
      <c r="CY489" t="s">
        <v>138</v>
      </c>
      <c r="CZ489" t="s">
        <v>139</v>
      </c>
      <c r="DA489" t="s">
        <v>134</v>
      </c>
      <c r="DB489" t="s">
        <v>134</v>
      </c>
      <c r="DC489" t="s">
        <v>114</v>
      </c>
      <c r="DD489" t="s">
        <v>134</v>
      </c>
    </row>
    <row r="490" spans="1:113" ht="15" customHeight="1" x14ac:dyDescent="0.25">
      <c r="A490" t="s">
        <v>11139</v>
      </c>
      <c r="B490" t="s">
        <v>165</v>
      </c>
      <c r="C490" s="1">
        <v>44877.618499537035</v>
      </c>
      <c r="D490" s="1">
        <v>44902</v>
      </c>
      <c r="E490" t="s">
        <v>134</v>
      </c>
      <c r="F490" t="s">
        <v>571</v>
      </c>
      <c r="G490" t="str">
        <f>"35-3023.00"</f>
        <v>35-3023.00</v>
      </c>
      <c r="H490" t="s">
        <v>555</v>
      </c>
      <c r="I490">
        <v>10</v>
      </c>
      <c r="J490">
        <v>10</v>
      </c>
      <c r="K490" s="1">
        <v>44956</v>
      </c>
      <c r="L490" s="1">
        <v>45230</v>
      </c>
      <c r="M490" s="1">
        <v>44956</v>
      </c>
      <c r="N490" s="1">
        <v>45230</v>
      </c>
      <c r="O490" t="s">
        <v>199</v>
      </c>
      <c r="P490" t="s">
        <v>11140</v>
      </c>
      <c r="R490" t="s">
        <v>11141</v>
      </c>
      <c r="T490" t="s">
        <v>11142</v>
      </c>
      <c r="U490" t="s">
        <v>184</v>
      </c>
      <c r="V490" s="4" t="str">
        <f>"62274"</f>
        <v>62274</v>
      </c>
      <c r="W490" t="s">
        <v>120</v>
      </c>
      <c r="Y490" s="5">
        <v>16187131729</v>
      </c>
      <c r="AA490">
        <v>71399</v>
      </c>
      <c r="AB490" t="s">
        <v>11143</v>
      </c>
      <c r="AC490" t="s">
        <v>11144</v>
      </c>
      <c r="AD490" t="s">
        <v>138</v>
      </c>
      <c r="AE490" t="s">
        <v>424</v>
      </c>
      <c r="AF490" t="s">
        <v>11141</v>
      </c>
      <c r="AH490" t="s">
        <v>11142</v>
      </c>
      <c r="AI490" t="s">
        <v>184</v>
      </c>
      <c r="AJ490" s="4" t="str">
        <f>"62274"</f>
        <v>62274</v>
      </c>
      <c r="AK490" t="s">
        <v>120</v>
      </c>
      <c r="AM490" s="5">
        <v>16187131729</v>
      </c>
      <c r="AO490" t="s">
        <v>11145</v>
      </c>
      <c r="AP490" t="s">
        <v>256</v>
      </c>
      <c r="AQ490" t="s">
        <v>535</v>
      </c>
      <c r="AR490" t="s">
        <v>536</v>
      </c>
      <c r="AS490" t="s">
        <v>537</v>
      </c>
      <c r="AT490" t="s">
        <v>538</v>
      </c>
      <c r="AU490" t="s">
        <v>539</v>
      </c>
      <c r="AV490" t="s">
        <v>540</v>
      </c>
      <c r="AW490" t="s">
        <v>232</v>
      </c>
      <c r="AX490" s="4" t="str">
        <f>"78550"</f>
        <v>78550</v>
      </c>
      <c r="AY490" t="s">
        <v>120</v>
      </c>
      <c r="BA490" s="5">
        <v>19564408720</v>
      </c>
      <c r="BB490">
        <v>0</v>
      </c>
      <c r="BC490" t="s">
        <v>563</v>
      </c>
      <c r="BD490" t="s">
        <v>543</v>
      </c>
      <c r="BG490" t="s">
        <v>184</v>
      </c>
      <c r="BH490" s="1">
        <v>44876.791666666664</v>
      </c>
      <c r="BI490">
        <v>40</v>
      </c>
      <c r="BJ490">
        <v>8</v>
      </c>
      <c r="BK490">
        <v>0</v>
      </c>
      <c r="BL490">
        <v>0</v>
      </c>
      <c r="BM490">
        <v>8</v>
      </c>
      <c r="BN490">
        <v>8</v>
      </c>
      <c r="BO490">
        <v>8</v>
      </c>
      <c r="BP490">
        <v>8</v>
      </c>
      <c r="BQ490" t="str">
        <f>"1:00 PM"</f>
        <v>1:00 PM</v>
      </c>
      <c r="BR490" t="str">
        <f>"10:00 PM"</f>
        <v>10:00 PM</v>
      </c>
      <c r="BS490" t="s">
        <v>133</v>
      </c>
      <c r="BT490">
        <v>0</v>
      </c>
      <c r="BU490">
        <v>0</v>
      </c>
      <c r="BV490" t="s">
        <v>134</v>
      </c>
      <c r="BX490" s="2" t="s">
        <v>579</v>
      </c>
      <c r="BY490" t="s">
        <v>11146</v>
      </c>
      <c r="CA490" t="s">
        <v>11147</v>
      </c>
      <c r="CB490" t="s">
        <v>184</v>
      </c>
      <c r="CC490" s="4" t="str">
        <f>"62274"</f>
        <v>62274</v>
      </c>
      <c r="CD490" t="s">
        <v>11148</v>
      </c>
      <c r="CE490" t="s">
        <v>7236</v>
      </c>
      <c r="CF490" s="6">
        <v>9.51</v>
      </c>
      <c r="CG490" s="6">
        <v>13</v>
      </c>
      <c r="CJ490" t="s">
        <v>137</v>
      </c>
      <c r="CK490" t="s">
        <v>549</v>
      </c>
      <c r="CL490" t="s">
        <v>11149</v>
      </c>
      <c r="CO490" t="s">
        <v>138</v>
      </c>
      <c r="CP490" t="s">
        <v>114</v>
      </c>
      <c r="CQ490" t="s">
        <v>114</v>
      </c>
      <c r="CR490" t="s">
        <v>134</v>
      </c>
      <c r="CS490" t="s">
        <v>114</v>
      </c>
      <c r="CT490" t="s">
        <v>114</v>
      </c>
      <c r="CU490" t="s">
        <v>114</v>
      </c>
      <c r="CV490" t="s">
        <v>1360</v>
      </c>
      <c r="CW490" s="5" t="str">
        <f>"+16187131729"</f>
        <v>+16187131729</v>
      </c>
      <c r="CX490" t="s">
        <v>11145</v>
      </c>
      <c r="CY490" t="s">
        <v>138</v>
      </c>
      <c r="CZ490" t="s">
        <v>139</v>
      </c>
      <c r="DA490" t="s">
        <v>134</v>
      </c>
      <c r="DB490" t="s">
        <v>114</v>
      </c>
      <c r="DC490" t="s">
        <v>114</v>
      </c>
      <c r="DD490" t="s">
        <v>134</v>
      </c>
    </row>
    <row r="491" spans="1:113" ht="15" customHeight="1" x14ac:dyDescent="0.25">
      <c r="A491" t="s">
        <v>3064</v>
      </c>
      <c r="B491" t="s">
        <v>165</v>
      </c>
      <c r="C491" s="1">
        <v>44873.480751157411</v>
      </c>
      <c r="D491" s="1">
        <v>44902</v>
      </c>
      <c r="E491" t="s">
        <v>134</v>
      </c>
      <c r="F491" t="s">
        <v>1344</v>
      </c>
      <c r="G491" t="str">
        <f>"37-3011.00"</f>
        <v>37-3011.00</v>
      </c>
      <c r="H491" t="s">
        <v>335</v>
      </c>
      <c r="I491">
        <v>20</v>
      </c>
      <c r="J491">
        <v>20</v>
      </c>
      <c r="K491" s="1">
        <v>44958</v>
      </c>
      <c r="L491" s="1">
        <v>45229</v>
      </c>
      <c r="M491" s="1">
        <v>44958</v>
      </c>
      <c r="N491" s="1">
        <v>45229</v>
      </c>
      <c r="O491" t="s">
        <v>199</v>
      </c>
      <c r="P491" t="s">
        <v>3065</v>
      </c>
      <c r="R491" t="s">
        <v>3066</v>
      </c>
      <c r="S491" t="s">
        <v>138</v>
      </c>
      <c r="T491" t="s">
        <v>3067</v>
      </c>
      <c r="U491" t="s">
        <v>232</v>
      </c>
      <c r="V491" s="4" t="str">
        <f>"78163"</f>
        <v>78163</v>
      </c>
      <c r="W491" t="s">
        <v>120</v>
      </c>
      <c r="X491" t="s">
        <v>138</v>
      </c>
      <c r="Y491" s="5">
        <v>18309804037</v>
      </c>
      <c r="Z491">
        <v>0</v>
      </c>
      <c r="AA491">
        <v>23814</v>
      </c>
      <c r="AB491" t="s">
        <v>3068</v>
      </c>
      <c r="AC491" t="s">
        <v>2867</v>
      </c>
      <c r="AD491" t="s">
        <v>805</v>
      </c>
      <c r="AE491" t="s">
        <v>700</v>
      </c>
      <c r="AF491" t="s">
        <v>3066</v>
      </c>
      <c r="AG491" t="s">
        <v>138</v>
      </c>
      <c r="AH491" t="s">
        <v>3067</v>
      </c>
      <c r="AI491" t="s">
        <v>232</v>
      </c>
      <c r="AJ491" s="4" t="str">
        <f>"78163"</f>
        <v>78163</v>
      </c>
      <c r="AK491" t="s">
        <v>120</v>
      </c>
      <c r="AM491" s="5">
        <v>18309804037</v>
      </c>
      <c r="AN491">
        <v>0</v>
      </c>
      <c r="AO491" t="s">
        <v>3069</v>
      </c>
      <c r="AP491" t="s">
        <v>122</v>
      </c>
      <c r="AQ491" t="s">
        <v>1250</v>
      </c>
      <c r="AR491" t="s">
        <v>1251</v>
      </c>
      <c r="AS491" t="s">
        <v>259</v>
      </c>
      <c r="AT491" t="s">
        <v>1252</v>
      </c>
      <c r="AV491" t="s">
        <v>1253</v>
      </c>
      <c r="AW491" t="s">
        <v>657</v>
      </c>
      <c r="AX491" s="4" t="str">
        <f>"37110"</f>
        <v>37110</v>
      </c>
      <c r="AY491" t="s">
        <v>120</v>
      </c>
      <c r="BA491" s="5">
        <v>19312747811</v>
      </c>
      <c r="BC491" t="s">
        <v>1254</v>
      </c>
      <c r="BD491" t="s">
        <v>1255</v>
      </c>
      <c r="BE491" t="s">
        <v>657</v>
      </c>
      <c r="BF491" t="s">
        <v>1256</v>
      </c>
      <c r="BG491" t="s">
        <v>232</v>
      </c>
      <c r="BH491" s="1">
        <v>44867.833333333336</v>
      </c>
      <c r="BI491">
        <v>40</v>
      </c>
      <c r="BJ491">
        <v>0</v>
      </c>
      <c r="BK491">
        <v>8</v>
      </c>
      <c r="BL491">
        <v>8</v>
      </c>
      <c r="BM491">
        <v>8</v>
      </c>
      <c r="BN491">
        <v>8</v>
      </c>
      <c r="BO491">
        <v>8</v>
      </c>
      <c r="BP491">
        <v>0</v>
      </c>
      <c r="BQ491" t="str">
        <f>"7:00 AM"</f>
        <v>7:00 AM</v>
      </c>
      <c r="BR491" t="str">
        <f>"4:00 PM"</f>
        <v>4:00 PM</v>
      </c>
      <c r="BS491" t="s">
        <v>133</v>
      </c>
      <c r="BT491">
        <v>0</v>
      </c>
      <c r="BU491">
        <v>3</v>
      </c>
      <c r="BV491" t="s">
        <v>134</v>
      </c>
      <c r="BX491" s="2" t="s">
        <v>3070</v>
      </c>
      <c r="BY491" t="s">
        <v>3066</v>
      </c>
      <c r="CA491" t="s">
        <v>3067</v>
      </c>
      <c r="CB491" t="s">
        <v>232</v>
      </c>
      <c r="CC491" s="4" t="str">
        <f>"78163"</f>
        <v>78163</v>
      </c>
      <c r="CD491" t="s">
        <v>2112</v>
      </c>
      <c r="CE491" t="s">
        <v>1342</v>
      </c>
      <c r="CF491" s="6">
        <v>16.079999999999998</v>
      </c>
      <c r="CH491" s="6">
        <v>24.12</v>
      </c>
      <c r="CJ491" t="s">
        <v>137</v>
      </c>
      <c r="CL491" t="s">
        <v>3071</v>
      </c>
      <c r="CO491" t="s">
        <v>138</v>
      </c>
      <c r="CP491" t="s">
        <v>114</v>
      </c>
      <c r="CQ491" t="s">
        <v>114</v>
      </c>
      <c r="CR491" t="s">
        <v>114</v>
      </c>
      <c r="CS491" t="s">
        <v>134</v>
      </c>
      <c r="CT491" t="s">
        <v>114</v>
      </c>
      <c r="CU491" t="s">
        <v>134</v>
      </c>
      <c r="CV491" t="s">
        <v>219</v>
      </c>
      <c r="CW491" s="5" t="str">
        <f>"+18309804037"</f>
        <v>+18309804037</v>
      </c>
      <c r="CX491" t="s">
        <v>3069</v>
      </c>
      <c r="CY491" t="s">
        <v>138</v>
      </c>
      <c r="CZ491" t="s">
        <v>139</v>
      </c>
      <c r="DA491" t="s">
        <v>134</v>
      </c>
      <c r="DB491" t="s">
        <v>134</v>
      </c>
      <c r="DC491" t="s">
        <v>114</v>
      </c>
      <c r="DD491" t="s">
        <v>134</v>
      </c>
    </row>
    <row r="492" spans="1:113" ht="15" customHeight="1" x14ac:dyDescent="0.25">
      <c r="A492" t="s">
        <v>12886</v>
      </c>
      <c r="B492" t="s">
        <v>165</v>
      </c>
      <c r="C492" s="1">
        <v>44869.851461921295</v>
      </c>
      <c r="D492" s="1">
        <v>44902</v>
      </c>
      <c r="E492" t="s">
        <v>134</v>
      </c>
      <c r="F492" t="s">
        <v>1315</v>
      </c>
      <c r="G492" t="str">
        <f>"39-3091.00"</f>
        <v>39-3091.00</v>
      </c>
      <c r="H492" t="s">
        <v>362</v>
      </c>
      <c r="I492">
        <v>44</v>
      </c>
      <c r="J492">
        <v>44</v>
      </c>
      <c r="K492" s="1">
        <v>44946</v>
      </c>
      <c r="L492" s="1">
        <v>45230</v>
      </c>
      <c r="M492" s="1">
        <v>44946</v>
      </c>
      <c r="N492" s="1">
        <v>45230</v>
      </c>
      <c r="O492" t="s">
        <v>199</v>
      </c>
      <c r="P492" t="s">
        <v>12887</v>
      </c>
      <c r="R492" t="s">
        <v>12888</v>
      </c>
      <c r="S492" t="s">
        <v>12889</v>
      </c>
      <c r="T492" t="s">
        <v>12890</v>
      </c>
      <c r="U492" t="s">
        <v>1411</v>
      </c>
      <c r="V492" s="4" t="str">
        <f>"43315"</f>
        <v>43315</v>
      </c>
      <c r="W492" t="s">
        <v>120</v>
      </c>
      <c r="Y492" s="5">
        <v>13524083664</v>
      </c>
      <c r="Z492">
        <v>0</v>
      </c>
      <c r="AA492">
        <v>7139</v>
      </c>
      <c r="AB492" t="s">
        <v>10857</v>
      </c>
      <c r="AC492" t="s">
        <v>5847</v>
      </c>
      <c r="AE492" t="s">
        <v>424</v>
      </c>
      <c r="AF492" t="s">
        <v>12888</v>
      </c>
      <c r="AG492" t="s">
        <v>12891</v>
      </c>
      <c r="AH492" t="s">
        <v>12890</v>
      </c>
      <c r="AI492" t="s">
        <v>1411</v>
      </c>
      <c r="AJ492" s="4" t="str">
        <f>"43315"</f>
        <v>43315</v>
      </c>
      <c r="AK492" t="s">
        <v>120</v>
      </c>
      <c r="AM492" s="5">
        <v>13524083664</v>
      </c>
      <c r="AN492">
        <v>0</v>
      </c>
      <c r="AO492" t="s">
        <v>12892</v>
      </c>
      <c r="AP492" t="s">
        <v>256</v>
      </c>
      <c r="AQ492" t="s">
        <v>535</v>
      </c>
      <c r="AR492" t="s">
        <v>536</v>
      </c>
      <c r="AS492" t="s">
        <v>537</v>
      </c>
      <c r="AT492" t="s">
        <v>538</v>
      </c>
      <c r="AU492" t="s">
        <v>539</v>
      </c>
      <c r="AV492" t="s">
        <v>540</v>
      </c>
      <c r="AW492" t="s">
        <v>232</v>
      </c>
      <c r="AX492" s="4" t="str">
        <f>"78550"</f>
        <v>78550</v>
      </c>
      <c r="AY492" t="s">
        <v>120</v>
      </c>
      <c r="AZ492" t="s">
        <v>541</v>
      </c>
      <c r="BA492" s="5">
        <v>19564408720</v>
      </c>
      <c r="BB492">
        <v>0</v>
      </c>
      <c r="BC492" t="s">
        <v>542</v>
      </c>
      <c r="BD492" t="s">
        <v>543</v>
      </c>
      <c r="BG492" t="s">
        <v>1411</v>
      </c>
      <c r="BH492" s="1">
        <v>44868.833333333336</v>
      </c>
      <c r="BI492">
        <v>40</v>
      </c>
      <c r="BJ492">
        <v>8</v>
      </c>
      <c r="BK492">
        <v>0</v>
      </c>
      <c r="BL492">
        <v>0</v>
      </c>
      <c r="BM492">
        <v>8</v>
      </c>
      <c r="BN492">
        <v>8</v>
      </c>
      <c r="BO492">
        <v>8</v>
      </c>
      <c r="BP492">
        <v>8</v>
      </c>
      <c r="BQ492" t="str">
        <f>"1:00 PM"</f>
        <v>1:00 PM</v>
      </c>
      <c r="BR492" t="str">
        <f>"10:00 PM"</f>
        <v>10:00 PM</v>
      </c>
      <c r="BS492" t="s">
        <v>133</v>
      </c>
      <c r="BT492">
        <v>0</v>
      </c>
      <c r="BU492">
        <v>0</v>
      </c>
      <c r="BV492" t="s">
        <v>134</v>
      </c>
      <c r="BX492" t="s">
        <v>3921</v>
      </c>
      <c r="BY492" t="s">
        <v>12888</v>
      </c>
      <c r="BZ492" t="s">
        <v>12891</v>
      </c>
      <c r="CA492" t="s">
        <v>12890</v>
      </c>
      <c r="CB492" t="s">
        <v>1411</v>
      </c>
      <c r="CC492" s="4" t="str">
        <f>"43315"</f>
        <v>43315</v>
      </c>
      <c r="CD492" t="s">
        <v>7999</v>
      </c>
      <c r="CE492" t="s">
        <v>2876</v>
      </c>
      <c r="CF492" s="6">
        <v>10.02</v>
      </c>
      <c r="CG492" s="6">
        <v>12.28</v>
      </c>
      <c r="CH492" s="6">
        <v>0</v>
      </c>
      <c r="CI492" s="6">
        <v>0</v>
      </c>
      <c r="CJ492" t="s">
        <v>137</v>
      </c>
      <c r="CK492" t="s">
        <v>549</v>
      </c>
      <c r="CL492" t="s">
        <v>12893</v>
      </c>
      <c r="CO492" t="s">
        <v>138</v>
      </c>
      <c r="CP492" t="s">
        <v>114</v>
      </c>
      <c r="CQ492" t="s">
        <v>114</v>
      </c>
      <c r="CR492" t="s">
        <v>134</v>
      </c>
      <c r="CS492" t="s">
        <v>114</v>
      </c>
      <c r="CT492" t="s">
        <v>114</v>
      </c>
      <c r="CU492" t="s">
        <v>114</v>
      </c>
      <c r="CV492" t="s">
        <v>12894</v>
      </c>
      <c r="CW492" s="5" t="str">
        <f>"+13524083664"</f>
        <v>+13524083664</v>
      </c>
      <c r="CX492" t="s">
        <v>12892</v>
      </c>
      <c r="CY492" t="s">
        <v>138</v>
      </c>
      <c r="CZ492" t="s">
        <v>139</v>
      </c>
      <c r="DA492" t="s">
        <v>134</v>
      </c>
      <c r="DB492" t="s">
        <v>114</v>
      </c>
      <c r="DC492" t="s">
        <v>114</v>
      </c>
      <c r="DD492" t="s">
        <v>134</v>
      </c>
    </row>
    <row r="493" spans="1:113" ht="15" customHeight="1" x14ac:dyDescent="0.25">
      <c r="A493" t="s">
        <v>6277</v>
      </c>
      <c r="B493" t="s">
        <v>165</v>
      </c>
      <c r="C493" s="1">
        <v>44868.604177777779</v>
      </c>
      <c r="D493" s="1">
        <v>44902</v>
      </c>
      <c r="E493" t="s">
        <v>114</v>
      </c>
      <c r="F493" t="s">
        <v>2749</v>
      </c>
      <c r="G493" t="str">
        <f>"37-3011.00"</f>
        <v>37-3011.00</v>
      </c>
      <c r="H493" t="s">
        <v>335</v>
      </c>
      <c r="I493">
        <v>45</v>
      </c>
      <c r="J493">
        <v>45</v>
      </c>
      <c r="K493" s="1">
        <v>44958</v>
      </c>
      <c r="L493" s="1">
        <v>45230</v>
      </c>
      <c r="M493" s="1">
        <v>44958</v>
      </c>
      <c r="N493" s="1">
        <v>45230</v>
      </c>
      <c r="O493" t="s">
        <v>117</v>
      </c>
      <c r="P493" t="s">
        <v>2750</v>
      </c>
      <c r="R493" t="s">
        <v>2751</v>
      </c>
      <c r="T493" t="s">
        <v>2752</v>
      </c>
      <c r="U493" t="s">
        <v>232</v>
      </c>
      <c r="V493" s="4" t="str">
        <f>"78641"</f>
        <v>78641</v>
      </c>
      <c r="W493" t="s">
        <v>120</v>
      </c>
      <c r="Y493" s="5">
        <v>15127971640</v>
      </c>
      <c r="AA493">
        <v>561730</v>
      </c>
      <c r="AB493" t="s">
        <v>2753</v>
      </c>
      <c r="AC493" t="s">
        <v>2754</v>
      </c>
      <c r="AE493" t="s">
        <v>424</v>
      </c>
      <c r="AF493" t="s">
        <v>2751</v>
      </c>
      <c r="AH493" t="s">
        <v>2752</v>
      </c>
      <c r="AI493" t="s">
        <v>232</v>
      </c>
      <c r="AJ493" s="4" t="str">
        <f>"78641"</f>
        <v>78641</v>
      </c>
      <c r="AK493" t="s">
        <v>120</v>
      </c>
      <c r="AM493" s="5">
        <v>15127971640</v>
      </c>
      <c r="AO493" t="s">
        <v>2755</v>
      </c>
      <c r="AP493" t="s">
        <v>122</v>
      </c>
      <c r="AQ493" t="s">
        <v>1379</v>
      </c>
      <c r="AR493" t="s">
        <v>1380</v>
      </c>
      <c r="AT493" t="s">
        <v>1381</v>
      </c>
      <c r="AV493" t="s">
        <v>684</v>
      </c>
      <c r="AW493" t="s">
        <v>232</v>
      </c>
      <c r="AX493" s="4" t="str">
        <f>"78737"</f>
        <v>78737</v>
      </c>
      <c r="AY493" t="s">
        <v>120</v>
      </c>
      <c r="BA493" s="5">
        <v>15128942128</v>
      </c>
      <c r="BC493" t="s">
        <v>1382</v>
      </c>
      <c r="BD493" t="s">
        <v>1383</v>
      </c>
      <c r="BE493" t="s">
        <v>232</v>
      </c>
      <c r="BF493" t="s">
        <v>870</v>
      </c>
      <c r="BG493" t="s">
        <v>232</v>
      </c>
      <c r="BH493" s="1">
        <v>44867.833333333336</v>
      </c>
      <c r="BI493">
        <v>35</v>
      </c>
      <c r="BJ493">
        <v>0</v>
      </c>
      <c r="BK493">
        <v>7</v>
      </c>
      <c r="BL493">
        <v>7</v>
      </c>
      <c r="BM493">
        <v>7</v>
      </c>
      <c r="BN493">
        <v>7</v>
      </c>
      <c r="BO493">
        <v>7</v>
      </c>
      <c r="BP493">
        <v>0</v>
      </c>
      <c r="BQ493" t="str">
        <f>"8:00 AM"</f>
        <v>8:00 AM</v>
      </c>
      <c r="BR493" t="str">
        <f>"4:00 PM"</f>
        <v>4:00 PM</v>
      </c>
      <c r="BS493" t="s">
        <v>133</v>
      </c>
      <c r="BT493">
        <v>0</v>
      </c>
      <c r="BU493">
        <v>3</v>
      </c>
      <c r="BV493" t="s">
        <v>134</v>
      </c>
      <c r="BX493" s="2" t="s">
        <v>6278</v>
      </c>
      <c r="BY493" t="s">
        <v>2756</v>
      </c>
      <c r="CA493" t="s">
        <v>2757</v>
      </c>
      <c r="CB493" t="s">
        <v>232</v>
      </c>
      <c r="CC493" s="4" t="str">
        <f>"78657"</f>
        <v>78657</v>
      </c>
      <c r="CD493" t="s">
        <v>2758</v>
      </c>
      <c r="CE493" t="s">
        <v>1550</v>
      </c>
      <c r="CF493" s="6">
        <v>14.23</v>
      </c>
      <c r="CG493" s="6">
        <v>14.23</v>
      </c>
      <c r="CH493" s="6">
        <v>21.35</v>
      </c>
      <c r="CI493" s="6">
        <v>21.35</v>
      </c>
      <c r="CJ493" t="s">
        <v>137</v>
      </c>
      <c r="CL493" t="s">
        <v>2759</v>
      </c>
      <c r="CO493" t="s">
        <v>138</v>
      </c>
      <c r="CP493" t="s">
        <v>114</v>
      </c>
      <c r="CQ493" t="s">
        <v>114</v>
      </c>
      <c r="CR493" t="s">
        <v>114</v>
      </c>
      <c r="CS493" t="s">
        <v>134</v>
      </c>
      <c r="CT493" t="s">
        <v>114</v>
      </c>
      <c r="CU493" t="s">
        <v>134</v>
      </c>
      <c r="CV493" s="2" t="s">
        <v>6279</v>
      </c>
      <c r="CW493" s="5" t="str">
        <f>"+15127971640"</f>
        <v>+15127971640</v>
      </c>
      <c r="CX493" t="s">
        <v>2760</v>
      </c>
      <c r="CY493" t="s">
        <v>138</v>
      </c>
      <c r="CZ493" t="s">
        <v>139</v>
      </c>
      <c r="DA493" t="s">
        <v>134</v>
      </c>
      <c r="DB493" t="s">
        <v>134</v>
      </c>
      <c r="DC493" t="s">
        <v>114</v>
      </c>
      <c r="DD493" t="s">
        <v>134</v>
      </c>
    </row>
    <row r="494" spans="1:113" ht="15" customHeight="1" x14ac:dyDescent="0.25">
      <c r="A494" t="s">
        <v>8455</v>
      </c>
      <c r="B494" t="s">
        <v>165</v>
      </c>
      <c r="C494" s="1">
        <v>44868.448876736111</v>
      </c>
      <c r="D494" s="1">
        <v>44902</v>
      </c>
      <c r="E494" t="s">
        <v>134</v>
      </c>
      <c r="F494" t="s">
        <v>334</v>
      </c>
      <c r="G494" t="str">
        <f>"37-3011.00"</f>
        <v>37-3011.00</v>
      </c>
      <c r="H494" t="s">
        <v>335</v>
      </c>
      <c r="I494">
        <v>4</v>
      </c>
      <c r="J494">
        <v>4</v>
      </c>
      <c r="K494" s="1">
        <v>44958</v>
      </c>
      <c r="L494" s="1">
        <v>45245</v>
      </c>
      <c r="M494" s="1">
        <v>44958</v>
      </c>
      <c r="N494" s="1">
        <v>45245</v>
      </c>
      <c r="O494" t="s">
        <v>199</v>
      </c>
      <c r="P494" t="s">
        <v>2451</v>
      </c>
      <c r="R494" t="s">
        <v>2452</v>
      </c>
      <c r="S494" t="s">
        <v>2453</v>
      </c>
      <c r="T494" t="s">
        <v>1978</v>
      </c>
      <c r="U494" t="s">
        <v>697</v>
      </c>
      <c r="V494" s="4" t="str">
        <f>"63304"</f>
        <v>63304</v>
      </c>
      <c r="W494" t="s">
        <v>120</v>
      </c>
      <c r="Y494" s="5">
        <v>13148140104</v>
      </c>
      <c r="AA494">
        <v>561730</v>
      </c>
      <c r="AB494" t="s">
        <v>2454</v>
      </c>
      <c r="AC494" t="s">
        <v>536</v>
      </c>
      <c r="AE494" t="s">
        <v>424</v>
      </c>
      <c r="AF494" t="s">
        <v>2452</v>
      </c>
      <c r="AG494" t="s">
        <v>2453</v>
      </c>
      <c r="AH494" t="s">
        <v>1978</v>
      </c>
      <c r="AI494" t="s">
        <v>697</v>
      </c>
      <c r="AJ494" s="4" t="str">
        <f>"63304"</f>
        <v>63304</v>
      </c>
      <c r="AK494" t="s">
        <v>120</v>
      </c>
      <c r="AM494" s="5">
        <v>13148140104</v>
      </c>
      <c r="AO494" t="s">
        <v>2455</v>
      </c>
      <c r="AP494" t="s">
        <v>256</v>
      </c>
      <c r="AQ494" t="s">
        <v>2327</v>
      </c>
      <c r="AR494" t="s">
        <v>1063</v>
      </c>
      <c r="AS494" t="s">
        <v>1857</v>
      </c>
      <c r="AT494" t="s">
        <v>1284</v>
      </c>
      <c r="AU494" t="s">
        <v>138</v>
      </c>
      <c r="AV494" t="s">
        <v>1285</v>
      </c>
      <c r="AW494" t="s">
        <v>232</v>
      </c>
      <c r="AX494" s="4" t="str">
        <f>"77414"</f>
        <v>77414</v>
      </c>
      <c r="AY494" t="s">
        <v>120</v>
      </c>
      <c r="BA494" s="5">
        <v>19793187280</v>
      </c>
      <c r="BC494" t="s">
        <v>2328</v>
      </c>
      <c r="BD494" t="s">
        <v>1287</v>
      </c>
      <c r="BG494" t="s">
        <v>697</v>
      </c>
      <c r="BH494" s="1">
        <v>44867.833333333336</v>
      </c>
      <c r="BI494">
        <v>58</v>
      </c>
      <c r="BJ494">
        <v>0</v>
      </c>
      <c r="BK494">
        <v>10</v>
      </c>
      <c r="BL494">
        <v>10</v>
      </c>
      <c r="BM494">
        <v>10</v>
      </c>
      <c r="BN494">
        <v>10</v>
      </c>
      <c r="BO494">
        <v>10</v>
      </c>
      <c r="BP494">
        <v>8</v>
      </c>
      <c r="BQ494" t="str">
        <f>"7:30 AM"</f>
        <v>7:30 AM</v>
      </c>
      <c r="BR494" t="str">
        <f>"4:30 PM"</f>
        <v>4:30 PM</v>
      </c>
      <c r="BS494" t="s">
        <v>133</v>
      </c>
      <c r="BT494">
        <v>0</v>
      </c>
      <c r="BU494">
        <v>0</v>
      </c>
      <c r="BV494" t="s">
        <v>134</v>
      </c>
      <c r="BX494" s="2" t="s">
        <v>2456</v>
      </c>
      <c r="BY494" t="s">
        <v>2457</v>
      </c>
      <c r="BZ494" t="s">
        <v>138</v>
      </c>
      <c r="CA494" t="s">
        <v>2458</v>
      </c>
      <c r="CB494" t="s">
        <v>697</v>
      </c>
      <c r="CC494" s="4" t="str">
        <f>"63366"</f>
        <v>63366</v>
      </c>
      <c r="CD494" t="s">
        <v>1962</v>
      </c>
      <c r="CE494" t="s">
        <v>713</v>
      </c>
      <c r="CF494" s="6">
        <v>16.96</v>
      </c>
      <c r="CH494" s="6">
        <v>25.44</v>
      </c>
      <c r="CJ494" t="s">
        <v>137</v>
      </c>
      <c r="CK494" t="s">
        <v>2332</v>
      </c>
      <c r="CL494" t="s">
        <v>2459</v>
      </c>
      <c r="CO494" t="s">
        <v>138</v>
      </c>
      <c r="CP494" t="s">
        <v>114</v>
      </c>
      <c r="CQ494" t="s">
        <v>114</v>
      </c>
      <c r="CR494" t="s">
        <v>114</v>
      </c>
      <c r="CS494" t="s">
        <v>114</v>
      </c>
      <c r="CT494" t="s">
        <v>114</v>
      </c>
      <c r="CU494" t="s">
        <v>134</v>
      </c>
      <c r="CV494" t="s">
        <v>1356</v>
      </c>
      <c r="CW494" s="5" t="str">
        <f>"+13148140104"</f>
        <v>+13148140104</v>
      </c>
      <c r="CX494" t="s">
        <v>2455</v>
      </c>
      <c r="CY494" t="s">
        <v>138</v>
      </c>
      <c r="CZ494" t="s">
        <v>139</v>
      </c>
      <c r="DA494" t="s">
        <v>134</v>
      </c>
      <c r="DB494" t="s">
        <v>134</v>
      </c>
      <c r="DC494" t="s">
        <v>114</v>
      </c>
      <c r="DD494" t="s">
        <v>134</v>
      </c>
    </row>
    <row r="495" spans="1:113" ht="15" customHeight="1" x14ac:dyDescent="0.25">
      <c r="A495" t="s">
        <v>15020</v>
      </c>
      <c r="B495" t="s">
        <v>165</v>
      </c>
      <c r="C495" s="1">
        <v>44868.448736458333</v>
      </c>
      <c r="D495" s="1">
        <v>44902</v>
      </c>
      <c r="E495" t="s">
        <v>134</v>
      </c>
      <c r="F495" t="s">
        <v>334</v>
      </c>
      <c r="G495" t="str">
        <f>"37-3011.00"</f>
        <v>37-3011.00</v>
      </c>
      <c r="H495" t="s">
        <v>335</v>
      </c>
      <c r="I495">
        <v>30</v>
      </c>
      <c r="J495">
        <v>30</v>
      </c>
      <c r="K495" s="1">
        <v>44958</v>
      </c>
      <c r="L495" s="1">
        <v>45260</v>
      </c>
      <c r="M495" s="1">
        <v>44958</v>
      </c>
      <c r="N495" s="1">
        <v>45260</v>
      </c>
      <c r="O495" t="s">
        <v>199</v>
      </c>
      <c r="P495" t="s">
        <v>14932</v>
      </c>
      <c r="R495" t="s">
        <v>14933</v>
      </c>
      <c r="S495" t="s">
        <v>138</v>
      </c>
      <c r="T495" t="s">
        <v>4064</v>
      </c>
      <c r="U495" t="s">
        <v>748</v>
      </c>
      <c r="V495" s="4" t="str">
        <f>"18914"</f>
        <v>18914</v>
      </c>
      <c r="W495" t="s">
        <v>120</v>
      </c>
      <c r="X495" t="s">
        <v>138</v>
      </c>
      <c r="Y495" s="5">
        <v>12678800890</v>
      </c>
      <c r="AA495">
        <v>561730</v>
      </c>
      <c r="AB495" t="s">
        <v>2226</v>
      </c>
      <c r="AC495" t="s">
        <v>14934</v>
      </c>
      <c r="AD495" t="s">
        <v>138</v>
      </c>
      <c r="AE495" t="s">
        <v>342</v>
      </c>
      <c r="AF495" t="s">
        <v>14933</v>
      </c>
      <c r="AG495" t="s">
        <v>138</v>
      </c>
      <c r="AH495" t="s">
        <v>4064</v>
      </c>
      <c r="AI495" t="s">
        <v>748</v>
      </c>
      <c r="AJ495" s="4" t="str">
        <f>"18914"</f>
        <v>18914</v>
      </c>
      <c r="AK495" t="s">
        <v>120</v>
      </c>
      <c r="AM495" s="5">
        <v>12678800890</v>
      </c>
      <c r="AO495" t="s">
        <v>14935</v>
      </c>
      <c r="AP495" t="s">
        <v>256</v>
      </c>
      <c r="AQ495" t="s">
        <v>1352</v>
      </c>
      <c r="AR495" t="s">
        <v>1353</v>
      </c>
      <c r="AS495" t="s">
        <v>138</v>
      </c>
      <c r="AT495" t="s">
        <v>1284</v>
      </c>
      <c r="AU495" t="s">
        <v>138</v>
      </c>
      <c r="AV495" t="s">
        <v>1285</v>
      </c>
      <c r="AW495" t="s">
        <v>232</v>
      </c>
      <c r="AX495" s="4" t="str">
        <f>"77414"</f>
        <v>77414</v>
      </c>
      <c r="AY495" t="s">
        <v>120</v>
      </c>
      <c r="BA495" s="5">
        <v>19793187285</v>
      </c>
      <c r="BC495" t="s">
        <v>1354</v>
      </c>
      <c r="BD495" t="s">
        <v>1287</v>
      </c>
      <c r="BG495" t="s">
        <v>748</v>
      </c>
      <c r="BH495" s="1">
        <v>44867.833333333336</v>
      </c>
      <c r="BI495">
        <v>40</v>
      </c>
      <c r="BJ495">
        <v>0</v>
      </c>
      <c r="BK495">
        <v>8</v>
      </c>
      <c r="BL495">
        <v>8</v>
      </c>
      <c r="BM495">
        <v>8</v>
      </c>
      <c r="BN495">
        <v>8</v>
      </c>
      <c r="BO495">
        <v>8</v>
      </c>
      <c r="BP495">
        <v>0</v>
      </c>
      <c r="BQ495" t="str">
        <f>"6:30 AM"</f>
        <v>6:30 AM</v>
      </c>
      <c r="BR495" t="str">
        <f>"3:30 PM"</f>
        <v>3:30 PM</v>
      </c>
      <c r="BS495" t="s">
        <v>133</v>
      </c>
      <c r="BT495">
        <v>0</v>
      </c>
      <c r="BU495">
        <v>0</v>
      </c>
      <c r="BV495" t="s">
        <v>134</v>
      </c>
      <c r="BX495" s="2" t="s">
        <v>15021</v>
      </c>
      <c r="BY495" t="s">
        <v>14936</v>
      </c>
      <c r="BZ495" t="s">
        <v>138</v>
      </c>
      <c r="CA495" t="s">
        <v>4064</v>
      </c>
      <c r="CB495" t="s">
        <v>748</v>
      </c>
      <c r="CC495" s="4" t="str">
        <f>"18914"</f>
        <v>18914</v>
      </c>
      <c r="CD495" t="s">
        <v>1533</v>
      </c>
      <c r="CE495" t="s">
        <v>1266</v>
      </c>
      <c r="CF495" s="6">
        <v>17.82</v>
      </c>
      <c r="CG495" s="6">
        <v>21</v>
      </c>
      <c r="CH495" s="6">
        <v>26.73</v>
      </c>
      <c r="CI495" s="6">
        <v>31.5</v>
      </c>
      <c r="CJ495" t="s">
        <v>137</v>
      </c>
      <c r="CK495" t="s">
        <v>15022</v>
      </c>
      <c r="CL495" t="s">
        <v>14937</v>
      </c>
      <c r="CO495" t="s">
        <v>138</v>
      </c>
      <c r="CP495" t="s">
        <v>114</v>
      </c>
      <c r="CQ495" t="s">
        <v>114</v>
      </c>
      <c r="CR495" t="s">
        <v>114</v>
      </c>
      <c r="CS495" t="s">
        <v>114</v>
      </c>
      <c r="CT495" t="s">
        <v>114</v>
      </c>
      <c r="CU495" t="s">
        <v>114</v>
      </c>
      <c r="CV495" t="s">
        <v>14938</v>
      </c>
      <c r="CW495" s="5" t="str">
        <f>"+12678800890"</f>
        <v>+12678800890</v>
      </c>
      <c r="CX495" t="s">
        <v>14935</v>
      </c>
      <c r="CY495" t="s">
        <v>138</v>
      </c>
      <c r="CZ495" t="s">
        <v>139</v>
      </c>
      <c r="DA495" t="s">
        <v>134</v>
      </c>
      <c r="DB495" t="s">
        <v>134</v>
      </c>
      <c r="DC495" t="s">
        <v>114</v>
      </c>
      <c r="DD495" t="s">
        <v>134</v>
      </c>
    </row>
    <row r="496" spans="1:113" ht="15" customHeight="1" x14ac:dyDescent="0.25">
      <c r="A496" t="s">
        <v>6240</v>
      </c>
      <c r="B496" t="s">
        <v>165</v>
      </c>
      <c r="C496" s="1">
        <v>44868.444923842595</v>
      </c>
      <c r="D496" s="1">
        <v>44902</v>
      </c>
      <c r="E496" t="s">
        <v>134</v>
      </c>
      <c r="F496" t="s">
        <v>5576</v>
      </c>
      <c r="G496" t="str">
        <f>"47-3016.00"</f>
        <v>47-3016.00</v>
      </c>
      <c r="H496" t="s">
        <v>2369</v>
      </c>
      <c r="I496">
        <v>10</v>
      </c>
      <c r="J496">
        <v>10</v>
      </c>
      <c r="K496" s="1">
        <v>44958</v>
      </c>
      <c r="L496" s="1">
        <v>45230</v>
      </c>
      <c r="M496" s="1">
        <v>44958</v>
      </c>
      <c r="N496" s="1">
        <v>45230</v>
      </c>
      <c r="O496" t="s">
        <v>117</v>
      </c>
      <c r="P496" t="s">
        <v>5894</v>
      </c>
      <c r="R496" t="s">
        <v>5895</v>
      </c>
      <c r="S496" t="s">
        <v>138</v>
      </c>
      <c r="T496" t="s">
        <v>2252</v>
      </c>
      <c r="U496" t="s">
        <v>214</v>
      </c>
      <c r="V496" s="4" t="str">
        <f>"70817"</f>
        <v>70817</v>
      </c>
      <c r="W496" t="s">
        <v>120</v>
      </c>
      <c r="Y496" s="5">
        <v>12254024393</v>
      </c>
      <c r="AA496">
        <v>236115</v>
      </c>
      <c r="AB496" t="s">
        <v>5896</v>
      </c>
      <c r="AC496" t="s">
        <v>5897</v>
      </c>
      <c r="AE496" t="s">
        <v>1835</v>
      </c>
      <c r="AF496" t="s">
        <v>5895</v>
      </c>
      <c r="AG496" t="s">
        <v>138</v>
      </c>
      <c r="AH496" t="s">
        <v>2252</v>
      </c>
      <c r="AI496" t="s">
        <v>214</v>
      </c>
      <c r="AJ496" s="4" t="str">
        <f>"70817"</f>
        <v>70817</v>
      </c>
      <c r="AK496" t="s">
        <v>120</v>
      </c>
      <c r="AM496" s="5">
        <v>12254024393</v>
      </c>
      <c r="AO496" t="s">
        <v>5898</v>
      </c>
      <c r="AP496" t="s">
        <v>256</v>
      </c>
      <c r="AQ496" t="s">
        <v>2327</v>
      </c>
      <c r="AR496" t="s">
        <v>1063</v>
      </c>
      <c r="AS496" t="s">
        <v>1857</v>
      </c>
      <c r="AT496" t="s">
        <v>1284</v>
      </c>
      <c r="AU496" t="s">
        <v>138</v>
      </c>
      <c r="AV496" t="s">
        <v>1285</v>
      </c>
      <c r="AW496" t="s">
        <v>232</v>
      </c>
      <c r="AX496" s="4" t="str">
        <f>"77414"</f>
        <v>77414</v>
      </c>
      <c r="AY496" t="s">
        <v>120</v>
      </c>
      <c r="BA496" s="5">
        <v>19793187280</v>
      </c>
      <c r="BC496" t="s">
        <v>2328</v>
      </c>
      <c r="BD496" t="s">
        <v>1287</v>
      </c>
      <c r="BG496" t="s">
        <v>214</v>
      </c>
      <c r="BH496" s="1">
        <v>44867.833333333336</v>
      </c>
      <c r="BI496">
        <v>40</v>
      </c>
      <c r="BJ496">
        <v>0</v>
      </c>
      <c r="BK496">
        <v>8</v>
      </c>
      <c r="BL496">
        <v>8</v>
      </c>
      <c r="BM496">
        <v>8</v>
      </c>
      <c r="BN496">
        <v>8</v>
      </c>
      <c r="BO496">
        <v>8</v>
      </c>
      <c r="BP496">
        <v>0</v>
      </c>
      <c r="BQ496" t="str">
        <f>"6:00 AM"</f>
        <v>6:00 AM</v>
      </c>
      <c r="BR496" t="str">
        <f>"3:00 PM"</f>
        <v>3:00 PM</v>
      </c>
      <c r="BS496" t="s">
        <v>133</v>
      </c>
      <c r="BT496">
        <v>0</v>
      </c>
      <c r="BU496">
        <v>0</v>
      </c>
      <c r="BV496" t="s">
        <v>134</v>
      </c>
      <c r="BX496" s="2" t="s">
        <v>5899</v>
      </c>
      <c r="BY496" t="s">
        <v>5895</v>
      </c>
      <c r="BZ496" t="s">
        <v>138</v>
      </c>
      <c r="CA496" t="s">
        <v>2252</v>
      </c>
      <c r="CB496" t="s">
        <v>214</v>
      </c>
      <c r="CC496" s="4" t="str">
        <f>"70817"</f>
        <v>70817</v>
      </c>
      <c r="CD496" t="s">
        <v>2247</v>
      </c>
      <c r="CE496" t="s">
        <v>737</v>
      </c>
      <c r="CF496" s="6">
        <v>19.260000000000002</v>
      </c>
      <c r="CH496" s="6">
        <v>28.89</v>
      </c>
      <c r="CJ496" t="s">
        <v>137</v>
      </c>
      <c r="CK496" t="s">
        <v>4414</v>
      </c>
      <c r="CL496" t="s">
        <v>5900</v>
      </c>
      <c r="CO496" t="s">
        <v>138</v>
      </c>
      <c r="CP496" t="s">
        <v>114</v>
      </c>
      <c r="CQ496" t="s">
        <v>114</v>
      </c>
      <c r="CR496" t="s">
        <v>114</v>
      </c>
      <c r="CS496" t="s">
        <v>114</v>
      </c>
      <c r="CT496" t="s">
        <v>114</v>
      </c>
      <c r="CU496" t="s">
        <v>114</v>
      </c>
      <c r="CV496" t="s">
        <v>5901</v>
      </c>
      <c r="CW496" s="5" t="str">
        <f>"+12253134925"</f>
        <v>+12253134925</v>
      </c>
      <c r="CX496" t="s">
        <v>5898</v>
      </c>
      <c r="CY496" t="s">
        <v>138</v>
      </c>
      <c r="CZ496" t="s">
        <v>139</v>
      </c>
      <c r="DA496" t="s">
        <v>134</v>
      </c>
      <c r="DB496" t="s">
        <v>134</v>
      </c>
      <c r="DC496" t="s">
        <v>114</v>
      </c>
      <c r="DD496" t="s">
        <v>134</v>
      </c>
    </row>
    <row r="497" spans="1:113" ht="15" customHeight="1" x14ac:dyDescent="0.25">
      <c r="A497" t="s">
        <v>4837</v>
      </c>
      <c r="B497" t="s">
        <v>165</v>
      </c>
      <c r="C497" s="1">
        <v>44868.386656249997</v>
      </c>
      <c r="D497" s="1">
        <v>44902</v>
      </c>
      <c r="E497" t="s">
        <v>134</v>
      </c>
      <c r="F497" t="s">
        <v>4838</v>
      </c>
      <c r="G497" t="str">
        <f>"47-2061.00"</f>
        <v>47-2061.00</v>
      </c>
      <c r="H497" t="s">
        <v>1625</v>
      </c>
      <c r="I497">
        <v>8</v>
      </c>
      <c r="J497">
        <v>8</v>
      </c>
      <c r="K497" s="1">
        <v>44958</v>
      </c>
      <c r="L497" s="1">
        <v>45260</v>
      </c>
      <c r="M497" s="1">
        <v>44958</v>
      </c>
      <c r="N497" s="1">
        <v>45260</v>
      </c>
      <c r="O497" t="s">
        <v>117</v>
      </c>
      <c r="P497" t="s">
        <v>4839</v>
      </c>
      <c r="R497" t="s">
        <v>4840</v>
      </c>
      <c r="S497" t="s">
        <v>138</v>
      </c>
      <c r="T497" t="s">
        <v>4841</v>
      </c>
      <c r="U497" t="s">
        <v>232</v>
      </c>
      <c r="V497" s="4" t="str">
        <f>"76501"</f>
        <v>76501</v>
      </c>
      <c r="W497" t="s">
        <v>120</v>
      </c>
      <c r="Y497" s="5">
        <v>12543001994</v>
      </c>
      <c r="AA497">
        <v>238990</v>
      </c>
      <c r="AB497" t="s">
        <v>4842</v>
      </c>
      <c r="AC497" t="s">
        <v>4843</v>
      </c>
      <c r="AD497" t="s">
        <v>138</v>
      </c>
      <c r="AE497" t="s">
        <v>424</v>
      </c>
      <c r="AF497" t="s">
        <v>4840</v>
      </c>
      <c r="AG497" t="s">
        <v>138</v>
      </c>
      <c r="AH497" t="s">
        <v>4841</v>
      </c>
      <c r="AI497" t="s">
        <v>232</v>
      </c>
      <c r="AJ497" s="4" t="str">
        <f>"76501"</f>
        <v>76501</v>
      </c>
      <c r="AK497" t="s">
        <v>120</v>
      </c>
      <c r="AM497" s="5">
        <v>12543001994</v>
      </c>
      <c r="AO497" t="s">
        <v>4844</v>
      </c>
      <c r="AP497" t="s">
        <v>256</v>
      </c>
      <c r="AQ497" t="s">
        <v>1352</v>
      </c>
      <c r="AR497" t="s">
        <v>1353</v>
      </c>
      <c r="AS497" t="s">
        <v>138</v>
      </c>
      <c r="AT497" t="s">
        <v>1284</v>
      </c>
      <c r="AU497" t="s">
        <v>138</v>
      </c>
      <c r="AV497" t="s">
        <v>1285</v>
      </c>
      <c r="AW497" t="s">
        <v>232</v>
      </c>
      <c r="AX497" s="4" t="str">
        <f>"77414"</f>
        <v>77414</v>
      </c>
      <c r="AY497" t="s">
        <v>120</v>
      </c>
      <c r="BA497" s="5">
        <v>19793187285</v>
      </c>
      <c r="BC497" t="s">
        <v>1354</v>
      </c>
      <c r="BD497" t="s">
        <v>1287</v>
      </c>
      <c r="BG497" t="s">
        <v>232</v>
      </c>
      <c r="BH497" s="1">
        <v>44867.833333333336</v>
      </c>
      <c r="BI497">
        <v>45</v>
      </c>
      <c r="BJ497">
        <v>0</v>
      </c>
      <c r="BK497">
        <v>9</v>
      </c>
      <c r="BL497">
        <v>9</v>
      </c>
      <c r="BM497">
        <v>9</v>
      </c>
      <c r="BN497">
        <v>9</v>
      </c>
      <c r="BO497">
        <v>9</v>
      </c>
      <c r="BP497">
        <v>0</v>
      </c>
      <c r="BQ497" t="str">
        <f>"7:00 AM"</f>
        <v>7:00 AM</v>
      </c>
      <c r="BR497" t="str">
        <f>"5:00 PM"</f>
        <v>5:00 PM</v>
      </c>
      <c r="BS497" t="s">
        <v>133</v>
      </c>
      <c r="BT497">
        <v>0</v>
      </c>
      <c r="BU497">
        <v>0</v>
      </c>
      <c r="BV497" t="s">
        <v>134</v>
      </c>
      <c r="BX497" s="2" t="s">
        <v>4845</v>
      </c>
      <c r="BY497" t="s">
        <v>4840</v>
      </c>
      <c r="BZ497" t="s">
        <v>138</v>
      </c>
      <c r="CA497" t="s">
        <v>4841</v>
      </c>
      <c r="CB497" t="s">
        <v>232</v>
      </c>
      <c r="CC497" s="4" t="str">
        <f>"76501"</f>
        <v>76501</v>
      </c>
      <c r="CD497" t="s">
        <v>4240</v>
      </c>
      <c r="CE497" t="s">
        <v>4241</v>
      </c>
      <c r="CF497" s="6">
        <v>17.920000000000002</v>
      </c>
      <c r="CH497" s="6">
        <v>26.88</v>
      </c>
      <c r="CJ497" t="s">
        <v>137</v>
      </c>
      <c r="CK497" t="s">
        <v>4846</v>
      </c>
      <c r="CL497" t="s">
        <v>4847</v>
      </c>
      <c r="CO497" t="s">
        <v>138</v>
      </c>
      <c r="CP497" t="s">
        <v>114</v>
      </c>
      <c r="CQ497" t="s">
        <v>114</v>
      </c>
      <c r="CR497" t="s">
        <v>114</v>
      </c>
      <c r="CS497" t="s">
        <v>114</v>
      </c>
      <c r="CT497" t="s">
        <v>114</v>
      </c>
      <c r="CU497" t="s">
        <v>114</v>
      </c>
      <c r="CV497" t="s">
        <v>4848</v>
      </c>
      <c r="CW497" s="5" t="str">
        <f>"+12543001994"</f>
        <v>+12543001994</v>
      </c>
      <c r="CX497" t="s">
        <v>4849</v>
      </c>
      <c r="CY497" t="s">
        <v>138</v>
      </c>
      <c r="CZ497" t="s">
        <v>139</v>
      </c>
      <c r="DA497" t="s">
        <v>134</v>
      </c>
      <c r="DB497" t="s">
        <v>134</v>
      </c>
      <c r="DC497" t="s">
        <v>114</v>
      </c>
      <c r="DD497" t="s">
        <v>134</v>
      </c>
    </row>
    <row r="498" spans="1:113" ht="15" customHeight="1" x14ac:dyDescent="0.25">
      <c r="A498" t="s">
        <v>16806</v>
      </c>
      <c r="B498" t="s">
        <v>165</v>
      </c>
      <c r="C498" s="1">
        <v>44868.007783449073</v>
      </c>
      <c r="D498" s="1">
        <v>44902</v>
      </c>
      <c r="E498" t="s">
        <v>134</v>
      </c>
      <c r="F498" t="s">
        <v>334</v>
      </c>
      <c r="G498" t="str">
        <f t="shared" ref="G498:G503" si="31">"37-3011.00"</f>
        <v>37-3011.00</v>
      </c>
      <c r="H498" t="s">
        <v>335</v>
      </c>
      <c r="I498">
        <v>15</v>
      </c>
      <c r="J498">
        <v>15</v>
      </c>
      <c r="K498" s="1">
        <v>44958</v>
      </c>
      <c r="L498" s="1">
        <v>45260</v>
      </c>
      <c r="M498" s="1">
        <v>44958</v>
      </c>
      <c r="N498" s="1">
        <v>45260</v>
      </c>
      <c r="O498" t="s">
        <v>199</v>
      </c>
      <c r="P498" t="s">
        <v>16807</v>
      </c>
      <c r="R498" t="s">
        <v>16808</v>
      </c>
      <c r="T498" t="s">
        <v>4010</v>
      </c>
      <c r="U498" t="s">
        <v>1411</v>
      </c>
      <c r="V498" s="4" t="str">
        <f>"43207"</f>
        <v>43207</v>
      </c>
      <c r="W498" t="s">
        <v>120</v>
      </c>
      <c r="Y498" s="5">
        <v>15136365101</v>
      </c>
      <c r="AA498">
        <v>56173</v>
      </c>
      <c r="AB498" t="s">
        <v>15010</v>
      </c>
      <c r="AC498" t="s">
        <v>1412</v>
      </c>
      <c r="AE498" t="s">
        <v>342</v>
      </c>
      <c r="AF498" t="s">
        <v>16808</v>
      </c>
      <c r="AH498" t="s">
        <v>4010</v>
      </c>
      <c r="AI498" t="s">
        <v>1411</v>
      </c>
      <c r="AJ498" s="4" t="str">
        <f>"43207"</f>
        <v>43207</v>
      </c>
      <c r="AK498" t="s">
        <v>120</v>
      </c>
      <c r="AM498" s="5">
        <v>15136365101</v>
      </c>
      <c r="AO498" t="s">
        <v>15011</v>
      </c>
      <c r="AP498" t="s">
        <v>256</v>
      </c>
      <c r="AQ498" t="s">
        <v>3181</v>
      </c>
      <c r="AR498" t="s">
        <v>3182</v>
      </c>
      <c r="AT498" t="s">
        <v>346</v>
      </c>
      <c r="AU498" t="s">
        <v>347</v>
      </c>
      <c r="AV498" t="s">
        <v>828</v>
      </c>
      <c r="AW498" t="s">
        <v>349</v>
      </c>
      <c r="AX498" s="4" t="str">
        <f>"83814"</f>
        <v>83814</v>
      </c>
      <c r="AY498" t="s">
        <v>120</v>
      </c>
      <c r="BA498" s="5">
        <v>12087772654</v>
      </c>
      <c r="BC498" t="s">
        <v>3183</v>
      </c>
      <c r="BD498" t="s">
        <v>351</v>
      </c>
      <c r="BG498" t="s">
        <v>1411</v>
      </c>
      <c r="BH498" s="1">
        <v>44853.833333333336</v>
      </c>
      <c r="BI498">
        <v>40</v>
      </c>
      <c r="BJ498">
        <v>0</v>
      </c>
      <c r="BK498">
        <v>8</v>
      </c>
      <c r="BL498">
        <v>8</v>
      </c>
      <c r="BM498">
        <v>8</v>
      </c>
      <c r="BN498">
        <v>8</v>
      </c>
      <c r="BO498">
        <v>8</v>
      </c>
      <c r="BP498">
        <v>0</v>
      </c>
      <c r="BQ498" t="str">
        <f>"7:00 AM"</f>
        <v>7:00 AM</v>
      </c>
      <c r="BR498" t="str">
        <f>"4:00 PM"</f>
        <v>4:00 PM</v>
      </c>
      <c r="BS498" t="s">
        <v>133</v>
      </c>
      <c r="BT498">
        <v>0</v>
      </c>
      <c r="BU498">
        <v>0</v>
      </c>
      <c r="BV498" t="s">
        <v>134</v>
      </c>
      <c r="BX498" s="2" t="s">
        <v>10011</v>
      </c>
      <c r="BY498" t="s">
        <v>16809</v>
      </c>
      <c r="CA498" t="s">
        <v>4010</v>
      </c>
      <c r="CB498" t="s">
        <v>1411</v>
      </c>
      <c r="CC498" s="4" t="str">
        <f>"43207"</f>
        <v>43207</v>
      </c>
      <c r="CD498" t="s">
        <v>1679</v>
      </c>
      <c r="CE498" t="s">
        <v>2876</v>
      </c>
      <c r="CF498" s="6">
        <v>16.61</v>
      </c>
      <c r="CG498" s="6">
        <v>20</v>
      </c>
      <c r="CH498" s="6">
        <v>24.92</v>
      </c>
      <c r="CI498" s="6">
        <v>30</v>
      </c>
      <c r="CJ498" t="s">
        <v>137</v>
      </c>
      <c r="CK498" t="s">
        <v>356</v>
      </c>
      <c r="CL498" t="s">
        <v>16810</v>
      </c>
      <c r="CO498" t="s">
        <v>138</v>
      </c>
      <c r="CP498" t="s">
        <v>114</v>
      </c>
      <c r="CQ498" t="s">
        <v>114</v>
      </c>
      <c r="CR498" t="s">
        <v>114</v>
      </c>
      <c r="CS498" t="s">
        <v>114</v>
      </c>
      <c r="CT498" t="s">
        <v>114</v>
      </c>
      <c r="CU498" t="s">
        <v>114</v>
      </c>
      <c r="CV498" s="2" t="s">
        <v>16811</v>
      </c>
      <c r="CW498" s="5" t="str">
        <f>"+15136877379"</f>
        <v>+15136877379</v>
      </c>
      <c r="CX498" t="s">
        <v>15011</v>
      </c>
      <c r="CY498" t="s">
        <v>138</v>
      </c>
      <c r="CZ498" t="s">
        <v>139</v>
      </c>
      <c r="DA498" t="s">
        <v>134</v>
      </c>
      <c r="DB498" t="s">
        <v>134</v>
      </c>
      <c r="DC498" t="s">
        <v>114</v>
      </c>
      <c r="DD498" t="s">
        <v>134</v>
      </c>
    </row>
    <row r="499" spans="1:113" ht="15" customHeight="1" x14ac:dyDescent="0.25">
      <c r="A499" t="s">
        <v>12840</v>
      </c>
      <c r="B499" t="s">
        <v>165</v>
      </c>
      <c r="C499" s="1">
        <v>44868.004011689816</v>
      </c>
      <c r="D499" s="1">
        <v>44902</v>
      </c>
      <c r="E499" t="s">
        <v>134</v>
      </c>
      <c r="F499" t="s">
        <v>334</v>
      </c>
      <c r="G499" t="str">
        <f t="shared" si="31"/>
        <v>37-3011.00</v>
      </c>
      <c r="H499" t="s">
        <v>335</v>
      </c>
      <c r="I499">
        <v>20</v>
      </c>
      <c r="J499">
        <v>20</v>
      </c>
      <c r="K499" s="1">
        <v>44958</v>
      </c>
      <c r="L499" s="1">
        <v>45260</v>
      </c>
      <c r="M499" s="1">
        <v>44958</v>
      </c>
      <c r="N499" s="1">
        <v>45260</v>
      </c>
      <c r="O499" t="s">
        <v>117</v>
      </c>
      <c r="P499" t="s">
        <v>2869</v>
      </c>
      <c r="Q499" t="s">
        <v>2870</v>
      </c>
      <c r="R499" t="s">
        <v>2871</v>
      </c>
      <c r="S499" t="s">
        <v>2872</v>
      </c>
      <c r="T499" t="s">
        <v>2873</v>
      </c>
      <c r="U499" t="s">
        <v>1411</v>
      </c>
      <c r="V499" s="4" t="str">
        <f>"43064"</f>
        <v>43064</v>
      </c>
      <c r="W499" t="s">
        <v>120</v>
      </c>
      <c r="Y499" s="5">
        <v>16148769988</v>
      </c>
      <c r="AA499">
        <v>56173</v>
      </c>
      <c r="AB499" t="s">
        <v>2874</v>
      </c>
      <c r="AC499" t="s">
        <v>2390</v>
      </c>
      <c r="AE499" t="s">
        <v>1502</v>
      </c>
      <c r="AF499" t="s">
        <v>2871</v>
      </c>
      <c r="AH499" t="s">
        <v>2873</v>
      </c>
      <c r="AI499" t="s">
        <v>1411</v>
      </c>
      <c r="AJ499" s="4" t="str">
        <f>"43064"</f>
        <v>43064</v>
      </c>
      <c r="AK499" t="s">
        <v>120</v>
      </c>
      <c r="AM499" s="5">
        <v>16148769988</v>
      </c>
      <c r="AO499" t="s">
        <v>2875</v>
      </c>
      <c r="AP499" t="s">
        <v>256</v>
      </c>
      <c r="AQ499" t="s">
        <v>400</v>
      </c>
      <c r="AR499" t="s">
        <v>401</v>
      </c>
      <c r="AS499" t="s">
        <v>397</v>
      </c>
      <c r="AT499" t="s">
        <v>402</v>
      </c>
      <c r="AU499" t="s">
        <v>152</v>
      </c>
      <c r="AV499" t="s">
        <v>403</v>
      </c>
      <c r="AW499" t="s">
        <v>232</v>
      </c>
      <c r="AX499" s="4" t="str">
        <f>"75033"</f>
        <v>75033</v>
      </c>
      <c r="AY499" t="s">
        <v>120</v>
      </c>
      <c r="BA499" s="5">
        <v>19727789690</v>
      </c>
      <c r="BC499" t="s">
        <v>1239</v>
      </c>
      <c r="BD499" t="s">
        <v>405</v>
      </c>
      <c r="BG499" t="s">
        <v>1411</v>
      </c>
      <c r="BH499" s="1">
        <v>44867.833333333336</v>
      </c>
      <c r="BI499">
        <v>40</v>
      </c>
      <c r="BJ499">
        <v>0</v>
      </c>
      <c r="BK499">
        <v>8</v>
      </c>
      <c r="BL499">
        <v>8</v>
      </c>
      <c r="BM499">
        <v>8</v>
      </c>
      <c r="BN499">
        <v>8</v>
      </c>
      <c r="BO499">
        <v>8</v>
      </c>
      <c r="BP499">
        <v>0</v>
      </c>
      <c r="BQ499" t="str">
        <f>"7:30 AM"</f>
        <v>7:30 AM</v>
      </c>
      <c r="BR499" t="str">
        <f>"4:00 PM"</f>
        <v>4:00 PM</v>
      </c>
      <c r="BS499" t="s">
        <v>133</v>
      </c>
      <c r="BT499">
        <v>0</v>
      </c>
      <c r="BU499">
        <v>0</v>
      </c>
      <c r="BV499" t="s">
        <v>134</v>
      </c>
      <c r="BX499" t="s">
        <v>12841</v>
      </c>
      <c r="BY499" t="s">
        <v>2871</v>
      </c>
      <c r="CA499" t="s">
        <v>2873</v>
      </c>
      <c r="CB499" t="s">
        <v>1411</v>
      </c>
      <c r="CC499" s="4" t="str">
        <f>"43064"</f>
        <v>43064</v>
      </c>
      <c r="CD499" t="s">
        <v>1643</v>
      </c>
      <c r="CE499" t="s">
        <v>2876</v>
      </c>
      <c r="CF499" s="6">
        <v>16.61</v>
      </c>
      <c r="CG499" s="6">
        <v>16.61</v>
      </c>
      <c r="CH499" s="6">
        <v>24.92</v>
      </c>
      <c r="CI499" s="6">
        <v>24.92</v>
      </c>
      <c r="CJ499" t="s">
        <v>137</v>
      </c>
      <c r="CK499" t="s">
        <v>950</v>
      </c>
      <c r="CL499" t="s">
        <v>2877</v>
      </c>
      <c r="CO499" t="s">
        <v>138</v>
      </c>
      <c r="CP499" t="s">
        <v>114</v>
      </c>
      <c r="CQ499" t="s">
        <v>114</v>
      </c>
      <c r="CR499" t="s">
        <v>114</v>
      </c>
      <c r="CS499" t="s">
        <v>114</v>
      </c>
      <c r="CT499" t="s">
        <v>114</v>
      </c>
      <c r="CU499" t="s">
        <v>114</v>
      </c>
      <c r="CV499" s="2" t="s">
        <v>12842</v>
      </c>
      <c r="CW499" s="5" t="str">
        <f>"+16148769988"</f>
        <v>+16148769988</v>
      </c>
      <c r="CX499" t="s">
        <v>138</v>
      </c>
      <c r="CY499" t="s">
        <v>12843</v>
      </c>
      <c r="CZ499" t="s">
        <v>139</v>
      </c>
      <c r="DA499" t="s">
        <v>134</v>
      </c>
      <c r="DB499" t="s">
        <v>114</v>
      </c>
      <c r="DC499" t="s">
        <v>114</v>
      </c>
      <c r="DD499" t="s">
        <v>134</v>
      </c>
    </row>
    <row r="500" spans="1:113" ht="15" customHeight="1" x14ac:dyDescent="0.25">
      <c r="A500" t="s">
        <v>14293</v>
      </c>
      <c r="B500" t="s">
        <v>165</v>
      </c>
      <c r="C500" s="1">
        <v>44873.628521759259</v>
      </c>
      <c r="D500" s="1">
        <v>44901</v>
      </c>
      <c r="E500" t="s">
        <v>134</v>
      </c>
      <c r="F500" t="s">
        <v>334</v>
      </c>
      <c r="G500" t="str">
        <f t="shared" si="31"/>
        <v>37-3011.00</v>
      </c>
      <c r="H500" t="s">
        <v>335</v>
      </c>
      <c r="I500">
        <v>15</v>
      </c>
      <c r="J500">
        <v>15</v>
      </c>
      <c r="K500" s="1">
        <v>44962</v>
      </c>
      <c r="L500" s="1">
        <v>45265</v>
      </c>
      <c r="M500" s="1">
        <v>44962</v>
      </c>
      <c r="N500" s="1">
        <v>45265</v>
      </c>
      <c r="O500" t="s">
        <v>199</v>
      </c>
      <c r="P500" t="s">
        <v>14294</v>
      </c>
      <c r="R500" t="s">
        <v>14295</v>
      </c>
      <c r="T500" t="s">
        <v>9097</v>
      </c>
      <c r="U500" t="s">
        <v>339</v>
      </c>
      <c r="V500" s="4" t="str">
        <f>"20850"</f>
        <v>20850</v>
      </c>
      <c r="W500" t="s">
        <v>120</v>
      </c>
      <c r="Y500" s="5">
        <v>13013402665</v>
      </c>
      <c r="AA500">
        <v>56173</v>
      </c>
      <c r="AB500" t="s">
        <v>14296</v>
      </c>
      <c r="AC500" t="s">
        <v>14297</v>
      </c>
      <c r="AD500" t="s">
        <v>2271</v>
      </c>
      <c r="AE500" t="s">
        <v>342</v>
      </c>
      <c r="AF500" t="s">
        <v>14295</v>
      </c>
      <c r="AH500" t="s">
        <v>9097</v>
      </c>
      <c r="AI500" t="s">
        <v>339</v>
      </c>
      <c r="AJ500" s="4" t="str">
        <f>"20850"</f>
        <v>20850</v>
      </c>
      <c r="AK500" t="s">
        <v>120</v>
      </c>
      <c r="AM500" s="5">
        <v>13013402665</v>
      </c>
      <c r="AO500" t="s">
        <v>14298</v>
      </c>
      <c r="AP500" t="s">
        <v>256</v>
      </c>
      <c r="AQ500" t="s">
        <v>1468</v>
      </c>
      <c r="AR500" t="s">
        <v>2380</v>
      </c>
      <c r="AT500" t="s">
        <v>477</v>
      </c>
      <c r="AV500" t="s">
        <v>478</v>
      </c>
      <c r="AW500" t="s">
        <v>479</v>
      </c>
      <c r="AX500" s="4" t="str">
        <f>"22903"</f>
        <v>22903</v>
      </c>
      <c r="AY500" t="s">
        <v>120</v>
      </c>
      <c r="BA500" s="5">
        <v>14342634300</v>
      </c>
      <c r="BC500" t="s">
        <v>1842</v>
      </c>
      <c r="BD500" t="s">
        <v>481</v>
      </c>
      <c r="BG500" t="s">
        <v>339</v>
      </c>
      <c r="BH500" s="1">
        <v>44872.791666666664</v>
      </c>
      <c r="BI500">
        <v>40</v>
      </c>
      <c r="BJ500">
        <v>0</v>
      </c>
      <c r="BK500">
        <v>8</v>
      </c>
      <c r="BL500">
        <v>8</v>
      </c>
      <c r="BM500">
        <v>8</v>
      </c>
      <c r="BN500">
        <v>8</v>
      </c>
      <c r="BO500">
        <v>8</v>
      </c>
      <c r="BP500">
        <v>0</v>
      </c>
      <c r="BQ500" t="str">
        <f>"7:00 AM"</f>
        <v>7:00 AM</v>
      </c>
      <c r="BR500" t="str">
        <f>"3:30 PM"</f>
        <v>3:30 PM</v>
      </c>
      <c r="BS500" t="s">
        <v>133</v>
      </c>
      <c r="BT500">
        <v>0</v>
      </c>
      <c r="BU500">
        <v>0</v>
      </c>
      <c r="BV500" t="s">
        <v>134</v>
      </c>
      <c r="BX500" s="2" t="s">
        <v>14299</v>
      </c>
      <c r="BY500" t="s">
        <v>14295</v>
      </c>
      <c r="CA500" t="s">
        <v>9097</v>
      </c>
      <c r="CB500" t="s">
        <v>339</v>
      </c>
      <c r="CC500" s="4" t="str">
        <f>"20850"</f>
        <v>20850</v>
      </c>
      <c r="CD500" t="s">
        <v>2007</v>
      </c>
      <c r="CE500" t="s">
        <v>355</v>
      </c>
      <c r="CF500" s="6">
        <v>18.36</v>
      </c>
      <c r="CH500" s="6">
        <v>27.54</v>
      </c>
      <c r="CJ500" t="s">
        <v>137</v>
      </c>
      <c r="CK500" t="s">
        <v>487</v>
      </c>
      <c r="CL500" t="s">
        <v>14300</v>
      </c>
      <c r="CO500" t="s">
        <v>138</v>
      </c>
      <c r="CP500" t="s">
        <v>114</v>
      </c>
      <c r="CQ500" t="s">
        <v>134</v>
      </c>
      <c r="CR500" t="s">
        <v>114</v>
      </c>
      <c r="CS500" t="s">
        <v>114</v>
      </c>
      <c r="CT500" t="s">
        <v>114</v>
      </c>
      <c r="CU500" t="s">
        <v>134</v>
      </c>
      <c r="CV500" t="s">
        <v>13404</v>
      </c>
      <c r="CW500" s="5" t="str">
        <f>"N/A"</f>
        <v>N/A</v>
      </c>
      <c r="CX500" t="s">
        <v>14301</v>
      </c>
      <c r="CY500" t="s">
        <v>1674</v>
      </c>
      <c r="CZ500" t="s">
        <v>139</v>
      </c>
      <c r="DA500" t="s">
        <v>134</v>
      </c>
      <c r="DB500" t="s">
        <v>114</v>
      </c>
      <c r="DC500" t="s">
        <v>114</v>
      </c>
      <c r="DD500" t="s">
        <v>134</v>
      </c>
      <c r="DE500" t="s">
        <v>1843</v>
      </c>
      <c r="DF500" t="s">
        <v>1844</v>
      </c>
      <c r="DH500" t="s">
        <v>481</v>
      </c>
      <c r="DI500" t="s">
        <v>1842</v>
      </c>
    </row>
    <row r="501" spans="1:113" ht="15" customHeight="1" x14ac:dyDescent="0.25">
      <c r="A501" t="s">
        <v>7327</v>
      </c>
      <c r="B501" t="s">
        <v>165</v>
      </c>
      <c r="C501" s="1">
        <v>44869.55428449074</v>
      </c>
      <c r="D501" s="1">
        <v>44901</v>
      </c>
      <c r="E501" t="s">
        <v>134</v>
      </c>
      <c r="F501" t="s">
        <v>334</v>
      </c>
      <c r="G501" t="str">
        <f t="shared" si="31"/>
        <v>37-3011.00</v>
      </c>
      <c r="H501" t="s">
        <v>335</v>
      </c>
      <c r="I501">
        <v>25</v>
      </c>
      <c r="J501">
        <v>25</v>
      </c>
      <c r="K501" s="1">
        <v>44958</v>
      </c>
      <c r="L501" s="1">
        <v>45260</v>
      </c>
      <c r="M501" s="1">
        <v>44958</v>
      </c>
      <c r="N501" s="1">
        <v>45260</v>
      </c>
      <c r="O501" t="s">
        <v>199</v>
      </c>
      <c r="P501" t="s">
        <v>7328</v>
      </c>
      <c r="R501" t="s">
        <v>7329</v>
      </c>
      <c r="T501" t="s">
        <v>7330</v>
      </c>
      <c r="U501" t="s">
        <v>1414</v>
      </c>
      <c r="V501" s="4" t="str">
        <f>"48444"</f>
        <v>48444</v>
      </c>
      <c r="W501" t="s">
        <v>120</v>
      </c>
      <c r="Y501" s="5">
        <v>18107907015</v>
      </c>
      <c r="AA501">
        <v>56173</v>
      </c>
      <c r="AB501" t="s">
        <v>7331</v>
      </c>
      <c r="AC501" t="s">
        <v>7332</v>
      </c>
      <c r="AE501" t="s">
        <v>424</v>
      </c>
      <c r="AF501" t="s">
        <v>7329</v>
      </c>
      <c r="AH501" t="s">
        <v>7330</v>
      </c>
      <c r="AI501" t="s">
        <v>1414</v>
      </c>
      <c r="AJ501" s="4" t="str">
        <f>"48444"</f>
        <v>48444</v>
      </c>
      <c r="AK501" t="s">
        <v>120</v>
      </c>
      <c r="AM501" s="5">
        <v>18107907015</v>
      </c>
      <c r="AO501" t="s">
        <v>7333</v>
      </c>
      <c r="AP501" t="s">
        <v>122</v>
      </c>
      <c r="AQ501" t="s">
        <v>1867</v>
      </c>
      <c r="AR501" t="s">
        <v>1868</v>
      </c>
      <c r="AS501" t="s">
        <v>1869</v>
      </c>
      <c r="AT501" t="s">
        <v>1870</v>
      </c>
      <c r="AU501" t="s">
        <v>1871</v>
      </c>
      <c r="AV501" t="s">
        <v>1872</v>
      </c>
      <c r="AW501" t="s">
        <v>1003</v>
      </c>
      <c r="AX501" s="4" t="str">
        <f>"08034"</f>
        <v>08034</v>
      </c>
      <c r="AY501" t="s">
        <v>120</v>
      </c>
      <c r="AZ501" t="s">
        <v>1873</v>
      </c>
      <c r="BA501" s="5">
        <v>18562819750</v>
      </c>
      <c r="BC501" t="s">
        <v>1874</v>
      </c>
      <c r="BD501" t="s">
        <v>1875</v>
      </c>
      <c r="BE501" t="s">
        <v>1003</v>
      </c>
      <c r="BF501" t="s">
        <v>5513</v>
      </c>
      <c r="BG501" t="s">
        <v>1414</v>
      </c>
      <c r="BH501" s="1">
        <v>44857.833333333336</v>
      </c>
      <c r="BI501">
        <v>40</v>
      </c>
      <c r="BJ501">
        <v>0</v>
      </c>
      <c r="BK501">
        <v>8</v>
      </c>
      <c r="BL501">
        <v>8</v>
      </c>
      <c r="BM501">
        <v>8</v>
      </c>
      <c r="BN501">
        <v>8</v>
      </c>
      <c r="BO501">
        <v>8</v>
      </c>
      <c r="BP501">
        <v>0</v>
      </c>
      <c r="BQ501" t="str">
        <f>"9:00 AM"</f>
        <v>9:00 AM</v>
      </c>
      <c r="BR501" t="str">
        <f>"5:00 PM"</f>
        <v>5:00 PM</v>
      </c>
      <c r="BS501" t="s">
        <v>133</v>
      </c>
      <c r="BT501">
        <v>0</v>
      </c>
      <c r="BU501">
        <v>0</v>
      </c>
      <c r="BV501" t="s">
        <v>134</v>
      </c>
      <c r="BX501" t="s">
        <v>133</v>
      </c>
      <c r="BY501" t="s">
        <v>7329</v>
      </c>
      <c r="CA501" t="s">
        <v>7330</v>
      </c>
      <c r="CB501" t="s">
        <v>1414</v>
      </c>
      <c r="CC501" s="4" t="str">
        <f>"48444"</f>
        <v>48444</v>
      </c>
      <c r="CD501" t="s">
        <v>7334</v>
      </c>
      <c r="CE501" t="s">
        <v>1814</v>
      </c>
      <c r="CF501" s="6">
        <v>16.62</v>
      </c>
      <c r="CG501" s="6">
        <v>16.62</v>
      </c>
      <c r="CH501" s="6">
        <v>24.93</v>
      </c>
      <c r="CI501" s="6">
        <v>24.93</v>
      </c>
      <c r="CJ501" t="s">
        <v>137</v>
      </c>
      <c r="CK501" t="s">
        <v>5514</v>
      </c>
      <c r="CL501" t="s">
        <v>7335</v>
      </c>
      <c r="CO501" t="s">
        <v>138</v>
      </c>
      <c r="CP501" t="s">
        <v>114</v>
      </c>
      <c r="CQ501" t="s">
        <v>114</v>
      </c>
      <c r="CR501" t="s">
        <v>114</v>
      </c>
      <c r="CS501" t="s">
        <v>114</v>
      </c>
      <c r="CT501" t="s">
        <v>114</v>
      </c>
      <c r="CU501" t="s">
        <v>134</v>
      </c>
      <c r="CV501" t="s">
        <v>133</v>
      </c>
      <c r="CW501" s="5" t="str">
        <f>"+18107907015"</f>
        <v>+18107907015</v>
      </c>
      <c r="CX501" t="s">
        <v>7333</v>
      </c>
      <c r="CY501" t="s">
        <v>138</v>
      </c>
      <c r="CZ501" t="s">
        <v>139</v>
      </c>
      <c r="DA501" t="s">
        <v>134</v>
      </c>
      <c r="DB501" t="s">
        <v>114</v>
      </c>
      <c r="DC501" t="s">
        <v>114</v>
      </c>
      <c r="DD501" t="s">
        <v>134</v>
      </c>
    </row>
    <row r="502" spans="1:113" ht="15" customHeight="1" x14ac:dyDescent="0.25">
      <c r="A502" t="s">
        <v>8423</v>
      </c>
      <c r="B502" t="s">
        <v>165</v>
      </c>
      <c r="C502" s="1">
        <v>44869.531412962962</v>
      </c>
      <c r="D502" s="1">
        <v>44901</v>
      </c>
      <c r="E502" t="s">
        <v>134</v>
      </c>
      <c r="F502" t="s">
        <v>334</v>
      </c>
      <c r="G502" t="str">
        <f t="shared" si="31"/>
        <v>37-3011.00</v>
      </c>
      <c r="H502" t="s">
        <v>335</v>
      </c>
      <c r="I502">
        <v>6</v>
      </c>
      <c r="J502">
        <v>6</v>
      </c>
      <c r="K502" s="1">
        <v>44958</v>
      </c>
      <c r="L502" s="1">
        <v>45259</v>
      </c>
      <c r="M502" s="1">
        <v>44958</v>
      </c>
      <c r="N502" s="1">
        <v>45259</v>
      </c>
      <c r="O502" t="s">
        <v>117</v>
      </c>
      <c r="P502" t="s">
        <v>8424</v>
      </c>
      <c r="R502" t="s">
        <v>8425</v>
      </c>
      <c r="T502" t="s">
        <v>2792</v>
      </c>
      <c r="U502" t="s">
        <v>232</v>
      </c>
      <c r="V502" s="4" t="str">
        <f>"77833"</f>
        <v>77833</v>
      </c>
      <c r="W502" t="s">
        <v>120</v>
      </c>
      <c r="Y502" s="5">
        <v>19792772145</v>
      </c>
      <c r="AA502">
        <v>5617</v>
      </c>
      <c r="AB502" t="s">
        <v>8426</v>
      </c>
      <c r="AC502" t="s">
        <v>536</v>
      </c>
      <c r="AE502" t="s">
        <v>424</v>
      </c>
      <c r="AF502" t="s">
        <v>8425</v>
      </c>
      <c r="AH502" t="s">
        <v>2792</v>
      </c>
      <c r="AI502" t="s">
        <v>232</v>
      </c>
      <c r="AJ502" s="4" t="str">
        <f>"77833"</f>
        <v>77833</v>
      </c>
      <c r="AK502" t="s">
        <v>120</v>
      </c>
      <c r="AM502" s="5">
        <v>19792772145</v>
      </c>
      <c r="AO502" t="s">
        <v>138</v>
      </c>
      <c r="AP502" t="s">
        <v>256</v>
      </c>
      <c r="AQ502" t="s">
        <v>8427</v>
      </c>
      <c r="AR502" t="s">
        <v>121</v>
      </c>
      <c r="AT502" t="s">
        <v>4115</v>
      </c>
      <c r="AV502" t="s">
        <v>4116</v>
      </c>
      <c r="AW502" t="s">
        <v>232</v>
      </c>
      <c r="AX502" s="4" t="str">
        <f>"75442"</f>
        <v>75442</v>
      </c>
      <c r="AY502" t="s">
        <v>120</v>
      </c>
      <c r="BA502" s="5">
        <v>14692388392</v>
      </c>
      <c r="BC502" t="s">
        <v>8428</v>
      </c>
      <c r="BD502" t="s">
        <v>4118</v>
      </c>
      <c r="BG502" t="s">
        <v>232</v>
      </c>
      <c r="BH502" s="1">
        <v>44868.833333333336</v>
      </c>
      <c r="BI502">
        <v>40</v>
      </c>
      <c r="BJ502">
        <v>0</v>
      </c>
      <c r="BK502">
        <v>8</v>
      </c>
      <c r="BL502">
        <v>8</v>
      </c>
      <c r="BM502">
        <v>8</v>
      </c>
      <c r="BN502">
        <v>8</v>
      </c>
      <c r="BO502">
        <v>8</v>
      </c>
      <c r="BP502">
        <v>0</v>
      </c>
      <c r="BQ502" t="str">
        <f>"8:00 AM"</f>
        <v>8:00 AM</v>
      </c>
      <c r="BR502" t="str">
        <f>"5:00 PM"</f>
        <v>5:00 PM</v>
      </c>
      <c r="BS502" t="s">
        <v>133</v>
      </c>
      <c r="BT502">
        <v>0</v>
      </c>
      <c r="BU502">
        <v>1</v>
      </c>
      <c r="BV502" t="s">
        <v>134</v>
      </c>
      <c r="BX502" s="2" t="s">
        <v>8429</v>
      </c>
      <c r="BY502" t="s">
        <v>8425</v>
      </c>
      <c r="CA502" t="s">
        <v>2792</v>
      </c>
      <c r="CB502" t="s">
        <v>232</v>
      </c>
      <c r="CC502" s="4" t="str">
        <f>"77833"</f>
        <v>77833</v>
      </c>
      <c r="CD502" t="s">
        <v>1345</v>
      </c>
      <c r="CE502" t="s">
        <v>1550</v>
      </c>
      <c r="CF502" s="6">
        <v>14.23</v>
      </c>
      <c r="CH502" s="6">
        <v>21.35</v>
      </c>
      <c r="CJ502" t="s">
        <v>137</v>
      </c>
      <c r="CK502" t="s">
        <v>4119</v>
      </c>
      <c r="CL502" t="s">
        <v>8430</v>
      </c>
      <c r="CO502" t="s">
        <v>138</v>
      </c>
      <c r="CP502" t="s">
        <v>114</v>
      </c>
      <c r="CQ502" t="s">
        <v>114</v>
      </c>
      <c r="CR502" t="s">
        <v>114</v>
      </c>
      <c r="CS502" t="s">
        <v>114</v>
      </c>
      <c r="CT502" t="s">
        <v>114</v>
      </c>
      <c r="CU502" t="s">
        <v>134</v>
      </c>
      <c r="CV502" t="s">
        <v>4121</v>
      </c>
      <c r="CW502" s="5" t="str">
        <f>"+19792772145"</f>
        <v>+19792772145</v>
      </c>
      <c r="CX502" t="s">
        <v>138</v>
      </c>
      <c r="CY502" t="s">
        <v>6675</v>
      </c>
      <c r="CZ502" t="s">
        <v>139</v>
      </c>
      <c r="DA502" t="s">
        <v>134</v>
      </c>
      <c r="DB502" t="s">
        <v>134</v>
      </c>
      <c r="DC502" t="s">
        <v>114</v>
      </c>
      <c r="DD502" t="s">
        <v>134</v>
      </c>
    </row>
    <row r="503" spans="1:113" ht="15" customHeight="1" x14ac:dyDescent="0.25">
      <c r="A503" t="s">
        <v>16287</v>
      </c>
      <c r="B503" t="s">
        <v>165</v>
      </c>
      <c r="C503" s="1">
        <v>44869.420023958337</v>
      </c>
      <c r="D503" s="1">
        <v>44901</v>
      </c>
      <c r="E503" t="s">
        <v>134</v>
      </c>
      <c r="F503" t="s">
        <v>334</v>
      </c>
      <c r="G503" t="str">
        <f t="shared" si="31"/>
        <v>37-3011.00</v>
      </c>
      <c r="H503" t="s">
        <v>335</v>
      </c>
      <c r="I503">
        <v>55</v>
      </c>
      <c r="J503">
        <v>55</v>
      </c>
      <c r="K503" s="1">
        <v>44958</v>
      </c>
      <c r="L503" s="1">
        <v>45260</v>
      </c>
      <c r="M503" s="1">
        <v>44958</v>
      </c>
      <c r="N503" s="1">
        <v>45260</v>
      </c>
      <c r="O503" t="s">
        <v>117</v>
      </c>
      <c r="P503" t="s">
        <v>16288</v>
      </c>
      <c r="R503" t="s">
        <v>16289</v>
      </c>
      <c r="T503" t="s">
        <v>4237</v>
      </c>
      <c r="U503" t="s">
        <v>232</v>
      </c>
      <c r="V503" s="4" t="str">
        <f>"76571"</f>
        <v>76571</v>
      </c>
      <c r="W503" t="s">
        <v>120</v>
      </c>
      <c r="Y503" s="5">
        <v>12549479150</v>
      </c>
      <c r="AA503">
        <v>5617</v>
      </c>
      <c r="AB503" t="s">
        <v>16290</v>
      </c>
      <c r="AC503" t="s">
        <v>16291</v>
      </c>
      <c r="AE503" t="s">
        <v>342</v>
      </c>
      <c r="AF503" t="s">
        <v>16292</v>
      </c>
      <c r="AH503" t="s">
        <v>4237</v>
      </c>
      <c r="AI503" t="s">
        <v>232</v>
      </c>
      <c r="AJ503" s="4" t="str">
        <f>"76571"</f>
        <v>76571</v>
      </c>
      <c r="AK503" t="s">
        <v>120</v>
      </c>
      <c r="AM503" s="5">
        <v>12549479150</v>
      </c>
      <c r="AO503" t="s">
        <v>1574</v>
      </c>
      <c r="AP503" t="s">
        <v>256</v>
      </c>
      <c r="AQ503" t="s">
        <v>4076</v>
      </c>
      <c r="AR503" t="s">
        <v>726</v>
      </c>
      <c r="AT503" t="s">
        <v>4115</v>
      </c>
      <c r="AV503" t="s">
        <v>4116</v>
      </c>
      <c r="AW503" t="s">
        <v>232</v>
      </c>
      <c r="AX503" s="4" t="str">
        <f>"75442"</f>
        <v>75442</v>
      </c>
      <c r="AY503" t="s">
        <v>120</v>
      </c>
      <c r="BA503" s="5">
        <v>14692388392</v>
      </c>
      <c r="BC503" t="s">
        <v>4117</v>
      </c>
      <c r="BD503" t="s">
        <v>4118</v>
      </c>
      <c r="BG503" t="s">
        <v>232</v>
      </c>
      <c r="BH503" s="1">
        <v>44868.833333333336</v>
      </c>
      <c r="BI503">
        <v>40</v>
      </c>
      <c r="BJ503">
        <v>0</v>
      </c>
      <c r="BK503">
        <v>10</v>
      </c>
      <c r="BL503">
        <v>10</v>
      </c>
      <c r="BM503">
        <v>10</v>
      </c>
      <c r="BN503">
        <v>10</v>
      </c>
      <c r="BO503">
        <v>0</v>
      </c>
      <c r="BP503">
        <v>0</v>
      </c>
      <c r="BQ503" t="str">
        <f>"7:00 AM"</f>
        <v>7:00 AM</v>
      </c>
      <c r="BR503" t="str">
        <f>"5:30 PM"</f>
        <v>5:30 PM</v>
      </c>
      <c r="BS503" t="s">
        <v>133</v>
      </c>
      <c r="BT503">
        <v>0</v>
      </c>
      <c r="BU503">
        <v>0</v>
      </c>
      <c r="BV503" t="s">
        <v>134</v>
      </c>
      <c r="BX503" s="2" t="s">
        <v>8429</v>
      </c>
      <c r="BY503" t="s">
        <v>16292</v>
      </c>
      <c r="CA503" t="s">
        <v>4237</v>
      </c>
      <c r="CB503" t="s">
        <v>232</v>
      </c>
      <c r="CC503" s="4" t="str">
        <f>"76571"</f>
        <v>76571</v>
      </c>
      <c r="CD503" t="s">
        <v>4240</v>
      </c>
      <c r="CE503" t="s">
        <v>4241</v>
      </c>
      <c r="CF503" s="6">
        <v>14.58</v>
      </c>
      <c r="CG503" s="6">
        <v>14.58</v>
      </c>
      <c r="CH503" s="6">
        <v>21.87</v>
      </c>
      <c r="CI503" s="6">
        <v>21.87</v>
      </c>
      <c r="CJ503" t="s">
        <v>137</v>
      </c>
      <c r="CK503" t="s">
        <v>7533</v>
      </c>
      <c r="CL503" t="s">
        <v>16293</v>
      </c>
      <c r="CO503" t="s">
        <v>138</v>
      </c>
      <c r="CP503" t="s">
        <v>114</v>
      </c>
      <c r="CQ503" t="s">
        <v>114</v>
      </c>
      <c r="CR503" t="s">
        <v>114</v>
      </c>
      <c r="CS503" t="s">
        <v>114</v>
      </c>
      <c r="CT503" t="s">
        <v>114</v>
      </c>
      <c r="CU503" t="s">
        <v>114</v>
      </c>
      <c r="CV503" t="s">
        <v>16294</v>
      </c>
      <c r="CW503" s="5" t="str">
        <f>"+12549479150"</f>
        <v>+12549479150</v>
      </c>
      <c r="CX503" t="s">
        <v>138</v>
      </c>
      <c r="CY503" t="s">
        <v>6675</v>
      </c>
      <c r="CZ503" t="s">
        <v>139</v>
      </c>
      <c r="DA503" t="s">
        <v>134</v>
      </c>
      <c r="DB503" t="s">
        <v>134</v>
      </c>
      <c r="DC503" t="s">
        <v>114</v>
      </c>
      <c r="DD503" t="s">
        <v>134</v>
      </c>
    </row>
    <row r="504" spans="1:113" ht="15" customHeight="1" x14ac:dyDescent="0.25">
      <c r="A504" t="s">
        <v>15679</v>
      </c>
      <c r="B504" t="s">
        <v>165</v>
      </c>
      <c r="C504" s="1">
        <v>44868.678959837962</v>
      </c>
      <c r="D504" s="1">
        <v>44901</v>
      </c>
      <c r="E504" t="s">
        <v>114</v>
      </c>
      <c r="F504" t="s">
        <v>15680</v>
      </c>
      <c r="G504" t="str">
        <f>"53-3033.00"</f>
        <v>53-3033.00</v>
      </c>
      <c r="H504" t="s">
        <v>4259</v>
      </c>
      <c r="I504">
        <v>12</v>
      </c>
      <c r="J504">
        <v>12</v>
      </c>
      <c r="K504" s="1">
        <v>44958</v>
      </c>
      <c r="L504" s="1">
        <v>45260</v>
      </c>
      <c r="M504" s="1">
        <v>44958</v>
      </c>
      <c r="N504" s="1">
        <v>45260</v>
      </c>
      <c r="O504" t="s">
        <v>117</v>
      </c>
      <c r="P504" t="s">
        <v>6336</v>
      </c>
      <c r="R504" t="s">
        <v>6337</v>
      </c>
      <c r="S504" t="s">
        <v>138</v>
      </c>
      <c r="T504" t="s">
        <v>291</v>
      </c>
      <c r="U504" t="s">
        <v>479</v>
      </c>
      <c r="V504" s="4" t="str">
        <f>"22152"</f>
        <v>22152</v>
      </c>
      <c r="W504" t="s">
        <v>120</v>
      </c>
      <c r="Y504" s="5">
        <v>17035692121</v>
      </c>
      <c r="AA504">
        <v>484210</v>
      </c>
      <c r="AB504" t="s">
        <v>6338</v>
      </c>
      <c r="AC504" t="s">
        <v>1796</v>
      </c>
      <c r="AD504" t="s">
        <v>138</v>
      </c>
      <c r="AE504" t="s">
        <v>6339</v>
      </c>
      <c r="AF504" t="s">
        <v>6337</v>
      </c>
      <c r="AG504" t="s">
        <v>138</v>
      </c>
      <c r="AH504" t="s">
        <v>291</v>
      </c>
      <c r="AI504" t="s">
        <v>479</v>
      </c>
      <c r="AJ504" s="4" t="str">
        <f>"22152"</f>
        <v>22152</v>
      </c>
      <c r="AK504" t="s">
        <v>120</v>
      </c>
      <c r="AM504" s="5">
        <v>17035692121</v>
      </c>
      <c r="AO504" t="s">
        <v>6340</v>
      </c>
      <c r="AP504" t="s">
        <v>256</v>
      </c>
      <c r="AQ504" t="s">
        <v>2048</v>
      </c>
      <c r="AR504" t="s">
        <v>2049</v>
      </c>
      <c r="AS504" t="s">
        <v>1378</v>
      </c>
      <c r="AT504" t="s">
        <v>2050</v>
      </c>
      <c r="AU504" t="s">
        <v>138</v>
      </c>
      <c r="AV504" t="s">
        <v>1285</v>
      </c>
      <c r="AW504" t="s">
        <v>232</v>
      </c>
      <c r="AX504" s="4" t="str">
        <f>"77414"</f>
        <v>77414</v>
      </c>
      <c r="AY504" t="s">
        <v>120</v>
      </c>
      <c r="BA504" s="5">
        <v>19793187278</v>
      </c>
      <c r="BC504" t="s">
        <v>2051</v>
      </c>
      <c r="BD504" t="s">
        <v>1287</v>
      </c>
      <c r="BG504" t="s">
        <v>479</v>
      </c>
      <c r="BH504" s="1">
        <v>44867.833333333336</v>
      </c>
      <c r="BI504">
        <v>40</v>
      </c>
      <c r="BJ504">
        <v>0</v>
      </c>
      <c r="BK504">
        <v>8</v>
      </c>
      <c r="BL504">
        <v>8</v>
      </c>
      <c r="BM504">
        <v>8</v>
      </c>
      <c r="BN504">
        <v>8</v>
      </c>
      <c r="BO504">
        <v>8</v>
      </c>
      <c r="BP504">
        <v>0</v>
      </c>
      <c r="BQ504" t="str">
        <f>"6:45 AM"</f>
        <v>6:45 AM</v>
      </c>
      <c r="BR504" t="str">
        <f>"3:15 PM"</f>
        <v>3:15 PM</v>
      </c>
      <c r="BS504" t="s">
        <v>133</v>
      </c>
      <c r="BT504">
        <v>1</v>
      </c>
      <c r="BU504">
        <v>0</v>
      </c>
      <c r="BV504" t="s">
        <v>114</v>
      </c>
      <c r="BW504">
        <v>3</v>
      </c>
      <c r="BX504" s="2" t="s">
        <v>15681</v>
      </c>
      <c r="BY504" t="s">
        <v>6337</v>
      </c>
      <c r="BZ504" t="s">
        <v>138</v>
      </c>
      <c r="CA504" t="s">
        <v>291</v>
      </c>
      <c r="CB504" t="s">
        <v>479</v>
      </c>
      <c r="CC504" s="4" t="str">
        <f>"22152"</f>
        <v>22152</v>
      </c>
      <c r="CD504" t="s">
        <v>2631</v>
      </c>
      <c r="CE504" t="s">
        <v>355</v>
      </c>
      <c r="CF504" s="6">
        <v>23.01</v>
      </c>
      <c r="CG504" s="6">
        <v>24.43</v>
      </c>
      <c r="CH504" s="6">
        <v>34.520000000000003</v>
      </c>
      <c r="CI504" s="6">
        <v>36.65</v>
      </c>
      <c r="CJ504" t="s">
        <v>137</v>
      </c>
      <c r="CK504" t="s">
        <v>6342</v>
      </c>
      <c r="CL504" t="s">
        <v>15682</v>
      </c>
      <c r="CO504" t="s">
        <v>138</v>
      </c>
      <c r="CP504" t="s">
        <v>114</v>
      </c>
      <c r="CQ504" t="s">
        <v>114</v>
      </c>
      <c r="CR504" t="s">
        <v>114</v>
      </c>
      <c r="CS504" t="s">
        <v>134</v>
      </c>
      <c r="CT504" t="s">
        <v>114</v>
      </c>
      <c r="CU504" t="s">
        <v>134</v>
      </c>
      <c r="CV504" t="s">
        <v>2056</v>
      </c>
      <c r="CW504" s="5" t="str">
        <f>"N/A"</f>
        <v>N/A</v>
      </c>
      <c r="CX504" t="s">
        <v>6344</v>
      </c>
      <c r="CY504" t="s">
        <v>6345</v>
      </c>
      <c r="CZ504" t="s">
        <v>139</v>
      </c>
      <c r="DA504" t="s">
        <v>134</v>
      </c>
      <c r="DB504" t="s">
        <v>114</v>
      </c>
      <c r="DC504" t="s">
        <v>114</v>
      </c>
      <c r="DD504" t="s">
        <v>134</v>
      </c>
    </row>
    <row r="505" spans="1:113" ht="15" customHeight="1" x14ac:dyDescent="0.25">
      <c r="A505" t="s">
        <v>6335</v>
      </c>
      <c r="B505" t="s">
        <v>165</v>
      </c>
      <c r="C505" s="1">
        <v>44868.649064120371</v>
      </c>
      <c r="D505" s="1">
        <v>44901</v>
      </c>
      <c r="E505" t="s">
        <v>114</v>
      </c>
      <c r="F505" t="s">
        <v>2135</v>
      </c>
      <c r="G505" t="str">
        <f>"53-7062.00"</f>
        <v>53-7062.00</v>
      </c>
      <c r="H505" t="s">
        <v>245</v>
      </c>
      <c r="I505">
        <v>24</v>
      </c>
      <c r="J505">
        <v>24</v>
      </c>
      <c r="K505" s="1">
        <v>44958</v>
      </c>
      <c r="L505" s="1">
        <v>45260</v>
      </c>
      <c r="M505" s="1">
        <v>44958</v>
      </c>
      <c r="N505" s="1">
        <v>45260</v>
      </c>
      <c r="O505" t="s">
        <v>117</v>
      </c>
      <c r="P505" t="s">
        <v>6336</v>
      </c>
      <c r="R505" t="s">
        <v>6337</v>
      </c>
      <c r="S505" t="s">
        <v>138</v>
      </c>
      <c r="T505" t="s">
        <v>291</v>
      </c>
      <c r="U505" t="s">
        <v>479</v>
      </c>
      <c r="V505" s="4" t="str">
        <f>"22152"</f>
        <v>22152</v>
      </c>
      <c r="W505" t="s">
        <v>120</v>
      </c>
      <c r="Y505" s="5">
        <v>17035692121</v>
      </c>
      <c r="AA505">
        <v>484210</v>
      </c>
      <c r="AB505" t="s">
        <v>6338</v>
      </c>
      <c r="AC505" t="s">
        <v>1796</v>
      </c>
      <c r="AD505" t="s">
        <v>138</v>
      </c>
      <c r="AE505" t="s">
        <v>6339</v>
      </c>
      <c r="AF505" t="s">
        <v>6337</v>
      </c>
      <c r="AG505" t="s">
        <v>138</v>
      </c>
      <c r="AH505" t="s">
        <v>291</v>
      </c>
      <c r="AI505" t="s">
        <v>479</v>
      </c>
      <c r="AJ505" s="4" t="str">
        <f>"22152"</f>
        <v>22152</v>
      </c>
      <c r="AK505" t="s">
        <v>120</v>
      </c>
      <c r="AM505" s="5">
        <v>17035692121</v>
      </c>
      <c r="AO505" t="s">
        <v>6340</v>
      </c>
      <c r="AP505" t="s">
        <v>256</v>
      </c>
      <c r="AQ505" t="s">
        <v>2048</v>
      </c>
      <c r="AR505" t="s">
        <v>2049</v>
      </c>
      <c r="AS505" t="s">
        <v>1378</v>
      </c>
      <c r="AT505" t="s">
        <v>2050</v>
      </c>
      <c r="AU505" t="s">
        <v>138</v>
      </c>
      <c r="AV505" t="s">
        <v>1285</v>
      </c>
      <c r="AW505" t="s">
        <v>232</v>
      </c>
      <c r="AX505" s="4" t="str">
        <f>"77414"</f>
        <v>77414</v>
      </c>
      <c r="AY505" t="s">
        <v>120</v>
      </c>
      <c r="BA505" s="5">
        <v>19793187278</v>
      </c>
      <c r="BC505" t="s">
        <v>2051</v>
      </c>
      <c r="BD505" t="s">
        <v>1287</v>
      </c>
      <c r="BG505" t="s">
        <v>479</v>
      </c>
      <c r="BH505" s="1">
        <v>44867.833333333336</v>
      </c>
      <c r="BI505">
        <v>40</v>
      </c>
      <c r="BJ505">
        <v>0</v>
      </c>
      <c r="BK505">
        <v>8</v>
      </c>
      <c r="BL505">
        <v>8</v>
      </c>
      <c r="BM505">
        <v>8</v>
      </c>
      <c r="BN505">
        <v>8</v>
      </c>
      <c r="BO505">
        <v>8</v>
      </c>
      <c r="BP505">
        <v>0</v>
      </c>
      <c r="BQ505" t="str">
        <f>"6:45 AM"</f>
        <v>6:45 AM</v>
      </c>
      <c r="BR505" t="str">
        <f>"3:15 PM"</f>
        <v>3:15 PM</v>
      </c>
      <c r="BS505" t="s">
        <v>133</v>
      </c>
      <c r="BT505">
        <v>1</v>
      </c>
      <c r="BU505">
        <v>0</v>
      </c>
      <c r="BV505" t="s">
        <v>134</v>
      </c>
      <c r="BX505" s="2" t="s">
        <v>6341</v>
      </c>
      <c r="BY505" t="s">
        <v>6337</v>
      </c>
      <c r="BZ505" t="s">
        <v>138</v>
      </c>
      <c r="CA505" t="s">
        <v>291</v>
      </c>
      <c r="CB505" t="s">
        <v>479</v>
      </c>
      <c r="CC505" s="4" t="str">
        <f>"22152"</f>
        <v>22152</v>
      </c>
      <c r="CD505" t="s">
        <v>2631</v>
      </c>
      <c r="CE505" t="s">
        <v>355</v>
      </c>
      <c r="CF505" s="6">
        <v>18.010000000000002</v>
      </c>
      <c r="CH505" s="6">
        <v>27.02</v>
      </c>
      <c r="CJ505" t="s">
        <v>137</v>
      </c>
      <c r="CK505" t="s">
        <v>6342</v>
      </c>
      <c r="CL505" t="s">
        <v>6343</v>
      </c>
      <c r="CO505" t="s">
        <v>138</v>
      </c>
      <c r="CP505" t="s">
        <v>114</v>
      </c>
      <c r="CQ505" t="s">
        <v>114</v>
      </c>
      <c r="CR505" t="s">
        <v>114</v>
      </c>
      <c r="CS505" t="s">
        <v>134</v>
      </c>
      <c r="CT505" t="s">
        <v>114</v>
      </c>
      <c r="CU505" t="s">
        <v>134</v>
      </c>
      <c r="CV505" t="s">
        <v>2056</v>
      </c>
      <c r="CW505" s="5" t="str">
        <f>"N/A"</f>
        <v>N/A</v>
      </c>
      <c r="CX505" t="s">
        <v>6344</v>
      </c>
      <c r="CY505" t="s">
        <v>6345</v>
      </c>
      <c r="CZ505" t="s">
        <v>139</v>
      </c>
      <c r="DA505" t="s">
        <v>134</v>
      </c>
      <c r="DB505" t="s">
        <v>114</v>
      </c>
      <c r="DC505" t="s">
        <v>114</v>
      </c>
      <c r="DD505" t="s">
        <v>134</v>
      </c>
    </row>
    <row r="506" spans="1:113" ht="15" customHeight="1" x14ac:dyDescent="0.25">
      <c r="A506" t="s">
        <v>9396</v>
      </c>
      <c r="B506" t="s">
        <v>165</v>
      </c>
      <c r="C506" s="1">
        <v>44868.605190509261</v>
      </c>
      <c r="D506" s="1">
        <v>44901</v>
      </c>
      <c r="E506" t="s">
        <v>114</v>
      </c>
      <c r="F506" t="s">
        <v>9226</v>
      </c>
      <c r="G506" t="str">
        <f>"37-3011.00"</f>
        <v>37-3011.00</v>
      </c>
      <c r="H506" t="s">
        <v>335</v>
      </c>
      <c r="I506">
        <v>45</v>
      </c>
      <c r="J506">
        <v>45</v>
      </c>
      <c r="K506" s="1">
        <v>44958</v>
      </c>
      <c r="L506" s="1">
        <v>45230</v>
      </c>
      <c r="M506" s="1">
        <v>44958</v>
      </c>
      <c r="N506" s="1">
        <v>45230</v>
      </c>
      <c r="O506" t="s">
        <v>117</v>
      </c>
      <c r="P506" t="s">
        <v>2750</v>
      </c>
      <c r="R506" t="s">
        <v>2751</v>
      </c>
      <c r="T506" t="s">
        <v>2752</v>
      </c>
      <c r="U506" t="s">
        <v>232</v>
      </c>
      <c r="V506" s="4" t="str">
        <f>"78641"</f>
        <v>78641</v>
      </c>
      <c r="W506" t="s">
        <v>120</v>
      </c>
      <c r="Y506" s="5">
        <v>15127971640</v>
      </c>
      <c r="AA506">
        <v>561730</v>
      </c>
      <c r="AB506" t="s">
        <v>2753</v>
      </c>
      <c r="AC506" t="s">
        <v>2754</v>
      </c>
      <c r="AE506" t="s">
        <v>424</v>
      </c>
      <c r="AF506" t="s">
        <v>2751</v>
      </c>
      <c r="AH506" t="s">
        <v>2752</v>
      </c>
      <c r="AI506" t="s">
        <v>232</v>
      </c>
      <c r="AJ506" s="4" t="str">
        <f>"78641"</f>
        <v>78641</v>
      </c>
      <c r="AK506" t="s">
        <v>120</v>
      </c>
      <c r="AM506" s="5">
        <v>15127971640</v>
      </c>
      <c r="AO506" t="s">
        <v>2755</v>
      </c>
      <c r="AP506" t="s">
        <v>122</v>
      </c>
      <c r="AQ506" t="s">
        <v>1379</v>
      </c>
      <c r="AR506" t="s">
        <v>1380</v>
      </c>
      <c r="AT506" t="s">
        <v>1381</v>
      </c>
      <c r="AV506" t="s">
        <v>684</v>
      </c>
      <c r="AW506" t="s">
        <v>232</v>
      </c>
      <c r="AX506" s="4" t="str">
        <f>"78737"</f>
        <v>78737</v>
      </c>
      <c r="AY506" t="s">
        <v>120</v>
      </c>
      <c r="BA506" s="5">
        <v>15128942128</v>
      </c>
      <c r="BC506" t="s">
        <v>1382</v>
      </c>
      <c r="BD506" t="s">
        <v>1383</v>
      </c>
      <c r="BE506" t="s">
        <v>232</v>
      </c>
      <c r="BF506" t="s">
        <v>870</v>
      </c>
      <c r="BG506" t="s">
        <v>232</v>
      </c>
      <c r="BH506" s="1">
        <v>44867.833333333336</v>
      </c>
      <c r="BI506">
        <v>35</v>
      </c>
      <c r="BJ506">
        <v>0</v>
      </c>
      <c r="BK506">
        <v>7</v>
      </c>
      <c r="BL506">
        <v>7</v>
      </c>
      <c r="BM506">
        <v>7</v>
      </c>
      <c r="BN506">
        <v>7</v>
      </c>
      <c r="BO506">
        <v>7</v>
      </c>
      <c r="BP506">
        <v>0</v>
      </c>
      <c r="BQ506" t="str">
        <f>"8:00 AM"</f>
        <v>8:00 AM</v>
      </c>
      <c r="BR506" t="str">
        <f>"4:00 PM"</f>
        <v>4:00 PM</v>
      </c>
      <c r="BS506" t="s">
        <v>133</v>
      </c>
      <c r="BT506">
        <v>0</v>
      </c>
      <c r="BU506">
        <v>3</v>
      </c>
      <c r="BV506" t="s">
        <v>134</v>
      </c>
      <c r="BX506" s="2" t="s">
        <v>6278</v>
      </c>
      <c r="BY506" t="s">
        <v>2751</v>
      </c>
      <c r="CA506" t="s">
        <v>2752</v>
      </c>
      <c r="CB506" t="s">
        <v>232</v>
      </c>
      <c r="CC506" s="4" t="str">
        <f>"78641"</f>
        <v>78641</v>
      </c>
      <c r="CD506" t="s">
        <v>948</v>
      </c>
      <c r="CE506" t="s">
        <v>949</v>
      </c>
      <c r="CF506" s="6">
        <v>16.079999999999998</v>
      </c>
      <c r="CG506" s="6">
        <v>16.079999999999998</v>
      </c>
      <c r="CH506" s="6">
        <v>24.12</v>
      </c>
      <c r="CI506" s="6">
        <v>24.12</v>
      </c>
      <c r="CJ506" t="s">
        <v>137</v>
      </c>
      <c r="CL506" t="s">
        <v>9227</v>
      </c>
      <c r="CO506" t="s">
        <v>138</v>
      </c>
      <c r="CP506" t="s">
        <v>114</v>
      </c>
      <c r="CQ506" t="s">
        <v>114</v>
      </c>
      <c r="CR506" t="s">
        <v>114</v>
      </c>
      <c r="CS506" t="s">
        <v>134</v>
      </c>
      <c r="CT506" t="s">
        <v>114</v>
      </c>
      <c r="CU506" t="s">
        <v>134</v>
      </c>
      <c r="CV506" s="2" t="s">
        <v>6279</v>
      </c>
      <c r="CW506" s="5" t="str">
        <f>"+15127971640"</f>
        <v>+15127971640</v>
      </c>
      <c r="CX506" t="s">
        <v>2760</v>
      </c>
      <c r="CY506" t="s">
        <v>138</v>
      </c>
      <c r="CZ506" t="s">
        <v>139</v>
      </c>
      <c r="DA506" t="s">
        <v>134</v>
      </c>
      <c r="DB506" t="s">
        <v>134</v>
      </c>
      <c r="DC506" t="s">
        <v>114</v>
      </c>
      <c r="DD506" t="s">
        <v>134</v>
      </c>
    </row>
    <row r="507" spans="1:113" ht="15" customHeight="1" x14ac:dyDescent="0.25">
      <c r="A507" t="s">
        <v>15090</v>
      </c>
      <c r="B507" t="s">
        <v>165</v>
      </c>
      <c r="C507" s="1">
        <v>44868.4508375</v>
      </c>
      <c r="D507" s="1">
        <v>44901</v>
      </c>
      <c r="E507" t="s">
        <v>134</v>
      </c>
      <c r="F507" t="s">
        <v>1507</v>
      </c>
      <c r="G507" t="str">
        <f>"47-2051.00"</f>
        <v>47-2051.00</v>
      </c>
      <c r="H507" t="s">
        <v>1508</v>
      </c>
      <c r="I507">
        <v>17</v>
      </c>
      <c r="J507">
        <v>17</v>
      </c>
      <c r="K507" s="1">
        <v>44958</v>
      </c>
      <c r="L507" s="1">
        <v>45230</v>
      </c>
      <c r="M507" s="1">
        <v>44958</v>
      </c>
      <c r="N507" s="1">
        <v>45230</v>
      </c>
      <c r="O507" t="s">
        <v>117</v>
      </c>
      <c r="P507" t="s">
        <v>12617</v>
      </c>
      <c r="R507" t="s">
        <v>12618</v>
      </c>
      <c r="S507" t="s">
        <v>138</v>
      </c>
      <c r="T507" t="s">
        <v>12619</v>
      </c>
      <c r="U507" t="s">
        <v>232</v>
      </c>
      <c r="V507" s="4" t="str">
        <f>"76528"</f>
        <v>76528</v>
      </c>
      <c r="W507" t="s">
        <v>120</v>
      </c>
      <c r="Y507" s="5">
        <v>12542480744</v>
      </c>
      <c r="AA507">
        <v>238110</v>
      </c>
      <c r="AB507" t="s">
        <v>12620</v>
      </c>
      <c r="AC507" t="s">
        <v>10758</v>
      </c>
      <c r="AE507" t="s">
        <v>1526</v>
      </c>
      <c r="AF507" t="s">
        <v>12618</v>
      </c>
      <c r="AG507" t="s">
        <v>138</v>
      </c>
      <c r="AH507" t="s">
        <v>12619</v>
      </c>
      <c r="AI507" t="s">
        <v>232</v>
      </c>
      <c r="AJ507" s="4" t="str">
        <f>"76528"</f>
        <v>76528</v>
      </c>
      <c r="AK507" t="s">
        <v>120</v>
      </c>
      <c r="AM507" s="5">
        <v>12542480744</v>
      </c>
      <c r="AO507" t="s">
        <v>12621</v>
      </c>
      <c r="AP507" t="s">
        <v>256</v>
      </c>
      <c r="AQ507" t="s">
        <v>2327</v>
      </c>
      <c r="AR507" t="s">
        <v>1063</v>
      </c>
      <c r="AS507" t="s">
        <v>1857</v>
      </c>
      <c r="AT507" t="s">
        <v>2050</v>
      </c>
      <c r="AU507" t="s">
        <v>138</v>
      </c>
      <c r="AV507" t="s">
        <v>1285</v>
      </c>
      <c r="AW507" t="s">
        <v>232</v>
      </c>
      <c r="AX507" s="4" t="str">
        <f>"77414"</f>
        <v>77414</v>
      </c>
      <c r="AY507" t="s">
        <v>120</v>
      </c>
      <c r="BA507" s="5">
        <v>19793187280</v>
      </c>
      <c r="BC507" t="s">
        <v>2328</v>
      </c>
      <c r="BD507" t="s">
        <v>1287</v>
      </c>
      <c r="BG507" t="s">
        <v>232</v>
      </c>
      <c r="BH507" s="1">
        <v>44867.833333333336</v>
      </c>
      <c r="BI507">
        <v>40</v>
      </c>
      <c r="BJ507">
        <v>0</v>
      </c>
      <c r="BK507">
        <v>8</v>
      </c>
      <c r="BL507">
        <v>8</v>
      </c>
      <c r="BM507">
        <v>8</v>
      </c>
      <c r="BN507">
        <v>8</v>
      </c>
      <c r="BO507">
        <v>8</v>
      </c>
      <c r="BP507">
        <v>0</v>
      </c>
      <c r="BQ507" t="str">
        <f>"7:00 AM"</f>
        <v>7:00 AM</v>
      </c>
      <c r="BR507" t="str">
        <f>"5:30 PM"</f>
        <v>5:30 PM</v>
      </c>
      <c r="BS507" t="s">
        <v>133</v>
      </c>
      <c r="BT507">
        <v>0</v>
      </c>
      <c r="BU507">
        <v>0</v>
      </c>
      <c r="BV507" t="s">
        <v>134</v>
      </c>
      <c r="BX507" s="2" t="s">
        <v>12622</v>
      </c>
      <c r="BY507" t="s">
        <v>12618</v>
      </c>
      <c r="BZ507" t="s">
        <v>138</v>
      </c>
      <c r="CA507" t="s">
        <v>12619</v>
      </c>
      <c r="CB507" t="s">
        <v>232</v>
      </c>
      <c r="CC507" s="4" t="str">
        <f>"76528"</f>
        <v>76528</v>
      </c>
      <c r="CD507" t="s">
        <v>12623</v>
      </c>
      <c r="CE507" t="s">
        <v>4241</v>
      </c>
      <c r="CF507" s="6">
        <v>19.760000000000002</v>
      </c>
      <c r="CG507" s="6">
        <v>20</v>
      </c>
      <c r="CH507" s="6">
        <v>29.64</v>
      </c>
      <c r="CI507" s="6">
        <v>30</v>
      </c>
      <c r="CJ507" t="s">
        <v>137</v>
      </c>
      <c r="CK507" t="s">
        <v>2461</v>
      </c>
      <c r="CL507" t="s">
        <v>14126</v>
      </c>
      <c r="CO507" t="s">
        <v>138</v>
      </c>
      <c r="CP507" t="s">
        <v>114</v>
      </c>
      <c r="CQ507" t="s">
        <v>114</v>
      </c>
      <c r="CR507" t="s">
        <v>114</v>
      </c>
      <c r="CS507" t="s">
        <v>114</v>
      </c>
      <c r="CT507" t="s">
        <v>114</v>
      </c>
      <c r="CU507" t="s">
        <v>134</v>
      </c>
      <c r="CV507" t="s">
        <v>2360</v>
      </c>
      <c r="CW507" s="5" t="str">
        <f>"+12542480744"</f>
        <v>+12542480744</v>
      </c>
      <c r="CX507" t="s">
        <v>12621</v>
      </c>
      <c r="CY507" t="s">
        <v>138</v>
      </c>
      <c r="CZ507" t="s">
        <v>139</v>
      </c>
      <c r="DA507" t="s">
        <v>134</v>
      </c>
      <c r="DB507" t="s">
        <v>134</v>
      </c>
      <c r="DC507" t="s">
        <v>114</v>
      </c>
      <c r="DD507" t="s">
        <v>134</v>
      </c>
    </row>
    <row r="508" spans="1:113" ht="15" customHeight="1" x14ac:dyDescent="0.25">
      <c r="A508" t="s">
        <v>16277</v>
      </c>
      <c r="B508" t="s">
        <v>165</v>
      </c>
      <c r="C508" s="1">
        <v>44868.445032754629</v>
      </c>
      <c r="D508" s="1">
        <v>44901</v>
      </c>
      <c r="E508" t="s">
        <v>134</v>
      </c>
      <c r="F508" t="s">
        <v>7356</v>
      </c>
      <c r="G508" t="str">
        <f>"45-2092.00"</f>
        <v>45-2092.00</v>
      </c>
      <c r="H508" t="s">
        <v>3089</v>
      </c>
      <c r="I508">
        <v>13</v>
      </c>
      <c r="J508">
        <v>13</v>
      </c>
      <c r="K508" s="1">
        <v>44958</v>
      </c>
      <c r="L508" s="1">
        <v>45245</v>
      </c>
      <c r="M508" s="1">
        <v>44958</v>
      </c>
      <c r="N508" s="1">
        <v>45245</v>
      </c>
      <c r="O508" t="s">
        <v>117</v>
      </c>
      <c r="P508" t="s">
        <v>16278</v>
      </c>
      <c r="Q508" t="s">
        <v>16279</v>
      </c>
      <c r="R508" t="s">
        <v>16280</v>
      </c>
      <c r="T508" t="s">
        <v>2460</v>
      </c>
      <c r="U508" t="s">
        <v>232</v>
      </c>
      <c r="V508" s="4" t="str">
        <f>"75006"</f>
        <v>75006</v>
      </c>
      <c r="W508" t="s">
        <v>120</v>
      </c>
      <c r="Y508" s="5">
        <v>19722454557</v>
      </c>
      <c r="AA508">
        <v>11142</v>
      </c>
      <c r="AB508" t="s">
        <v>4585</v>
      </c>
      <c r="AC508" t="s">
        <v>15214</v>
      </c>
      <c r="AE508" t="s">
        <v>1555</v>
      </c>
      <c r="AF508" t="s">
        <v>16280</v>
      </c>
      <c r="AH508" t="s">
        <v>2460</v>
      </c>
      <c r="AI508" t="s">
        <v>232</v>
      </c>
      <c r="AJ508" s="4" t="str">
        <f>"75006"</f>
        <v>75006</v>
      </c>
      <c r="AK508" t="s">
        <v>120</v>
      </c>
      <c r="AM508" s="5">
        <v>19722454557</v>
      </c>
      <c r="AO508" t="s">
        <v>16281</v>
      </c>
      <c r="AP508" t="s">
        <v>256</v>
      </c>
      <c r="AQ508" t="s">
        <v>885</v>
      </c>
      <c r="AR508" t="s">
        <v>886</v>
      </c>
      <c r="AT508" t="s">
        <v>887</v>
      </c>
      <c r="AV508" t="s">
        <v>888</v>
      </c>
      <c r="AW508" t="s">
        <v>232</v>
      </c>
      <c r="AX508" s="4" t="str">
        <f>"75098"</f>
        <v>75098</v>
      </c>
      <c r="AY508" t="s">
        <v>120</v>
      </c>
      <c r="BA508" s="5">
        <v>19724424244</v>
      </c>
      <c r="BC508" t="s">
        <v>889</v>
      </c>
      <c r="BD508" t="s">
        <v>890</v>
      </c>
      <c r="BG508" t="s">
        <v>232</v>
      </c>
      <c r="BH508" s="1">
        <v>44867.833333333336</v>
      </c>
      <c r="BI508">
        <v>40</v>
      </c>
      <c r="BJ508">
        <v>0</v>
      </c>
      <c r="BK508">
        <v>8</v>
      </c>
      <c r="BL508">
        <v>8</v>
      </c>
      <c r="BM508">
        <v>8</v>
      </c>
      <c r="BN508">
        <v>8</v>
      </c>
      <c r="BO508">
        <v>8</v>
      </c>
      <c r="BP508">
        <v>8</v>
      </c>
      <c r="BQ508" t="str">
        <f>"7:30 AM"</f>
        <v>7:30 AM</v>
      </c>
      <c r="BR508" t="str">
        <f>"5:00 PM"</f>
        <v>5:00 PM</v>
      </c>
      <c r="BS508" t="s">
        <v>133</v>
      </c>
      <c r="BT508">
        <v>0</v>
      </c>
      <c r="BU508">
        <v>0</v>
      </c>
      <c r="BV508" t="s">
        <v>134</v>
      </c>
      <c r="BX508" s="2" t="s">
        <v>16282</v>
      </c>
      <c r="BY508" t="s">
        <v>16280</v>
      </c>
      <c r="CA508" t="s">
        <v>2460</v>
      </c>
      <c r="CB508" t="s">
        <v>232</v>
      </c>
      <c r="CC508" s="4" t="str">
        <f>"75006"</f>
        <v>75006</v>
      </c>
      <c r="CD508" t="s">
        <v>1482</v>
      </c>
      <c r="CE508" t="s">
        <v>1528</v>
      </c>
      <c r="CF508" s="6">
        <v>13.91</v>
      </c>
      <c r="CG508" s="6">
        <v>16</v>
      </c>
      <c r="CH508" s="6">
        <v>20.87</v>
      </c>
      <c r="CI508" s="6">
        <v>24</v>
      </c>
      <c r="CJ508" t="s">
        <v>137</v>
      </c>
      <c r="CL508" t="s">
        <v>16283</v>
      </c>
      <c r="CO508" t="s">
        <v>138</v>
      </c>
      <c r="CP508" t="s">
        <v>134</v>
      </c>
      <c r="CQ508" t="s">
        <v>114</v>
      </c>
      <c r="CR508" t="s">
        <v>114</v>
      </c>
      <c r="CS508" t="s">
        <v>114</v>
      </c>
      <c r="CT508" t="s">
        <v>114</v>
      </c>
      <c r="CU508" t="s">
        <v>114</v>
      </c>
      <c r="CV508" t="s">
        <v>219</v>
      </c>
      <c r="CW508" s="5" t="str">
        <f>"+19722454557"</f>
        <v>+19722454557</v>
      </c>
      <c r="CX508" t="s">
        <v>138</v>
      </c>
      <c r="CY508" t="s">
        <v>2072</v>
      </c>
      <c r="CZ508" t="s">
        <v>139</v>
      </c>
      <c r="DA508" t="s">
        <v>134</v>
      </c>
      <c r="DB508" t="s">
        <v>134</v>
      </c>
      <c r="DC508" t="s">
        <v>114</v>
      </c>
      <c r="DD508" t="s">
        <v>134</v>
      </c>
    </row>
    <row r="509" spans="1:113" ht="15" customHeight="1" x14ac:dyDescent="0.25">
      <c r="A509" t="s">
        <v>6291</v>
      </c>
      <c r="B509" t="s">
        <v>165</v>
      </c>
      <c r="C509" s="1">
        <v>44868.442927199074</v>
      </c>
      <c r="D509" s="1">
        <v>44901</v>
      </c>
      <c r="E509" t="s">
        <v>134</v>
      </c>
      <c r="F509" t="s">
        <v>1994</v>
      </c>
      <c r="G509" t="str">
        <f>"47-2061.00"</f>
        <v>47-2061.00</v>
      </c>
      <c r="H509" t="s">
        <v>1625</v>
      </c>
      <c r="I509">
        <v>18</v>
      </c>
      <c r="J509">
        <v>18</v>
      </c>
      <c r="K509" s="1">
        <v>44958</v>
      </c>
      <c r="L509" s="1">
        <v>45231</v>
      </c>
      <c r="M509" s="1">
        <v>44958</v>
      </c>
      <c r="N509" s="1">
        <v>45231</v>
      </c>
      <c r="O509" t="s">
        <v>117</v>
      </c>
      <c r="P509" t="s">
        <v>6292</v>
      </c>
      <c r="R509" t="s">
        <v>6293</v>
      </c>
      <c r="S509" t="s">
        <v>138</v>
      </c>
      <c r="T509" t="s">
        <v>6294</v>
      </c>
      <c r="U509" t="s">
        <v>232</v>
      </c>
      <c r="V509" s="4" t="str">
        <f>"78666"</f>
        <v>78666</v>
      </c>
      <c r="W509" t="s">
        <v>120</v>
      </c>
      <c r="Y509" s="5">
        <v>15123961015</v>
      </c>
      <c r="AA509">
        <v>238110</v>
      </c>
      <c r="AB509" t="s">
        <v>6295</v>
      </c>
      <c r="AC509" t="s">
        <v>422</v>
      </c>
      <c r="AE509" t="s">
        <v>342</v>
      </c>
      <c r="AF509" t="s">
        <v>6293</v>
      </c>
      <c r="AG509" t="s">
        <v>138</v>
      </c>
      <c r="AH509" t="s">
        <v>6294</v>
      </c>
      <c r="AI509" t="s">
        <v>232</v>
      </c>
      <c r="AJ509" s="4" t="str">
        <f>"78666"</f>
        <v>78666</v>
      </c>
      <c r="AK509" t="s">
        <v>120</v>
      </c>
      <c r="AM509" s="5">
        <v>15123961015</v>
      </c>
      <c r="AO509" t="s">
        <v>6296</v>
      </c>
      <c r="AP509" t="s">
        <v>256</v>
      </c>
      <c r="AQ509" t="s">
        <v>2327</v>
      </c>
      <c r="AR509" t="s">
        <v>1063</v>
      </c>
      <c r="AS509" t="s">
        <v>1857</v>
      </c>
      <c r="AT509" t="s">
        <v>1284</v>
      </c>
      <c r="AU509" t="s">
        <v>138</v>
      </c>
      <c r="AV509" t="s">
        <v>1285</v>
      </c>
      <c r="AW509" t="s">
        <v>232</v>
      </c>
      <c r="AX509" s="4" t="str">
        <f>"77414"</f>
        <v>77414</v>
      </c>
      <c r="AY509" t="s">
        <v>120</v>
      </c>
      <c r="BA509" s="5">
        <v>19793187280</v>
      </c>
      <c r="BC509" t="s">
        <v>2328</v>
      </c>
      <c r="BD509" t="s">
        <v>1287</v>
      </c>
      <c r="BG509" t="s">
        <v>232</v>
      </c>
      <c r="BH509" s="1">
        <v>44867.833333333336</v>
      </c>
      <c r="BI509">
        <v>40</v>
      </c>
      <c r="BJ509">
        <v>0</v>
      </c>
      <c r="BK509">
        <v>8</v>
      </c>
      <c r="BL509">
        <v>8</v>
      </c>
      <c r="BM509">
        <v>8</v>
      </c>
      <c r="BN509">
        <v>8</v>
      </c>
      <c r="BO509">
        <v>8</v>
      </c>
      <c r="BP509">
        <v>0</v>
      </c>
      <c r="BQ509" t="str">
        <f>"7:00 AM"</f>
        <v>7:00 AM</v>
      </c>
      <c r="BR509" t="str">
        <f>"4:00 PM"</f>
        <v>4:00 PM</v>
      </c>
      <c r="BS509" t="s">
        <v>133</v>
      </c>
      <c r="BT509">
        <v>0</v>
      </c>
      <c r="BU509">
        <v>0</v>
      </c>
      <c r="BV509" t="s">
        <v>134</v>
      </c>
      <c r="BX509" s="2" t="s">
        <v>6297</v>
      </c>
      <c r="BY509" t="s">
        <v>6298</v>
      </c>
      <c r="BZ509" t="s">
        <v>138</v>
      </c>
      <c r="CA509" t="s">
        <v>6294</v>
      </c>
      <c r="CB509" t="s">
        <v>232</v>
      </c>
      <c r="CC509" s="4" t="str">
        <f>"78666"</f>
        <v>78666</v>
      </c>
      <c r="CD509" t="s">
        <v>6299</v>
      </c>
      <c r="CE509" t="s">
        <v>1342</v>
      </c>
      <c r="CF509" s="6">
        <v>17.920000000000002</v>
      </c>
      <c r="CG509" s="6">
        <v>18</v>
      </c>
      <c r="CH509" s="6">
        <v>26.88</v>
      </c>
      <c r="CI509" s="6">
        <v>27</v>
      </c>
      <c r="CJ509" t="s">
        <v>137</v>
      </c>
      <c r="CK509" t="s">
        <v>4820</v>
      </c>
      <c r="CL509" t="s">
        <v>6300</v>
      </c>
      <c r="CO509" t="s">
        <v>138</v>
      </c>
      <c r="CP509" t="s">
        <v>114</v>
      </c>
      <c r="CQ509" t="s">
        <v>114</v>
      </c>
      <c r="CR509" t="s">
        <v>114</v>
      </c>
      <c r="CS509" t="s">
        <v>114</v>
      </c>
      <c r="CT509" t="s">
        <v>114</v>
      </c>
      <c r="CU509" t="s">
        <v>134</v>
      </c>
      <c r="CV509" t="s">
        <v>4424</v>
      </c>
      <c r="CW509" s="5" t="str">
        <f>"+15125581767"</f>
        <v>+15125581767</v>
      </c>
      <c r="CX509" t="s">
        <v>6296</v>
      </c>
      <c r="CY509" t="s">
        <v>138</v>
      </c>
      <c r="CZ509" t="s">
        <v>139</v>
      </c>
      <c r="DA509" t="s">
        <v>134</v>
      </c>
      <c r="DB509" t="s">
        <v>134</v>
      </c>
      <c r="DC509" t="s">
        <v>114</v>
      </c>
      <c r="DD509" t="s">
        <v>134</v>
      </c>
    </row>
    <row r="510" spans="1:113" ht="15" customHeight="1" x14ac:dyDescent="0.25">
      <c r="A510" t="s">
        <v>14279</v>
      </c>
      <c r="B510" t="s">
        <v>165</v>
      </c>
      <c r="C510" s="1">
        <v>44868.430905324072</v>
      </c>
      <c r="D510" s="1">
        <v>44901</v>
      </c>
      <c r="E510" t="s">
        <v>134</v>
      </c>
      <c r="F510" t="s">
        <v>9967</v>
      </c>
      <c r="G510" t="str">
        <f>"47-2051.00"</f>
        <v>47-2051.00</v>
      </c>
      <c r="H510" t="s">
        <v>1508</v>
      </c>
      <c r="I510">
        <v>14</v>
      </c>
      <c r="J510">
        <v>14</v>
      </c>
      <c r="K510" s="1">
        <v>44958</v>
      </c>
      <c r="L510" s="1">
        <v>45260</v>
      </c>
      <c r="M510" s="1">
        <v>44958</v>
      </c>
      <c r="N510" s="1">
        <v>45260</v>
      </c>
      <c r="O510" t="s">
        <v>117</v>
      </c>
      <c r="P510" t="s">
        <v>14280</v>
      </c>
      <c r="R510" t="s">
        <v>14281</v>
      </c>
      <c r="T510" t="s">
        <v>14282</v>
      </c>
      <c r="U510" t="s">
        <v>232</v>
      </c>
      <c r="V510" s="4" t="str">
        <f>"75494"</f>
        <v>75494</v>
      </c>
      <c r="W510" t="s">
        <v>120</v>
      </c>
      <c r="Y510" s="5">
        <v>19723909695</v>
      </c>
      <c r="AA510">
        <v>23731</v>
      </c>
      <c r="AB510" t="s">
        <v>14283</v>
      </c>
      <c r="AC510" t="s">
        <v>14284</v>
      </c>
      <c r="AD510" t="s">
        <v>2702</v>
      </c>
      <c r="AE510" t="s">
        <v>2623</v>
      </c>
      <c r="AF510" t="s">
        <v>14281</v>
      </c>
      <c r="AH510" t="s">
        <v>14282</v>
      </c>
      <c r="AI510" t="s">
        <v>232</v>
      </c>
      <c r="AJ510" s="4" t="str">
        <f>"75494"</f>
        <v>75494</v>
      </c>
      <c r="AK510" t="s">
        <v>120</v>
      </c>
      <c r="AM510" s="5">
        <v>19723909695</v>
      </c>
      <c r="AO510" t="s">
        <v>14285</v>
      </c>
      <c r="AP510" t="s">
        <v>256</v>
      </c>
      <c r="AQ510" t="s">
        <v>885</v>
      </c>
      <c r="AR510" t="s">
        <v>886</v>
      </c>
      <c r="AT510" t="s">
        <v>887</v>
      </c>
      <c r="AV510" t="s">
        <v>888</v>
      </c>
      <c r="AW510" t="s">
        <v>232</v>
      </c>
      <c r="AX510" s="4" t="str">
        <f>"75098"</f>
        <v>75098</v>
      </c>
      <c r="AY510" t="s">
        <v>120</v>
      </c>
      <c r="BA510" s="5">
        <v>19724424244</v>
      </c>
      <c r="BC510" t="s">
        <v>889</v>
      </c>
      <c r="BD510" t="s">
        <v>1264</v>
      </c>
      <c r="BG510" t="s">
        <v>232</v>
      </c>
      <c r="BH510" s="1">
        <v>44867.833333333336</v>
      </c>
      <c r="BI510">
        <v>40</v>
      </c>
      <c r="BJ510">
        <v>0</v>
      </c>
      <c r="BK510">
        <v>8</v>
      </c>
      <c r="BL510">
        <v>8</v>
      </c>
      <c r="BM510">
        <v>8</v>
      </c>
      <c r="BN510">
        <v>8</v>
      </c>
      <c r="BO510">
        <v>8</v>
      </c>
      <c r="BP510">
        <v>0</v>
      </c>
      <c r="BQ510" t="str">
        <f>"8:00 AM"</f>
        <v>8:00 AM</v>
      </c>
      <c r="BR510" t="str">
        <f>"5:00 PM"</f>
        <v>5:00 PM</v>
      </c>
      <c r="BS510" t="s">
        <v>133</v>
      </c>
      <c r="BT510">
        <v>0</v>
      </c>
      <c r="BU510">
        <v>0</v>
      </c>
      <c r="BV510" t="s">
        <v>134</v>
      </c>
      <c r="BX510" s="2" t="s">
        <v>5776</v>
      </c>
      <c r="BY510" t="s">
        <v>14281</v>
      </c>
      <c r="CA510" t="s">
        <v>14282</v>
      </c>
      <c r="CB510" t="s">
        <v>232</v>
      </c>
      <c r="CC510" s="4" t="str">
        <f>"75494"</f>
        <v>75494</v>
      </c>
      <c r="CD510" t="s">
        <v>7892</v>
      </c>
      <c r="CE510" t="s">
        <v>1085</v>
      </c>
      <c r="CF510" s="6">
        <v>21.01</v>
      </c>
      <c r="CG510" s="6">
        <v>25</v>
      </c>
      <c r="CH510" s="6">
        <v>31.52</v>
      </c>
      <c r="CI510" s="6">
        <v>37.5</v>
      </c>
      <c r="CJ510" t="s">
        <v>137</v>
      </c>
      <c r="CL510" t="s">
        <v>14286</v>
      </c>
      <c r="CO510" t="s">
        <v>138</v>
      </c>
      <c r="CP510" t="s">
        <v>114</v>
      </c>
      <c r="CQ510" t="s">
        <v>114</v>
      </c>
      <c r="CR510" t="s">
        <v>114</v>
      </c>
      <c r="CS510" t="s">
        <v>114</v>
      </c>
      <c r="CT510" t="s">
        <v>114</v>
      </c>
      <c r="CU510" t="s">
        <v>114</v>
      </c>
      <c r="CV510" t="s">
        <v>219</v>
      </c>
      <c r="CW510" s="5" t="str">
        <f>"+19723909695"</f>
        <v>+19723909695</v>
      </c>
      <c r="CX510" t="s">
        <v>138</v>
      </c>
      <c r="CY510" t="s">
        <v>2072</v>
      </c>
      <c r="CZ510" t="s">
        <v>139</v>
      </c>
      <c r="DA510" t="s">
        <v>134</v>
      </c>
      <c r="DB510" t="s">
        <v>134</v>
      </c>
      <c r="DC510" t="s">
        <v>114</v>
      </c>
      <c r="DD510" t="s">
        <v>134</v>
      </c>
    </row>
    <row r="511" spans="1:113" ht="15" customHeight="1" x14ac:dyDescent="0.25">
      <c r="A511" t="s">
        <v>11167</v>
      </c>
      <c r="B511" t="s">
        <v>165</v>
      </c>
      <c r="C511" s="1">
        <v>44868.418953472225</v>
      </c>
      <c r="D511" s="1">
        <v>44901</v>
      </c>
      <c r="E511" t="s">
        <v>134</v>
      </c>
      <c r="F511" t="s">
        <v>334</v>
      </c>
      <c r="G511" t="str">
        <f t="shared" ref="G511:G518" si="32">"37-3011.00"</f>
        <v>37-3011.00</v>
      </c>
      <c r="H511" t="s">
        <v>335</v>
      </c>
      <c r="I511">
        <v>50</v>
      </c>
      <c r="J511">
        <v>50</v>
      </c>
      <c r="K511" s="1">
        <v>44958</v>
      </c>
      <c r="L511" s="1">
        <v>45260</v>
      </c>
      <c r="M511" s="1">
        <v>44958</v>
      </c>
      <c r="N511" s="1">
        <v>45260</v>
      </c>
      <c r="O511" t="s">
        <v>117</v>
      </c>
      <c r="P511" t="s">
        <v>6311</v>
      </c>
      <c r="Q511" t="s">
        <v>6312</v>
      </c>
      <c r="R511" t="s">
        <v>6313</v>
      </c>
      <c r="S511" t="s">
        <v>138</v>
      </c>
      <c r="T511" t="s">
        <v>587</v>
      </c>
      <c r="U511" t="s">
        <v>530</v>
      </c>
      <c r="V511" s="4" t="str">
        <f>"85040"</f>
        <v>85040</v>
      </c>
      <c r="W511" t="s">
        <v>120</v>
      </c>
      <c r="X511" t="s">
        <v>138</v>
      </c>
      <c r="Y511" s="5">
        <v>16025752032</v>
      </c>
      <c r="AA511">
        <v>561730</v>
      </c>
      <c r="AB511" t="s">
        <v>6314</v>
      </c>
      <c r="AC511" t="s">
        <v>370</v>
      </c>
      <c r="AD511" t="s">
        <v>259</v>
      </c>
      <c r="AE511" t="s">
        <v>285</v>
      </c>
      <c r="AF511" t="s">
        <v>6313</v>
      </c>
      <c r="AG511" t="s">
        <v>138</v>
      </c>
      <c r="AH511" t="s">
        <v>587</v>
      </c>
      <c r="AI511" t="s">
        <v>530</v>
      </c>
      <c r="AJ511" s="4" t="str">
        <f>"85040"</f>
        <v>85040</v>
      </c>
      <c r="AK511" t="s">
        <v>120</v>
      </c>
      <c r="AM511" s="5">
        <v>16025752032</v>
      </c>
      <c r="AO511" t="s">
        <v>6316</v>
      </c>
      <c r="AP511" t="s">
        <v>256</v>
      </c>
      <c r="AQ511" t="s">
        <v>2362</v>
      </c>
      <c r="AR511" t="s">
        <v>1907</v>
      </c>
      <c r="AS511" t="s">
        <v>1857</v>
      </c>
      <c r="AT511" t="s">
        <v>1284</v>
      </c>
      <c r="AU511" t="s">
        <v>138</v>
      </c>
      <c r="AV511" t="s">
        <v>1285</v>
      </c>
      <c r="AW511" t="s">
        <v>232</v>
      </c>
      <c r="AX511" s="4" t="str">
        <f>"77414"</f>
        <v>77414</v>
      </c>
      <c r="AY511" t="s">
        <v>120</v>
      </c>
      <c r="BA511" s="5">
        <v>19793187282</v>
      </c>
      <c r="BC511" t="s">
        <v>2363</v>
      </c>
      <c r="BD511" t="s">
        <v>1287</v>
      </c>
      <c r="BG511" t="s">
        <v>530</v>
      </c>
      <c r="BH511" s="1">
        <v>44867.833333333336</v>
      </c>
      <c r="BI511">
        <v>40</v>
      </c>
      <c r="BJ511">
        <v>0</v>
      </c>
      <c r="BK511">
        <v>8</v>
      </c>
      <c r="BL511">
        <v>8</v>
      </c>
      <c r="BM511">
        <v>8</v>
      </c>
      <c r="BN511">
        <v>8</v>
      </c>
      <c r="BO511">
        <v>8</v>
      </c>
      <c r="BP511">
        <v>0</v>
      </c>
      <c r="BQ511" t="str">
        <f>"5:00 AM"</f>
        <v>5:00 AM</v>
      </c>
      <c r="BR511" t="str">
        <f>"1:30 PM"</f>
        <v>1:30 PM</v>
      </c>
      <c r="BS511" t="s">
        <v>133</v>
      </c>
      <c r="BT511">
        <v>0</v>
      </c>
      <c r="BU511">
        <v>0</v>
      </c>
      <c r="BV511" t="s">
        <v>134</v>
      </c>
      <c r="BX511" s="2" t="s">
        <v>6317</v>
      </c>
      <c r="BY511" t="s">
        <v>11168</v>
      </c>
      <c r="BZ511" t="s">
        <v>138</v>
      </c>
      <c r="CA511" t="s">
        <v>1575</v>
      </c>
      <c r="CB511" t="s">
        <v>530</v>
      </c>
      <c r="CC511" s="4" t="str">
        <f>"85705"</f>
        <v>85705</v>
      </c>
      <c r="CD511" t="s">
        <v>1576</v>
      </c>
      <c r="CE511" t="s">
        <v>1577</v>
      </c>
      <c r="CF511" s="6">
        <v>16.57</v>
      </c>
      <c r="CH511" s="6">
        <v>24.86</v>
      </c>
      <c r="CJ511" t="s">
        <v>137</v>
      </c>
      <c r="CK511" t="s">
        <v>6318</v>
      </c>
      <c r="CL511" t="s">
        <v>11169</v>
      </c>
      <c r="CO511" t="s">
        <v>138</v>
      </c>
      <c r="CP511" t="s">
        <v>114</v>
      </c>
      <c r="CQ511" t="s">
        <v>114</v>
      </c>
      <c r="CR511" t="s">
        <v>114</v>
      </c>
      <c r="CS511" t="s">
        <v>114</v>
      </c>
      <c r="CT511" t="s">
        <v>114</v>
      </c>
      <c r="CU511" t="s">
        <v>114</v>
      </c>
      <c r="CV511" t="s">
        <v>6320</v>
      </c>
      <c r="CW511" s="5" t="str">
        <f>"+16025752032"</f>
        <v>+16025752032</v>
      </c>
      <c r="CX511" t="s">
        <v>6316</v>
      </c>
      <c r="CY511" t="s">
        <v>138</v>
      </c>
      <c r="CZ511" t="s">
        <v>139</v>
      </c>
      <c r="DA511" t="s">
        <v>134</v>
      </c>
      <c r="DB511" t="s">
        <v>134</v>
      </c>
      <c r="DC511" t="s">
        <v>114</v>
      </c>
      <c r="DD511" t="s">
        <v>134</v>
      </c>
    </row>
    <row r="512" spans="1:113" ht="15" customHeight="1" x14ac:dyDescent="0.25">
      <c r="A512" t="s">
        <v>6310</v>
      </c>
      <c r="B512" t="s">
        <v>165</v>
      </c>
      <c r="C512" s="1">
        <v>44868.417343634261</v>
      </c>
      <c r="D512" s="1">
        <v>44901</v>
      </c>
      <c r="E512" t="s">
        <v>134</v>
      </c>
      <c r="F512" t="s">
        <v>334</v>
      </c>
      <c r="G512" t="str">
        <f t="shared" si="32"/>
        <v>37-3011.00</v>
      </c>
      <c r="H512" t="s">
        <v>335</v>
      </c>
      <c r="I512">
        <v>32</v>
      </c>
      <c r="J512">
        <v>32</v>
      </c>
      <c r="K512" s="1">
        <v>44958</v>
      </c>
      <c r="L512" s="1">
        <v>45260</v>
      </c>
      <c r="M512" s="1">
        <v>44958</v>
      </c>
      <c r="N512" s="1">
        <v>45260</v>
      </c>
      <c r="O512" t="s">
        <v>117</v>
      </c>
      <c r="P512" t="s">
        <v>6311</v>
      </c>
      <c r="Q512" t="s">
        <v>6312</v>
      </c>
      <c r="R512" t="s">
        <v>6313</v>
      </c>
      <c r="S512" t="s">
        <v>138</v>
      </c>
      <c r="T512" t="s">
        <v>587</v>
      </c>
      <c r="U512" t="s">
        <v>530</v>
      </c>
      <c r="V512" s="4" t="str">
        <f>"85040"</f>
        <v>85040</v>
      </c>
      <c r="W512" t="s">
        <v>120</v>
      </c>
      <c r="X512" t="s">
        <v>138</v>
      </c>
      <c r="Y512" s="5">
        <v>16025752032</v>
      </c>
      <c r="AA512">
        <v>561730</v>
      </c>
      <c r="AB512" t="s">
        <v>6314</v>
      </c>
      <c r="AC512" t="s">
        <v>370</v>
      </c>
      <c r="AD512" t="s">
        <v>259</v>
      </c>
      <c r="AE512" t="s">
        <v>285</v>
      </c>
      <c r="AF512" t="s">
        <v>6313</v>
      </c>
      <c r="AG512" t="s">
        <v>138</v>
      </c>
      <c r="AH512" t="s">
        <v>6315</v>
      </c>
      <c r="AI512" t="s">
        <v>530</v>
      </c>
      <c r="AJ512" s="4" t="str">
        <f>"85040"</f>
        <v>85040</v>
      </c>
      <c r="AK512" t="s">
        <v>120</v>
      </c>
      <c r="AM512" s="5">
        <v>16025752032</v>
      </c>
      <c r="AO512" t="s">
        <v>6316</v>
      </c>
      <c r="AP512" t="s">
        <v>256</v>
      </c>
      <c r="AQ512" t="s">
        <v>2362</v>
      </c>
      <c r="AR512" t="s">
        <v>1907</v>
      </c>
      <c r="AS512" t="s">
        <v>1857</v>
      </c>
      <c r="AT512" t="s">
        <v>1284</v>
      </c>
      <c r="AU512" t="s">
        <v>138</v>
      </c>
      <c r="AV512" t="s">
        <v>1285</v>
      </c>
      <c r="AW512" t="s">
        <v>232</v>
      </c>
      <c r="AX512" s="4" t="str">
        <f>"77414"</f>
        <v>77414</v>
      </c>
      <c r="AY512" t="s">
        <v>120</v>
      </c>
      <c r="BA512" s="5">
        <v>19793187282</v>
      </c>
      <c r="BC512" t="s">
        <v>2363</v>
      </c>
      <c r="BD512" t="s">
        <v>1287</v>
      </c>
      <c r="BG512" t="s">
        <v>530</v>
      </c>
      <c r="BH512" s="1">
        <v>44867.833333333336</v>
      </c>
      <c r="BI512">
        <v>40</v>
      </c>
      <c r="BJ512">
        <v>0</v>
      </c>
      <c r="BK512">
        <v>8</v>
      </c>
      <c r="BL512">
        <v>8</v>
      </c>
      <c r="BM512">
        <v>8</v>
      </c>
      <c r="BN512">
        <v>8</v>
      </c>
      <c r="BO512">
        <v>8</v>
      </c>
      <c r="BP512">
        <v>0</v>
      </c>
      <c r="BQ512" t="str">
        <f>"5:00 AM"</f>
        <v>5:00 AM</v>
      </c>
      <c r="BR512" t="str">
        <f>"1:30 PM"</f>
        <v>1:30 PM</v>
      </c>
      <c r="BS512" t="s">
        <v>133</v>
      </c>
      <c r="BT512">
        <v>0</v>
      </c>
      <c r="BU512">
        <v>0</v>
      </c>
      <c r="BV512" t="s">
        <v>134</v>
      </c>
      <c r="BX512" s="2" t="s">
        <v>6317</v>
      </c>
      <c r="BY512" t="s">
        <v>6313</v>
      </c>
      <c r="BZ512" t="s">
        <v>138</v>
      </c>
      <c r="CA512" t="s">
        <v>587</v>
      </c>
      <c r="CB512" t="s">
        <v>530</v>
      </c>
      <c r="CC512" s="4" t="str">
        <f>"85040"</f>
        <v>85040</v>
      </c>
      <c r="CD512" t="s">
        <v>592</v>
      </c>
      <c r="CE512" t="s">
        <v>548</v>
      </c>
      <c r="CF512" s="6">
        <v>16.57</v>
      </c>
      <c r="CH512" s="6">
        <v>24.86</v>
      </c>
      <c r="CJ512" t="s">
        <v>137</v>
      </c>
      <c r="CK512" t="s">
        <v>6318</v>
      </c>
      <c r="CL512" t="s">
        <v>6319</v>
      </c>
      <c r="CO512" t="s">
        <v>138</v>
      </c>
      <c r="CP512" t="s">
        <v>114</v>
      </c>
      <c r="CQ512" t="s">
        <v>114</v>
      </c>
      <c r="CR512" t="s">
        <v>114</v>
      </c>
      <c r="CS512" t="s">
        <v>114</v>
      </c>
      <c r="CT512" t="s">
        <v>114</v>
      </c>
      <c r="CU512" t="s">
        <v>114</v>
      </c>
      <c r="CV512" t="s">
        <v>6320</v>
      </c>
      <c r="CW512" s="5" t="str">
        <f>"+16025752032"</f>
        <v>+16025752032</v>
      </c>
      <c r="CX512" t="s">
        <v>6316</v>
      </c>
      <c r="CY512" t="s">
        <v>138</v>
      </c>
      <c r="CZ512" t="s">
        <v>139</v>
      </c>
      <c r="DA512" t="s">
        <v>134</v>
      </c>
      <c r="DB512" t="s">
        <v>134</v>
      </c>
      <c r="DC512" t="s">
        <v>114</v>
      </c>
      <c r="DD512" t="s">
        <v>134</v>
      </c>
    </row>
    <row r="513" spans="1:113" ht="15" customHeight="1" x14ac:dyDescent="0.25">
      <c r="A513" t="s">
        <v>7326</v>
      </c>
      <c r="B513" t="s">
        <v>165</v>
      </c>
      <c r="C513" s="1">
        <v>44868.410317592592</v>
      </c>
      <c r="D513" s="1">
        <v>44901</v>
      </c>
      <c r="E513" t="s">
        <v>134</v>
      </c>
      <c r="F513" t="s">
        <v>2320</v>
      </c>
      <c r="G513" t="str">
        <f t="shared" si="32"/>
        <v>37-3011.00</v>
      </c>
      <c r="H513" t="s">
        <v>335</v>
      </c>
      <c r="I513">
        <v>18</v>
      </c>
      <c r="J513">
        <v>18</v>
      </c>
      <c r="K513" s="1">
        <v>44958</v>
      </c>
      <c r="L513" s="1">
        <v>45260</v>
      </c>
      <c r="M513" s="1">
        <v>44958</v>
      </c>
      <c r="N513" s="1">
        <v>45260</v>
      </c>
      <c r="O513" t="s">
        <v>117</v>
      </c>
      <c r="P513" t="s">
        <v>4234</v>
      </c>
      <c r="R513" t="s">
        <v>4235</v>
      </c>
      <c r="S513" t="s">
        <v>4236</v>
      </c>
      <c r="T513" t="s">
        <v>4237</v>
      </c>
      <c r="U513" t="s">
        <v>232</v>
      </c>
      <c r="V513" s="4" t="str">
        <f>"76571"</f>
        <v>76571</v>
      </c>
      <c r="W513" t="s">
        <v>120</v>
      </c>
      <c r="X513" t="s">
        <v>138</v>
      </c>
      <c r="Y513" s="5">
        <v>12549477147</v>
      </c>
      <c r="AA513">
        <v>561730</v>
      </c>
      <c r="AB513" t="s">
        <v>2211</v>
      </c>
      <c r="AC513" t="s">
        <v>4201</v>
      </c>
      <c r="AD513" t="s">
        <v>138</v>
      </c>
      <c r="AE513" t="s">
        <v>1526</v>
      </c>
      <c r="AF513" t="s">
        <v>4235</v>
      </c>
      <c r="AG513" t="s">
        <v>4236</v>
      </c>
      <c r="AH513" t="s">
        <v>4237</v>
      </c>
      <c r="AI513" t="s">
        <v>232</v>
      </c>
      <c r="AJ513" s="4" t="str">
        <f>"76571"</f>
        <v>76571</v>
      </c>
      <c r="AK513" t="s">
        <v>120</v>
      </c>
      <c r="AM513" s="5">
        <v>12549477147</v>
      </c>
      <c r="AO513" t="s">
        <v>4238</v>
      </c>
      <c r="AP513" t="s">
        <v>256</v>
      </c>
      <c r="AQ513" t="s">
        <v>1352</v>
      </c>
      <c r="AR513" t="s">
        <v>1353</v>
      </c>
      <c r="AS513" t="s">
        <v>138</v>
      </c>
      <c r="AT513" t="s">
        <v>1284</v>
      </c>
      <c r="AU513" t="s">
        <v>138</v>
      </c>
      <c r="AV513" t="s">
        <v>1285</v>
      </c>
      <c r="AW513" t="s">
        <v>232</v>
      </c>
      <c r="AX513" s="4" t="str">
        <f>"77414"</f>
        <v>77414</v>
      </c>
      <c r="AY513" t="s">
        <v>120</v>
      </c>
      <c r="BA513" s="5">
        <v>19793187285</v>
      </c>
      <c r="BC513" t="s">
        <v>1354</v>
      </c>
      <c r="BD513" t="s">
        <v>1287</v>
      </c>
      <c r="BG513" t="s">
        <v>232</v>
      </c>
      <c r="BH513" s="1">
        <v>44867.833333333336</v>
      </c>
      <c r="BI513">
        <v>40</v>
      </c>
      <c r="BJ513">
        <v>0</v>
      </c>
      <c r="BK513">
        <v>8</v>
      </c>
      <c r="BL513">
        <v>8</v>
      </c>
      <c r="BM513">
        <v>8</v>
      </c>
      <c r="BN513">
        <v>8</v>
      </c>
      <c r="BO513">
        <v>8</v>
      </c>
      <c r="BP513">
        <v>0</v>
      </c>
      <c r="BQ513" t="str">
        <f>"7:30 AM"</f>
        <v>7:30 AM</v>
      </c>
      <c r="BR513" t="str">
        <f>"5:00 PM"</f>
        <v>5:00 PM</v>
      </c>
      <c r="BS513" t="s">
        <v>133</v>
      </c>
      <c r="BT513">
        <v>0</v>
      </c>
      <c r="BU513">
        <v>0</v>
      </c>
      <c r="BV513" t="s">
        <v>134</v>
      </c>
      <c r="BX513" s="2" t="s">
        <v>4239</v>
      </c>
      <c r="BY513" t="s">
        <v>4235</v>
      </c>
      <c r="BZ513" t="s">
        <v>138</v>
      </c>
      <c r="CA513" t="s">
        <v>4237</v>
      </c>
      <c r="CB513" t="s">
        <v>232</v>
      </c>
      <c r="CC513" s="4" t="str">
        <f>"76571"</f>
        <v>76571</v>
      </c>
      <c r="CD513" t="s">
        <v>4240</v>
      </c>
      <c r="CE513" t="s">
        <v>4241</v>
      </c>
      <c r="CF513" s="6">
        <v>14.58</v>
      </c>
      <c r="CG513" s="6">
        <v>14.62</v>
      </c>
      <c r="CH513" s="6">
        <v>21.87</v>
      </c>
      <c r="CI513" s="6">
        <v>21.93</v>
      </c>
      <c r="CJ513" t="s">
        <v>137</v>
      </c>
      <c r="CK513" t="s">
        <v>4242</v>
      </c>
      <c r="CL513" t="s">
        <v>4243</v>
      </c>
      <c r="CO513" t="s">
        <v>138</v>
      </c>
      <c r="CP513" t="s">
        <v>114</v>
      </c>
      <c r="CQ513" t="s">
        <v>114</v>
      </c>
      <c r="CR513" t="s">
        <v>114</v>
      </c>
      <c r="CS513" t="s">
        <v>114</v>
      </c>
      <c r="CT513" t="s">
        <v>114</v>
      </c>
      <c r="CU513" t="s">
        <v>134</v>
      </c>
      <c r="CV513" t="s">
        <v>1356</v>
      </c>
      <c r="CW513" s="5" t="str">
        <f>"+12549477147"</f>
        <v>+12549477147</v>
      </c>
      <c r="CX513" t="s">
        <v>4238</v>
      </c>
      <c r="CY513" t="s">
        <v>138</v>
      </c>
      <c r="CZ513" t="s">
        <v>139</v>
      </c>
      <c r="DA513" t="s">
        <v>134</v>
      </c>
      <c r="DB513" t="s">
        <v>134</v>
      </c>
      <c r="DC513" t="s">
        <v>114</v>
      </c>
      <c r="DD513" t="s">
        <v>134</v>
      </c>
    </row>
    <row r="514" spans="1:113" ht="15" customHeight="1" x14ac:dyDescent="0.25">
      <c r="A514" t="s">
        <v>6322</v>
      </c>
      <c r="B514" t="s">
        <v>165</v>
      </c>
      <c r="C514" s="1">
        <v>44868.395450231481</v>
      </c>
      <c r="D514" s="1">
        <v>44901</v>
      </c>
      <c r="E514" t="s">
        <v>134</v>
      </c>
      <c r="F514" t="s">
        <v>334</v>
      </c>
      <c r="G514" t="str">
        <f t="shared" si="32"/>
        <v>37-3011.00</v>
      </c>
      <c r="H514" t="s">
        <v>335</v>
      </c>
      <c r="I514">
        <v>10</v>
      </c>
      <c r="J514">
        <v>10</v>
      </c>
      <c r="K514" s="1">
        <v>44958</v>
      </c>
      <c r="L514" s="1">
        <v>45233</v>
      </c>
      <c r="M514" s="1">
        <v>44958</v>
      </c>
      <c r="N514" s="1">
        <v>45233</v>
      </c>
      <c r="O514" t="s">
        <v>117</v>
      </c>
      <c r="P514" t="s">
        <v>6323</v>
      </c>
      <c r="R514" t="s">
        <v>6324</v>
      </c>
      <c r="S514" t="s">
        <v>138</v>
      </c>
      <c r="T514" t="s">
        <v>6294</v>
      </c>
      <c r="U514" t="s">
        <v>232</v>
      </c>
      <c r="V514" s="4" t="str">
        <f>"78666"</f>
        <v>78666</v>
      </c>
      <c r="W514" t="s">
        <v>120</v>
      </c>
      <c r="X514" t="s">
        <v>138</v>
      </c>
      <c r="Y514" s="5">
        <v>15123923808</v>
      </c>
      <c r="AA514">
        <v>561730</v>
      </c>
      <c r="AB514" t="s">
        <v>6325</v>
      </c>
      <c r="AC514" t="s">
        <v>1676</v>
      </c>
      <c r="AD514" t="s">
        <v>6326</v>
      </c>
      <c r="AE514" t="s">
        <v>342</v>
      </c>
      <c r="AF514" t="s">
        <v>6324</v>
      </c>
      <c r="AG514" t="s">
        <v>138</v>
      </c>
      <c r="AH514" t="s">
        <v>6294</v>
      </c>
      <c r="AI514" t="s">
        <v>232</v>
      </c>
      <c r="AJ514" s="4" t="str">
        <f>"78666"</f>
        <v>78666</v>
      </c>
      <c r="AK514" t="s">
        <v>120</v>
      </c>
      <c r="AM514" s="5">
        <v>15123923808</v>
      </c>
      <c r="AO514" t="s">
        <v>6327</v>
      </c>
      <c r="AP514" t="s">
        <v>256</v>
      </c>
      <c r="AQ514" t="s">
        <v>1352</v>
      </c>
      <c r="AR514" t="s">
        <v>1353</v>
      </c>
      <c r="AS514" t="s">
        <v>138</v>
      </c>
      <c r="AT514" t="s">
        <v>2763</v>
      </c>
      <c r="AU514" t="s">
        <v>138</v>
      </c>
      <c r="AV514" t="s">
        <v>1285</v>
      </c>
      <c r="AW514" t="s">
        <v>232</v>
      </c>
      <c r="AX514" s="4" t="str">
        <f>"77414"</f>
        <v>77414</v>
      </c>
      <c r="AY514" t="s">
        <v>120</v>
      </c>
      <c r="BA514" s="5">
        <v>19793187285</v>
      </c>
      <c r="BC514" t="s">
        <v>1354</v>
      </c>
      <c r="BD514" t="s">
        <v>1287</v>
      </c>
      <c r="BG514" t="s">
        <v>232</v>
      </c>
      <c r="BH514" s="1">
        <v>44867.833333333336</v>
      </c>
      <c r="BI514">
        <v>40</v>
      </c>
      <c r="BJ514">
        <v>0</v>
      </c>
      <c r="BK514">
        <v>8</v>
      </c>
      <c r="BL514">
        <v>8</v>
      </c>
      <c r="BM514">
        <v>8</v>
      </c>
      <c r="BN514">
        <v>8</v>
      </c>
      <c r="BO514">
        <v>8</v>
      </c>
      <c r="BP514">
        <v>0</v>
      </c>
      <c r="BQ514" t="str">
        <f>"7:00 AM"</f>
        <v>7:00 AM</v>
      </c>
      <c r="BR514" t="str">
        <f>"5:00 PM"</f>
        <v>5:00 PM</v>
      </c>
      <c r="BS514" t="s">
        <v>133</v>
      </c>
      <c r="BT514">
        <v>0</v>
      </c>
      <c r="BU514">
        <v>0</v>
      </c>
      <c r="BV514" t="s">
        <v>134</v>
      </c>
      <c r="BX514" s="2" t="s">
        <v>6328</v>
      </c>
      <c r="BY514" t="s">
        <v>6329</v>
      </c>
      <c r="BZ514" t="s">
        <v>138</v>
      </c>
      <c r="CA514" t="s">
        <v>6294</v>
      </c>
      <c r="CB514" t="s">
        <v>232</v>
      </c>
      <c r="CC514" s="4" t="str">
        <f>"78666"</f>
        <v>78666</v>
      </c>
      <c r="CD514" t="s">
        <v>6299</v>
      </c>
      <c r="CE514" t="s">
        <v>1342</v>
      </c>
      <c r="CF514" s="6">
        <v>16.079999999999998</v>
      </c>
      <c r="CH514" s="6">
        <v>24.12</v>
      </c>
      <c r="CJ514" t="s">
        <v>137</v>
      </c>
      <c r="CK514" t="s">
        <v>2461</v>
      </c>
      <c r="CL514" t="s">
        <v>6330</v>
      </c>
      <c r="CO514" t="s">
        <v>138</v>
      </c>
      <c r="CP514" t="s">
        <v>114</v>
      </c>
      <c r="CQ514" t="s">
        <v>114</v>
      </c>
      <c r="CR514" t="s">
        <v>114</v>
      </c>
      <c r="CS514" t="s">
        <v>114</v>
      </c>
      <c r="CT514" t="s">
        <v>114</v>
      </c>
      <c r="CU514" t="s">
        <v>134</v>
      </c>
      <c r="CV514" t="s">
        <v>1356</v>
      </c>
      <c r="CW514" s="5" t="str">
        <f>"+15123923808"</f>
        <v>+15123923808</v>
      </c>
      <c r="CX514" t="s">
        <v>6327</v>
      </c>
      <c r="CY514" t="s">
        <v>138</v>
      </c>
      <c r="CZ514" t="s">
        <v>139</v>
      </c>
      <c r="DA514" t="s">
        <v>134</v>
      </c>
      <c r="DB514" t="s">
        <v>134</v>
      </c>
      <c r="DC514" t="s">
        <v>114</v>
      </c>
      <c r="DD514" t="s">
        <v>134</v>
      </c>
    </row>
    <row r="515" spans="1:113" ht="15" customHeight="1" x14ac:dyDescent="0.25">
      <c r="A515" t="s">
        <v>11183</v>
      </c>
      <c r="B515" t="s">
        <v>165</v>
      </c>
      <c r="C515" s="1">
        <v>44868.334722685184</v>
      </c>
      <c r="D515" s="1">
        <v>44901</v>
      </c>
      <c r="E515" t="s">
        <v>134</v>
      </c>
      <c r="F515" t="s">
        <v>2219</v>
      </c>
      <c r="G515" t="str">
        <f t="shared" si="32"/>
        <v>37-3011.00</v>
      </c>
      <c r="H515" t="s">
        <v>335</v>
      </c>
      <c r="I515">
        <v>12</v>
      </c>
      <c r="J515">
        <v>12</v>
      </c>
      <c r="K515" s="1">
        <v>44958</v>
      </c>
      <c r="L515" s="1">
        <v>45260</v>
      </c>
      <c r="M515" s="1">
        <v>44958</v>
      </c>
      <c r="N515" s="1">
        <v>45260</v>
      </c>
      <c r="O515" t="s">
        <v>199</v>
      </c>
      <c r="P515" t="s">
        <v>11184</v>
      </c>
      <c r="R515" t="s">
        <v>11185</v>
      </c>
      <c r="T515" t="s">
        <v>6990</v>
      </c>
      <c r="U515" t="s">
        <v>339</v>
      </c>
      <c r="V515" s="4" t="str">
        <f>"21797"</f>
        <v>21797</v>
      </c>
      <c r="W515" t="s">
        <v>120</v>
      </c>
      <c r="Y515" s="5">
        <v>13018545990</v>
      </c>
      <c r="AA515">
        <v>5617</v>
      </c>
      <c r="AB515" t="s">
        <v>11186</v>
      </c>
      <c r="AC515" t="s">
        <v>11187</v>
      </c>
      <c r="AD515" t="s">
        <v>1897</v>
      </c>
      <c r="AE515" t="s">
        <v>1961</v>
      </c>
      <c r="AF515" t="s">
        <v>11188</v>
      </c>
      <c r="AH515" t="s">
        <v>3575</v>
      </c>
      <c r="AI515" t="s">
        <v>339</v>
      </c>
      <c r="AJ515" s="4" t="str">
        <f>"21797"</f>
        <v>21797</v>
      </c>
      <c r="AK515" t="s">
        <v>120</v>
      </c>
      <c r="AM515" s="5">
        <v>13018545990</v>
      </c>
      <c r="AO515" t="s">
        <v>11189</v>
      </c>
      <c r="AP515" t="s">
        <v>256</v>
      </c>
      <c r="AQ515" t="s">
        <v>1898</v>
      </c>
      <c r="AR515" t="s">
        <v>1899</v>
      </c>
      <c r="AS515" t="s">
        <v>1900</v>
      </c>
      <c r="AT515" t="s">
        <v>1901</v>
      </c>
      <c r="AV515" t="s">
        <v>1902</v>
      </c>
      <c r="AW515" t="s">
        <v>479</v>
      </c>
      <c r="AX515" s="4" t="str">
        <f>"23223"</f>
        <v>23223</v>
      </c>
      <c r="AY515" t="s">
        <v>120</v>
      </c>
      <c r="BA515" s="5">
        <v>18043019607</v>
      </c>
      <c r="BC515" t="s">
        <v>1903</v>
      </c>
      <c r="BD515" t="s">
        <v>1904</v>
      </c>
      <c r="BG515" t="s">
        <v>339</v>
      </c>
      <c r="BH515" s="1">
        <v>44866.833333333336</v>
      </c>
      <c r="BI515">
        <v>40</v>
      </c>
      <c r="BJ515">
        <v>0</v>
      </c>
      <c r="BK515">
        <v>8</v>
      </c>
      <c r="BL515">
        <v>8</v>
      </c>
      <c r="BM515">
        <v>8</v>
      </c>
      <c r="BN515">
        <v>8</v>
      </c>
      <c r="BO515">
        <v>8</v>
      </c>
      <c r="BP515">
        <v>0</v>
      </c>
      <c r="BQ515" t="str">
        <f>"7:00 AM"</f>
        <v>7:00 AM</v>
      </c>
      <c r="BR515" t="str">
        <f>"4:00 PM"</f>
        <v>4:00 PM</v>
      </c>
      <c r="BS515" t="s">
        <v>133</v>
      </c>
      <c r="BT515">
        <v>0</v>
      </c>
      <c r="BU515">
        <v>3</v>
      </c>
      <c r="BV515" t="s">
        <v>134</v>
      </c>
      <c r="BX515" t="s">
        <v>11190</v>
      </c>
      <c r="BY515" t="s">
        <v>11185</v>
      </c>
      <c r="CA515" t="s">
        <v>6990</v>
      </c>
      <c r="CB515" t="s">
        <v>339</v>
      </c>
      <c r="CC515" s="4" t="str">
        <f>"21797"</f>
        <v>21797</v>
      </c>
      <c r="CD515" t="s">
        <v>4352</v>
      </c>
      <c r="CE515" t="s">
        <v>1673</v>
      </c>
      <c r="CF515" s="6">
        <v>18.36</v>
      </c>
      <c r="CG515" s="6">
        <v>18.36</v>
      </c>
      <c r="CH515" s="6">
        <v>27.54</v>
      </c>
      <c r="CI515" s="6">
        <v>27.54</v>
      </c>
      <c r="CJ515" t="s">
        <v>137</v>
      </c>
      <c r="CK515" t="s">
        <v>11191</v>
      </c>
      <c r="CL515" t="s">
        <v>11192</v>
      </c>
      <c r="CO515" t="s">
        <v>138</v>
      </c>
      <c r="CP515" t="s">
        <v>114</v>
      </c>
      <c r="CQ515" t="s">
        <v>114</v>
      </c>
      <c r="CR515" t="s">
        <v>114</v>
      </c>
      <c r="CS515" t="s">
        <v>134</v>
      </c>
      <c r="CT515" t="s">
        <v>114</v>
      </c>
      <c r="CU515" t="s">
        <v>134</v>
      </c>
      <c r="CV515" t="s">
        <v>2222</v>
      </c>
      <c r="CW515" s="5" t="str">
        <f>"+13018545990"</f>
        <v>+13018545990</v>
      </c>
      <c r="CX515" t="s">
        <v>11193</v>
      </c>
      <c r="CY515" t="s">
        <v>138</v>
      </c>
      <c r="CZ515" t="s">
        <v>139</v>
      </c>
      <c r="DA515" t="s">
        <v>134</v>
      </c>
      <c r="DB515" t="s">
        <v>114</v>
      </c>
      <c r="DC515" t="s">
        <v>114</v>
      </c>
      <c r="DD515" t="s">
        <v>134</v>
      </c>
      <c r="DE515" t="s">
        <v>1898</v>
      </c>
      <c r="DF515" t="s">
        <v>1899</v>
      </c>
      <c r="DG515" t="s">
        <v>1905</v>
      </c>
      <c r="DH515" t="s">
        <v>1904</v>
      </c>
      <c r="DI515" t="s">
        <v>1903</v>
      </c>
    </row>
    <row r="516" spans="1:113" ht="15" customHeight="1" x14ac:dyDescent="0.25">
      <c r="A516" t="s">
        <v>16333</v>
      </c>
      <c r="B516" t="s">
        <v>165</v>
      </c>
      <c r="C516" s="1">
        <v>44868.10658240741</v>
      </c>
      <c r="D516" s="1">
        <v>44901</v>
      </c>
      <c r="E516" t="s">
        <v>114</v>
      </c>
      <c r="F516" t="s">
        <v>334</v>
      </c>
      <c r="G516" t="str">
        <f t="shared" si="32"/>
        <v>37-3011.00</v>
      </c>
      <c r="H516" t="s">
        <v>335</v>
      </c>
      <c r="I516">
        <v>20</v>
      </c>
      <c r="J516">
        <v>20</v>
      </c>
      <c r="K516" s="1">
        <v>44958</v>
      </c>
      <c r="L516" s="1">
        <v>45260</v>
      </c>
      <c r="M516" s="1">
        <v>44958</v>
      </c>
      <c r="N516" s="1">
        <v>45260</v>
      </c>
      <c r="O516" t="s">
        <v>117</v>
      </c>
      <c r="P516" t="s">
        <v>16334</v>
      </c>
      <c r="Q516" t="s">
        <v>16335</v>
      </c>
      <c r="R516" t="s">
        <v>16336</v>
      </c>
      <c r="S516" t="s">
        <v>16337</v>
      </c>
      <c r="T516" t="s">
        <v>2230</v>
      </c>
      <c r="U516" t="s">
        <v>394</v>
      </c>
      <c r="V516" s="4" t="str">
        <f>"29455"</f>
        <v>29455</v>
      </c>
      <c r="W516" t="s">
        <v>120</v>
      </c>
      <c r="Y516" s="5">
        <v>18437790217</v>
      </c>
      <c r="AA516">
        <v>5617</v>
      </c>
      <c r="AB516" t="s">
        <v>16338</v>
      </c>
      <c r="AC516" t="s">
        <v>1400</v>
      </c>
      <c r="AE516" t="s">
        <v>7891</v>
      </c>
      <c r="AF516" t="s">
        <v>16336</v>
      </c>
      <c r="AH516" t="s">
        <v>2230</v>
      </c>
      <c r="AI516" t="s">
        <v>394</v>
      </c>
      <c r="AJ516" s="4" t="str">
        <f>"29455"</f>
        <v>29455</v>
      </c>
      <c r="AK516" t="s">
        <v>120</v>
      </c>
      <c r="AM516" s="5">
        <v>18437790217</v>
      </c>
      <c r="AO516" t="s">
        <v>16339</v>
      </c>
      <c r="AP516" t="s">
        <v>256</v>
      </c>
      <c r="AQ516" t="s">
        <v>400</v>
      </c>
      <c r="AR516" t="s">
        <v>401</v>
      </c>
      <c r="AS516" t="s">
        <v>397</v>
      </c>
      <c r="AT516" t="s">
        <v>402</v>
      </c>
      <c r="AU516" t="s">
        <v>152</v>
      </c>
      <c r="AV516" t="s">
        <v>403</v>
      </c>
      <c r="AW516" t="s">
        <v>232</v>
      </c>
      <c r="AX516" s="4" t="str">
        <f>"75033"</f>
        <v>75033</v>
      </c>
      <c r="AY516" t="s">
        <v>120</v>
      </c>
      <c r="BA516" s="5">
        <v>19727789690</v>
      </c>
      <c r="BC516" t="s">
        <v>1534</v>
      </c>
      <c r="BD516" t="s">
        <v>405</v>
      </c>
      <c r="BG516" t="s">
        <v>394</v>
      </c>
      <c r="BH516" s="1">
        <v>44867.833333333336</v>
      </c>
      <c r="BI516">
        <v>40</v>
      </c>
      <c r="BJ516">
        <v>0</v>
      </c>
      <c r="BK516">
        <v>10</v>
      </c>
      <c r="BL516">
        <v>10</v>
      </c>
      <c r="BM516">
        <v>10</v>
      </c>
      <c r="BN516">
        <v>10</v>
      </c>
      <c r="BO516">
        <v>0</v>
      </c>
      <c r="BP516">
        <v>0</v>
      </c>
      <c r="BQ516" t="str">
        <f>"6:30 AM"</f>
        <v>6:30 AM</v>
      </c>
      <c r="BR516" t="str">
        <f>"5:00 PM"</f>
        <v>5:00 PM</v>
      </c>
      <c r="BS516" t="s">
        <v>133</v>
      </c>
      <c r="BT516">
        <v>0</v>
      </c>
      <c r="BU516">
        <v>0</v>
      </c>
      <c r="BV516" t="s">
        <v>134</v>
      </c>
      <c r="BX516" t="s">
        <v>16340</v>
      </c>
      <c r="BY516" t="s">
        <v>16336</v>
      </c>
      <c r="CA516" t="s">
        <v>2230</v>
      </c>
      <c r="CB516" t="s">
        <v>394</v>
      </c>
      <c r="CC516" s="4" t="str">
        <f>"29455"</f>
        <v>29455</v>
      </c>
      <c r="CD516" t="s">
        <v>1243</v>
      </c>
      <c r="CE516" t="s">
        <v>1244</v>
      </c>
      <c r="CF516" s="6">
        <v>16.09</v>
      </c>
      <c r="CG516" s="6">
        <v>16.09</v>
      </c>
      <c r="CH516" s="6">
        <v>24.14</v>
      </c>
      <c r="CI516" s="6">
        <v>24.14</v>
      </c>
      <c r="CJ516" t="s">
        <v>137</v>
      </c>
      <c r="CK516" t="s">
        <v>950</v>
      </c>
      <c r="CL516" t="s">
        <v>16341</v>
      </c>
      <c r="CO516" t="s">
        <v>138</v>
      </c>
      <c r="CP516" t="s">
        <v>114</v>
      </c>
      <c r="CQ516" t="s">
        <v>114</v>
      </c>
      <c r="CR516" t="s">
        <v>114</v>
      </c>
      <c r="CS516" t="s">
        <v>114</v>
      </c>
      <c r="CT516" t="s">
        <v>114</v>
      </c>
      <c r="CU516" t="s">
        <v>114</v>
      </c>
      <c r="CV516" s="2" t="s">
        <v>16342</v>
      </c>
      <c r="CW516" s="5" t="str">
        <f>"+18437790217"</f>
        <v>+18437790217</v>
      </c>
      <c r="CX516" t="s">
        <v>138</v>
      </c>
      <c r="CY516" t="s">
        <v>414</v>
      </c>
      <c r="CZ516" t="s">
        <v>139</v>
      </c>
      <c r="DA516" t="s">
        <v>134</v>
      </c>
      <c r="DB516" t="s">
        <v>114</v>
      </c>
      <c r="DC516" t="s">
        <v>114</v>
      </c>
      <c r="DD516" t="s">
        <v>134</v>
      </c>
    </row>
    <row r="517" spans="1:113" ht="15" customHeight="1" x14ac:dyDescent="0.25">
      <c r="A517" t="s">
        <v>8450</v>
      </c>
      <c r="B517" t="s">
        <v>165</v>
      </c>
      <c r="C517" s="1">
        <v>44868.048561226853</v>
      </c>
      <c r="D517" s="1">
        <v>44901</v>
      </c>
      <c r="E517" t="s">
        <v>134</v>
      </c>
      <c r="F517" t="s">
        <v>334</v>
      </c>
      <c r="G517" t="str">
        <f t="shared" si="32"/>
        <v>37-3011.00</v>
      </c>
      <c r="H517" t="s">
        <v>335</v>
      </c>
      <c r="I517">
        <v>13</v>
      </c>
      <c r="J517">
        <v>13</v>
      </c>
      <c r="K517" s="1">
        <v>44958</v>
      </c>
      <c r="L517" s="1">
        <v>45260</v>
      </c>
      <c r="M517" s="1">
        <v>44958</v>
      </c>
      <c r="N517" s="1">
        <v>45260</v>
      </c>
      <c r="O517" t="s">
        <v>117</v>
      </c>
      <c r="P517" t="s">
        <v>8451</v>
      </c>
      <c r="Q517" t="s">
        <v>4888</v>
      </c>
      <c r="R517" t="s">
        <v>8452</v>
      </c>
      <c r="T517" t="s">
        <v>684</v>
      </c>
      <c r="U517" t="s">
        <v>232</v>
      </c>
      <c r="V517" s="4" t="str">
        <f>"78753"</f>
        <v>78753</v>
      </c>
      <c r="W517" t="s">
        <v>120</v>
      </c>
      <c r="Y517" s="5">
        <v>15128365100</v>
      </c>
      <c r="AA517">
        <v>56173</v>
      </c>
      <c r="AB517" t="s">
        <v>4890</v>
      </c>
      <c r="AC517" t="s">
        <v>4891</v>
      </c>
      <c r="AE517" t="s">
        <v>1407</v>
      </c>
      <c r="AF517" t="s">
        <v>8452</v>
      </c>
      <c r="AH517" t="s">
        <v>684</v>
      </c>
      <c r="AI517" t="s">
        <v>232</v>
      </c>
      <c r="AJ517" s="4" t="str">
        <f>"78753"</f>
        <v>78753</v>
      </c>
      <c r="AK517" t="s">
        <v>120</v>
      </c>
      <c r="AM517" s="5">
        <v>15128365100</v>
      </c>
      <c r="AO517" t="s">
        <v>4892</v>
      </c>
      <c r="AP517" t="s">
        <v>256</v>
      </c>
      <c r="AQ517" t="s">
        <v>344</v>
      </c>
      <c r="AR517" t="s">
        <v>345</v>
      </c>
      <c r="AT517" t="s">
        <v>346</v>
      </c>
      <c r="AU517" t="s">
        <v>347</v>
      </c>
      <c r="AV517" t="s">
        <v>348</v>
      </c>
      <c r="AW517" t="s">
        <v>349</v>
      </c>
      <c r="AX517" s="4" t="str">
        <f>"83814"</f>
        <v>83814</v>
      </c>
      <c r="AY517" t="s">
        <v>120</v>
      </c>
      <c r="BA517" s="5">
        <v>12087772654</v>
      </c>
      <c r="BC517" t="s">
        <v>350</v>
      </c>
      <c r="BD517" t="s">
        <v>351</v>
      </c>
      <c r="BG517" t="s">
        <v>232</v>
      </c>
      <c r="BH517" s="1">
        <v>44853.833333333336</v>
      </c>
      <c r="BI517">
        <v>40</v>
      </c>
      <c r="BJ517">
        <v>0</v>
      </c>
      <c r="BK517">
        <v>8</v>
      </c>
      <c r="BL517">
        <v>8</v>
      </c>
      <c r="BM517">
        <v>8</v>
      </c>
      <c r="BN517">
        <v>8</v>
      </c>
      <c r="BO517">
        <v>8</v>
      </c>
      <c r="BP517">
        <v>0</v>
      </c>
      <c r="BQ517" t="str">
        <f>"8:00 AM"</f>
        <v>8:00 AM</v>
      </c>
      <c r="BR517" t="str">
        <f>"5:00 PM"</f>
        <v>5:00 PM</v>
      </c>
      <c r="BS517" t="s">
        <v>133</v>
      </c>
      <c r="BT517">
        <v>0</v>
      </c>
      <c r="BU517">
        <v>0</v>
      </c>
      <c r="BV517" t="s">
        <v>134</v>
      </c>
      <c r="BX517" s="2" t="s">
        <v>1836</v>
      </c>
      <c r="BY517" t="s">
        <v>8452</v>
      </c>
      <c r="CA517" t="s">
        <v>684</v>
      </c>
      <c r="CB517" t="s">
        <v>232</v>
      </c>
      <c r="CC517" s="4" t="str">
        <f>"78753"</f>
        <v>78753</v>
      </c>
      <c r="CD517" t="s">
        <v>2112</v>
      </c>
      <c r="CE517" t="s">
        <v>1342</v>
      </c>
      <c r="CF517" s="6">
        <v>16.079999999999998</v>
      </c>
      <c r="CH517" s="6">
        <v>24.12</v>
      </c>
      <c r="CJ517" t="s">
        <v>137</v>
      </c>
      <c r="CL517" t="s">
        <v>8453</v>
      </c>
      <c r="CO517" t="s">
        <v>138</v>
      </c>
      <c r="CP517" t="s">
        <v>114</v>
      </c>
      <c r="CQ517" t="s">
        <v>114</v>
      </c>
      <c r="CR517" t="s">
        <v>114</v>
      </c>
      <c r="CS517" t="s">
        <v>114</v>
      </c>
      <c r="CT517" t="s">
        <v>114</v>
      </c>
      <c r="CU517" t="s">
        <v>114</v>
      </c>
      <c r="CV517" s="2" t="s">
        <v>8454</v>
      </c>
      <c r="CW517" s="5" t="str">
        <f>"+19727071589"</f>
        <v>+19727071589</v>
      </c>
      <c r="CX517" t="s">
        <v>4896</v>
      </c>
      <c r="CY517" t="s">
        <v>138</v>
      </c>
      <c r="CZ517" t="s">
        <v>139</v>
      </c>
      <c r="DA517" t="s">
        <v>134</v>
      </c>
      <c r="DB517" t="s">
        <v>134</v>
      </c>
      <c r="DC517" t="s">
        <v>114</v>
      </c>
      <c r="DD517" t="s">
        <v>134</v>
      </c>
    </row>
    <row r="518" spans="1:113" ht="15" customHeight="1" x14ac:dyDescent="0.25">
      <c r="A518" t="s">
        <v>8431</v>
      </c>
      <c r="B518" t="s">
        <v>165</v>
      </c>
      <c r="C518" s="1">
        <v>44868.001489351853</v>
      </c>
      <c r="D518" s="1">
        <v>44901</v>
      </c>
      <c r="E518" t="s">
        <v>134</v>
      </c>
      <c r="F518" t="s">
        <v>334</v>
      </c>
      <c r="G518" t="str">
        <f t="shared" si="32"/>
        <v>37-3011.00</v>
      </c>
      <c r="H518" t="s">
        <v>335</v>
      </c>
      <c r="I518">
        <v>72</v>
      </c>
      <c r="J518">
        <v>72</v>
      </c>
      <c r="K518" s="1">
        <v>44958</v>
      </c>
      <c r="L518" s="1">
        <v>45247</v>
      </c>
      <c r="M518" s="1">
        <v>44958</v>
      </c>
      <c r="N518" s="1">
        <v>45247</v>
      </c>
      <c r="O518" t="s">
        <v>117</v>
      </c>
      <c r="P518" t="s">
        <v>8432</v>
      </c>
      <c r="R518" t="s">
        <v>8433</v>
      </c>
      <c r="T518" t="s">
        <v>1545</v>
      </c>
      <c r="U518" t="s">
        <v>232</v>
      </c>
      <c r="V518" s="4" t="str">
        <f>"77041"</f>
        <v>77041</v>
      </c>
      <c r="W518" t="s">
        <v>120</v>
      </c>
      <c r="Y518" s="5">
        <v>17134661822</v>
      </c>
      <c r="AA518">
        <v>56173</v>
      </c>
      <c r="AB518" t="s">
        <v>8434</v>
      </c>
      <c r="AC518" t="s">
        <v>2810</v>
      </c>
      <c r="AE518" t="s">
        <v>8435</v>
      </c>
      <c r="AF518" t="s">
        <v>8433</v>
      </c>
      <c r="AH518" t="s">
        <v>1545</v>
      </c>
      <c r="AI518" t="s">
        <v>232</v>
      </c>
      <c r="AJ518" s="4" t="str">
        <f>"77041"</f>
        <v>77041</v>
      </c>
      <c r="AK518" t="s">
        <v>120</v>
      </c>
      <c r="AM518" s="5">
        <v>17134661822</v>
      </c>
      <c r="AO518" t="s">
        <v>8436</v>
      </c>
      <c r="AP518" t="s">
        <v>256</v>
      </c>
      <c r="AQ518" t="s">
        <v>400</v>
      </c>
      <c r="AR518" t="s">
        <v>401</v>
      </c>
      <c r="AS518" t="s">
        <v>397</v>
      </c>
      <c r="AT518" t="s">
        <v>402</v>
      </c>
      <c r="AU518" t="s">
        <v>152</v>
      </c>
      <c r="AV518" t="s">
        <v>403</v>
      </c>
      <c r="AW518" t="s">
        <v>232</v>
      </c>
      <c r="AX518" s="4" t="str">
        <f>"75033"</f>
        <v>75033</v>
      </c>
      <c r="AY518" t="s">
        <v>120</v>
      </c>
      <c r="BA518" s="5">
        <v>19727789690</v>
      </c>
      <c r="BC518" t="s">
        <v>1239</v>
      </c>
      <c r="BD518" t="s">
        <v>405</v>
      </c>
      <c r="BG518" t="s">
        <v>232</v>
      </c>
      <c r="BH518" s="1">
        <v>44867.833333333336</v>
      </c>
      <c r="BI518">
        <v>40</v>
      </c>
      <c r="BJ518">
        <v>0</v>
      </c>
      <c r="BK518">
        <v>8</v>
      </c>
      <c r="BL518">
        <v>8</v>
      </c>
      <c r="BM518">
        <v>8</v>
      </c>
      <c r="BN518">
        <v>8</v>
      </c>
      <c r="BO518">
        <v>8</v>
      </c>
      <c r="BP518">
        <v>0</v>
      </c>
      <c r="BQ518" t="str">
        <f>"6:00 AM"</f>
        <v>6:00 AM</v>
      </c>
      <c r="BR518" t="str">
        <f>"3:00 PM"</f>
        <v>3:00 PM</v>
      </c>
      <c r="BS518" t="s">
        <v>133</v>
      </c>
      <c r="BT518">
        <v>0</v>
      </c>
      <c r="BU518">
        <v>0</v>
      </c>
      <c r="BV518" t="s">
        <v>134</v>
      </c>
      <c r="BX518" s="2" t="s">
        <v>8437</v>
      </c>
      <c r="BY518" t="s">
        <v>8433</v>
      </c>
      <c r="CA518" t="s">
        <v>1545</v>
      </c>
      <c r="CB518" t="s">
        <v>232</v>
      </c>
      <c r="CC518" s="4" t="str">
        <f>"77041"</f>
        <v>77041</v>
      </c>
      <c r="CD518" t="s">
        <v>3290</v>
      </c>
      <c r="CE518" t="s">
        <v>873</v>
      </c>
      <c r="CF518" s="6">
        <v>15.56</v>
      </c>
      <c r="CG518" s="6">
        <v>15.56</v>
      </c>
      <c r="CH518" s="6">
        <v>23.34</v>
      </c>
      <c r="CI518" s="6">
        <v>23.34</v>
      </c>
      <c r="CJ518" t="s">
        <v>137</v>
      </c>
      <c r="CK518" t="s">
        <v>950</v>
      </c>
      <c r="CL518" t="s">
        <v>8438</v>
      </c>
      <c r="CO518" t="s">
        <v>138</v>
      </c>
      <c r="CP518" t="s">
        <v>114</v>
      </c>
      <c r="CQ518" t="s">
        <v>114</v>
      </c>
      <c r="CR518" t="s">
        <v>114</v>
      </c>
      <c r="CS518" t="s">
        <v>114</v>
      </c>
      <c r="CT518" t="s">
        <v>114</v>
      </c>
      <c r="CU518" t="s">
        <v>114</v>
      </c>
      <c r="CV518" s="2" t="s">
        <v>8439</v>
      </c>
      <c r="CW518" s="5" t="str">
        <f>"+17134661822"</f>
        <v>+17134661822</v>
      </c>
      <c r="CX518" t="s">
        <v>138</v>
      </c>
      <c r="CY518" t="s">
        <v>953</v>
      </c>
      <c r="CZ518" t="s">
        <v>139</v>
      </c>
      <c r="DA518" t="s">
        <v>134</v>
      </c>
      <c r="DB518" t="s">
        <v>114</v>
      </c>
      <c r="DC518" t="s">
        <v>114</v>
      </c>
      <c r="DD518" t="s">
        <v>134</v>
      </c>
    </row>
    <row r="519" spans="1:113" ht="15" customHeight="1" x14ac:dyDescent="0.25">
      <c r="A519" t="s">
        <v>13585</v>
      </c>
      <c r="B519" t="s">
        <v>165</v>
      </c>
      <c r="C519" s="1">
        <v>44867.498128703701</v>
      </c>
      <c r="D519" s="1">
        <v>44901</v>
      </c>
      <c r="E519" t="s">
        <v>134</v>
      </c>
      <c r="F519" t="s">
        <v>4376</v>
      </c>
      <c r="G519" t="str">
        <f>"53-3032.00"</f>
        <v>53-3032.00</v>
      </c>
      <c r="H519" t="s">
        <v>227</v>
      </c>
      <c r="I519">
        <v>15</v>
      </c>
      <c r="J519">
        <v>15</v>
      </c>
      <c r="K519" s="1">
        <v>44942</v>
      </c>
      <c r="L519" s="1">
        <v>45046</v>
      </c>
      <c r="M519" s="1">
        <v>44942</v>
      </c>
      <c r="N519" s="1">
        <v>45046</v>
      </c>
      <c r="O519" t="s">
        <v>117</v>
      </c>
      <c r="P519" t="s">
        <v>13586</v>
      </c>
      <c r="R519" t="s">
        <v>13587</v>
      </c>
      <c r="S519" t="s">
        <v>13588</v>
      </c>
      <c r="T519" t="s">
        <v>13589</v>
      </c>
      <c r="U519" t="s">
        <v>697</v>
      </c>
      <c r="V519" s="4" t="str">
        <f>"63601"</f>
        <v>63601</v>
      </c>
      <c r="W519" t="s">
        <v>120</v>
      </c>
      <c r="Y519" s="5">
        <v>15734310625</v>
      </c>
      <c r="AA519">
        <v>424480</v>
      </c>
      <c r="AB519" t="s">
        <v>13590</v>
      </c>
      <c r="AC519" t="s">
        <v>13591</v>
      </c>
      <c r="AE519" t="s">
        <v>342</v>
      </c>
      <c r="AF519" t="s">
        <v>13587</v>
      </c>
      <c r="AG519" t="s">
        <v>13588</v>
      </c>
      <c r="AH519" t="s">
        <v>13589</v>
      </c>
      <c r="AI519" t="s">
        <v>697</v>
      </c>
      <c r="AJ519" s="4" t="str">
        <f>"63601"</f>
        <v>63601</v>
      </c>
      <c r="AK519" t="s">
        <v>120</v>
      </c>
      <c r="AM519" s="5">
        <v>15734310625</v>
      </c>
      <c r="AO519" t="s">
        <v>13592</v>
      </c>
      <c r="AP519" t="s">
        <v>256</v>
      </c>
      <c r="AQ519" t="s">
        <v>2435</v>
      </c>
      <c r="AR519" t="s">
        <v>2436</v>
      </c>
      <c r="AT519" t="s">
        <v>477</v>
      </c>
      <c r="AV519" t="s">
        <v>478</v>
      </c>
      <c r="AW519" t="s">
        <v>479</v>
      </c>
      <c r="AX519" s="4" t="str">
        <f>"22903"</f>
        <v>22903</v>
      </c>
      <c r="AY519" t="s">
        <v>120</v>
      </c>
      <c r="BA519" s="5">
        <v>14342634300</v>
      </c>
      <c r="BC519" t="s">
        <v>2128</v>
      </c>
      <c r="BD519" t="s">
        <v>481</v>
      </c>
      <c r="BG519" t="s">
        <v>697</v>
      </c>
      <c r="BH519" s="1">
        <v>44866.833333333336</v>
      </c>
      <c r="BI519">
        <v>45</v>
      </c>
      <c r="BJ519">
        <v>0</v>
      </c>
      <c r="BK519">
        <v>9</v>
      </c>
      <c r="BL519">
        <v>9</v>
      </c>
      <c r="BM519">
        <v>9</v>
      </c>
      <c r="BN519">
        <v>9</v>
      </c>
      <c r="BO519">
        <v>9</v>
      </c>
      <c r="BP519">
        <v>0</v>
      </c>
      <c r="BQ519" t="str">
        <f>"2:00 AM"</f>
        <v>2:00 AM</v>
      </c>
      <c r="BR519" t="str">
        <f>"11:00 AM"</f>
        <v>11:00 AM</v>
      </c>
      <c r="BS519" t="s">
        <v>133</v>
      </c>
      <c r="BT519">
        <v>0</v>
      </c>
      <c r="BU519">
        <v>6</v>
      </c>
      <c r="BV519" t="s">
        <v>134</v>
      </c>
      <c r="BX519" s="2" t="s">
        <v>13593</v>
      </c>
      <c r="BY519" t="s">
        <v>13594</v>
      </c>
      <c r="CA519" t="s">
        <v>13589</v>
      </c>
      <c r="CB519" t="s">
        <v>697</v>
      </c>
      <c r="CC519" s="4" t="str">
        <f>"63601"</f>
        <v>63601</v>
      </c>
      <c r="CD519" t="s">
        <v>13595</v>
      </c>
      <c r="CE519" t="s">
        <v>4613</v>
      </c>
      <c r="CF519" s="6">
        <v>24.57</v>
      </c>
      <c r="CH519" s="6">
        <v>36.86</v>
      </c>
      <c r="CJ519" t="s">
        <v>137</v>
      </c>
      <c r="CL519" t="s">
        <v>13596</v>
      </c>
      <c r="CO519" t="s">
        <v>138</v>
      </c>
      <c r="CP519" t="s">
        <v>134</v>
      </c>
      <c r="CQ519" t="s">
        <v>114</v>
      </c>
      <c r="CR519" t="s">
        <v>114</v>
      </c>
      <c r="CS519" t="s">
        <v>134</v>
      </c>
      <c r="CT519" t="s">
        <v>114</v>
      </c>
      <c r="CU519" t="s">
        <v>114</v>
      </c>
      <c r="CV519" t="s">
        <v>13597</v>
      </c>
      <c r="CW519" s="5" t="str">
        <f>"N/A"</f>
        <v>N/A</v>
      </c>
      <c r="CX519" t="s">
        <v>13598</v>
      </c>
      <c r="CY519" t="s">
        <v>5855</v>
      </c>
      <c r="CZ519" t="s">
        <v>139</v>
      </c>
      <c r="DA519" t="s">
        <v>134</v>
      </c>
      <c r="DB519" t="s">
        <v>114</v>
      </c>
      <c r="DC519" t="s">
        <v>114</v>
      </c>
      <c r="DD519" t="s">
        <v>134</v>
      </c>
      <c r="DE519" t="s">
        <v>2129</v>
      </c>
      <c r="DF519" t="s">
        <v>2130</v>
      </c>
      <c r="DG519" t="s">
        <v>2540</v>
      </c>
      <c r="DH519" t="s">
        <v>481</v>
      </c>
      <c r="DI519" t="s">
        <v>2128</v>
      </c>
    </row>
    <row r="520" spans="1:113" ht="15" customHeight="1" x14ac:dyDescent="0.25">
      <c r="A520" t="s">
        <v>16819</v>
      </c>
      <c r="B520" t="s">
        <v>165</v>
      </c>
      <c r="C520" s="1">
        <v>44863.595550694445</v>
      </c>
      <c r="D520" s="1">
        <v>44901</v>
      </c>
      <c r="E520" t="s">
        <v>134</v>
      </c>
      <c r="F520" t="s">
        <v>16820</v>
      </c>
      <c r="G520" t="str">
        <f>"35-3023.00"</f>
        <v>35-3023.00</v>
      </c>
      <c r="H520" t="s">
        <v>555</v>
      </c>
      <c r="I520">
        <v>15</v>
      </c>
      <c r="J520">
        <v>15</v>
      </c>
      <c r="K520" s="1">
        <v>44938</v>
      </c>
      <c r="L520" s="1">
        <v>45230</v>
      </c>
      <c r="M520" s="1">
        <v>44938</v>
      </c>
      <c r="N520" s="1">
        <v>45230</v>
      </c>
      <c r="O520" t="s">
        <v>199</v>
      </c>
      <c r="P520" t="s">
        <v>16821</v>
      </c>
      <c r="R520" t="s">
        <v>16822</v>
      </c>
      <c r="T520" t="s">
        <v>16823</v>
      </c>
      <c r="U520" t="s">
        <v>232</v>
      </c>
      <c r="V520" s="4" t="str">
        <f>"78520"</f>
        <v>78520</v>
      </c>
      <c r="W520" t="s">
        <v>120</v>
      </c>
      <c r="Y520" s="5">
        <v>19566059360</v>
      </c>
      <c r="Z520">
        <v>0</v>
      </c>
      <c r="AA520">
        <v>7139</v>
      </c>
      <c r="AB520" t="s">
        <v>16824</v>
      </c>
      <c r="AC520" t="s">
        <v>975</v>
      </c>
      <c r="AE520" t="s">
        <v>1542</v>
      </c>
      <c r="AF520" t="s">
        <v>16822</v>
      </c>
      <c r="AH520" t="s">
        <v>16823</v>
      </c>
      <c r="AI520" t="s">
        <v>232</v>
      </c>
      <c r="AJ520" s="4" t="str">
        <f>"78520"</f>
        <v>78520</v>
      </c>
      <c r="AK520" t="s">
        <v>120</v>
      </c>
      <c r="AM520" s="5">
        <v>19566059360</v>
      </c>
      <c r="AN520">
        <v>0</v>
      </c>
      <c r="AO520" t="s">
        <v>16825</v>
      </c>
      <c r="AP520" t="s">
        <v>256</v>
      </c>
      <c r="AQ520" t="s">
        <v>535</v>
      </c>
      <c r="AR520" t="s">
        <v>536</v>
      </c>
      <c r="AS520" t="s">
        <v>537</v>
      </c>
      <c r="AT520" t="s">
        <v>538</v>
      </c>
      <c r="AU520" t="s">
        <v>539</v>
      </c>
      <c r="AV520" t="s">
        <v>540</v>
      </c>
      <c r="AW520" t="s">
        <v>232</v>
      </c>
      <c r="AX520" s="4" t="str">
        <f>"78550"</f>
        <v>78550</v>
      </c>
      <c r="AY520" t="s">
        <v>120</v>
      </c>
      <c r="AZ520" t="s">
        <v>541</v>
      </c>
      <c r="BA520" s="5">
        <v>19564408720</v>
      </c>
      <c r="BB520">
        <v>0</v>
      </c>
      <c r="BC520" t="s">
        <v>542</v>
      </c>
      <c r="BD520" t="s">
        <v>543</v>
      </c>
      <c r="BG520" t="s">
        <v>232</v>
      </c>
      <c r="BH520" s="1">
        <v>44864.833333333336</v>
      </c>
      <c r="BI520">
        <v>40</v>
      </c>
      <c r="BJ520">
        <v>8</v>
      </c>
      <c r="BK520">
        <v>0</v>
      </c>
      <c r="BL520">
        <v>0</v>
      </c>
      <c r="BM520">
        <v>8</v>
      </c>
      <c r="BN520">
        <v>8</v>
      </c>
      <c r="BO520">
        <v>8</v>
      </c>
      <c r="BP520">
        <v>8</v>
      </c>
      <c r="BQ520" t="str">
        <f>"1:00 PM"</f>
        <v>1:00 PM</v>
      </c>
      <c r="BR520" t="str">
        <f>"10:00 PM"</f>
        <v>10:00 PM</v>
      </c>
      <c r="BS520" t="s">
        <v>133</v>
      </c>
      <c r="BT520">
        <v>0</v>
      </c>
      <c r="BU520">
        <v>0</v>
      </c>
      <c r="BV520" t="s">
        <v>134</v>
      </c>
      <c r="BX520" s="2" t="s">
        <v>1324</v>
      </c>
      <c r="BY520" t="s">
        <v>16826</v>
      </c>
      <c r="CA520" t="s">
        <v>1744</v>
      </c>
      <c r="CB520" t="s">
        <v>232</v>
      </c>
      <c r="CC520" s="4" t="str">
        <f>"78520"</f>
        <v>78520</v>
      </c>
      <c r="CD520" t="s">
        <v>1326</v>
      </c>
      <c r="CE520" t="s">
        <v>1327</v>
      </c>
      <c r="CF520" s="6">
        <v>9.4600000000000009</v>
      </c>
      <c r="CG520" s="6">
        <v>13.66</v>
      </c>
      <c r="CH520" s="6">
        <v>0</v>
      </c>
      <c r="CI520" s="6">
        <v>0</v>
      </c>
      <c r="CJ520" t="s">
        <v>137</v>
      </c>
      <c r="CK520" t="s">
        <v>549</v>
      </c>
      <c r="CL520" t="s">
        <v>16827</v>
      </c>
      <c r="CO520" t="s">
        <v>138</v>
      </c>
      <c r="CP520" t="s">
        <v>114</v>
      </c>
      <c r="CQ520" t="s">
        <v>114</v>
      </c>
      <c r="CR520" t="s">
        <v>134</v>
      </c>
      <c r="CS520" t="s">
        <v>114</v>
      </c>
      <c r="CT520" t="s">
        <v>114</v>
      </c>
      <c r="CU520" t="s">
        <v>114</v>
      </c>
      <c r="CV520" t="s">
        <v>16828</v>
      </c>
      <c r="CW520" s="5" t="str">
        <f>"+19566059360"</f>
        <v>+19566059360</v>
      </c>
      <c r="CX520" t="s">
        <v>16825</v>
      </c>
      <c r="CY520" t="s">
        <v>138</v>
      </c>
      <c r="CZ520" t="s">
        <v>139</v>
      </c>
      <c r="DA520" t="s">
        <v>134</v>
      </c>
      <c r="DB520" t="s">
        <v>114</v>
      </c>
      <c r="DC520" t="s">
        <v>114</v>
      </c>
      <c r="DD520" t="s">
        <v>134</v>
      </c>
    </row>
    <row r="521" spans="1:113" ht="15" customHeight="1" x14ac:dyDescent="0.25">
      <c r="A521" t="s">
        <v>6346</v>
      </c>
      <c r="B521" t="s">
        <v>165</v>
      </c>
      <c r="C521" s="1">
        <v>44852.947750115738</v>
      </c>
      <c r="D521" s="1">
        <v>44901</v>
      </c>
      <c r="E521" t="s">
        <v>114</v>
      </c>
      <c r="F521" t="s">
        <v>6347</v>
      </c>
      <c r="G521" t="str">
        <f>"37-3011.00"</f>
        <v>37-3011.00</v>
      </c>
      <c r="H521" t="s">
        <v>335</v>
      </c>
      <c r="I521">
        <v>24</v>
      </c>
      <c r="J521">
        <v>24</v>
      </c>
      <c r="K521" s="1">
        <v>44893</v>
      </c>
      <c r="L521" s="1">
        <v>44981</v>
      </c>
      <c r="M521" s="1">
        <v>44893</v>
      </c>
      <c r="N521" s="1">
        <v>44981</v>
      </c>
      <c r="O521" t="s">
        <v>168</v>
      </c>
      <c r="P521" t="s">
        <v>6348</v>
      </c>
      <c r="Q521" t="s">
        <v>6348</v>
      </c>
      <c r="R521" t="s">
        <v>6349</v>
      </c>
      <c r="T521" t="s">
        <v>6350</v>
      </c>
      <c r="U521" t="s">
        <v>319</v>
      </c>
      <c r="V521" s="4" t="str">
        <f>"56601"</f>
        <v>56601</v>
      </c>
      <c r="W521" t="s">
        <v>120</v>
      </c>
      <c r="Y521" s="5">
        <v>12187891112</v>
      </c>
      <c r="AA521">
        <v>56173</v>
      </c>
      <c r="AB521" t="s">
        <v>1469</v>
      </c>
      <c r="AC521" t="s">
        <v>1603</v>
      </c>
      <c r="AE521" t="s">
        <v>6351</v>
      </c>
      <c r="AF521" t="s">
        <v>6349</v>
      </c>
      <c r="AH521" t="s">
        <v>6350</v>
      </c>
      <c r="AI521" t="s">
        <v>319</v>
      </c>
      <c r="AJ521" s="4" t="str">
        <f>"56601"</f>
        <v>56601</v>
      </c>
      <c r="AK521" t="s">
        <v>120</v>
      </c>
      <c r="AM521" s="5">
        <v>12187891112</v>
      </c>
      <c r="AO521" t="s">
        <v>6352</v>
      </c>
      <c r="AX521" s="4" t="str">
        <f>""</f>
        <v/>
      </c>
      <c r="BG521" t="s">
        <v>119</v>
      </c>
      <c r="BH521" s="1">
        <v>44852.833333333336</v>
      </c>
      <c r="BI521">
        <v>40</v>
      </c>
      <c r="BJ521">
        <v>0</v>
      </c>
      <c r="BK521">
        <v>8</v>
      </c>
      <c r="BL521">
        <v>8</v>
      </c>
      <c r="BM521">
        <v>8</v>
      </c>
      <c r="BN521">
        <v>8</v>
      </c>
      <c r="BO521">
        <v>8</v>
      </c>
      <c r="BP521">
        <v>0</v>
      </c>
      <c r="BQ521" t="str">
        <f>"7:00 AM"</f>
        <v>7:00 AM</v>
      </c>
      <c r="BR521" t="str">
        <f t="shared" ref="BR521:BR528" si="33">"4:00 PM"</f>
        <v>4:00 PM</v>
      </c>
      <c r="BS521" t="s">
        <v>133</v>
      </c>
      <c r="BT521">
        <v>0</v>
      </c>
      <c r="BU521">
        <v>0</v>
      </c>
      <c r="BV521" t="s">
        <v>134</v>
      </c>
      <c r="BX521" t="s">
        <v>6353</v>
      </c>
      <c r="BY521" t="s">
        <v>6354</v>
      </c>
      <c r="CA521" t="s">
        <v>6355</v>
      </c>
      <c r="CB521" t="s">
        <v>119</v>
      </c>
      <c r="CC521" s="4" t="str">
        <f>"28401"</f>
        <v>28401</v>
      </c>
      <c r="CD521" t="s">
        <v>5500</v>
      </c>
      <c r="CE521" t="s">
        <v>5501</v>
      </c>
      <c r="CF521" s="6">
        <v>7.25</v>
      </c>
      <c r="CG521" s="6">
        <v>20</v>
      </c>
      <c r="CJ521" t="s">
        <v>137</v>
      </c>
      <c r="CK521" t="s">
        <v>133</v>
      </c>
      <c r="CL521" t="s">
        <v>6356</v>
      </c>
      <c r="CO521" t="s">
        <v>114</v>
      </c>
      <c r="CP521" t="s">
        <v>114</v>
      </c>
      <c r="CQ521" t="s">
        <v>114</v>
      </c>
      <c r="CR521" t="s">
        <v>134</v>
      </c>
      <c r="CS521" t="s">
        <v>114</v>
      </c>
      <c r="CT521" t="s">
        <v>114</v>
      </c>
      <c r="CU521" t="s">
        <v>114</v>
      </c>
      <c r="CV521" t="s">
        <v>6357</v>
      </c>
      <c r="CW521" s="5" t="str">
        <f>"+12187891112"</f>
        <v>+12187891112</v>
      </c>
      <c r="CX521" t="s">
        <v>6352</v>
      </c>
      <c r="CY521" t="s">
        <v>138</v>
      </c>
      <c r="CZ521" t="s">
        <v>139</v>
      </c>
      <c r="DA521" t="s">
        <v>134</v>
      </c>
      <c r="DB521" t="s">
        <v>134</v>
      </c>
      <c r="DC521" t="s">
        <v>114</v>
      </c>
      <c r="DD521" t="s">
        <v>134</v>
      </c>
    </row>
    <row r="522" spans="1:113" ht="15" customHeight="1" x14ac:dyDescent="0.25">
      <c r="A522" t="s">
        <v>16303</v>
      </c>
      <c r="B522" t="s">
        <v>165</v>
      </c>
      <c r="C522" s="1">
        <v>44847.759845486115</v>
      </c>
      <c r="D522" s="1">
        <v>44901</v>
      </c>
      <c r="E522" t="s">
        <v>134</v>
      </c>
      <c r="F522" t="s">
        <v>2320</v>
      </c>
      <c r="G522" t="str">
        <f>"37-2011.00"</f>
        <v>37-2011.00</v>
      </c>
      <c r="H522" t="s">
        <v>672</v>
      </c>
      <c r="I522">
        <v>5</v>
      </c>
      <c r="J522">
        <v>5</v>
      </c>
      <c r="K522" s="1">
        <v>44922</v>
      </c>
      <c r="L522" s="1">
        <v>45023</v>
      </c>
      <c r="M522" s="1">
        <v>44922</v>
      </c>
      <c r="N522" s="1">
        <v>45023</v>
      </c>
      <c r="O522" t="s">
        <v>199</v>
      </c>
      <c r="P522" t="s">
        <v>16304</v>
      </c>
      <c r="R522" t="s">
        <v>16305</v>
      </c>
      <c r="T522" t="s">
        <v>12676</v>
      </c>
      <c r="U522" t="s">
        <v>748</v>
      </c>
      <c r="V522" s="4" t="str">
        <f>"18072"</f>
        <v>18072</v>
      </c>
      <c r="W522" t="s">
        <v>120</v>
      </c>
      <c r="Y522" s="5">
        <v>16106566978</v>
      </c>
      <c r="AA522">
        <v>561730</v>
      </c>
      <c r="AB522" t="s">
        <v>5698</v>
      </c>
      <c r="AC522" t="s">
        <v>1304</v>
      </c>
      <c r="AD522" t="s">
        <v>1020</v>
      </c>
      <c r="AE522" t="s">
        <v>424</v>
      </c>
      <c r="AF522" t="s">
        <v>16305</v>
      </c>
      <c r="AH522" t="s">
        <v>12676</v>
      </c>
      <c r="AI522" t="s">
        <v>748</v>
      </c>
      <c r="AJ522" s="4" t="str">
        <f>"18072"</f>
        <v>18072</v>
      </c>
      <c r="AK522" t="s">
        <v>120</v>
      </c>
      <c r="AM522" s="5">
        <v>16106566978</v>
      </c>
      <c r="AO522" t="s">
        <v>12677</v>
      </c>
      <c r="AP522" t="s">
        <v>122</v>
      </c>
      <c r="AQ522" t="s">
        <v>680</v>
      </c>
      <c r="AR522" t="s">
        <v>370</v>
      </c>
      <c r="AS522" t="s">
        <v>681</v>
      </c>
      <c r="AT522" t="s">
        <v>682</v>
      </c>
      <c r="AU522" t="s">
        <v>683</v>
      </c>
      <c r="AV522" t="s">
        <v>684</v>
      </c>
      <c r="AW522" t="s">
        <v>232</v>
      </c>
      <c r="AX522" s="4" t="str">
        <f>"78746"</f>
        <v>78746</v>
      </c>
      <c r="AY522" t="s">
        <v>120</v>
      </c>
      <c r="BA522" s="5">
        <v>17372040093</v>
      </c>
      <c r="BC522" t="s">
        <v>685</v>
      </c>
      <c r="BD522" t="s">
        <v>686</v>
      </c>
      <c r="BE522" t="s">
        <v>232</v>
      </c>
      <c r="BF522" t="s">
        <v>687</v>
      </c>
      <c r="BG522" t="s">
        <v>748</v>
      </c>
      <c r="BH522" s="1">
        <v>44846.833333333336</v>
      </c>
      <c r="BI522">
        <v>40</v>
      </c>
      <c r="BJ522">
        <v>0</v>
      </c>
      <c r="BK522">
        <v>8</v>
      </c>
      <c r="BL522">
        <v>8</v>
      </c>
      <c r="BM522">
        <v>8</v>
      </c>
      <c r="BN522">
        <v>8</v>
      </c>
      <c r="BO522">
        <v>8</v>
      </c>
      <c r="BP522">
        <v>0</v>
      </c>
      <c r="BQ522" t="str">
        <f>"7:00 AM"</f>
        <v>7:00 AM</v>
      </c>
      <c r="BR522" t="str">
        <f t="shared" si="33"/>
        <v>4:00 PM</v>
      </c>
      <c r="BS522" t="s">
        <v>133</v>
      </c>
      <c r="BT522">
        <v>0</v>
      </c>
      <c r="BU522">
        <v>0</v>
      </c>
      <c r="BV522" t="s">
        <v>134</v>
      </c>
      <c r="BX522" t="s">
        <v>138</v>
      </c>
      <c r="BY522" t="s">
        <v>12675</v>
      </c>
      <c r="CA522" t="s">
        <v>12676</v>
      </c>
      <c r="CB522" t="s">
        <v>748</v>
      </c>
      <c r="CC522" s="4" t="str">
        <f>"18072"</f>
        <v>18072</v>
      </c>
      <c r="CD522" t="s">
        <v>6921</v>
      </c>
      <c r="CE522" t="s">
        <v>3907</v>
      </c>
      <c r="CF522" s="6">
        <v>16.09</v>
      </c>
      <c r="CG522" s="6">
        <v>16.09</v>
      </c>
      <c r="CH522" s="6">
        <v>24.14</v>
      </c>
      <c r="CI522" s="6">
        <v>24.14</v>
      </c>
      <c r="CJ522" t="s">
        <v>137</v>
      </c>
      <c r="CK522" t="s">
        <v>2937</v>
      </c>
      <c r="CL522" t="s">
        <v>16306</v>
      </c>
      <c r="CO522" t="s">
        <v>138</v>
      </c>
      <c r="CP522" t="s">
        <v>114</v>
      </c>
      <c r="CQ522" t="s">
        <v>114</v>
      </c>
      <c r="CR522" t="s">
        <v>114</v>
      </c>
      <c r="CS522" t="s">
        <v>114</v>
      </c>
      <c r="CT522" t="s">
        <v>114</v>
      </c>
      <c r="CU522" t="s">
        <v>134</v>
      </c>
      <c r="CV522" t="s">
        <v>133</v>
      </c>
      <c r="CW522" s="5" t="str">
        <f>"+16106566978"</f>
        <v>+16106566978</v>
      </c>
      <c r="CX522" t="s">
        <v>12677</v>
      </c>
      <c r="CY522" t="s">
        <v>138</v>
      </c>
      <c r="CZ522" t="s">
        <v>139</v>
      </c>
      <c r="DA522" t="s">
        <v>134</v>
      </c>
      <c r="DB522" t="s">
        <v>134</v>
      </c>
      <c r="DC522" t="s">
        <v>114</v>
      </c>
      <c r="DD522" t="s">
        <v>134</v>
      </c>
    </row>
    <row r="523" spans="1:113" ht="15" customHeight="1" x14ac:dyDescent="0.25">
      <c r="A523" t="s">
        <v>15054</v>
      </c>
      <c r="B523" t="s">
        <v>165</v>
      </c>
      <c r="C523" s="1">
        <v>44868.647962847223</v>
      </c>
      <c r="D523" s="1">
        <v>44900</v>
      </c>
      <c r="E523" t="s">
        <v>134</v>
      </c>
      <c r="F523" t="s">
        <v>334</v>
      </c>
      <c r="G523" t="str">
        <f>"37-3011.00"</f>
        <v>37-3011.00</v>
      </c>
      <c r="H523" t="s">
        <v>335</v>
      </c>
      <c r="I523">
        <v>15</v>
      </c>
      <c r="J523">
        <v>15</v>
      </c>
      <c r="K523" s="1">
        <v>44958</v>
      </c>
      <c r="L523" s="1">
        <v>45260</v>
      </c>
      <c r="M523" s="1">
        <v>44958</v>
      </c>
      <c r="N523" s="1">
        <v>45260</v>
      </c>
      <c r="O523" t="s">
        <v>117</v>
      </c>
      <c r="P523" t="s">
        <v>15055</v>
      </c>
      <c r="R523" t="s">
        <v>15056</v>
      </c>
      <c r="T523" t="s">
        <v>15057</v>
      </c>
      <c r="U523" t="s">
        <v>214</v>
      </c>
      <c r="V523" s="4" t="str">
        <f>"70663"</f>
        <v>70663</v>
      </c>
      <c r="W523" t="s">
        <v>120</v>
      </c>
      <c r="Y523" s="5">
        <v>13373133002</v>
      </c>
      <c r="AA523">
        <v>56173</v>
      </c>
      <c r="AB523" t="s">
        <v>15058</v>
      </c>
      <c r="AC523" t="s">
        <v>15059</v>
      </c>
      <c r="AE523" t="s">
        <v>2261</v>
      </c>
      <c r="AF523" t="s">
        <v>15056</v>
      </c>
      <c r="AH523" t="s">
        <v>15057</v>
      </c>
      <c r="AI523" t="s">
        <v>214</v>
      </c>
      <c r="AJ523" s="4" t="str">
        <f>"70663"</f>
        <v>70663</v>
      </c>
      <c r="AK523" t="s">
        <v>120</v>
      </c>
      <c r="AM523" s="5">
        <v>13373133002</v>
      </c>
      <c r="AO523" t="s">
        <v>15060</v>
      </c>
      <c r="AP523" t="s">
        <v>256</v>
      </c>
      <c r="AQ523" t="s">
        <v>1511</v>
      </c>
      <c r="AR523" t="s">
        <v>1512</v>
      </c>
      <c r="AS523" t="s">
        <v>138</v>
      </c>
      <c r="AT523" t="s">
        <v>1422</v>
      </c>
      <c r="AU523" t="s">
        <v>347</v>
      </c>
      <c r="AV523" t="s">
        <v>828</v>
      </c>
      <c r="AW523" t="s">
        <v>349</v>
      </c>
      <c r="AX523" s="4" t="str">
        <f>"83814"</f>
        <v>83814</v>
      </c>
      <c r="AY523" t="s">
        <v>120</v>
      </c>
      <c r="BA523" s="5">
        <v>12087772654</v>
      </c>
      <c r="BC523" t="s">
        <v>1513</v>
      </c>
      <c r="BD523" t="s">
        <v>351</v>
      </c>
      <c r="BG523" t="s">
        <v>214</v>
      </c>
      <c r="BH523" s="1">
        <v>44852.833333333336</v>
      </c>
      <c r="BI523">
        <v>40</v>
      </c>
      <c r="BJ523">
        <v>0</v>
      </c>
      <c r="BK523">
        <v>8</v>
      </c>
      <c r="BL523">
        <v>8</v>
      </c>
      <c r="BM523">
        <v>8</v>
      </c>
      <c r="BN523">
        <v>8</v>
      </c>
      <c r="BO523">
        <v>8</v>
      </c>
      <c r="BP523">
        <v>0</v>
      </c>
      <c r="BQ523" t="str">
        <f>"7:00 AM"</f>
        <v>7:00 AM</v>
      </c>
      <c r="BR523" t="str">
        <f t="shared" si="33"/>
        <v>4:00 PM</v>
      </c>
      <c r="BS523" t="s">
        <v>133</v>
      </c>
      <c r="BT523">
        <v>0</v>
      </c>
      <c r="BU523">
        <v>0</v>
      </c>
      <c r="BV523" t="s">
        <v>134</v>
      </c>
      <c r="BX523" s="2" t="s">
        <v>352</v>
      </c>
      <c r="BY523" t="s">
        <v>15061</v>
      </c>
      <c r="CA523" t="s">
        <v>15057</v>
      </c>
      <c r="CB523" t="s">
        <v>214</v>
      </c>
      <c r="CC523" s="4" t="str">
        <f>"70663"</f>
        <v>70663</v>
      </c>
      <c r="CD523" t="s">
        <v>6942</v>
      </c>
      <c r="CE523" t="s">
        <v>6943</v>
      </c>
      <c r="CF523" s="6">
        <v>14.19</v>
      </c>
      <c r="CG523" s="6">
        <v>22</v>
      </c>
      <c r="CH523" s="6">
        <v>21.29</v>
      </c>
      <c r="CI523" s="6">
        <v>33</v>
      </c>
      <c r="CJ523" t="s">
        <v>137</v>
      </c>
      <c r="CK523" t="s">
        <v>356</v>
      </c>
      <c r="CL523" t="s">
        <v>15062</v>
      </c>
      <c r="CO523" t="s">
        <v>138</v>
      </c>
      <c r="CP523" t="s">
        <v>114</v>
      </c>
      <c r="CQ523" t="s">
        <v>114</v>
      </c>
      <c r="CR523" t="s">
        <v>114</v>
      </c>
      <c r="CS523" t="s">
        <v>114</v>
      </c>
      <c r="CT523" t="s">
        <v>114</v>
      </c>
      <c r="CU523" t="s">
        <v>114</v>
      </c>
      <c r="CV523" t="s">
        <v>15063</v>
      </c>
      <c r="CW523" s="5" t="str">
        <f>"+13377214010"</f>
        <v>+13377214010</v>
      </c>
      <c r="CX523" t="s">
        <v>15060</v>
      </c>
      <c r="CY523" t="s">
        <v>138</v>
      </c>
      <c r="CZ523" t="s">
        <v>139</v>
      </c>
      <c r="DA523" t="s">
        <v>134</v>
      </c>
      <c r="DB523" t="s">
        <v>114</v>
      </c>
      <c r="DC523" t="s">
        <v>114</v>
      </c>
      <c r="DD523" t="s">
        <v>134</v>
      </c>
    </row>
    <row r="524" spans="1:113" ht="15" customHeight="1" x14ac:dyDescent="0.25">
      <c r="A524" t="s">
        <v>4914</v>
      </c>
      <c r="B524" t="s">
        <v>165</v>
      </c>
      <c r="C524" s="1">
        <v>44868.610152430556</v>
      </c>
      <c r="D524" s="1">
        <v>44900</v>
      </c>
      <c r="E524" t="s">
        <v>134</v>
      </c>
      <c r="F524" t="s">
        <v>115</v>
      </c>
      <c r="G524" t="str">
        <f>"37-2012.00"</f>
        <v>37-2012.00</v>
      </c>
      <c r="H524" t="s">
        <v>116</v>
      </c>
      <c r="I524">
        <v>60</v>
      </c>
      <c r="J524">
        <v>60</v>
      </c>
      <c r="K524" s="1">
        <v>44958</v>
      </c>
      <c r="L524" s="1">
        <v>45261</v>
      </c>
      <c r="M524" s="1">
        <v>44958</v>
      </c>
      <c r="N524" s="1">
        <v>45261</v>
      </c>
      <c r="O524" t="s">
        <v>117</v>
      </c>
      <c r="P524" t="s">
        <v>4915</v>
      </c>
      <c r="Q524" t="s">
        <v>4916</v>
      </c>
      <c r="R524" t="s">
        <v>4917</v>
      </c>
      <c r="T524" t="s">
        <v>4918</v>
      </c>
      <c r="U524" t="s">
        <v>154</v>
      </c>
      <c r="V524" s="4" t="str">
        <f>"32548"</f>
        <v>32548</v>
      </c>
      <c r="W524" t="s">
        <v>120</v>
      </c>
      <c r="Y524" s="5">
        <v>18502439161</v>
      </c>
      <c r="Z524">
        <v>7503</v>
      </c>
      <c r="AA524">
        <v>72111</v>
      </c>
      <c r="AB524" t="s">
        <v>4919</v>
      </c>
      <c r="AC524" t="s">
        <v>536</v>
      </c>
      <c r="AD524" t="s">
        <v>2149</v>
      </c>
      <c r="AE524" t="s">
        <v>4920</v>
      </c>
      <c r="AF524" t="s">
        <v>4917</v>
      </c>
      <c r="AH524" t="s">
        <v>4918</v>
      </c>
      <c r="AI524" t="s">
        <v>154</v>
      </c>
      <c r="AJ524" s="4" t="str">
        <f>"32548"</f>
        <v>32548</v>
      </c>
      <c r="AK524" t="s">
        <v>120</v>
      </c>
      <c r="AM524" s="5">
        <v>18502439161</v>
      </c>
      <c r="AN524">
        <v>7503</v>
      </c>
      <c r="AO524" t="s">
        <v>4921</v>
      </c>
      <c r="AX524" s="4" t="str">
        <f>""</f>
        <v/>
      </c>
      <c r="BG524" t="s">
        <v>154</v>
      </c>
      <c r="BH524" s="1">
        <v>44864.833333333336</v>
      </c>
      <c r="BI524">
        <v>40</v>
      </c>
      <c r="BJ524">
        <v>8</v>
      </c>
      <c r="BK524">
        <v>8</v>
      </c>
      <c r="BL524">
        <v>0</v>
      </c>
      <c r="BM524">
        <v>0</v>
      </c>
      <c r="BN524">
        <v>8</v>
      </c>
      <c r="BO524">
        <v>8</v>
      </c>
      <c r="BP524">
        <v>8</v>
      </c>
      <c r="BQ524" t="str">
        <f>"7:30 AM"</f>
        <v>7:30 AM</v>
      </c>
      <c r="BR524" t="str">
        <f t="shared" si="33"/>
        <v>4:00 PM</v>
      </c>
      <c r="BS524" t="s">
        <v>295</v>
      </c>
      <c r="BT524">
        <v>0</v>
      </c>
      <c r="BU524">
        <v>0</v>
      </c>
      <c r="BV524" t="s">
        <v>134</v>
      </c>
      <c r="BX524" t="s">
        <v>138</v>
      </c>
      <c r="BY524" t="s">
        <v>4917</v>
      </c>
      <c r="CA524" t="s">
        <v>4918</v>
      </c>
      <c r="CB524" t="s">
        <v>154</v>
      </c>
      <c r="CC524" s="4" t="str">
        <f>"32548"</f>
        <v>32548</v>
      </c>
      <c r="CD524" t="s">
        <v>2355</v>
      </c>
      <c r="CE524" t="s">
        <v>2356</v>
      </c>
      <c r="CF524" s="6">
        <v>13.21</v>
      </c>
      <c r="CG524" s="6">
        <v>13.21</v>
      </c>
      <c r="CJ524" t="s">
        <v>137</v>
      </c>
      <c r="CK524" t="s">
        <v>138</v>
      </c>
      <c r="CL524" t="s">
        <v>4922</v>
      </c>
      <c r="CO524" t="s">
        <v>138</v>
      </c>
      <c r="CP524" t="s">
        <v>134</v>
      </c>
      <c r="CQ524" t="s">
        <v>134</v>
      </c>
      <c r="CR524" t="s">
        <v>134</v>
      </c>
      <c r="CS524" t="s">
        <v>114</v>
      </c>
      <c r="CT524" t="s">
        <v>114</v>
      </c>
      <c r="CU524" t="s">
        <v>114</v>
      </c>
      <c r="CV524" s="2" t="s">
        <v>4923</v>
      </c>
      <c r="CW524" s="5" t="str">
        <f>"+18508337587"</f>
        <v>+18508337587</v>
      </c>
      <c r="CX524" t="s">
        <v>138</v>
      </c>
      <c r="CY524" t="s">
        <v>4924</v>
      </c>
      <c r="CZ524" t="s">
        <v>139</v>
      </c>
      <c r="DA524" t="s">
        <v>134</v>
      </c>
      <c r="DB524" t="s">
        <v>134</v>
      </c>
      <c r="DC524" t="s">
        <v>114</v>
      </c>
      <c r="DD524" t="s">
        <v>134</v>
      </c>
    </row>
    <row r="525" spans="1:113" ht="15" customHeight="1" x14ac:dyDescent="0.25">
      <c r="A525" t="s">
        <v>8415</v>
      </c>
      <c r="B525" t="s">
        <v>165</v>
      </c>
      <c r="C525" s="1">
        <v>44868.47371539352</v>
      </c>
      <c r="D525" s="1">
        <v>44900</v>
      </c>
      <c r="E525" t="s">
        <v>134</v>
      </c>
      <c r="F525" t="s">
        <v>334</v>
      </c>
      <c r="G525" t="str">
        <f>"37-3011.00"</f>
        <v>37-3011.00</v>
      </c>
      <c r="H525" t="s">
        <v>335</v>
      </c>
      <c r="I525">
        <v>70</v>
      </c>
      <c r="J525">
        <v>70</v>
      </c>
      <c r="K525" s="1">
        <v>44958</v>
      </c>
      <c r="L525" s="1">
        <v>45260</v>
      </c>
      <c r="M525" s="1">
        <v>44958</v>
      </c>
      <c r="N525" s="1">
        <v>45260</v>
      </c>
      <c r="O525" t="s">
        <v>117</v>
      </c>
      <c r="P525" t="s">
        <v>8416</v>
      </c>
      <c r="R525" t="s">
        <v>8417</v>
      </c>
      <c r="S525" t="s">
        <v>138</v>
      </c>
      <c r="T525" t="s">
        <v>2108</v>
      </c>
      <c r="U525" t="s">
        <v>232</v>
      </c>
      <c r="V525" s="4" t="str">
        <f>"78247"</f>
        <v>78247</v>
      </c>
      <c r="W525" t="s">
        <v>120</v>
      </c>
      <c r="X525" t="s">
        <v>138</v>
      </c>
      <c r="Y525" s="5">
        <v>12104973757</v>
      </c>
      <c r="AA525">
        <v>561730</v>
      </c>
      <c r="AB525" t="s">
        <v>8418</v>
      </c>
      <c r="AC525" t="s">
        <v>1425</v>
      </c>
      <c r="AD525" t="s">
        <v>1857</v>
      </c>
      <c r="AE525" t="s">
        <v>342</v>
      </c>
      <c r="AF525" t="s">
        <v>8417</v>
      </c>
      <c r="AG525" t="s">
        <v>138</v>
      </c>
      <c r="AH525" t="s">
        <v>2108</v>
      </c>
      <c r="AI525" t="s">
        <v>232</v>
      </c>
      <c r="AJ525" s="4" t="str">
        <f>"78247"</f>
        <v>78247</v>
      </c>
      <c r="AK525" t="s">
        <v>120</v>
      </c>
      <c r="AM525" s="5">
        <v>12104973757</v>
      </c>
      <c r="AO525" t="s">
        <v>8419</v>
      </c>
      <c r="AP525" t="s">
        <v>256</v>
      </c>
      <c r="AQ525" t="s">
        <v>4312</v>
      </c>
      <c r="AR525" t="s">
        <v>4313</v>
      </c>
      <c r="AS525" t="s">
        <v>4044</v>
      </c>
      <c r="AT525" t="s">
        <v>1284</v>
      </c>
      <c r="AU525" t="s">
        <v>138</v>
      </c>
      <c r="AV525" t="s">
        <v>1285</v>
      </c>
      <c r="AW525" t="s">
        <v>232</v>
      </c>
      <c r="AX525" s="4" t="str">
        <f>"77414"</f>
        <v>77414</v>
      </c>
      <c r="AY525" t="s">
        <v>120</v>
      </c>
      <c r="BA525" s="5">
        <v>19793187277</v>
      </c>
      <c r="BC525" t="s">
        <v>4314</v>
      </c>
      <c r="BD525" t="s">
        <v>1287</v>
      </c>
      <c r="BG525" t="s">
        <v>232</v>
      </c>
      <c r="BH525" s="1">
        <v>44867.833333333336</v>
      </c>
      <c r="BI525">
        <v>40</v>
      </c>
      <c r="BJ525">
        <v>0</v>
      </c>
      <c r="BK525">
        <v>8</v>
      </c>
      <c r="BL525">
        <v>8</v>
      </c>
      <c r="BM525">
        <v>8</v>
      </c>
      <c r="BN525">
        <v>8</v>
      </c>
      <c r="BO525">
        <v>8</v>
      </c>
      <c r="BP525">
        <v>0</v>
      </c>
      <c r="BQ525" t="str">
        <f>"7:00 AM"</f>
        <v>7:00 AM</v>
      </c>
      <c r="BR525" t="str">
        <f t="shared" si="33"/>
        <v>4:00 PM</v>
      </c>
      <c r="BS525" t="s">
        <v>133</v>
      </c>
      <c r="BT525">
        <v>0</v>
      </c>
      <c r="BU525">
        <v>0</v>
      </c>
      <c r="BV525" t="s">
        <v>134</v>
      </c>
      <c r="BX525" s="2" t="s">
        <v>8420</v>
      </c>
      <c r="BY525" t="s">
        <v>8417</v>
      </c>
      <c r="BZ525" t="s">
        <v>138</v>
      </c>
      <c r="CA525" t="s">
        <v>2108</v>
      </c>
      <c r="CB525" t="s">
        <v>232</v>
      </c>
      <c r="CC525" s="4" t="str">
        <f>"78247"</f>
        <v>78247</v>
      </c>
      <c r="CD525" t="s">
        <v>2112</v>
      </c>
      <c r="CE525" t="s">
        <v>1342</v>
      </c>
      <c r="CF525" s="6">
        <v>15.05</v>
      </c>
      <c r="CH525" s="6">
        <v>22.58</v>
      </c>
      <c r="CJ525" t="s">
        <v>137</v>
      </c>
      <c r="CK525" t="s">
        <v>8421</v>
      </c>
      <c r="CL525" t="s">
        <v>8422</v>
      </c>
      <c r="CO525" t="s">
        <v>138</v>
      </c>
      <c r="CP525" t="s">
        <v>114</v>
      </c>
      <c r="CQ525" t="s">
        <v>114</v>
      </c>
      <c r="CR525" t="s">
        <v>114</v>
      </c>
      <c r="CS525" t="s">
        <v>114</v>
      </c>
      <c r="CT525" t="s">
        <v>114</v>
      </c>
      <c r="CU525" t="s">
        <v>134</v>
      </c>
      <c r="CV525" t="s">
        <v>2360</v>
      </c>
      <c r="CW525" s="5" t="str">
        <f>"+12102876774"</f>
        <v>+12102876774</v>
      </c>
      <c r="CX525" t="s">
        <v>8419</v>
      </c>
      <c r="CY525" t="s">
        <v>138</v>
      </c>
      <c r="CZ525" t="s">
        <v>139</v>
      </c>
      <c r="DA525" t="s">
        <v>134</v>
      </c>
      <c r="DB525" t="s">
        <v>134</v>
      </c>
      <c r="DC525" t="s">
        <v>114</v>
      </c>
      <c r="DD525" t="s">
        <v>134</v>
      </c>
    </row>
    <row r="526" spans="1:113" ht="15" customHeight="1" x14ac:dyDescent="0.25">
      <c r="A526" t="s">
        <v>11159</v>
      </c>
      <c r="B526" t="s">
        <v>165</v>
      </c>
      <c r="C526" s="1">
        <v>44868.447387731481</v>
      </c>
      <c r="D526" s="1">
        <v>44900</v>
      </c>
      <c r="E526" t="s">
        <v>134</v>
      </c>
      <c r="F526" t="s">
        <v>2320</v>
      </c>
      <c r="G526" t="str">
        <f>"47-2061.00"</f>
        <v>47-2061.00</v>
      </c>
      <c r="H526" t="s">
        <v>1625</v>
      </c>
      <c r="I526">
        <v>14</v>
      </c>
      <c r="J526">
        <v>14</v>
      </c>
      <c r="K526" s="1">
        <v>44958</v>
      </c>
      <c r="L526" s="1">
        <v>45231</v>
      </c>
      <c r="M526" s="1">
        <v>44958</v>
      </c>
      <c r="N526" s="1">
        <v>45231</v>
      </c>
      <c r="O526" t="s">
        <v>117</v>
      </c>
      <c r="P526" t="s">
        <v>2321</v>
      </c>
      <c r="R526" t="s">
        <v>2322</v>
      </c>
      <c r="S526" t="s">
        <v>138</v>
      </c>
      <c r="T526" t="s">
        <v>2323</v>
      </c>
      <c r="U526" t="s">
        <v>129</v>
      </c>
      <c r="V526" s="4" t="str">
        <f>"31061"</f>
        <v>31061</v>
      </c>
      <c r="W526" t="s">
        <v>120</v>
      </c>
      <c r="Y526" s="5">
        <v>14784521003</v>
      </c>
      <c r="AA526">
        <v>238990</v>
      </c>
      <c r="AB526" t="s">
        <v>2324</v>
      </c>
      <c r="AC526" t="s">
        <v>2325</v>
      </c>
      <c r="AE526" t="s">
        <v>342</v>
      </c>
      <c r="AF526" t="s">
        <v>2322</v>
      </c>
      <c r="AG526" t="s">
        <v>138</v>
      </c>
      <c r="AH526" t="s">
        <v>2323</v>
      </c>
      <c r="AI526" t="s">
        <v>129</v>
      </c>
      <c r="AJ526" s="4" t="str">
        <f>"31061"</f>
        <v>31061</v>
      </c>
      <c r="AK526" t="s">
        <v>120</v>
      </c>
      <c r="AM526" s="5">
        <v>14784521003</v>
      </c>
      <c r="AO526" t="s">
        <v>2326</v>
      </c>
      <c r="AP526" t="s">
        <v>256</v>
      </c>
      <c r="AQ526" t="s">
        <v>2327</v>
      </c>
      <c r="AR526" t="s">
        <v>1063</v>
      </c>
      <c r="AS526" t="s">
        <v>1857</v>
      </c>
      <c r="AT526" t="s">
        <v>1284</v>
      </c>
      <c r="AU526" t="s">
        <v>138</v>
      </c>
      <c r="AV526" t="s">
        <v>1285</v>
      </c>
      <c r="AW526" t="s">
        <v>232</v>
      </c>
      <c r="AX526" s="4" t="str">
        <f>"77414"</f>
        <v>77414</v>
      </c>
      <c r="AY526" t="s">
        <v>120</v>
      </c>
      <c r="BA526" s="5">
        <v>19793187280</v>
      </c>
      <c r="BC526" t="s">
        <v>2328</v>
      </c>
      <c r="BD526" t="s">
        <v>1287</v>
      </c>
      <c r="BG526" t="s">
        <v>129</v>
      </c>
      <c r="BH526" s="1">
        <v>44867.833333333336</v>
      </c>
      <c r="BI526">
        <v>50</v>
      </c>
      <c r="BJ526">
        <v>0</v>
      </c>
      <c r="BK526">
        <v>10</v>
      </c>
      <c r="BL526">
        <v>10</v>
      </c>
      <c r="BM526">
        <v>10</v>
      </c>
      <c r="BN526">
        <v>10</v>
      </c>
      <c r="BO526">
        <v>10</v>
      </c>
      <c r="BP526">
        <v>0</v>
      </c>
      <c r="BQ526" t="str">
        <f>"7:00 AM"</f>
        <v>7:00 AM</v>
      </c>
      <c r="BR526" t="str">
        <f t="shared" si="33"/>
        <v>4:00 PM</v>
      </c>
      <c r="BS526" t="s">
        <v>133</v>
      </c>
      <c r="BT526">
        <v>0</v>
      </c>
      <c r="BU526">
        <v>0</v>
      </c>
      <c r="BV526" t="s">
        <v>134</v>
      </c>
      <c r="BX526" s="2" t="s">
        <v>2329</v>
      </c>
      <c r="BY526" t="s">
        <v>2322</v>
      </c>
      <c r="BZ526" t="s">
        <v>138</v>
      </c>
      <c r="CA526" t="s">
        <v>2323</v>
      </c>
      <c r="CB526" t="s">
        <v>129</v>
      </c>
      <c r="CC526" s="4" t="str">
        <f>"31061"</f>
        <v>31061</v>
      </c>
      <c r="CD526" t="s">
        <v>2330</v>
      </c>
      <c r="CE526" t="s">
        <v>2331</v>
      </c>
      <c r="CF526" s="6">
        <v>15.32</v>
      </c>
      <c r="CH526" s="6">
        <v>22.98</v>
      </c>
      <c r="CJ526" t="s">
        <v>137</v>
      </c>
      <c r="CK526" t="s">
        <v>2332</v>
      </c>
      <c r="CL526" t="s">
        <v>2333</v>
      </c>
      <c r="CO526" t="s">
        <v>138</v>
      </c>
      <c r="CP526" t="s">
        <v>114</v>
      </c>
      <c r="CQ526" t="s">
        <v>114</v>
      </c>
      <c r="CR526" t="s">
        <v>114</v>
      </c>
      <c r="CS526" t="s">
        <v>114</v>
      </c>
      <c r="CT526" t="s">
        <v>114</v>
      </c>
      <c r="CU526" t="s">
        <v>134</v>
      </c>
      <c r="CV526" t="s">
        <v>133</v>
      </c>
      <c r="CW526" s="5" t="str">
        <f>"+14784521003"</f>
        <v>+14784521003</v>
      </c>
      <c r="CX526" t="s">
        <v>2326</v>
      </c>
      <c r="CY526" t="s">
        <v>138</v>
      </c>
      <c r="CZ526" t="s">
        <v>139</v>
      </c>
      <c r="DA526" t="s">
        <v>134</v>
      </c>
      <c r="DB526" t="s">
        <v>134</v>
      </c>
      <c r="DC526" t="s">
        <v>114</v>
      </c>
      <c r="DD526" t="s">
        <v>134</v>
      </c>
    </row>
    <row r="527" spans="1:113" ht="15" customHeight="1" x14ac:dyDescent="0.25">
      <c r="A527" t="s">
        <v>15697</v>
      </c>
      <c r="B527" t="s">
        <v>165</v>
      </c>
      <c r="C527" s="1">
        <v>44868.441686805556</v>
      </c>
      <c r="D527" s="1">
        <v>44900</v>
      </c>
      <c r="E527" t="s">
        <v>134</v>
      </c>
      <c r="F527" t="s">
        <v>334</v>
      </c>
      <c r="G527" t="str">
        <f t="shared" ref="G527:G534" si="34">"37-3011.00"</f>
        <v>37-3011.00</v>
      </c>
      <c r="H527" t="s">
        <v>335</v>
      </c>
      <c r="I527">
        <v>15</v>
      </c>
      <c r="J527">
        <v>15</v>
      </c>
      <c r="K527" s="1">
        <v>44958</v>
      </c>
      <c r="L527" s="1">
        <v>45260</v>
      </c>
      <c r="M527" s="1">
        <v>44958</v>
      </c>
      <c r="N527" s="1">
        <v>45260</v>
      </c>
      <c r="O527" t="s">
        <v>199</v>
      </c>
      <c r="P527" t="s">
        <v>15698</v>
      </c>
      <c r="Q527" t="s">
        <v>15699</v>
      </c>
      <c r="R527" t="s">
        <v>15700</v>
      </c>
      <c r="S527" t="s">
        <v>15701</v>
      </c>
      <c r="T527" t="s">
        <v>12718</v>
      </c>
      <c r="U527" t="s">
        <v>232</v>
      </c>
      <c r="V527" s="4" t="str">
        <f>"77437"</f>
        <v>77437</v>
      </c>
      <c r="W527" t="s">
        <v>120</v>
      </c>
      <c r="Y527" s="5">
        <v>19795439494</v>
      </c>
      <c r="AA527">
        <v>561730</v>
      </c>
      <c r="AB527" t="s">
        <v>2932</v>
      </c>
      <c r="AC527" t="s">
        <v>370</v>
      </c>
      <c r="AE527" t="s">
        <v>2138</v>
      </c>
      <c r="AF527" t="s">
        <v>15700</v>
      </c>
      <c r="AG527" t="s">
        <v>15701</v>
      </c>
      <c r="AH527" t="s">
        <v>12718</v>
      </c>
      <c r="AI527" t="s">
        <v>232</v>
      </c>
      <c r="AJ527" s="4" t="str">
        <f>"77437"</f>
        <v>77437</v>
      </c>
      <c r="AK527" t="s">
        <v>120</v>
      </c>
      <c r="AM527" s="5">
        <v>19795439494</v>
      </c>
      <c r="AO527" t="s">
        <v>15702</v>
      </c>
      <c r="AP527" t="s">
        <v>256</v>
      </c>
      <c r="AQ527" t="s">
        <v>2327</v>
      </c>
      <c r="AR527" t="s">
        <v>1063</v>
      </c>
      <c r="AS527" t="s">
        <v>1857</v>
      </c>
      <c r="AT527" t="s">
        <v>1284</v>
      </c>
      <c r="AU527" t="s">
        <v>138</v>
      </c>
      <c r="AV527" t="s">
        <v>1285</v>
      </c>
      <c r="AW527" t="s">
        <v>232</v>
      </c>
      <c r="AX527" s="4" t="str">
        <f>"77414"</f>
        <v>77414</v>
      </c>
      <c r="AY527" t="s">
        <v>120</v>
      </c>
      <c r="BA527" s="5">
        <v>19793187280</v>
      </c>
      <c r="BC527" t="s">
        <v>2328</v>
      </c>
      <c r="BD527" t="s">
        <v>1287</v>
      </c>
      <c r="BG527" t="s">
        <v>232</v>
      </c>
      <c r="BH527" s="1">
        <v>44867.833333333336</v>
      </c>
      <c r="BI527">
        <v>47</v>
      </c>
      <c r="BJ527">
        <v>0</v>
      </c>
      <c r="BK527">
        <v>10</v>
      </c>
      <c r="BL527">
        <v>9</v>
      </c>
      <c r="BM527">
        <v>9</v>
      </c>
      <c r="BN527">
        <v>9</v>
      </c>
      <c r="BO527">
        <v>10</v>
      </c>
      <c r="BP527">
        <v>0</v>
      </c>
      <c r="BQ527" t="str">
        <f>"7:00 AM"</f>
        <v>7:00 AM</v>
      </c>
      <c r="BR527" t="str">
        <f t="shared" si="33"/>
        <v>4:00 PM</v>
      </c>
      <c r="BS527" t="s">
        <v>133</v>
      </c>
      <c r="BT527">
        <v>0</v>
      </c>
      <c r="BU527">
        <v>0</v>
      </c>
      <c r="BV527" t="s">
        <v>134</v>
      </c>
      <c r="BX527" s="2" t="s">
        <v>15703</v>
      </c>
      <c r="BY527" t="s">
        <v>15700</v>
      </c>
      <c r="BZ527" t="s">
        <v>138</v>
      </c>
      <c r="CA527" t="s">
        <v>12718</v>
      </c>
      <c r="CB527" t="s">
        <v>232</v>
      </c>
      <c r="CC527" s="4" t="str">
        <f>"77437"</f>
        <v>77437</v>
      </c>
      <c r="CD527" t="s">
        <v>12719</v>
      </c>
      <c r="CE527" t="s">
        <v>1801</v>
      </c>
      <c r="CF527" s="6">
        <v>13.95</v>
      </c>
      <c r="CH527" s="6">
        <v>20.93</v>
      </c>
      <c r="CJ527" t="s">
        <v>137</v>
      </c>
      <c r="CK527" t="s">
        <v>2365</v>
      </c>
      <c r="CL527" t="s">
        <v>15704</v>
      </c>
      <c r="CO527" t="s">
        <v>138</v>
      </c>
      <c r="CP527" t="s">
        <v>114</v>
      </c>
      <c r="CQ527" t="s">
        <v>114</v>
      </c>
      <c r="CR527" t="s">
        <v>114</v>
      </c>
      <c r="CS527" t="s">
        <v>114</v>
      </c>
      <c r="CT527" t="s">
        <v>114</v>
      </c>
      <c r="CU527" t="s">
        <v>134</v>
      </c>
      <c r="CV527" t="s">
        <v>133</v>
      </c>
      <c r="CW527" s="5" t="str">
        <f>"+19795439494"</f>
        <v>+19795439494</v>
      </c>
      <c r="CX527" t="s">
        <v>15702</v>
      </c>
      <c r="CY527" t="s">
        <v>138</v>
      </c>
      <c r="CZ527" t="s">
        <v>139</v>
      </c>
      <c r="DA527" t="s">
        <v>134</v>
      </c>
      <c r="DB527" t="s">
        <v>134</v>
      </c>
      <c r="DC527" t="s">
        <v>114</v>
      </c>
      <c r="DD527" t="s">
        <v>134</v>
      </c>
    </row>
    <row r="528" spans="1:113" ht="15" customHeight="1" x14ac:dyDescent="0.25">
      <c r="A528" t="s">
        <v>11160</v>
      </c>
      <c r="B528" t="s">
        <v>165</v>
      </c>
      <c r="C528" s="1">
        <v>44868.306439699074</v>
      </c>
      <c r="D528" s="1">
        <v>44900</v>
      </c>
      <c r="E528" t="s">
        <v>134</v>
      </c>
      <c r="F528" t="s">
        <v>334</v>
      </c>
      <c r="G528" t="str">
        <f t="shared" si="34"/>
        <v>37-3011.00</v>
      </c>
      <c r="H528" t="s">
        <v>335</v>
      </c>
      <c r="I528">
        <v>16</v>
      </c>
      <c r="J528">
        <v>16</v>
      </c>
      <c r="K528" s="1">
        <v>44958</v>
      </c>
      <c r="L528" s="1">
        <v>45260</v>
      </c>
      <c r="M528" s="1">
        <v>44958</v>
      </c>
      <c r="N528" s="1">
        <v>45260</v>
      </c>
      <c r="O528" t="s">
        <v>117</v>
      </c>
      <c r="P528" t="s">
        <v>11161</v>
      </c>
      <c r="R528" t="s">
        <v>11162</v>
      </c>
      <c r="T528" t="s">
        <v>8493</v>
      </c>
      <c r="U528" t="s">
        <v>232</v>
      </c>
      <c r="V528" s="4" t="str">
        <f>"76036"</f>
        <v>76036</v>
      </c>
      <c r="W528" t="s">
        <v>120</v>
      </c>
      <c r="Y528" s="5">
        <v>18179950324</v>
      </c>
      <c r="AA528">
        <v>56173</v>
      </c>
      <c r="AB528" t="s">
        <v>11163</v>
      </c>
      <c r="AC528" t="s">
        <v>1149</v>
      </c>
      <c r="AE528" t="s">
        <v>424</v>
      </c>
      <c r="AF528" t="s">
        <v>11162</v>
      </c>
      <c r="AH528" t="s">
        <v>8493</v>
      </c>
      <c r="AI528" t="s">
        <v>232</v>
      </c>
      <c r="AJ528" s="4" t="str">
        <f>"76036"</f>
        <v>76036</v>
      </c>
      <c r="AK528" t="s">
        <v>120</v>
      </c>
      <c r="AM528" s="5">
        <v>18179950324</v>
      </c>
      <c r="AO528" t="s">
        <v>11164</v>
      </c>
      <c r="AP528" t="s">
        <v>256</v>
      </c>
      <c r="AQ528" t="s">
        <v>2115</v>
      </c>
      <c r="AR528" t="s">
        <v>2116</v>
      </c>
      <c r="AT528" t="s">
        <v>1930</v>
      </c>
      <c r="AU528" t="s">
        <v>1931</v>
      </c>
      <c r="AV528" t="s">
        <v>1932</v>
      </c>
      <c r="AW528" t="s">
        <v>349</v>
      </c>
      <c r="AX528" s="4" t="str">
        <f>"83814"</f>
        <v>83814</v>
      </c>
      <c r="AY528" t="s">
        <v>120</v>
      </c>
      <c r="BA528" s="5">
        <v>12087772654</v>
      </c>
      <c r="BC528" t="s">
        <v>2117</v>
      </c>
      <c r="BD528" t="s">
        <v>351</v>
      </c>
      <c r="BG528" t="s">
        <v>232</v>
      </c>
      <c r="BH528" s="1">
        <v>44851.833333333336</v>
      </c>
      <c r="BI528">
        <v>40</v>
      </c>
      <c r="BJ528">
        <v>0</v>
      </c>
      <c r="BK528">
        <v>8</v>
      </c>
      <c r="BL528">
        <v>8</v>
      </c>
      <c r="BM528">
        <v>8</v>
      </c>
      <c r="BN528">
        <v>8</v>
      </c>
      <c r="BO528">
        <v>8</v>
      </c>
      <c r="BP528">
        <v>0</v>
      </c>
      <c r="BQ528" t="str">
        <f>"7:00 AM"</f>
        <v>7:00 AM</v>
      </c>
      <c r="BR528" t="str">
        <f t="shared" si="33"/>
        <v>4:00 PM</v>
      </c>
      <c r="BS528" t="s">
        <v>133</v>
      </c>
      <c r="BT528">
        <v>0</v>
      </c>
      <c r="BU528">
        <v>0</v>
      </c>
      <c r="BV528" t="s">
        <v>134</v>
      </c>
      <c r="BX528" s="2" t="s">
        <v>352</v>
      </c>
      <c r="BY528" t="s">
        <v>11165</v>
      </c>
      <c r="CA528" t="s">
        <v>8493</v>
      </c>
      <c r="CB528" t="s">
        <v>232</v>
      </c>
      <c r="CC528" s="4" t="str">
        <f>"76036"</f>
        <v>76036</v>
      </c>
      <c r="CD528" t="s">
        <v>1289</v>
      </c>
      <c r="CE528" t="s">
        <v>1528</v>
      </c>
      <c r="CF528" s="6">
        <v>16.3</v>
      </c>
      <c r="CH528" s="6">
        <v>24.45</v>
      </c>
      <c r="CJ528" t="s">
        <v>137</v>
      </c>
      <c r="CK528" t="s">
        <v>138</v>
      </c>
      <c r="CL528" t="s">
        <v>11166</v>
      </c>
      <c r="CO528" t="s">
        <v>138</v>
      </c>
      <c r="CP528" t="s">
        <v>114</v>
      </c>
      <c r="CQ528" t="s">
        <v>114</v>
      </c>
      <c r="CR528" t="s">
        <v>114</v>
      </c>
      <c r="CS528" t="s">
        <v>114</v>
      </c>
      <c r="CT528" t="s">
        <v>114</v>
      </c>
      <c r="CU528" t="s">
        <v>134</v>
      </c>
      <c r="CV528" t="s">
        <v>358</v>
      </c>
      <c r="CW528" s="5" t="str">
        <f>"+18179950324"</f>
        <v>+18179950324</v>
      </c>
      <c r="CX528" t="s">
        <v>11164</v>
      </c>
      <c r="CY528" t="s">
        <v>138</v>
      </c>
      <c r="CZ528" t="s">
        <v>139</v>
      </c>
      <c r="DA528" t="s">
        <v>134</v>
      </c>
      <c r="DB528" t="s">
        <v>134</v>
      </c>
      <c r="DC528" t="s">
        <v>114</v>
      </c>
      <c r="DD528" t="s">
        <v>134</v>
      </c>
    </row>
    <row r="529" spans="1:108" ht="15" customHeight="1" x14ac:dyDescent="0.25">
      <c r="A529" t="s">
        <v>15707</v>
      </c>
      <c r="B529" t="s">
        <v>165</v>
      </c>
      <c r="C529" s="1">
        <v>44868.087326967594</v>
      </c>
      <c r="D529" s="1">
        <v>44900</v>
      </c>
      <c r="E529" t="s">
        <v>134</v>
      </c>
      <c r="F529" t="s">
        <v>334</v>
      </c>
      <c r="G529" t="str">
        <f t="shared" si="34"/>
        <v>37-3011.00</v>
      </c>
      <c r="H529" t="s">
        <v>335</v>
      </c>
      <c r="I529">
        <v>90</v>
      </c>
      <c r="J529">
        <v>90</v>
      </c>
      <c r="K529" s="1">
        <v>44958</v>
      </c>
      <c r="L529" s="1">
        <v>45261</v>
      </c>
      <c r="M529" s="1">
        <v>44958</v>
      </c>
      <c r="N529" s="1">
        <v>45261</v>
      </c>
      <c r="O529" t="s">
        <v>117</v>
      </c>
      <c r="P529" t="s">
        <v>10276</v>
      </c>
      <c r="R529" t="s">
        <v>10277</v>
      </c>
      <c r="T529" t="s">
        <v>2460</v>
      </c>
      <c r="U529" t="s">
        <v>232</v>
      </c>
      <c r="V529" s="4" t="str">
        <f>"75006"</f>
        <v>75006</v>
      </c>
      <c r="W529" t="s">
        <v>120</v>
      </c>
      <c r="Y529" s="5">
        <v>19724884769</v>
      </c>
      <c r="AA529">
        <v>5617</v>
      </c>
      <c r="AB529" t="s">
        <v>4155</v>
      </c>
      <c r="AC529" t="s">
        <v>536</v>
      </c>
      <c r="AD529" t="s">
        <v>2856</v>
      </c>
      <c r="AE529" t="s">
        <v>10278</v>
      </c>
      <c r="AF529" t="s">
        <v>10277</v>
      </c>
      <c r="AH529" t="s">
        <v>2460</v>
      </c>
      <c r="AI529" t="s">
        <v>232</v>
      </c>
      <c r="AJ529" s="4" t="str">
        <f>"75006"</f>
        <v>75006</v>
      </c>
      <c r="AK529" t="s">
        <v>120</v>
      </c>
      <c r="AM529" s="5">
        <v>19724884769</v>
      </c>
      <c r="AO529" t="s">
        <v>10279</v>
      </c>
      <c r="AP529" t="s">
        <v>256</v>
      </c>
      <c r="AQ529" t="s">
        <v>400</v>
      </c>
      <c r="AR529" t="s">
        <v>401</v>
      </c>
      <c r="AS529" t="s">
        <v>397</v>
      </c>
      <c r="AT529" t="s">
        <v>402</v>
      </c>
      <c r="AU529" t="s">
        <v>152</v>
      </c>
      <c r="AV529" t="s">
        <v>403</v>
      </c>
      <c r="AW529" t="s">
        <v>232</v>
      </c>
      <c r="AX529" s="4" t="str">
        <f>"75033"</f>
        <v>75033</v>
      </c>
      <c r="AY529" t="s">
        <v>120</v>
      </c>
      <c r="BA529" s="5">
        <v>19727789690</v>
      </c>
      <c r="BC529" t="s">
        <v>1534</v>
      </c>
      <c r="BD529" t="s">
        <v>405</v>
      </c>
      <c r="BG529" t="s">
        <v>232</v>
      </c>
      <c r="BH529" s="1">
        <v>44867.833333333336</v>
      </c>
      <c r="BI529">
        <v>40</v>
      </c>
      <c r="BJ529">
        <v>0</v>
      </c>
      <c r="BK529">
        <v>8</v>
      </c>
      <c r="BL529">
        <v>8</v>
      </c>
      <c r="BM529">
        <v>8</v>
      </c>
      <c r="BN529">
        <v>8</v>
      </c>
      <c r="BO529">
        <v>8</v>
      </c>
      <c r="BP529">
        <v>0</v>
      </c>
      <c r="BQ529" t="str">
        <f>"7:30 AM"</f>
        <v>7:30 AM</v>
      </c>
      <c r="BR529" t="str">
        <f>"4:30 PM"</f>
        <v>4:30 PM</v>
      </c>
      <c r="BS529" t="s">
        <v>133</v>
      </c>
      <c r="BT529">
        <v>0</v>
      </c>
      <c r="BU529">
        <v>0</v>
      </c>
      <c r="BV529" t="s">
        <v>134</v>
      </c>
      <c r="BX529" s="2" t="s">
        <v>15708</v>
      </c>
      <c r="BY529" t="s">
        <v>10277</v>
      </c>
      <c r="CA529" t="s">
        <v>2460</v>
      </c>
      <c r="CB529" t="s">
        <v>232</v>
      </c>
      <c r="CC529" s="4" t="str">
        <f>"75006"</f>
        <v>75006</v>
      </c>
      <c r="CD529" t="s">
        <v>1482</v>
      </c>
      <c r="CE529" t="s">
        <v>1528</v>
      </c>
      <c r="CF529" s="6">
        <v>16.3</v>
      </c>
      <c r="CG529" s="6">
        <v>16.3</v>
      </c>
      <c r="CH529" s="6">
        <v>24.45</v>
      </c>
      <c r="CI529" s="6">
        <v>24.45</v>
      </c>
      <c r="CJ529" t="s">
        <v>137</v>
      </c>
      <c r="CK529" t="s">
        <v>950</v>
      </c>
      <c r="CL529" t="s">
        <v>15709</v>
      </c>
      <c r="CO529" t="s">
        <v>138</v>
      </c>
      <c r="CP529" t="s">
        <v>114</v>
      </c>
      <c r="CQ529" t="s">
        <v>114</v>
      </c>
      <c r="CR529" t="s">
        <v>114</v>
      </c>
      <c r="CS529" t="s">
        <v>114</v>
      </c>
      <c r="CT529" t="s">
        <v>114</v>
      </c>
      <c r="CU529" t="s">
        <v>114</v>
      </c>
      <c r="CV529" s="2" t="s">
        <v>10283</v>
      </c>
      <c r="CW529" s="5" t="str">
        <f>"+19724884769"</f>
        <v>+19724884769</v>
      </c>
      <c r="CX529" t="s">
        <v>138</v>
      </c>
      <c r="CY529" t="s">
        <v>953</v>
      </c>
      <c r="CZ529" t="s">
        <v>139</v>
      </c>
      <c r="DA529" t="s">
        <v>134</v>
      </c>
      <c r="DB529" t="s">
        <v>114</v>
      </c>
      <c r="DC529" t="s">
        <v>114</v>
      </c>
      <c r="DD529" t="s">
        <v>134</v>
      </c>
    </row>
    <row r="530" spans="1:108" ht="15" customHeight="1" x14ac:dyDescent="0.25">
      <c r="A530" t="s">
        <v>10275</v>
      </c>
      <c r="B530" t="s">
        <v>165</v>
      </c>
      <c r="C530" s="1">
        <v>44868.082581134258</v>
      </c>
      <c r="D530" s="1">
        <v>44900</v>
      </c>
      <c r="E530" t="s">
        <v>134</v>
      </c>
      <c r="F530" t="s">
        <v>334</v>
      </c>
      <c r="G530" t="str">
        <f t="shared" si="34"/>
        <v>37-3011.00</v>
      </c>
      <c r="H530" t="s">
        <v>335</v>
      </c>
      <c r="I530">
        <v>50</v>
      </c>
      <c r="J530">
        <v>50</v>
      </c>
      <c r="K530" s="1">
        <v>44958</v>
      </c>
      <c r="L530" s="1">
        <v>45261</v>
      </c>
      <c r="M530" s="1">
        <v>44958</v>
      </c>
      <c r="N530" s="1">
        <v>45261</v>
      </c>
      <c r="O530" t="s">
        <v>117</v>
      </c>
      <c r="P530" t="s">
        <v>10276</v>
      </c>
      <c r="R530" t="s">
        <v>10277</v>
      </c>
      <c r="T530" t="s">
        <v>2460</v>
      </c>
      <c r="U530" t="s">
        <v>232</v>
      </c>
      <c r="V530" s="4" t="str">
        <f>"75006"</f>
        <v>75006</v>
      </c>
      <c r="W530" t="s">
        <v>120</v>
      </c>
      <c r="Y530" s="5">
        <v>19724884769</v>
      </c>
      <c r="AA530">
        <v>5617</v>
      </c>
      <c r="AB530" t="s">
        <v>4155</v>
      </c>
      <c r="AC530" t="s">
        <v>536</v>
      </c>
      <c r="AD530" t="s">
        <v>2856</v>
      </c>
      <c r="AE530" t="s">
        <v>10278</v>
      </c>
      <c r="AF530" t="s">
        <v>10277</v>
      </c>
      <c r="AH530" t="s">
        <v>2460</v>
      </c>
      <c r="AI530" t="s">
        <v>232</v>
      </c>
      <c r="AJ530" s="4" t="str">
        <f>"75006"</f>
        <v>75006</v>
      </c>
      <c r="AK530" t="s">
        <v>120</v>
      </c>
      <c r="AM530" s="5">
        <v>19724884769</v>
      </c>
      <c r="AO530" t="s">
        <v>10279</v>
      </c>
      <c r="AP530" t="s">
        <v>256</v>
      </c>
      <c r="AQ530" t="s">
        <v>400</v>
      </c>
      <c r="AR530" t="s">
        <v>401</v>
      </c>
      <c r="AS530" t="s">
        <v>397</v>
      </c>
      <c r="AT530" t="s">
        <v>402</v>
      </c>
      <c r="AU530" t="s">
        <v>152</v>
      </c>
      <c r="AV530" t="s">
        <v>403</v>
      </c>
      <c r="AW530" t="s">
        <v>232</v>
      </c>
      <c r="AX530" s="4" t="str">
        <f>"75033"</f>
        <v>75033</v>
      </c>
      <c r="AY530" t="s">
        <v>120</v>
      </c>
      <c r="BA530" s="5">
        <v>19727789690</v>
      </c>
      <c r="BC530" t="s">
        <v>1534</v>
      </c>
      <c r="BD530" t="s">
        <v>405</v>
      </c>
      <c r="BG530" t="s">
        <v>232</v>
      </c>
      <c r="BH530" s="1">
        <v>44867.833333333336</v>
      </c>
      <c r="BI530">
        <v>40</v>
      </c>
      <c r="BJ530">
        <v>0</v>
      </c>
      <c r="BK530">
        <v>8</v>
      </c>
      <c r="BL530">
        <v>8</v>
      </c>
      <c r="BM530">
        <v>8</v>
      </c>
      <c r="BN530">
        <v>8</v>
      </c>
      <c r="BO530">
        <v>8</v>
      </c>
      <c r="BP530">
        <v>0</v>
      </c>
      <c r="BQ530" t="str">
        <f>"7:30 AM"</f>
        <v>7:30 AM</v>
      </c>
      <c r="BR530" t="str">
        <f>"4:30 PM"</f>
        <v>4:30 PM</v>
      </c>
      <c r="BS530" t="s">
        <v>133</v>
      </c>
      <c r="BT530">
        <v>0</v>
      </c>
      <c r="BU530">
        <v>0</v>
      </c>
      <c r="BV530" t="s">
        <v>134</v>
      </c>
      <c r="BX530" s="2" t="s">
        <v>10280</v>
      </c>
      <c r="BY530" t="s">
        <v>10281</v>
      </c>
      <c r="CA530" t="s">
        <v>1545</v>
      </c>
      <c r="CB530" t="s">
        <v>232</v>
      </c>
      <c r="CC530" s="4" t="str">
        <f>"77043"</f>
        <v>77043</v>
      </c>
      <c r="CD530" t="s">
        <v>3290</v>
      </c>
      <c r="CE530" t="s">
        <v>873</v>
      </c>
      <c r="CF530" s="6">
        <v>15.56</v>
      </c>
      <c r="CG530" s="6">
        <v>15.56</v>
      </c>
      <c r="CH530" s="6">
        <v>23.34</v>
      </c>
      <c r="CI530" s="6">
        <v>23.34</v>
      </c>
      <c r="CJ530" t="s">
        <v>137</v>
      </c>
      <c r="CK530" t="s">
        <v>950</v>
      </c>
      <c r="CL530" t="s">
        <v>10282</v>
      </c>
      <c r="CO530" t="s">
        <v>138</v>
      </c>
      <c r="CP530" t="s">
        <v>114</v>
      </c>
      <c r="CQ530" t="s">
        <v>114</v>
      </c>
      <c r="CR530" t="s">
        <v>114</v>
      </c>
      <c r="CS530" t="s">
        <v>114</v>
      </c>
      <c r="CT530" t="s">
        <v>114</v>
      </c>
      <c r="CU530" t="s">
        <v>114</v>
      </c>
      <c r="CV530" s="2" t="s">
        <v>10283</v>
      </c>
      <c r="CW530" s="5" t="str">
        <f>"+19724884769"</f>
        <v>+19724884769</v>
      </c>
      <c r="CX530" t="s">
        <v>138</v>
      </c>
      <c r="CY530" t="s">
        <v>953</v>
      </c>
      <c r="CZ530" t="s">
        <v>139</v>
      </c>
      <c r="DA530" t="s">
        <v>134</v>
      </c>
      <c r="DB530" t="s">
        <v>114</v>
      </c>
      <c r="DC530" t="s">
        <v>114</v>
      </c>
      <c r="DD530" t="s">
        <v>134</v>
      </c>
    </row>
    <row r="531" spans="1:108" ht="15" customHeight="1" x14ac:dyDescent="0.25">
      <c r="A531" t="s">
        <v>11981</v>
      </c>
      <c r="B531" t="s">
        <v>165</v>
      </c>
      <c r="C531" s="1">
        <v>44868.008710995367</v>
      </c>
      <c r="D531" s="1">
        <v>44900</v>
      </c>
      <c r="E531" t="s">
        <v>134</v>
      </c>
      <c r="F531" t="s">
        <v>334</v>
      </c>
      <c r="G531" t="str">
        <f t="shared" si="34"/>
        <v>37-3011.00</v>
      </c>
      <c r="H531" t="s">
        <v>335</v>
      </c>
      <c r="I531">
        <v>3</v>
      </c>
      <c r="J531">
        <v>3</v>
      </c>
      <c r="K531" s="1">
        <v>44958</v>
      </c>
      <c r="L531" s="1">
        <v>45260</v>
      </c>
      <c r="M531" s="1">
        <v>44958</v>
      </c>
      <c r="N531" s="1">
        <v>45260</v>
      </c>
      <c r="O531" t="s">
        <v>117</v>
      </c>
      <c r="P531" t="s">
        <v>11982</v>
      </c>
      <c r="R531" t="s">
        <v>11983</v>
      </c>
      <c r="T531" t="s">
        <v>721</v>
      </c>
      <c r="U531" t="s">
        <v>214</v>
      </c>
      <c r="V531" s="4" t="str">
        <f>"70767"</f>
        <v>70767</v>
      </c>
      <c r="W531" t="s">
        <v>120</v>
      </c>
      <c r="Y531" s="5">
        <v>12257497777</v>
      </c>
      <c r="AA531">
        <v>56173</v>
      </c>
      <c r="AB531" t="s">
        <v>6909</v>
      </c>
      <c r="AC531" t="s">
        <v>11984</v>
      </c>
      <c r="AE531" t="s">
        <v>424</v>
      </c>
      <c r="AF531" t="s">
        <v>11983</v>
      </c>
      <c r="AH531" t="s">
        <v>721</v>
      </c>
      <c r="AI531" t="s">
        <v>214</v>
      </c>
      <c r="AJ531" s="4" t="str">
        <f>"70767"</f>
        <v>70767</v>
      </c>
      <c r="AK531" t="s">
        <v>120</v>
      </c>
      <c r="AM531" s="5">
        <v>12257497777</v>
      </c>
      <c r="AO531" t="s">
        <v>11985</v>
      </c>
      <c r="AP531" t="s">
        <v>256</v>
      </c>
      <c r="AQ531" t="s">
        <v>3181</v>
      </c>
      <c r="AR531" t="s">
        <v>3182</v>
      </c>
      <c r="AT531" t="s">
        <v>346</v>
      </c>
      <c r="AU531" t="s">
        <v>347</v>
      </c>
      <c r="AV531" t="s">
        <v>828</v>
      </c>
      <c r="AW531" t="s">
        <v>349</v>
      </c>
      <c r="AX531" s="4" t="str">
        <f>"83814"</f>
        <v>83814</v>
      </c>
      <c r="AY531" t="s">
        <v>120</v>
      </c>
      <c r="BA531" s="5">
        <v>12087772654</v>
      </c>
      <c r="BC531" t="s">
        <v>3183</v>
      </c>
      <c r="BD531" t="s">
        <v>351</v>
      </c>
      <c r="BG531" t="s">
        <v>214</v>
      </c>
      <c r="BH531" s="1">
        <v>44864.833333333336</v>
      </c>
      <c r="BI531">
        <v>40</v>
      </c>
      <c r="BJ531">
        <v>0</v>
      </c>
      <c r="BK531">
        <v>8</v>
      </c>
      <c r="BL531">
        <v>8</v>
      </c>
      <c r="BM531">
        <v>8</v>
      </c>
      <c r="BN531">
        <v>8</v>
      </c>
      <c r="BO531">
        <v>8</v>
      </c>
      <c r="BP531">
        <v>0</v>
      </c>
      <c r="BQ531" t="str">
        <f>"7:00 AM"</f>
        <v>7:00 AM</v>
      </c>
      <c r="BR531" t="str">
        <f>"4:00 PM"</f>
        <v>4:00 PM</v>
      </c>
      <c r="BS531" t="s">
        <v>133</v>
      </c>
      <c r="BT531">
        <v>0</v>
      </c>
      <c r="BU531">
        <v>0</v>
      </c>
      <c r="BV531" t="s">
        <v>134</v>
      </c>
      <c r="BX531" s="2" t="s">
        <v>352</v>
      </c>
      <c r="BY531" t="s">
        <v>11986</v>
      </c>
      <c r="CA531" t="s">
        <v>721</v>
      </c>
      <c r="CB531" t="s">
        <v>214</v>
      </c>
      <c r="CC531" s="4" t="str">
        <f>"70767"</f>
        <v>70767</v>
      </c>
      <c r="CD531" t="s">
        <v>736</v>
      </c>
      <c r="CE531" t="s">
        <v>737</v>
      </c>
      <c r="CF531" s="6">
        <v>14.87</v>
      </c>
      <c r="CG531" s="6">
        <v>18</v>
      </c>
      <c r="CH531" s="6">
        <v>22.31</v>
      </c>
      <c r="CI531" s="6">
        <v>27</v>
      </c>
      <c r="CJ531" t="s">
        <v>137</v>
      </c>
      <c r="CK531" t="s">
        <v>356</v>
      </c>
      <c r="CL531" t="s">
        <v>11987</v>
      </c>
      <c r="CO531" t="s">
        <v>138</v>
      </c>
      <c r="CP531" t="s">
        <v>114</v>
      </c>
      <c r="CQ531" t="s">
        <v>114</v>
      </c>
      <c r="CR531" t="s">
        <v>114</v>
      </c>
      <c r="CS531" t="s">
        <v>114</v>
      </c>
      <c r="CT531" t="s">
        <v>114</v>
      </c>
      <c r="CU531" t="s">
        <v>134</v>
      </c>
      <c r="CV531" t="s">
        <v>358</v>
      </c>
      <c r="CW531" s="5" t="str">
        <f>"+12257497777"</f>
        <v>+12257497777</v>
      </c>
      <c r="CX531" t="s">
        <v>11988</v>
      </c>
      <c r="CY531" t="s">
        <v>138</v>
      </c>
      <c r="CZ531" t="s">
        <v>139</v>
      </c>
      <c r="DA531" t="s">
        <v>134</v>
      </c>
      <c r="DB531" t="s">
        <v>134</v>
      </c>
      <c r="DC531" t="s">
        <v>114</v>
      </c>
      <c r="DD531" t="s">
        <v>134</v>
      </c>
    </row>
    <row r="532" spans="1:108" ht="15" customHeight="1" x14ac:dyDescent="0.25">
      <c r="A532" t="s">
        <v>3175</v>
      </c>
      <c r="B532" t="s">
        <v>165</v>
      </c>
      <c r="C532" s="1">
        <v>44868.006928240742</v>
      </c>
      <c r="D532" s="1">
        <v>44900</v>
      </c>
      <c r="E532" t="s">
        <v>134</v>
      </c>
      <c r="F532" t="s">
        <v>334</v>
      </c>
      <c r="G532" t="str">
        <f t="shared" si="34"/>
        <v>37-3011.00</v>
      </c>
      <c r="H532" t="s">
        <v>335</v>
      </c>
      <c r="I532">
        <v>5</v>
      </c>
      <c r="J532">
        <v>5</v>
      </c>
      <c r="K532" s="1">
        <v>44958</v>
      </c>
      <c r="L532" s="1">
        <v>45260</v>
      </c>
      <c r="M532" s="1">
        <v>44958</v>
      </c>
      <c r="N532" s="1">
        <v>45260</v>
      </c>
      <c r="O532" t="s">
        <v>199</v>
      </c>
      <c r="P532" t="s">
        <v>3176</v>
      </c>
      <c r="R532" t="s">
        <v>3177</v>
      </c>
      <c r="T532" t="s">
        <v>3178</v>
      </c>
      <c r="U532" t="s">
        <v>339</v>
      </c>
      <c r="V532" s="4" t="str">
        <f>"21015"</f>
        <v>21015</v>
      </c>
      <c r="W532" t="s">
        <v>120</v>
      </c>
      <c r="Y532" s="5">
        <v>14108365296</v>
      </c>
      <c r="AA532">
        <v>56173</v>
      </c>
      <c r="AB532" t="s">
        <v>3179</v>
      </c>
      <c r="AC532" t="s">
        <v>258</v>
      </c>
      <c r="AE532" t="s">
        <v>2623</v>
      </c>
      <c r="AF532" t="s">
        <v>3177</v>
      </c>
      <c r="AH532" t="s">
        <v>3178</v>
      </c>
      <c r="AI532" t="s">
        <v>339</v>
      </c>
      <c r="AJ532" s="4" t="str">
        <f>"21015"</f>
        <v>21015</v>
      </c>
      <c r="AK532" t="s">
        <v>120</v>
      </c>
      <c r="AM532" s="5">
        <v>14108365296</v>
      </c>
      <c r="AO532" t="s">
        <v>3180</v>
      </c>
      <c r="AP532" t="s">
        <v>256</v>
      </c>
      <c r="AQ532" t="s">
        <v>3181</v>
      </c>
      <c r="AR532" t="s">
        <v>3182</v>
      </c>
      <c r="AT532" t="s">
        <v>346</v>
      </c>
      <c r="AU532" t="s">
        <v>347</v>
      </c>
      <c r="AV532" t="s">
        <v>828</v>
      </c>
      <c r="AW532" t="s">
        <v>349</v>
      </c>
      <c r="AX532" s="4" t="str">
        <f>"83814"</f>
        <v>83814</v>
      </c>
      <c r="AY532" t="s">
        <v>120</v>
      </c>
      <c r="BA532" s="5">
        <v>12087772654</v>
      </c>
      <c r="BC532" t="s">
        <v>3183</v>
      </c>
      <c r="BD532" t="s">
        <v>351</v>
      </c>
      <c r="BG532" t="s">
        <v>339</v>
      </c>
      <c r="BH532" s="1">
        <v>44852.833333333336</v>
      </c>
      <c r="BI532">
        <v>40</v>
      </c>
      <c r="BJ532">
        <v>0</v>
      </c>
      <c r="BK532">
        <v>8</v>
      </c>
      <c r="BL532">
        <v>8</v>
      </c>
      <c r="BM532">
        <v>8</v>
      </c>
      <c r="BN532">
        <v>8</v>
      </c>
      <c r="BO532">
        <v>8</v>
      </c>
      <c r="BP532">
        <v>0</v>
      </c>
      <c r="BQ532" t="str">
        <f>"7:30 AM"</f>
        <v>7:30 AM</v>
      </c>
      <c r="BR532" t="str">
        <f>"4:30 PM"</f>
        <v>4:30 PM</v>
      </c>
      <c r="BS532" t="s">
        <v>133</v>
      </c>
      <c r="BT532">
        <v>0</v>
      </c>
      <c r="BU532">
        <v>0</v>
      </c>
      <c r="BV532" t="s">
        <v>134</v>
      </c>
      <c r="BX532" s="2" t="s">
        <v>352</v>
      </c>
      <c r="BY532" t="s">
        <v>3184</v>
      </c>
      <c r="CA532" t="s">
        <v>3178</v>
      </c>
      <c r="CB532" t="s">
        <v>339</v>
      </c>
      <c r="CC532" s="4" t="str">
        <f>"21015"</f>
        <v>21015</v>
      </c>
      <c r="CD532" t="s">
        <v>2811</v>
      </c>
      <c r="CE532" t="s">
        <v>1673</v>
      </c>
      <c r="CF532" s="6">
        <v>17.579999999999998</v>
      </c>
      <c r="CH532" s="6">
        <v>26.37</v>
      </c>
      <c r="CJ532" t="s">
        <v>137</v>
      </c>
      <c r="CL532" t="s">
        <v>3185</v>
      </c>
      <c r="CO532" t="s">
        <v>138</v>
      </c>
      <c r="CP532" t="s">
        <v>114</v>
      </c>
      <c r="CQ532" t="s">
        <v>114</v>
      </c>
      <c r="CR532" t="s">
        <v>114</v>
      </c>
      <c r="CS532" t="s">
        <v>114</v>
      </c>
      <c r="CT532" t="s">
        <v>114</v>
      </c>
      <c r="CU532" t="s">
        <v>134</v>
      </c>
      <c r="CV532" t="s">
        <v>358</v>
      </c>
      <c r="CW532" s="5" t="str">
        <f>"+14108365296"</f>
        <v>+14108365296</v>
      </c>
      <c r="CX532" t="s">
        <v>3186</v>
      </c>
      <c r="CY532" t="s">
        <v>138</v>
      </c>
      <c r="CZ532" t="s">
        <v>139</v>
      </c>
      <c r="DA532" t="s">
        <v>134</v>
      </c>
      <c r="DB532" t="s">
        <v>134</v>
      </c>
      <c r="DC532" t="s">
        <v>114</v>
      </c>
      <c r="DD532" t="s">
        <v>134</v>
      </c>
    </row>
    <row r="533" spans="1:108" ht="15" customHeight="1" x14ac:dyDescent="0.25">
      <c r="A533" t="s">
        <v>9387</v>
      </c>
      <c r="B533" t="s">
        <v>165</v>
      </c>
      <c r="C533" s="1">
        <v>44868.003298958334</v>
      </c>
      <c r="D533" s="1">
        <v>44900</v>
      </c>
      <c r="E533" t="s">
        <v>134</v>
      </c>
      <c r="F533" t="s">
        <v>334</v>
      </c>
      <c r="G533" t="str">
        <f t="shared" si="34"/>
        <v>37-3011.00</v>
      </c>
      <c r="H533" t="s">
        <v>335</v>
      </c>
      <c r="I533">
        <v>18</v>
      </c>
      <c r="J533">
        <v>18</v>
      </c>
      <c r="K533" s="1">
        <v>44958</v>
      </c>
      <c r="L533" s="1">
        <v>45242</v>
      </c>
      <c r="M533" s="1">
        <v>44958</v>
      </c>
      <c r="N533" s="1">
        <v>45242</v>
      </c>
      <c r="O533" t="s">
        <v>117</v>
      </c>
      <c r="P533" t="s">
        <v>9388</v>
      </c>
      <c r="R533" t="s">
        <v>9389</v>
      </c>
      <c r="T533" t="s">
        <v>1626</v>
      </c>
      <c r="U533" t="s">
        <v>697</v>
      </c>
      <c r="V533" s="4" t="str">
        <f>"63010"</f>
        <v>63010</v>
      </c>
      <c r="W533" t="s">
        <v>120</v>
      </c>
      <c r="Y533" s="5">
        <v>16362964660</v>
      </c>
      <c r="AA533">
        <v>56173</v>
      </c>
      <c r="AB533" t="s">
        <v>9390</v>
      </c>
      <c r="AC533" t="s">
        <v>396</v>
      </c>
      <c r="AE533" t="s">
        <v>1849</v>
      </c>
      <c r="AF533" t="s">
        <v>9389</v>
      </c>
      <c r="AH533" t="s">
        <v>1626</v>
      </c>
      <c r="AI533" t="s">
        <v>697</v>
      </c>
      <c r="AJ533" s="4" t="str">
        <f>"63010"</f>
        <v>63010</v>
      </c>
      <c r="AK533" t="s">
        <v>120</v>
      </c>
      <c r="AM533" s="5">
        <v>16362964660</v>
      </c>
      <c r="AO533" t="s">
        <v>9391</v>
      </c>
      <c r="AP533" t="s">
        <v>256</v>
      </c>
      <c r="AQ533" t="s">
        <v>400</v>
      </c>
      <c r="AR533" t="s">
        <v>401</v>
      </c>
      <c r="AS533" t="s">
        <v>397</v>
      </c>
      <c r="AT533" t="s">
        <v>402</v>
      </c>
      <c r="AU533" t="s">
        <v>152</v>
      </c>
      <c r="AV533" t="s">
        <v>403</v>
      </c>
      <c r="AW533" t="s">
        <v>232</v>
      </c>
      <c r="AX533" s="4" t="str">
        <f>"75033"</f>
        <v>75033</v>
      </c>
      <c r="AY533" t="s">
        <v>120</v>
      </c>
      <c r="BA533" s="5">
        <v>19727789690</v>
      </c>
      <c r="BC533" t="s">
        <v>1239</v>
      </c>
      <c r="BD533" t="s">
        <v>405</v>
      </c>
      <c r="BG533" t="s">
        <v>697</v>
      </c>
      <c r="BH533" s="1">
        <v>44867.833333333336</v>
      </c>
      <c r="BI533">
        <v>40</v>
      </c>
      <c r="BJ533">
        <v>0</v>
      </c>
      <c r="BK533">
        <v>8</v>
      </c>
      <c r="BL533">
        <v>8</v>
      </c>
      <c r="BM533">
        <v>0</v>
      </c>
      <c r="BN533">
        <v>8</v>
      </c>
      <c r="BO533">
        <v>8</v>
      </c>
      <c r="BP533">
        <v>8</v>
      </c>
      <c r="BQ533" t="str">
        <f>"7:30 AM"</f>
        <v>7:30 AM</v>
      </c>
      <c r="BR533" t="str">
        <f>"4:00 PM"</f>
        <v>4:00 PM</v>
      </c>
      <c r="BS533" t="s">
        <v>133</v>
      </c>
      <c r="BT533">
        <v>0</v>
      </c>
      <c r="BU533">
        <v>0</v>
      </c>
      <c r="BV533" t="s">
        <v>134</v>
      </c>
      <c r="BX533" s="2" t="s">
        <v>9392</v>
      </c>
      <c r="BY533" t="s">
        <v>9393</v>
      </c>
      <c r="CA533" t="s">
        <v>4592</v>
      </c>
      <c r="CB533" t="s">
        <v>697</v>
      </c>
      <c r="CC533" s="4" t="str">
        <f>"63010"</f>
        <v>63010</v>
      </c>
      <c r="CD533" t="s">
        <v>1387</v>
      </c>
      <c r="CE533" t="s">
        <v>713</v>
      </c>
      <c r="CF533" s="6">
        <v>16.96</v>
      </c>
      <c r="CG533" s="6">
        <v>16.96</v>
      </c>
      <c r="CH533" s="6">
        <v>25.44</v>
      </c>
      <c r="CI533" s="6">
        <v>25.44</v>
      </c>
      <c r="CJ533" t="s">
        <v>137</v>
      </c>
      <c r="CK533" t="s">
        <v>8911</v>
      </c>
      <c r="CL533" t="s">
        <v>9394</v>
      </c>
      <c r="CO533" t="s">
        <v>138</v>
      </c>
      <c r="CP533" t="s">
        <v>114</v>
      </c>
      <c r="CQ533" t="s">
        <v>114</v>
      </c>
      <c r="CR533" t="s">
        <v>114</v>
      </c>
      <c r="CS533" t="s">
        <v>114</v>
      </c>
      <c r="CT533" t="s">
        <v>114</v>
      </c>
      <c r="CU533" t="s">
        <v>114</v>
      </c>
      <c r="CV533" s="2" t="s">
        <v>9395</v>
      </c>
      <c r="CW533" s="5" t="str">
        <f>"+16362964660"</f>
        <v>+16362964660</v>
      </c>
      <c r="CX533" t="s">
        <v>138</v>
      </c>
      <c r="CY533" t="s">
        <v>2432</v>
      </c>
      <c r="CZ533" t="s">
        <v>139</v>
      </c>
      <c r="DA533" t="s">
        <v>134</v>
      </c>
      <c r="DB533" t="s">
        <v>114</v>
      </c>
      <c r="DC533" t="s">
        <v>114</v>
      </c>
      <c r="DD533" t="s">
        <v>134</v>
      </c>
    </row>
    <row r="534" spans="1:108" ht="15" customHeight="1" x14ac:dyDescent="0.25">
      <c r="A534" t="s">
        <v>12881</v>
      </c>
      <c r="B534" t="s">
        <v>165</v>
      </c>
      <c r="C534" s="1">
        <v>44868.001841550926</v>
      </c>
      <c r="D534" s="1">
        <v>44900</v>
      </c>
      <c r="E534" t="s">
        <v>134</v>
      </c>
      <c r="F534" t="s">
        <v>1658</v>
      </c>
      <c r="G534" t="str">
        <f t="shared" si="34"/>
        <v>37-3011.00</v>
      </c>
      <c r="H534" t="s">
        <v>335</v>
      </c>
      <c r="I534">
        <v>21</v>
      </c>
      <c r="J534">
        <v>21</v>
      </c>
      <c r="K534" s="1">
        <v>44958</v>
      </c>
      <c r="L534" s="1">
        <v>45260</v>
      </c>
      <c r="M534" s="1">
        <v>44958</v>
      </c>
      <c r="N534" s="1">
        <v>45260</v>
      </c>
      <c r="O534" t="s">
        <v>117</v>
      </c>
      <c r="P534" t="s">
        <v>1921</v>
      </c>
      <c r="R534" t="s">
        <v>1922</v>
      </c>
      <c r="T534" t="s">
        <v>1923</v>
      </c>
      <c r="U534" t="s">
        <v>339</v>
      </c>
      <c r="V534" s="4" t="str">
        <f>"20882"</f>
        <v>20882</v>
      </c>
      <c r="W534" t="s">
        <v>120</v>
      </c>
      <c r="Y534" s="5">
        <v>13014820300</v>
      </c>
      <c r="AA534">
        <v>56173</v>
      </c>
      <c r="AB534" t="s">
        <v>1924</v>
      </c>
      <c r="AC534" t="s">
        <v>1925</v>
      </c>
      <c r="AD534" t="s">
        <v>138</v>
      </c>
      <c r="AE534" t="s">
        <v>1926</v>
      </c>
      <c r="AF534" t="s">
        <v>1922</v>
      </c>
      <c r="AH534" t="s">
        <v>1923</v>
      </c>
      <c r="AI534" t="s">
        <v>339</v>
      </c>
      <c r="AJ534" s="4" t="str">
        <f>"20882"</f>
        <v>20882</v>
      </c>
      <c r="AK534" t="s">
        <v>120</v>
      </c>
      <c r="AM534" s="5">
        <v>13014820300</v>
      </c>
      <c r="AO534" t="s">
        <v>1927</v>
      </c>
      <c r="AP534" t="s">
        <v>256</v>
      </c>
      <c r="AQ534" t="s">
        <v>1928</v>
      </c>
      <c r="AR534" t="s">
        <v>1929</v>
      </c>
      <c r="AS534" t="s">
        <v>1685</v>
      </c>
      <c r="AT534" t="s">
        <v>1930</v>
      </c>
      <c r="AU534" t="s">
        <v>1931</v>
      </c>
      <c r="AV534" t="s">
        <v>1932</v>
      </c>
      <c r="AW534" t="s">
        <v>349</v>
      </c>
      <c r="AX534" s="4" t="str">
        <f>"83814"</f>
        <v>83814</v>
      </c>
      <c r="AY534" t="s">
        <v>120</v>
      </c>
      <c r="BA534" s="5">
        <v>12087772654</v>
      </c>
      <c r="BC534" t="s">
        <v>1933</v>
      </c>
      <c r="BD534" t="s">
        <v>351</v>
      </c>
      <c r="BG534" t="s">
        <v>232</v>
      </c>
      <c r="BH534" s="1">
        <v>44858.833333333336</v>
      </c>
      <c r="BI534">
        <v>40</v>
      </c>
      <c r="BJ534">
        <v>0</v>
      </c>
      <c r="BK534">
        <v>8</v>
      </c>
      <c r="BL534">
        <v>8</v>
      </c>
      <c r="BM534">
        <v>8</v>
      </c>
      <c r="BN534">
        <v>8</v>
      </c>
      <c r="BO534">
        <v>8</v>
      </c>
      <c r="BP534">
        <v>0</v>
      </c>
      <c r="BQ534" t="str">
        <f>"6:30 AM"</f>
        <v>6:30 AM</v>
      </c>
      <c r="BR534" t="str">
        <f>"3:30 PM"</f>
        <v>3:30 PM</v>
      </c>
      <c r="BS534" t="s">
        <v>133</v>
      </c>
      <c r="BT534">
        <v>0</v>
      </c>
      <c r="BU534">
        <v>0</v>
      </c>
      <c r="BV534" t="s">
        <v>134</v>
      </c>
      <c r="BX534" s="2" t="s">
        <v>1934</v>
      </c>
      <c r="BY534" t="s">
        <v>12882</v>
      </c>
      <c r="CA534" t="s">
        <v>307</v>
      </c>
      <c r="CB534" t="s">
        <v>232</v>
      </c>
      <c r="CC534" s="4" t="str">
        <f>"77373"</f>
        <v>77373</v>
      </c>
      <c r="CD534" t="s">
        <v>3290</v>
      </c>
      <c r="CE534" t="s">
        <v>873</v>
      </c>
      <c r="CF534" s="6">
        <v>15.56</v>
      </c>
      <c r="CG534" s="6">
        <v>17</v>
      </c>
      <c r="CH534" s="6">
        <v>23.34</v>
      </c>
      <c r="CI534" s="6">
        <v>25.5</v>
      </c>
      <c r="CJ534" t="s">
        <v>137</v>
      </c>
      <c r="CK534" t="s">
        <v>356</v>
      </c>
      <c r="CL534" t="s">
        <v>12883</v>
      </c>
      <c r="CO534" t="s">
        <v>138</v>
      </c>
      <c r="CP534" t="s">
        <v>114</v>
      </c>
      <c r="CQ534" t="s">
        <v>114</v>
      </c>
      <c r="CR534" t="s">
        <v>114</v>
      </c>
      <c r="CS534" t="s">
        <v>114</v>
      </c>
      <c r="CT534" t="s">
        <v>114</v>
      </c>
      <c r="CU534" t="s">
        <v>114</v>
      </c>
      <c r="CV534" s="2" t="s">
        <v>12884</v>
      </c>
      <c r="CW534" s="5" t="str">
        <f>"+12818886116"</f>
        <v>+12818886116</v>
      </c>
      <c r="CX534" t="s">
        <v>12885</v>
      </c>
      <c r="CY534" t="s">
        <v>138</v>
      </c>
      <c r="CZ534" t="s">
        <v>139</v>
      </c>
      <c r="DA534" t="s">
        <v>134</v>
      </c>
      <c r="DB534" t="s">
        <v>114</v>
      </c>
      <c r="DC534" t="s">
        <v>114</v>
      </c>
      <c r="DD534" t="s">
        <v>134</v>
      </c>
    </row>
    <row r="535" spans="1:108" ht="15" customHeight="1" x14ac:dyDescent="0.25">
      <c r="A535" t="s">
        <v>16297</v>
      </c>
      <c r="B535" t="s">
        <v>165</v>
      </c>
      <c r="C535" s="1">
        <v>44867.876584953701</v>
      </c>
      <c r="D535" s="1">
        <v>44900</v>
      </c>
      <c r="E535" t="s">
        <v>134</v>
      </c>
      <c r="F535" t="s">
        <v>2433</v>
      </c>
      <c r="G535" t="str">
        <f>"51-3022.00"</f>
        <v>51-3022.00</v>
      </c>
      <c r="H535" t="s">
        <v>817</v>
      </c>
      <c r="I535">
        <v>350</v>
      </c>
      <c r="J535">
        <v>350</v>
      </c>
      <c r="K535" s="1">
        <v>44942</v>
      </c>
      <c r="L535" s="1">
        <v>45046</v>
      </c>
      <c r="M535" s="1">
        <v>44942</v>
      </c>
      <c r="N535" s="1">
        <v>45046</v>
      </c>
      <c r="O535" t="s">
        <v>199</v>
      </c>
      <c r="P535" t="s">
        <v>13079</v>
      </c>
      <c r="R535" t="s">
        <v>13080</v>
      </c>
      <c r="T535" t="s">
        <v>13081</v>
      </c>
      <c r="U535" t="s">
        <v>792</v>
      </c>
      <c r="V535" s="4" t="str">
        <f>"98052"</f>
        <v>98052</v>
      </c>
      <c r="W535" t="s">
        <v>120</v>
      </c>
      <c r="Y535" s="5">
        <v>14258818181</v>
      </c>
      <c r="AA535">
        <v>31171</v>
      </c>
      <c r="AB535" t="s">
        <v>13082</v>
      </c>
      <c r="AC535" t="s">
        <v>9750</v>
      </c>
      <c r="AD535" t="s">
        <v>1869</v>
      </c>
      <c r="AE535" t="s">
        <v>13083</v>
      </c>
      <c r="AF535" t="s">
        <v>13080</v>
      </c>
      <c r="AH535" t="s">
        <v>13081</v>
      </c>
      <c r="AI535" t="s">
        <v>792</v>
      </c>
      <c r="AJ535" s="4" t="str">
        <f>"98052"</f>
        <v>98052</v>
      </c>
      <c r="AK535" t="s">
        <v>120</v>
      </c>
      <c r="AM535" s="5">
        <v>14258615242</v>
      </c>
      <c r="AO535" t="s">
        <v>13084</v>
      </c>
      <c r="AP535" t="s">
        <v>122</v>
      </c>
      <c r="AQ535" t="s">
        <v>1399</v>
      </c>
      <c r="AR535" t="s">
        <v>1400</v>
      </c>
      <c r="AS535" t="s">
        <v>1401</v>
      </c>
      <c r="AT535" t="s">
        <v>1816</v>
      </c>
      <c r="AU535" t="s">
        <v>1402</v>
      </c>
      <c r="AV535" t="s">
        <v>1817</v>
      </c>
      <c r="AW535" t="s">
        <v>339</v>
      </c>
      <c r="AX535" s="4" t="str">
        <f>"21117"</f>
        <v>21117</v>
      </c>
      <c r="AY535" t="s">
        <v>120</v>
      </c>
      <c r="BA535" s="5">
        <v>14435014240</v>
      </c>
      <c r="BC535" t="s">
        <v>1818</v>
      </c>
      <c r="BD535" t="s">
        <v>1819</v>
      </c>
      <c r="BE535" t="s">
        <v>848</v>
      </c>
      <c r="BF535" t="s">
        <v>1820</v>
      </c>
      <c r="BG535" t="s">
        <v>821</v>
      </c>
      <c r="BH535" s="1">
        <v>44865.833333333336</v>
      </c>
      <c r="BI535">
        <v>35</v>
      </c>
      <c r="BJ535">
        <v>5</v>
      </c>
      <c r="BK535">
        <v>5</v>
      </c>
      <c r="BL535">
        <v>5</v>
      </c>
      <c r="BM535">
        <v>5</v>
      </c>
      <c r="BN535">
        <v>5</v>
      </c>
      <c r="BO535">
        <v>5</v>
      </c>
      <c r="BP535">
        <v>5</v>
      </c>
      <c r="BQ535" t="str">
        <f>"6:00 AM"</f>
        <v>6:00 AM</v>
      </c>
      <c r="BR535" t="str">
        <f>"6:00 PM"</f>
        <v>6:00 PM</v>
      </c>
      <c r="BS535" t="s">
        <v>133</v>
      </c>
      <c r="BT535">
        <v>0</v>
      </c>
      <c r="BU535">
        <v>0</v>
      </c>
      <c r="BV535" t="s">
        <v>134</v>
      </c>
      <c r="BX535" s="2" t="s">
        <v>16298</v>
      </c>
      <c r="BY535" t="s">
        <v>13086</v>
      </c>
      <c r="CA535" t="s">
        <v>6652</v>
      </c>
      <c r="CB535" t="s">
        <v>821</v>
      </c>
      <c r="CC535" s="4" t="str">
        <f>"99692"</f>
        <v>99692</v>
      </c>
      <c r="CD535" t="s">
        <v>5273</v>
      </c>
      <c r="CE535" t="s">
        <v>832</v>
      </c>
      <c r="CF535" s="6">
        <v>18.059999999999999</v>
      </c>
      <c r="CH535" s="6">
        <v>27.09</v>
      </c>
      <c r="CJ535" t="s">
        <v>137</v>
      </c>
      <c r="CK535" t="s">
        <v>5274</v>
      </c>
      <c r="CL535" t="s">
        <v>13088</v>
      </c>
      <c r="CO535" t="s">
        <v>138</v>
      </c>
      <c r="CP535" t="s">
        <v>134</v>
      </c>
      <c r="CQ535" t="s">
        <v>114</v>
      </c>
      <c r="CR535" t="s">
        <v>114</v>
      </c>
      <c r="CS535" t="s">
        <v>134</v>
      </c>
      <c r="CT535" t="s">
        <v>114</v>
      </c>
      <c r="CU535" t="s">
        <v>114</v>
      </c>
      <c r="CV535" t="s">
        <v>1406</v>
      </c>
      <c r="CW535" s="5" t="str">
        <f>"+14258818181"</f>
        <v>+14258818181</v>
      </c>
      <c r="CX535" t="s">
        <v>13089</v>
      </c>
      <c r="CY535" t="s">
        <v>13090</v>
      </c>
      <c r="CZ535" t="s">
        <v>139</v>
      </c>
      <c r="DA535" t="s">
        <v>134</v>
      </c>
      <c r="DB535" t="s">
        <v>114</v>
      </c>
      <c r="DC535" t="s">
        <v>114</v>
      </c>
      <c r="DD535" t="s">
        <v>134</v>
      </c>
    </row>
    <row r="536" spans="1:108" ht="15" customHeight="1" x14ac:dyDescent="0.25">
      <c r="A536" t="s">
        <v>10219</v>
      </c>
      <c r="B536" t="s">
        <v>165</v>
      </c>
      <c r="C536" s="1">
        <v>44853.498142245371</v>
      </c>
      <c r="D536" s="1">
        <v>44900</v>
      </c>
      <c r="E536" t="s">
        <v>134</v>
      </c>
      <c r="F536" t="s">
        <v>10220</v>
      </c>
      <c r="G536" t="str">
        <f>"37-3011.00"</f>
        <v>37-3011.00</v>
      </c>
      <c r="H536" t="s">
        <v>335</v>
      </c>
      <c r="I536">
        <v>21</v>
      </c>
      <c r="J536">
        <v>21</v>
      </c>
      <c r="K536" s="1">
        <v>44928</v>
      </c>
      <c r="L536" s="1">
        <v>45023</v>
      </c>
      <c r="M536" s="1">
        <v>44928</v>
      </c>
      <c r="N536" s="1">
        <v>45023</v>
      </c>
      <c r="O536" t="s">
        <v>117</v>
      </c>
      <c r="P536" t="s">
        <v>10221</v>
      </c>
      <c r="R536" t="s">
        <v>10222</v>
      </c>
      <c r="T536" t="s">
        <v>10223</v>
      </c>
      <c r="U536" t="s">
        <v>748</v>
      </c>
      <c r="V536" s="4" t="str">
        <f>"19017"</f>
        <v>19017</v>
      </c>
      <c r="W536" t="s">
        <v>120</v>
      </c>
      <c r="Y536" s="5">
        <v>14847233600</v>
      </c>
      <c r="AA536">
        <v>56173</v>
      </c>
      <c r="AB536" t="s">
        <v>10224</v>
      </c>
      <c r="AC536" t="s">
        <v>2534</v>
      </c>
      <c r="AD536" t="s">
        <v>138</v>
      </c>
      <c r="AE536" t="s">
        <v>342</v>
      </c>
      <c r="AF536" t="s">
        <v>10222</v>
      </c>
      <c r="AH536" t="s">
        <v>10223</v>
      </c>
      <c r="AI536" t="s">
        <v>748</v>
      </c>
      <c r="AJ536" s="4" t="str">
        <f>"19017"</f>
        <v>19017</v>
      </c>
      <c r="AK536" t="s">
        <v>120</v>
      </c>
      <c r="AM536" s="5">
        <v>14847233600</v>
      </c>
      <c r="AO536" t="s">
        <v>10225</v>
      </c>
      <c r="AP536" t="s">
        <v>256</v>
      </c>
      <c r="AQ536" t="s">
        <v>826</v>
      </c>
      <c r="AR536" t="s">
        <v>827</v>
      </c>
      <c r="AS536" t="s">
        <v>138</v>
      </c>
      <c r="AT536" t="s">
        <v>346</v>
      </c>
      <c r="AU536" t="s">
        <v>347</v>
      </c>
      <c r="AV536" t="s">
        <v>828</v>
      </c>
      <c r="AW536" t="s">
        <v>349</v>
      </c>
      <c r="AX536" s="4" t="str">
        <f>"83814"</f>
        <v>83814</v>
      </c>
      <c r="AY536" t="s">
        <v>120</v>
      </c>
      <c r="BA536" s="5">
        <v>12087772654</v>
      </c>
      <c r="BC536" t="s">
        <v>829</v>
      </c>
      <c r="BD536" t="s">
        <v>351</v>
      </c>
      <c r="BG536" t="s">
        <v>748</v>
      </c>
      <c r="BH536" s="1">
        <v>44852.833333333336</v>
      </c>
      <c r="BI536">
        <v>35</v>
      </c>
      <c r="BJ536">
        <v>0</v>
      </c>
      <c r="BK536">
        <v>7</v>
      </c>
      <c r="BL536">
        <v>7</v>
      </c>
      <c r="BM536">
        <v>7</v>
      </c>
      <c r="BN536">
        <v>7</v>
      </c>
      <c r="BO536">
        <v>7</v>
      </c>
      <c r="BP536">
        <v>0</v>
      </c>
      <c r="BQ536" t="str">
        <f>"7:30 AM"</f>
        <v>7:30 AM</v>
      </c>
      <c r="BR536" t="str">
        <f>"3:00 PM"</f>
        <v>3:00 PM</v>
      </c>
      <c r="BS536" t="s">
        <v>133</v>
      </c>
      <c r="BT536">
        <v>0</v>
      </c>
      <c r="BU536">
        <v>0</v>
      </c>
      <c r="BV536" t="s">
        <v>134</v>
      </c>
      <c r="BX536" s="2" t="s">
        <v>1836</v>
      </c>
      <c r="BY536" t="s">
        <v>10226</v>
      </c>
      <c r="CA536" t="s">
        <v>10223</v>
      </c>
      <c r="CB536" t="s">
        <v>748</v>
      </c>
      <c r="CC536" s="4" t="str">
        <f>"19017"</f>
        <v>19017</v>
      </c>
      <c r="CD536" t="s">
        <v>1311</v>
      </c>
      <c r="CE536" t="s">
        <v>1266</v>
      </c>
      <c r="CF536" s="6">
        <v>17.82</v>
      </c>
      <c r="CG536" s="6">
        <v>18</v>
      </c>
      <c r="CH536" s="6">
        <v>26.73</v>
      </c>
      <c r="CI536" s="6">
        <v>27</v>
      </c>
      <c r="CJ536" t="s">
        <v>137</v>
      </c>
      <c r="CK536" t="s">
        <v>4213</v>
      </c>
      <c r="CL536" t="s">
        <v>10227</v>
      </c>
      <c r="CO536" t="s">
        <v>138</v>
      </c>
      <c r="CP536" t="s">
        <v>114</v>
      </c>
      <c r="CQ536" t="s">
        <v>114</v>
      </c>
      <c r="CR536" t="s">
        <v>114</v>
      </c>
      <c r="CS536" t="s">
        <v>114</v>
      </c>
      <c r="CT536" t="s">
        <v>114</v>
      </c>
      <c r="CU536" t="s">
        <v>134</v>
      </c>
      <c r="CV536" t="s">
        <v>358</v>
      </c>
      <c r="CW536" s="5" t="str">
        <f>"+14847233600"</f>
        <v>+14847233600</v>
      </c>
      <c r="CX536" t="s">
        <v>10228</v>
      </c>
      <c r="CY536" t="s">
        <v>138</v>
      </c>
      <c r="CZ536" t="s">
        <v>139</v>
      </c>
      <c r="DA536" t="s">
        <v>134</v>
      </c>
      <c r="DB536" t="s">
        <v>134</v>
      </c>
      <c r="DC536" t="s">
        <v>114</v>
      </c>
      <c r="DD536" t="s">
        <v>134</v>
      </c>
    </row>
    <row r="537" spans="1:108" ht="15" customHeight="1" x14ac:dyDescent="0.25">
      <c r="A537" t="s">
        <v>3141</v>
      </c>
      <c r="B537" t="s">
        <v>165</v>
      </c>
      <c r="C537" s="1">
        <v>44852.760315856482</v>
      </c>
      <c r="D537" s="1">
        <v>44900</v>
      </c>
      <c r="E537" t="s">
        <v>134</v>
      </c>
      <c r="F537" t="s">
        <v>1106</v>
      </c>
      <c r="G537" t="str">
        <f>"45-4011.00"</f>
        <v>45-4011.00</v>
      </c>
      <c r="H537" t="s">
        <v>1107</v>
      </c>
      <c r="I537">
        <v>20</v>
      </c>
      <c r="J537">
        <v>20</v>
      </c>
      <c r="K537" s="1">
        <v>44927</v>
      </c>
      <c r="L537" s="1">
        <v>45230</v>
      </c>
      <c r="M537" s="1">
        <v>44927</v>
      </c>
      <c r="N537" s="1">
        <v>45230</v>
      </c>
      <c r="O537" t="s">
        <v>199</v>
      </c>
      <c r="P537" t="s">
        <v>3142</v>
      </c>
      <c r="R537" t="s">
        <v>3143</v>
      </c>
      <c r="T537" t="s">
        <v>3144</v>
      </c>
      <c r="U537" t="s">
        <v>511</v>
      </c>
      <c r="V537" s="4" t="str">
        <f>"97381"</f>
        <v>97381</v>
      </c>
      <c r="W537" t="s">
        <v>120</v>
      </c>
      <c r="Y537" s="5">
        <v>15037988981</v>
      </c>
      <c r="AA537">
        <v>11531</v>
      </c>
      <c r="AB537" t="s">
        <v>3145</v>
      </c>
      <c r="AC537" t="s">
        <v>1125</v>
      </c>
      <c r="AE537" t="s">
        <v>424</v>
      </c>
      <c r="AF537" t="s">
        <v>3143</v>
      </c>
      <c r="AH537" t="s">
        <v>3144</v>
      </c>
      <c r="AI537" t="s">
        <v>511</v>
      </c>
      <c r="AJ537" s="4" t="str">
        <f>"97381"</f>
        <v>97381</v>
      </c>
      <c r="AK537" t="s">
        <v>120</v>
      </c>
      <c r="AM537" s="5">
        <v>15037988981</v>
      </c>
      <c r="AO537" t="s">
        <v>3146</v>
      </c>
      <c r="AP537" t="s">
        <v>256</v>
      </c>
      <c r="AQ537" t="s">
        <v>1439</v>
      </c>
      <c r="AR537" t="s">
        <v>1440</v>
      </c>
      <c r="AT537" t="s">
        <v>1422</v>
      </c>
      <c r="AU537" t="s">
        <v>347</v>
      </c>
      <c r="AV537" t="s">
        <v>1441</v>
      </c>
      <c r="AW537" t="s">
        <v>349</v>
      </c>
      <c r="AX537" s="4" t="str">
        <f>"83814"</f>
        <v>83814</v>
      </c>
      <c r="AY537" t="s">
        <v>120</v>
      </c>
      <c r="BA537" s="5">
        <v>12087772654</v>
      </c>
      <c r="BC537" t="s">
        <v>1442</v>
      </c>
      <c r="BD537" t="s">
        <v>351</v>
      </c>
      <c r="BG537" t="s">
        <v>511</v>
      </c>
      <c r="BH537" s="1">
        <v>44847.833333333336</v>
      </c>
      <c r="BI537">
        <v>40</v>
      </c>
      <c r="BJ537">
        <v>0</v>
      </c>
      <c r="BK537">
        <v>8</v>
      </c>
      <c r="BL537">
        <v>8</v>
      </c>
      <c r="BM537">
        <v>8</v>
      </c>
      <c r="BN537">
        <v>8</v>
      </c>
      <c r="BO537">
        <v>8</v>
      </c>
      <c r="BP537">
        <v>0</v>
      </c>
      <c r="BQ537" t="str">
        <f>"7:00 AM"</f>
        <v>7:00 AM</v>
      </c>
      <c r="BR537" t="str">
        <f>"3:00 PM"</f>
        <v>3:00 PM</v>
      </c>
      <c r="BS537" t="s">
        <v>133</v>
      </c>
      <c r="BT537">
        <v>0</v>
      </c>
      <c r="BU537">
        <v>0</v>
      </c>
      <c r="BV537" t="s">
        <v>134</v>
      </c>
      <c r="BX537" s="2" t="s">
        <v>3147</v>
      </c>
      <c r="BY537" t="s">
        <v>3148</v>
      </c>
      <c r="CA537" t="s">
        <v>3144</v>
      </c>
      <c r="CB537" t="s">
        <v>511</v>
      </c>
      <c r="CC537" s="4" t="str">
        <f>"97381"</f>
        <v>97381</v>
      </c>
      <c r="CD537" t="s">
        <v>638</v>
      </c>
      <c r="CE537" t="s">
        <v>3149</v>
      </c>
      <c r="CF537" s="6">
        <v>11.15</v>
      </c>
      <c r="CG537" s="6">
        <v>22.02</v>
      </c>
      <c r="CH537" s="6">
        <v>16.73</v>
      </c>
      <c r="CI537" s="6">
        <v>33.03</v>
      </c>
      <c r="CJ537" t="s">
        <v>137</v>
      </c>
      <c r="CK537" t="s">
        <v>2125</v>
      </c>
      <c r="CL537" t="s">
        <v>3150</v>
      </c>
      <c r="CO537" t="s">
        <v>138</v>
      </c>
      <c r="CP537" t="s">
        <v>114</v>
      </c>
      <c r="CQ537" t="s">
        <v>114</v>
      </c>
      <c r="CR537" t="s">
        <v>114</v>
      </c>
      <c r="CS537" t="s">
        <v>114</v>
      </c>
      <c r="CT537" t="s">
        <v>114</v>
      </c>
      <c r="CU537" t="s">
        <v>114</v>
      </c>
      <c r="CV537" t="s">
        <v>3151</v>
      </c>
      <c r="CW537" s="5" t="str">
        <f>"+15039834715"</f>
        <v>+15039834715</v>
      </c>
      <c r="CX537" t="s">
        <v>3146</v>
      </c>
      <c r="CY537" t="s">
        <v>138</v>
      </c>
      <c r="CZ537" t="s">
        <v>139</v>
      </c>
      <c r="DA537" t="s">
        <v>134</v>
      </c>
      <c r="DB537" t="s">
        <v>114</v>
      </c>
      <c r="DC537" t="s">
        <v>114</v>
      </c>
      <c r="DD537" t="s">
        <v>134</v>
      </c>
    </row>
    <row r="538" spans="1:108" ht="15" customHeight="1" x14ac:dyDescent="0.25">
      <c r="A538" t="s">
        <v>15064</v>
      </c>
      <c r="B538" t="s">
        <v>165</v>
      </c>
      <c r="C538" s="1">
        <v>44846.660790624999</v>
      </c>
      <c r="D538" s="1">
        <v>44900</v>
      </c>
      <c r="E538" t="s">
        <v>114</v>
      </c>
      <c r="F538" t="s">
        <v>8866</v>
      </c>
      <c r="G538" t="str">
        <f>"37-2011.00"</f>
        <v>37-2011.00</v>
      </c>
      <c r="H538" t="s">
        <v>672</v>
      </c>
      <c r="I538">
        <v>27</v>
      </c>
      <c r="J538">
        <v>27</v>
      </c>
      <c r="K538" s="1">
        <v>44921</v>
      </c>
      <c r="L538" s="1">
        <v>45031</v>
      </c>
      <c r="M538" s="1">
        <v>44921</v>
      </c>
      <c r="N538" s="1">
        <v>45031</v>
      </c>
      <c r="O538" t="s">
        <v>199</v>
      </c>
      <c r="P538" t="s">
        <v>6780</v>
      </c>
      <c r="R538" t="s">
        <v>6781</v>
      </c>
      <c r="T538" t="s">
        <v>6782</v>
      </c>
      <c r="U538" t="s">
        <v>184</v>
      </c>
      <c r="V538" s="4" t="str">
        <f>"60118"</f>
        <v>60118</v>
      </c>
      <c r="W538" t="s">
        <v>120</v>
      </c>
      <c r="Y538" s="5">
        <v>18476950080</v>
      </c>
      <c r="AA538">
        <v>56179</v>
      </c>
      <c r="AB538" t="s">
        <v>6783</v>
      </c>
      <c r="AC538" t="s">
        <v>1486</v>
      </c>
      <c r="AE538" t="s">
        <v>6784</v>
      </c>
      <c r="AF538" t="s">
        <v>6781</v>
      </c>
      <c r="AH538" t="s">
        <v>6782</v>
      </c>
      <c r="AI538" t="s">
        <v>184</v>
      </c>
      <c r="AJ538" s="4" t="str">
        <f>"60118"</f>
        <v>60118</v>
      </c>
      <c r="AK538" t="s">
        <v>120</v>
      </c>
      <c r="AM538" s="5">
        <v>18476950080</v>
      </c>
      <c r="AN538">
        <v>7689</v>
      </c>
      <c r="AO538" t="s">
        <v>6785</v>
      </c>
      <c r="AP538" t="s">
        <v>122</v>
      </c>
      <c r="AQ538" t="s">
        <v>4167</v>
      </c>
      <c r="AR538" t="s">
        <v>173</v>
      </c>
      <c r="AS538" t="s">
        <v>3492</v>
      </c>
      <c r="AT538" t="s">
        <v>4168</v>
      </c>
      <c r="AU538" t="s">
        <v>4169</v>
      </c>
      <c r="AV538" t="s">
        <v>2748</v>
      </c>
      <c r="AW538" t="s">
        <v>420</v>
      </c>
      <c r="AX538" s="4" t="str">
        <f>"84111"</f>
        <v>84111</v>
      </c>
      <c r="AY538" t="s">
        <v>120</v>
      </c>
      <c r="BA538" s="5">
        <v>18012971290</v>
      </c>
      <c r="BC538" t="s">
        <v>4170</v>
      </c>
      <c r="BD538" t="s">
        <v>4171</v>
      </c>
      <c r="BE538" t="s">
        <v>420</v>
      </c>
      <c r="BF538" t="s">
        <v>4172</v>
      </c>
      <c r="BG538" t="s">
        <v>184</v>
      </c>
      <c r="BH538" s="1">
        <v>44845.833333333336</v>
      </c>
      <c r="BI538">
        <v>35</v>
      </c>
      <c r="BJ538">
        <v>0</v>
      </c>
      <c r="BK538">
        <v>7</v>
      </c>
      <c r="BL538">
        <v>7</v>
      </c>
      <c r="BM538">
        <v>7</v>
      </c>
      <c r="BN538">
        <v>7</v>
      </c>
      <c r="BO538">
        <v>7</v>
      </c>
      <c r="BP538">
        <v>0</v>
      </c>
      <c r="BQ538" t="str">
        <f>"10:00 AM"</f>
        <v>10:00 AM</v>
      </c>
      <c r="BR538" t="str">
        <f>"5:00 PM"</f>
        <v>5:00 PM</v>
      </c>
      <c r="BS538" t="s">
        <v>133</v>
      </c>
      <c r="BT538">
        <v>0</v>
      </c>
      <c r="BU538">
        <v>0</v>
      </c>
      <c r="BV538" t="s">
        <v>134</v>
      </c>
      <c r="BX538" s="2" t="s">
        <v>15065</v>
      </c>
      <c r="BY538" t="s">
        <v>15066</v>
      </c>
      <c r="CA538" t="s">
        <v>15067</v>
      </c>
      <c r="CB538" t="s">
        <v>184</v>
      </c>
      <c r="CC538" s="4" t="str">
        <f>"61401"</f>
        <v>61401</v>
      </c>
      <c r="CD538" t="s">
        <v>4401</v>
      </c>
      <c r="CE538" t="s">
        <v>2339</v>
      </c>
      <c r="CF538" s="6">
        <v>15.43</v>
      </c>
      <c r="CG538" s="6">
        <v>15.43</v>
      </c>
      <c r="CH538" s="6">
        <v>23.15</v>
      </c>
      <c r="CI538" s="6">
        <v>23.15</v>
      </c>
      <c r="CJ538" t="s">
        <v>137</v>
      </c>
      <c r="CL538" t="s">
        <v>15068</v>
      </c>
      <c r="CO538" t="s">
        <v>138</v>
      </c>
      <c r="CP538" t="s">
        <v>114</v>
      </c>
      <c r="CQ538" t="s">
        <v>114</v>
      </c>
      <c r="CR538" t="s">
        <v>114</v>
      </c>
      <c r="CS538" t="s">
        <v>114</v>
      </c>
      <c r="CT538" t="s">
        <v>114</v>
      </c>
      <c r="CU538" t="s">
        <v>114</v>
      </c>
      <c r="CV538" s="2" t="s">
        <v>15069</v>
      </c>
      <c r="CW538" s="5" t="str">
        <f>"+18484769500"</f>
        <v>+18484769500</v>
      </c>
      <c r="CX538" t="s">
        <v>6785</v>
      </c>
      <c r="CY538" t="s">
        <v>138</v>
      </c>
      <c r="CZ538" t="s">
        <v>139</v>
      </c>
      <c r="DA538" t="s">
        <v>134</v>
      </c>
      <c r="DB538" t="s">
        <v>134</v>
      </c>
      <c r="DC538" t="s">
        <v>114</v>
      </c>
      <c r="DD538" t="s">
        <v>134</v>
      </c>
    </row>
    <row r="539" spans="1:108" ht="15" customHeight="1" x14ac:dyDescent="0.25">
      <c r="A539" t="s">
        <v>7347</v>
      </c>
      <c r="B539" t="s">
        <v>165</v>
      </c>
      <c r="C539" s="1">
        <v>44872.583198726854</v>
      </c>
      <c r="D539" s="1">
        <v>44897</v>
      </c>
      <c r="E539" t="s">
        <v>134</v>
      </c>
      <c r="F539" t="s">
        <v>571</v>
      </c>
      <c r="G539" t="str">
        <f>"35-3023.00"</f>
        <v>35-3023.00</v>
      </c>
      <c r="H539" t="s">
        <v>555</v>
      </c>
      <c r="I539">
        <v>6</v>
      </c>
      <c r="J539">
        <v>6</v>
      </c>
      <c r="K539" s="1">
        <v>44960</v>
      </c>
      <c r="L539" s="1">
        <v>45253</v>
      </c>
      <c r="M539" s="1">
        <v>44960</v>
      </c>
      <c r="N539" s="1">
        <v>45253</v>
      </c>
      <c r="O539" t="s">
        <v>199</v>
      </c>
      <c r="P539" t="s">
        <v>7348</v>
      </c>
      <c r="R539" t="s">
        <v>7349</v>
      </c>
      <c r="T539" t="s">
        <v>7129</v>
      </c>
      <c r="U539" t="s">
        <v>530</v>
      </c>
      <c r="V539" s="4" t="str">
        <f>"85308"</f>
        <v>85308</v>
      </c>
      <c r="W539" t="s">
        <v>120</v>
      </c>
      <c r="Y539" s="5">
        <v>16026175292</v>
      </c>
      <c r="AA539">
        <v>71399</v>
      </c>
      <c r="AB539" t="s">
        <v>7350</v>
      </c>
      <c r="AC539" t="s">
        <v>1149</v>
      </c>
      <c r="AE539" t="s">
        <v>424</v>
      </c>
      <c r="AF539" t="s">
        <v>7349</v>
      </c>
      <c r="AH539" t="s">
        <v>7129</v>
      </c>
      <c r="AI539" t="s">
        <v>530</v>
      </c>
      <c r="AJ539" s="4" t="str">
        <f>"85308"</f>
        <v>85308</v>
      </c>
      <c r="AK539" t="s">
        <v>120</v>
      </c>
      <c r="AM539" s="5">
        <v>16028820555</v>
      </c>
      <c r="AO539" t="s">
        <v>7351</v>
      </c>
      <c r="AP539" t="s">
        <v>256</v>
      </c>
      <c r="AQ539" t="s">
        <v>535</v>
      </c>
      <c r="AR539" t="s">
        <v>536</v>
      </c>
      <c r="AS539" t="s">
        <v>537</v>
      </c>
      <c r="AT539" t="s">
        <v>538</v>
      </c>
      <c r="AU539" t="s">
        <v>539</v>
      </c>
      <c r="AV539" t="s">
        <v>540</v>
      </c>
      <c r="AW539" t="s">
        <v>232</v>
      </c>
      <c r="AX539" s="4" t="str">
        <f>"78550"</f>
        <v>78550</v>
      </c>
      <c r="AY539" t="s">
        <v>120</v>
      </c>
      <c r="BA539" s="5">
        <v>19564408720</v>
      </c>
      <c r="BB539">
        <v>0</v>
      </c>
      <c r="BC539" t="s">
        <v>1022</v>
      </c>
      <c r="BD539" t="s">
        <v>543</v>
      </c>
      <c r="BG539" t="s">
        <v>530</v>
      </c>
      <c r="BH539" s="1">
        <v>44871.791666666664</v>
      </c>
      <c r="BI539">
        <v>40</v>
      </c>
      <c r="BJ539">
        <v>8</v>
      </c>
      <c r="BK539">
        <v>0</v>
      </c>
      <c r="BL539">
        <v>0</v>
      </c>
      <c r="BM539">
        <v>8</v>
      </c>
      <c r="BN539">
        <v>8</v>
      </c>
      <c r="BO539">
        <v>8</v>
      </c>
      <c r="BP539">
        <v>8</v>
      </c>
      <c r="BQ539" t="str">
        <f>"1:00 PM"</f>
        <v>1:00 PM</v>
      </c>
      <c r="BR539" t="str">
        <f>"10:00 PM"</f>
        <v>10:00 PM</v>
      </c>
      <c r="BS539" t="s">
        <v>133</v>
      </c>
      <c r="BT539">
        <v>0</v>
      </c>
      <c r="BU539">
        <v>0</v>
      </c>
      <c r="BV539" t="s">
        <v>134</v>
      </c>
      <c r="BX539" s="2" t="s">
        <v>579</v>
      </c>
      <c r="BY539" t="s">
        <v>7352</v>
      </c>
      <c r="CA539" t="s">
        <v>7353</v>
      </c>
      <c r="CB539" t="s">
        <v>530</v>
      </c>
      <c r="CC539" s="4" t="str">
        <f>"85381"</f>
        <v>85381</v>
      </c>
      <c r="CD539" t="s">
        <v>592</v>
      </c>
      <c r="CE539" t="s">
        <v>548</v>
      </c>
      <c r="CF539" s="6">
        <v>11.2</v>
      </c>
      <c r="CG539" s="6">
        <v>17.48</v>
      </c>
      <c r="CJ539" t="s">
        <v>137</v>
      </c>
      <c r="CK539" t="s">
        <v>549</v>
      </c>
      <c r="CL539" t="s">
        <v>7354</v>
      </c>
      <c r="CO539" t="s">
        <v>138</v>
      </c>
      <c r="CP539" t="s">
        <v>114</v>
      </c>
      <c r="CQ539" t="s">
        <v>114</v>
      </c>
      <c r="CR539" t="s">
        <v>134</v>
      </c>
      <c r="CS539" t="s">
        <v>114</v>
      </c>
      <c r="CT539" t="s">
        <v>114</v>
      </c>
      <c r="CU539" t="s">
        <v>114</v>
      </c>
      <c r="CV539" t="s">
        <v>7355</v>
      </c>
      <c r="CW539" s="5" t="str">
        <f>"+16026175292"</f>
        <v>+16026175292</v>
      </c>
      <c r="CX539" t="s">
        <v>7351</v>
      </c>
      <c r="CY539" t="s">
        <v>138</v>
      </c>
      <c r="CZ539" t="s">
        <v>139</v>
      </c>
      <c r="DA539" t="s">
        <v>134</v>
      </c>
      <c r="DB539" t="s">
        <v>114</v>
      </c>
      <c r="DC539" t="s">
        <v>114</v>
      </c>
      <c r="DD539" t="s">
        <v>134</v>
      </c>
    </row>
    <row r="540" spans="1:108" ht="15" customHeight="1" x14ac:dyDescent="0.25">
      <c r="A540" t="s">
        <v>13605</v>
      </c>
      <c r="B540" t="s">
        <v>165</v>
      </c>
      <c r="C540" s="1">
        <v>44869.758160648147</v>
      </c>
      <c r="D540" s="1">
        <v>44897</v>
      </c>
      <c r="E540" t="s">
        <v>134</v>
      </c>
      <c r="F540" t="s">
        <v>3920</v>
      </c>
      <c r="G540" t="str">
        <f>"35-3023.00"</f>
        <v>35-3023.00</v>
      </c>
      <c r="H540" t="s">
        <v>555</v>
      </c>
      <c r="I540">
        <v>7</v>
      </c>
      <c r="J540">
        <v>7</v>
      </c>
      <c r="K540" s="1">
        <v>44944</v>
      </c>
      <c r="L540" s="1">
        <v>45230</v>
      </c>
      <c r="M540" s="1">
        <v>44944</v>
      </c>
      <c r="N540" s="1">
        <v>45230</v>
      </c>
      <c r="O540" t="s">
        <v>199</v>
      </c>
      <c r="P540" t="s">
        <v>13606</v>
      </c>
      <c r="R540" t="s">
        <v>13607</v>
      </c>
      <c r="S540" t="s">
        <v>13608</v>
      </c>
      <c r="T540" t="s">
        <v>13609</v>
      </c>
      <c r="U540" t="s">
        <v>232</v>
      </c>
      <c r="V540" s="4" t="str">
        <f>"78945"</f>
        <v>78945</v>
      </c>
      <c r="W540" t="s">
        <v>120</v>
      </c>
      <c r="Y540" s="5">
        <v>15614278148</v>
      </c>
      <c r="Z540">
        <v>0</v>
      </c>
      <c r="AA540">
        <v>7139</v>
      </c>
      <c r="AB540" t="s">
        <v>3632</v>
      </c>
      <c r="AC540" t="s">
        <v>1614</v>
      </c>
      <c r="AE540" t="s">
        <v>342</v>
      </c>
      <c r="AF540" t="s">
        <v>13607</v>
      </c>
      <c r="AG540" t="s">
        <v>13608</v>
      </c>
      <c r="AH540" t="s">
        <v>13609</v>
      </c>
      <c r="AI540" t="s">
        <v>232</v>
      </c>
      <c r="AJ540" s="4" t="str">
        <f>"78945"</f>
        <v>78945</v>
      </c>
      <c r="AK540" t="s">
        <v>120</v>
      </c>
      <c r="AM540" s="5">
        <v>15614278148</v>
      </c>
      <c r="AN540">
        <v>0</v>
      </c>
      <c r="AO540" t="s">
        <v>13610</v>
      </c>
      <c r="AP540" t="s">
        <v>256</v>
      </c>
      <c r="AQ540" t="s">
        <v>535</v>
      </c>
      <c r="AR540" t="s">
        <v>536</v>
      </c>
      <c r="AS540" t="s">
        <v>537</v>
      </c>
      <c r="AT540" t="s">
        <v>538</v>
      </c>
      <c r="AU540" t="s">
        <v>539</v>
      </c>
      <c r="AV540" t="s">
        <v>540</v>
      </c>
      <c r="AW540" t="s">
        <v>232</v>
      </c>
      <c r="AX540" s="4" t="str">
        <f>"78550"</f>
        <v>78550</v>
      </c>
      <c r="AY540" t="s">
        <v>120</v>
      </c>
      <c r="AZ540" t="s">
        <v>541</v>
      </c>
      <c r="BA540" s="5">
        <v>19564408720</v>
      </c>
      <c r="BB540">
        <v>0</v>
      </c>
      <c r="BC540" t="s">
        <v>542</v>
      </c>
      <c r="BD540" t="s">
        <v>543</v>
      </c>
      <c r="BG540" t="s">
        <v>232</v>
      </c>
      <c r="BH540" s="1">
        <v>44871.791666666664</v>
      </c>
      <c r="BI540">
        <v>40</v>
      </c>
      <c r="BJ540">
        <v>8</v>
      </c>
      <c r="BK540">
        <v>0</v>
      </c>
      <c r="BL540">
        <v>0</v>
      </c>
      <c r="BM540">
        <v>8</v>
      </c>
      <c r="BN540">
        <v>8</v>
      </c>
      <c r="BO540">
        <v>8</v>
      </c>
      <c r="BP540">
        <v>8</v>
      </c>
      <c r="BQ540" t="str">
        <f>"1:00 PM"</f>
        <v>1:00 PM</v>
      </c>
      <c r="BR540" t="str">
        <f>"10:00 PM"</f>
        <v>10:00 PM</v>
      </c>
      <c r="BS540" t="s">
        <v>133</v>
      </c>
      <c r="BT540">
        <v>0</v>
      </c>
      <c r="BU540">
        <v>0</v>
      </c>
      <c r="BV540" t="s">
        <v>134</v>
      </c>
      <c r="BX540" t="s">
        <v>5109</v>
      </c>
      <c r="BY540" t="s">
        <v>13607</v>
      </c>
      <c r="BZ540" t="s">
        <v>13608</v>
      </c>
      <c r="CA540" t="s">
        <v>13609</v>
      </c>
      <c r="CB540" t="s">
        <v>232</v>
      </c>
      <c r="CC540" s="4" t="str">
        <f>"78945"</f>
        <v>78945</v>
      </c>
      <c r="CD540" t="s">
        <v>1707</v>
      </c>
      <c r="CE540" t="s">
        <v>1550</v>
      </c>
      <c r="CF540" s="6">
        <v>8.67</v>
      </c>
      <c r="CG540" s="6">
        <v>13.66</v>
      </c>
      <c r="CH540" s="6">
        <v>0</v>
      </c>
      <c r="CI540" s="6">
        <v>0</v>
      </c>
      <c r="CJ540" t="s">
        <v>137</v>
      </c>
      <c r="CK540" t="s">
        <v>549</v>
      </c>
      <c r="CL540" t="s">
        <v>13611</v>
      </c>
      <c r="CO540" t="s">
        <v>138</v>
      </c>
      <c r="CP540" t="s">
        <v>114</v>
      </c>
      <c r="CQ540" t="s">
        <v>114</v>
      </c>
      <c r="CR540" t="s">
        <v>134</v>
      </c>
      <c r="CS540" t="s">
        <v>114</v>
      </c>
      <c r="CT540" t="s">
        <v>114</v>
      </c>
      <c r="CU540" t="s">
        <v>114</v>
      </c>
      <c r="CV540" t="s">
        <v>4912</v>
      </c>
      <c r="CW540" s="5" t="str">
        <f>"+15614278148"</f>
        <v>+15614278148</v>
      </c>
      <c r="CX540" t="s">
        <v>13610</v>
      </c>
      <c r="CY540" t="s">
        <v>138</v>
      </c>
      <c r="CZ540" t="s">
        <v>139</v>
      </c>
      <c r="DA540" t="s">
        <v>134</v>
      </c>
      <c r="DB540" t="s">
        <v>114</v>
      </c>
      <c r="DC540" t="s">
        <v>114</v>
      </c>
      <c r="DD540" t="s">
        <v>134</v>
      </c>
    </row>
    <row r="541" spans="1:108" ht="15" customHeight="1" x14ac:dyDescent="0.25">
      <c r="A541" t="s">
        <v>14302</v>
      </c>
      <c r="B541" t="s">
        <v>165</v>
      </c>
      <c r="C541" s="1">
        <v>44869.500966319443</v>
      </c>
      <c r="D541" s="1">
        <v>44897</v>
      </c>
      <c r="E541" t="s">
        <v>134</v>
      </c>
      <c r="F541" t="s">
        <v>2308</v>
      </c>
      <c r="G541" t="str">
        <f>"39-3091.00"</f>
        <v>39-3091.00</v>
      </c>
      <c r="H541" t="s">
        <v>362</v>
      </c>
      <c r="I541">
        <v>35</v>
      </c>
      <c r="J541">
        <v>35</v>
      </c>
      <c r="K541" s="1">
        <v>44958</v>
      </c>
      <c r="L541" s="1">
        <v>45259</v>
      </c>
      <c r="M541" s="1">
        <v>44958</v>
      </c>
      <c r="N541" s="1">
        <v>45259</v>
      </c>
      <c r="O541" t="s">
        <v>199</v>
      </c>
      <c r="P541" t="s">
        <v>14303</v>
      </c>
      <c r="R541" t="s">
        <v>4303</v>
      </c>
      <c r="S541" t="s">
        <v>10902</v>
      </c>
      <c r="T541" t="s">
        <v>4304</v>
      </c>
      <c r="U541" t="s">
        <v>394</v>
      </c>
      <c r="V541" s="4" t="str">
        <f>"29501"</f>
        <v>29501</v>
      </c>
      <c r="W541" t="s">
        <v>120</v>
      </c>
      <c r="X541" t="s">
        <v>14304</v>
      </c>
      <c r="Y541" s="5">
        <v>17324467144</v>
      </c>
      <c r="AA541">
        <v>7139</v>
      </c>
      <c r="AB541" t="s">
        <v>10903</v>
      </c>
      <c r="AC541" t="s">
        <v>1690</v>
      </c>
      <c r="AE541" t="s">
        <v>424</v>
      </c>
      <c r="AF541" t="s">
        <v>4303</v>
      </c>
      <c r="AG541" t="s">
        <v>10902</v>
      </c>
      <c r="AH541" t="s">
        <v>4304</v>
      </c>
      <c r="AI541" t="s">
        <v>394</v>
      </c>
      <c r="AJ541" s="4" t="str">
        <f>"29501"</f>
        <v>29501</v>
      </c>
      <c r="AK541" t="s">
        <v>120</v>
      </c>
      <c r="AM541" s="5">
        <v>13055866741</v>
      </c>
      <c r="AO541" t="s">
        <v>10905</v>
      </c>
      <c r="AP541" t="s">
        <v>256</v>
      </c>
      <c r="AQ541" t="s">
        <v>535</v>
      </c>
      <c r="AR541" t="s">
        <v>536</v>
      </c>
      <c r="AS541" t="s">
        <v>537</v>
      </c>
      <c r="AT541" t="s">
        <v>538</v>
      </c>
      <c r="AU541" t="s">
        <v>539</v>
      </c>
      <c r="AV541" t="s">
        <v>540</v>
      </c>
      <c r="AW541" t="s">
        <v>232</v>
      </c>
      <c r="AX541" s="4" t="str">
        <f>"78550"</f>
        <v>78550</v>
      </c>
      <c r="AY541" t="s">
        <v>120</v>
      </c>
      <c r="BA541" s="5">
        <v>19564408720</v>
      </c>
      <c r="BB541">
        <v>0</v>
      </c>
      <c r="BC541" t="s">
        <v>1022</v>
      </c>
      <c r="BD541" t="s">
        <v>543</v>
      </c>
      <c r="BG541" t="s">
        <v>394</v>
      </c>
      <c r="BH541" s="1">
        <v>44868.833333333336</v>
      </c>
      <c r="BI541">
        <v>40</v>
      </c>
      <c r="BJ541">
        <v>8</v>
      </c>
      <c r="BK541">
        <v>0</v>
      </c>
      <c r="BL541">
        <v>0</v>
      </c>
      <c r="BM541">
        <v>8</v>
      </c>
      <c r="BN541">
        <v>8</v>
      </c>
      <c r="BO541">
        <v>8</v>
      </c>
      <c r="BP541">
        <v>8</v>
      </c>
      <c r="BQ541" t="str">
        <f>"1:00 PM"</f>
        <v>1:00 PM</v>
      </c>
      <c r="BR541" t="str">
        <f>"10:00 PM"</f>
        <v>10:00 PM</v>
      </c>
      <c r="BS541" t="s">
        <v>133</v>
      </c>
      <c r="BT541">
        <v>0</v>
      </c>
      <c r="BU541">
        <v>0</v>
      </c>
      <c r="BV541" t="s">
        <v>134</v>
      </c>
      <c r="BX541" s="2" t="s">
        <v>3113</v>
      </c>
      <c r="BY541" t="s">
        <v>4303</v>
      </c>
      <c r="CA541" t="s">
        <v>4304</v>
      </c>
      <c r="CB541" t="s">
        <v>394</v>
      </c>
      <c r="CC541" s="4" t="str">
        <f>"29501"</f>
        <v>29501</v>
      </c>
      <c r="CD541" t="s">
        <v>3821</v>
      </c>
      <c r="CE541" t="s">
        <v>4305</v>
      </c>
      <c r="CF541" s="6">
        <v>9.07</v>
      </c>
      <c r="CG541" s="6">
        <v>15.26</v>
      </c>
      <c r="CJ541" t="s">
        <v>137</v>
      </c>
      <c r="CK541" t="s">
        <v>549</v>
      </c>
      <c r="CL541" t="s">
        <v>14305</v>
      </c>
      <c r="CM541" t="s">
        <v>14306</v>
      </c>
      <c r="CO541" t="s">
        <v>138</v>
      </c>
      <c r="CP541" t="s">
        <v>114</v>
      </c>
      <c r="CQ541" t="s">
        <v>114</v>
      </c>
      <c r="CR541" t="s">
        <v>134</v>
      </c>
      <c r="CS541" t="s">
        <v>114</v>
      </c>
      <c r="CT541" t="s">
        <v>114</v>
      </c>
      <c r="CU541" t="s">
        <v>114</v>
      </c>
      <c r="CV541" t="s">
        <v>5919</v>
      </c>
      <c r="CW541" s="5" t="str">
        <f>"+17324467144"</f>
        <v>+17324467144</v>
      </c>
      <c r="CX541" t="s">
        <v>10905</v>
      </c>
      <c r="CY541" t="s">
        <v>138</v>
      </c>
      <c r="CZ541" t="s">
        <v>139</v>
      </c>
      <c r="DA541" t="s">
        <v>134</v>
      </c>
      <c r="DB541" t="s">
        <v>114</v>
      </c>
      <c r="DC541" t="s">
        <v>114</v>
      </c>
      <c r="DD541" t="s">
        <v>134</v>
      </c>
    </row>
    <row r="542" spans="1:108" ht="15" customHeight="1" x14ac:dyDescent="0.25">
      <c r="A542" t="s">
        <v>3187</v>
      </c>
      <c r="B542" t="s">
        <v>165</v>
      </c>
      <c r="C542" s="1">
        <v>44868.569985300928</v>
      </c>
      <c r="D542" s="1">
        <v>44897</v>
      </c>
      <c r="E542" t="s">
        <v>134</v>
      </c>
      <c r="F542" t="s">
        <v>1106</v>
      </c>
      <c r="G542" t="str">
        <f>"45-4011.00"</f>
        <v>45-4011.00</v>
      </c>
      <c r="H542" t="s">
        <v>1107</v>
      </c>
      <c r="I542">
        <v>90</v>
      </c>
      <c r="J542">
        <v>90</v>
      </c>
      <c r="K542" s="1">
        <v>44958</v>
      </c>
      <c r="L542" s="1">
        <v>45230</v>
      </c>
      <c r="M542" s="1">
        <v>44958</v>
      </c>
      <c r="N542" s="1">
        <v>45230</v>
      </c>
      <c r="O542" t="s">
        <v>199</v>
      </c>
      <c r="P542" t="s">
        <v>3188</v>
      </c>
      <c r="R542" t="s">
        <v>3189</v>
      </c>
      <c r="T542" t="s">
        <v>828</v>
      </c>
      <c r="U542" t="s">
        <v>349</v>
      </c>
      <c r="V542" s="4" t="str">
        <f>"83815"</f>
        <v>83815</v>
      </c>
      <c r="W542" t="s">
        <v>120</v>
      </c>
      <c r="Y542" s="5">
        <v>12086605701</v>
      </c>
      <c r="AA542">
        <v>11531</v>
      </c>
      <c r="AB542" t="s">
        <v>3190</v>
      </c>
      <c r="AC542" t="s">
        <v>1756</v>
      </c>
      <c r="AE542" t="s">
        <v>3191</v>
      </c>
      <c r="AF542" t="s">
        <v>3189</v>
      </c>
      <c r="AH542" t="s">
        <v>828</v>
      </c>
      <c r="AI542" t="s">
        <v>349</v>
      </c>
      <c r="AJ542" s="4" t="str">
        <f>"83815"</f>
        <v>83815</v>
      </c>
      <c r="AK542" t="s">
        <v>120</v>
      </c>
      <c r="AM542" s="5">
        <v>12086605701</v>
      </c>
      <c r="AO542" t="s">
        <v>3192</v>
      </c>
      <c r="AP542" t="s">
        <v>256</v>
      </c>
      <c r="AQ542" t="s">
        <v>2121</v>
      </c>
      <c r="AR542" t="s">
        <v>2122</v>
      </c>
      <c r="AS542" t="s">
        <v>138</v>
      </c>
      <c r="AT542" t="s">
        <v>1422</v>
      </c>
      <c r="AU542" t="s">
        <v>347</v>
      </c>
      <c r="AV542" t="s">
        <v>828</v>
      </c>
      <c r="AW542" t="s">
        <v>349</v>
      </c>
      <c r="AX542" s="4" t="str">
        <f>"83814"</f>
        <v>83814</v>
      </c>
      <c r="AY542" t="s">
        <v>120</v>
      </c>
      <c r="BA542" s="5">
        <v>12087772654</v>
      </c>
      <c r="BC542" t="s">
        <v>2123</v>
      </c>
      <c r="BD542" t="s">
        <v>351</v>
      </c>
      <c r="BG542" t="s">
        <v>349</v>
      </c>
      <c r="BH542" s="1">
        <v>44839.833333333336</v>
      </c>
      <c r="BI542">
        <v>40</v>
      </c>
      <c r="BJ542">
        <v>0</v>
      </c>
      <c r="BK542">
        <v>8</v>
      </c>
      <c r="BL542">
        <v>8</v>
      </c>
      <c r="BM542">
        <v>8</v>
      </c>
      <c r="BN542">
        <v>8</v>
      </c>
      <c r="BO542">
        <v>8</v>
      </c>
      <c r="BP542">
        <v>0</v>
      </c>
      <c r="BQ542" t="str">
        <f>"7:00 AM"</f>
        <v>7:00 AM</v>
      </c>
      <c r="BR542" t="str">
        <f>"3:30 PM"</f>
        <v>3:30 PM</v>
      </c>
      <c r="BS542" t="s">
        <v>133</v>
      </c>
      <c r="BT542">
        <v>0</v>
      </c>
      <c r="BU542">
        <v>3</v>
      </c>
      <c r="BV542" t="s">
        <v>134</v>
      </c>
      <c r="BX542" s="2" t="s">
        <v>3193</v>
      </c>
      <c r="BY542" t="s">
        <v>3194</v>
      </c>
      <c r="CA542" t="s">
        <v>828</v>
      </c>
      <c r="CB542" t="s">
        <v>349</v>
      </c>
      <c r="CC542" s="4" t="str">
        <f>"83815"</f>
        <v>83815</v>
      </c>
      <c r="CD542" t="s">
        <v>1454</v>
      </c>
      <c r="CE542" t="s">
        <v>1455</v>
      </c>
      <c r="CF542" s="6">
        <v>16.2</v>
      </c>
      <c r="CG542" s="6">
        <v>16.809999999999999</v>
      </c>
      <c r="CH542" s="6">
        <v>24.3</v>
      </c>
      <c r="CI542" s="6">
        <v>25.22</v>
      </c>
      <c r="CJ542" t="s">
        <v>137</v>
      </c>
      <c r="CK542" t="s">
        <v>3195</v>
      </c>
      <c r="CL542" t="s">
        <v>3196</v>
      </c>
      <c r="CO542" t="s">
        <v>138</v>
      </c>
      <c r="CP542" t="s">
        <v>114</v>
      </c>
      <c r="CQ542" t="s">
        <v>114</v>
      </c>
      <c r="CR542" t="s">
        <v>114</v>
      </c>
      <c r="CS542" t="s">
        <v>134</v>
      </c>
      <c r="CT542" t="s">
        <v>114</v>
      </c>
      <c r="CU542" t="s">
        <v>114</v>
      </c>
      <c r="CV542" t="s">
        <v>358</v>
      </c>
      <c r="CW542" s="5" t="str">
        <f>"+12086605701"</f>
        <v>+12086605701</v>
      </c>
      <c r="CX542" t="s">
        <v>3197</v>
      </c>
      <c r="CY542" t="s">
        <v>138</v>
      </c>
      <c r="CZ542" t="s">
        <v>139</v>
      </c>
      <c r="DA542" t="s">
        <v>134</v>
      </c>
      <c r="DB542" t="s">
        <v>134</v>
      </c>
      <c r="DC542" t="s">
        <v>114</v>
      </c>
      <c r="DD542" t="s">
        <v>134</v>
      </c>
    </row>
    <row r="543" spans="1:108" ht="15" customHeight="1" x14ac:dyDescent="0.25">
      <c r="A543" t="s">
        <v>15023</v>
      </c>
      <c r="B543" t="s">
        <v>165</v>
      </c>
      <c r="C543" s="1">
        <v>44868.335972106484</v>
      </c>
      <c r="D543" s="1">
        <v>44897</v>
      </c>
      <c r="E543" t="s">
        <v>134</v>
      </c>
      <c r="F543" t="s">
        <v>1357</v>
      </c>
      <c r="G543" t="str">
        <f>"39-3091.00"</f>
        <v>39-3091.00</v>
      </c>
      <c r="H543" t="s">
        <v>362</v>
      </c>
      <c r="I543">
        <v>30</v>
      </c>
      <c r="J543">
        <v>30</v>
      </c>
      <c r="K543" s="1">
        <v>44958</v>
      </c>
      <c r="L543" s="1">
        <v>45230</v>
      </c>
      <c r="M543" s="1">
        <v>44958</v>
      </c>
      <c r="N543" s="1">
        <v>45230</v>
      </c>
      <c r="O543" t="s">
        <v>199</v>
      </c>
      <c r="P543" t="s">
        <v>15024</v>
      </c>
      <c r="R543" t="s">
        <v>15025</v>
      </c>
      <c r="S543" t="s">
        <v>15026</v>
      </c>
      <c r="T543" t="s">
        <v>1358</v>
      </c>
      <c r="U543" t="s">
        <v>232</v>
      </c>
      <c r="V543" s="4" t="str">
        <f>"78132"</f>
        <v>78132</v>
      </c>
      <c r="W543" t="s">
        <v>120</v>
      </c>
      <c r="Y543" s="5">
        <v>17632322305</v>
      </c>
      <c r="AA543">
        <v>7139</v>
      </c>
      <c r="AB543" t="s">
        <v>14792</v>
      </c>
      <c r="AC543" t="s">
        <v>2174</v>
      </c>
      <c r="AE543" t="s">
        <v>1855</v>
      </c>
      <c r="AF543" t="s">
        <v>15025</v>
      </c>
      <c r="AG543" t="s">
        <v>15027</v>
      </c>
      <c r="AH543" t="s">
        <v>1358</v>
      </c>
      <c r="AI543" t="s">
        <v>232</v>
      </c>
      <c r="AJ543" s="4" t="str">
        <f>"78132"</f>
        <v>78132</v>
      </c>
      <c r="AK543" t="s">
        <v>120</v>
      </c>
      <c r="AM543" s="5">
        <v>17632322305</v>
      </c>
      <c r="AO543" t="s">
        <v>15028</v>
      </c>
      <c r="AP543" t="s">
        <v>256</v>
      </c>
      <c r="AQ543" t="s">
        <v>535</v>
      </c>
      <c r="AR543" t="s">
        <v>536</v>
      </c>
      <c r="AS543" t="s">
        <v>537</v>
      </c>
      <c r="AT543" t="s">
        <v>538</v>
      </c>
      <c r="AU543" t="s">
        <v>539</v>
      </c>
      <c r="AV543" t="s">
        <v>540</v>
      </c>
      <c r="AW543" t="s">
        <v>232</v>
      </c>
      <c r="AX543" s="4" t="str">
        <f>"78550"</f>
        <v>78550</v>
      </c>
      <c r="AY543" t="s">
        <v>120</v>
      </c>
      <c r="BA543" s="5">
        <v>19564408720</v>
      </c>
      <c r="BB543">
        <v>0</v>
      </c>
      <c r="BC543" t="s">
        <v>563</v>
      </c>
      <c r="BD543" t="s">
        <v>543</v>
      </c>
      <c r="BG543" t="s">
        <v>232</v>
      </c>
      <c r="BH543" s="1">
        <v>44867.833333333336</v>
      </c>
      <c r="BI543">
        <v>40</v>
      </c>
      <c r="BJ543">
        <v>8</v>
      </c>
      <c r="BK543">
        <v>0</v>
      </c>
      <c r="BL543">
        <v>0</v>
      </c>
      <c r="BM543">
        <v>8</v>
      </c>
      <c r="BN543">
        <v>8</v>
      </c>
      <c r="BO543">
        <v>8</v>
      </c>
      <c r="BP543">
        <v>8</v>
      </c>
      <c r="BQ543" t="str">
        <f>"1:00 PM"</f>
        <v>1:00 PM</v>
      </c>
      <c r="BR543" t="str">
        <f>"10:00 PM"</f>
        <v>10:00 PM</v>
      </c>
      <c r="BS543" t="s">
        <v>133</v>
      </c>
      <c r="BT543">
        <v>0</v>
      </c>
      <c r="BU543">
        <v>0</v>
      </c>
      <c r="BV543" t="s">
        <v>134</v>
      </c>
      <c r="BX543" s="2" t="s">
        <v>3113</v>
      </c>
      <c r="BY543" t="s">
        <v>15025</v>
      </c>
      <c r="CA543" t="s">
        <v>1358</v>
      </c>
      <c r="CB543" t="s">
        <v>232</v>
      </c>
      <c r="CC543" s="4" t="str">
        <f>"78132"</f>
        <v>78132</v>
      </c>
      <c r="CD543" t="s">
        <v>1341</v>
      </c>
      <c r="CE543" t="s">
        <v>1342</v>
      </c>
      <c r="CF543" s="6">
        <v>9.4600000000000009</v>
      </c>
      <c r="CG543" s="6">
        <v>17.690000000000001</v>
      </c>
      <c r="CJ543" t="s">
        <v>137</v>
      </c>
      <c r="CK543" t="s">
        <v>549</v>
      </c>
      <c r="CL543" t="s">
        <v>15029</v>
      </c>
      <c r="CM543" t="s">
        <v>15030</v>
      </c>
      <c r="CO543" t="s">
        <v>138</v>
      </c>
      <c r="CP543" t="s">
        <v>114</v>
      </c>
      <c r="CQ543" t="s">
        <v>114</v>
      </c>
      <c r="CR543" t="s">
        <v>134</v>
      </c>
      <c r="CS543" t="s">
        <v>114</v>
      </c>
      <c r="CT543" t="s">
        <v>114</v>
      </c>
      <c r="CU543" t="s">
        <v>114</v>
      </c>
      <c r="CV543" t="s">
        <v>569</v>
      </c>
      <c r="CW543" s="5" t="str">
        <f>"+17632322305"</f>
        <v>+17632322305</v>
      </c>
      <c r="CX543" t="s">
        <v>15028</v>
      </c>
      <c r="CY543" t="s">
        <v>138</v>
      </c>
      <c r="CZ543" t="s">
        <v>139</v>
      </c>
      <c r="DA543" t="s">
        <v>134</v>
      </c>
      <c r="DB543" t="s">
        <v>114</v>
      </c>
      <c r="DC543" t="s">
        <v>114</v>
      </c>
      <c r="DD543" t="s">
        <v>134</v>
      </c>
    </row>
    <row r="544" spans="1:108" ht="15" customHeight="1" x14ac:dyDescent="0.25">
      <c r="A544" t="s">
        <v>7314</v>
      </c>
      <c r="B544" t="s">
        <v>165</v>
      </c>
      <c r="C544" s="1">
        <v>44868.296416898149</v>
      </c>
      <c r="D544" s="1">
        <v>44897</v>
      </c>
      <c r="E544" t="s">
        <v>134</v>
      </c>
      <c r="F544" t="s">
        <v>334</v>
      </c>
      <c r="G544" t="str">
        <f>"37-3011.00"</f>
        <v>37-3011.00</v>
      </c>
      <c r="H544" t="s">
        <v>335</v>
      </c>
      <c r="I544">
        <v>17</v>
      </c>
      <c r="J544">
        <v>17</v>
      </c>
      <c r="K544" s="1">
        <v>44958</v>
      </c>
      <c r="L544" s="1">
        <v>45260</v>
      </c>
      <c r="M544" s="1">
        <v>44958</v>
      </c>
      <c r="N544" s="1">
        <v>45260</v>
      </c>
      <c r="O544" t="s">
        <v>199</v>
      </c>
      <c r="P544" t="s">
        <v>7315</v>
      </c>
      <c r="R544" t="s">
        <v>7316</v>
      </c>
      <c r="S544" t="s">
        <v>7317</v>
      </c>
      <c r="T544" t="s">
        <v>2252</v>
      </c>
      <c r="U544" t="s">
        <v>214</v>
      </c>
      <c r="V544" s="4" t="str">
        <f>"70816"</f>
        <v>70816</v>
      </c>
      <c r="W544" t="s">
        <v>120</v>
      </c>
      <c r="Y544" s="5">
        <v>12258064081</v>
      </c>
      <c r="AA544">
        <v>56173</v>
      </c>
      <c r="AB544" t="s">
        <v>7318</v>
      </c>
      <c r="AC544" t="s">
        <v>146</v>
      </c>
      <c r="AE544" t="s">
        <v>342</v>
      </c>
      <c r="AF544" t="s">
        <v>7316</v>
      </c>
      <c r="AG544" t="s">
        <v>7317</v>
      </c>
      <c r="AH544" t="s">
        <v>2252</v>
      </c>
      <c r="AI544" t="s">
        <v>214</v>
      </c>
      <c r="AJ544" s="4" t="str">
        <f>"70816"</f>
        <v>70816</v>
      </c>
      <c r="AK544" t="s">
        <v>120</v>
      </c>
      <c r="AM544" s="5">
        <v>12258064081</v>
      </c>
      <c r="AO544" t="s">
        <v>7319</v>
      </c>
      <c r="AP544" t="s">
        <v>256</v>
      </c>
      <c r="AQ544" t="s">
        <v>2115</v>
      </c>
      <c r="AR544" t="s">
        <v>2116</v>
      </c>
      <c r="AT544" t="s">
        <v>1930</v>
      </c>
      <c r="AU544" t="s">
        <v>1931</v>
      </c>
      <c r="AV544" t="s">
        <v>1932</v>
      </c>
      <c r="AW544" t="s">
        <v>349</v>
      </c>
      <c r="AX544" s="4" t="str">
        <f>"83814"</f>
        <v>83814</v>
      </c>
      <c r="AY544" t="s">
        <v>120</v>
      </c>
      <c r="BA544" s="5">
        <v>12087772654</v>
      </c>
      <c r="BC544" t="s">
        <v>2117</v>
      </c>
      <c r="BD544" t="s">
        <v>351</v>
      </c>
      <c r="BG544" t="s">
        <v>214</v>
      </c>
      <c r="BH544" s="1">
        <v>44850.833333333336</v>
      </c>
      <c r="BI544">
        <v>40</v>
      </c>
      <c r="BJ544">
        <v>0</v>
      </c>
      <c r="BK544">
        <v>8</v>
      </c>
      <c r="BL544">
        <v>8</v>
      </c>
      <c r="BM544">
        <v>8</v>
      </c>
      <c r="BN544">
        <v>8</v>
      </c>
      <c r="BO544">
        <v>8</v>
      </c>
      <c r="BP544">
        <v>0</v>
      </c>
      <c r="BQ544" t="str">
        <f>"7:00 AM"</f>
        <v>7:00 AM</v>
      </c>
      <c r="BR544" t="str">
        <f>"4:00 PM"</f>
        <v>4:00 PM</v>
      </c>
      <c r="BS544" t="s">
        <v>133</v>
      </c>
      <c r="BT544">
        <v>0</v>
      </c>
      <c r="BU544">
        <v>0</v>
      </c>
      <c r="BV544" t="s">
        <v>134</v>
      </c>
      <c r="BX544" s="2" t="s">
        <v>352</v>
      </c>
      <c r="BY544" t="s">
        <v>7320</v>
      </c>
      <c r="BZ544" t="s">
        <v>7317</v>
      </c>
      <c r="CA544" t="s">
        <v>2252</v>
      </c>
      <c r="CB544" t="s">
        <v>214</v>
      </c>
      <c r="CC544" s="4" t="str">
        <f>"70816"</f>
        <v>70816</v>
      </c>
      <c r="CD544" t="s">
        <v>2247</v>
      </c>
      <c r="CE544" t="s">
        <v>737</v>
      </c>
      <c r="CF544" s="6">
        <v>14.87</v>
      </c>
      <c r="CG544" s="6">
        <v>27</v>
      </c>
      <c r="CH544" s="6">
        <v>22.31</v>
      </c>
      <c r="CI544" s="6">
        <v>40.5</v>
      </c>
      <c r="CJ544" t="s">
        <v>137</v>
      </c>
      <c r="CK544" t="s">
        <v>356</v>
      </c>
      <c r="CL544" t="s">
        <v>7321</v>
      </c>
      <c r="CO544" t="s">
        <v>138</v>
      </c>
      <c r="CP544" t="s">
        <v>114</v>
      </c>
      <c r="CQ544" t="s">
        <v>114</v>
      </c>
      <c r="CR544" t="s">
        <v>114</v>
      </c>
      <c r="CS544" t="s">
        <v>114</v>
      </c>
      <c r="CT544" t="s">
        <v>114</v>
      </c>
      <c r="CU544" t="s">
        <v>114</v>
      </c>
      <c r="CV544" t="s">
        <v>7322</v>
      </c>
      <c r="CW544" s="5" t="str">
        <f>"+12258064081"</f>
        <v>+12258064081</v>
      </c>
      <c r="CX544" t="s">
        <v>7319</v>
      </c>
      <c r="CY544" t="s">
        <v>138</v>
      </c>
      <c r="CZ544" t="s">
        <v>139</v>
      </c>
      <c r="DA544" t="s">
        <v>134</v>
      </c>
      <c r="DB544" t="s">
        <v>134</v>
      </c>
      <c r="DC544" t="s">
        <v>114</v>
      </c>
      <c r="DD544" t="s">
        <v>134</v>
      </c>
    </row>
    <row r="545" spans="1:113" ht="15" customHeight="1" x14ac:dyDescent="0.25">
      <c r="A545" t="s">
        <v>12868</v>
      </c>
      <c r="B545" t="s">
        <v>165</v>
      </c>
      <c r="C545" s="1">
        <v>44868.022464467591</v>
      </c>
      <c r="D545" s="1">
        <v>44897</v>
      </c>
      <c r="E545" t="s">
        <v>134</v>
      </c>
      <c r="F545" t="s">
        <v>334</v>
      </c>
      <c r="G545" t="str">
        <f>"37-3011.00"</f>
        <v>37-3011.00</v>
      </c>
      <c r="H545" t="s">
        <v>335</v>
      </c>
      <c r="I545">
        <v>15</v>
      </c>
      <c r="J545">
        <v>15</v>
      </c>
      <c r="K545" s="1">
        <v>44958</v>
      </c>
      <c r="L545" s="1">
        <v>45230</v>
      </c>
      <c r="M545" s="1">
        <v>44958</v>
      </c>
      <c r="N545" s="1">
        <v>45230</v>
      </c>
      <c r="O545" t="s">
        <v>199</v>
      </c>
      <c r="P545" t="s">
        <v>12869</v>
      </c>
      <c r="Q545" t="s">
        <v>12870</v>
      </c>
      <c r="R545" t="s">
        <v>12871</v>
      </c>
      <c r="T545" t="s">
        <v>2922</v>
      </c>
      <c r="U545" t="s">
        <v>339</v>
      </c>
      <c r="V545" s="4" t="str">
        <f>"21921"</f>
        <v>21921</v>
      </c>
      <c r="W545" t="s">
        <v>120</v>
      </c>
      <c r="Y545" s="5">
        <v>14103980880</v>
      </c>
      <c r="AA545">
        <v>5617</v>
      </c>
      <c r="AB545" t="s">
        <v>12872</v>
      </c>
      <c r="AC545" t="s">
        <v>626</v>
      </c>
      <c r="AE545" t="s">
        <v>1526</v>
      </c>
      <c r="AF545" t="s">
        <v>12871</v>
      </c>
      <c r="AH545" t="s">
        <v>2922</v>
      </c>
      <c r="AI545" t="s">
        <v>339</v>
      </c>
      <c r="AJ545" s="4" t="str">
        <f>"21921"</f>
        <v>21921</v>
      </c>
      <c r="AK545" t="s">
        <v>120</v>
      </c>
      <c r="AM545" s="5">
        <v>14103980880</v>
      </c>
      <c r="AO545" t="s">
        <v>12873</v>
      </c>
      <c r="AP545" t="s">
        <v>256</v>
      </c>
      <c r="AQ545" t="s">
        <v>400</v>
      </c>
      <c r="AR545" t="s">
        <v>401</v>
      </c>
      <c r="AS545" t="s">
        <v>397</v>
      </c>
      <c r="AT545" t="s">
        <v>402</v>
      </c>
      <c r="AU545" t="s">
        <v>152</v>
      </c>
      <c r="AV545" t="s">
        <v>403</v>
      </c>
      <c r="AW545" t="s">
        <v>232</v>
      </c>
      <c r="AX545" s="4" t="str">
        <f>"75033"</f>
        <v>75033</v>
      </c>
      <c r="AY545" t="s">
        <v>120</v>
      </c>
      <c r="BA545" s="5">
        <v>19727789690</v>
      </c>
      <c r="BC545" t="s">
        <v>1534</v>
      </c>
      <c r="BD545" t="s">
        <v>405</v>
      </c>
      <c r="BG545" t="s">
        <v>339</v>
      </c>
      <c r="BH545" s="1">
        <v>44867.833333333336</v>
      </c>
      <c r="BI545">
        <v>40</v>
      </c>
      <c r="BJ545">
        <v>0</v>
      </c>
      <c r="BK545">
        <v>8</v>
      </c>
      <c r="BL545">
        <v>8</v>
      </c>
      <c r="BM545">
        <v>8</v>
      </c>
      <c r="BN545">
        <v>8</v>
      </c>
      <c r="BO545">
        <v>8</v>
      </c>
      <c r="BP545">
        <v>0</v>
      </c>
      <c r="BQ545" t="str">
        <f>"7:00 AM"</f>
        <v>7:00 AM</v>
      </c>
      <c r="BR545" t="str">
        <f>"4:00 PM"</f>
        <v>4:00 PM</v>
      </c>
      <c r="BS545" t="s">
        <v>133</v>
      </c>
      <c r="BT545">
        <v>0</v>
      </c>
      <c r="BU545">
        <v>0</v>
      </c>
      <c r="BV545" t="s">
        <v>134</v>
      </c>
      <c r="BX545" s="2" t="s">
        <v>12874</v>
      </c>
      <c r="BY545" t="s">
        <v>12871</v>
      </c>
      <c r="CA545" t="s">
        <v>2922</v>
      </c>
      <c r="CB545" t="s">
        <v>339</v>
      </c>
      <c r="CC545" s="4" t="str">
        <f>"21921"</f>
        <v>21921</v>
      </c>
      <c r="CD545" t="s">
        <v>2923</v>
      </c>
      <c r="CE545" t="s">
        <v>1266</v>
      </c>
      <c r="CF545" s="6">
        <v>17.82</v>
      </c>
      <c r="CG545" s="6">
        <v>17.82</v>
      </c>
      <c r="CH545" s="6">
        <v>26.73</v>
      </c>
      <c r="CI545" s="6">
        <v>26.73</v>
      </c>
      <c r="CJ545" t="s">
        <v>137</v>
      </c>
      <c r="CK545" t="s">
        <v>950</v>
      </c>
      <c r="CL545" t="s">
        <v>12875</v>
      </c>
      <c r="CO545" t="s">
        <v>138</v>
      </c>
      <c r="CP545" t="s">
        <v>114</v>
      </c>
      <c r="CQ545" t="s">
        <v>114</v>
      </c>
      <c r="CR545" t="s">
        <v>114</v>
      </c>
      <c r="CS545" t="s">
        <v>114</v>
      </c>
      <c r="CT545" t="s">
        <v>114</v>
      </c>
      <c r="CU545" t="s">
        <v>114</v>
      </c>
      <c r="CV545" s="2" t="s">
        <v>12876</v>
      </c>
      <c r="CW545" s="5" t="str">
        <f>"+14103980880"</f>
        <v>+14103980880</v>
      </c>
      <c r="CX545" t="s">
        <v>138</v>
      </c>
      <c r="CY545" t="s">
        <v>1992</v>
      </c>
      <c r="CZ545" t="s">
        <v>139</v>
      </c>
      <c r="DA545" t="s">
        <v>134</v>
      </c>
      <c r="DB545" t="s">
        <v>114</v>
      </c>
      <c r="DC545" t="s">
        <v>114</v>
      </c>
      <c r="DD545" t="s">
        <v>134</v>
      </c>
    </row>
    <row r="546" spans="1:113" ht="15" customHeight="1" x14ac:dyDescent="0.25">
      <c r="A546" t="s">
        <v>10238</v>
      </c>
      <c r="B546" t="s">
        <v>165</v>
      </c>
      <c r="C546" s="1">
        <v>44868.011329513887</v>
      </c>
      <c r="D546" s="1">
        <v>44897</v>
      </c>
      <c r="E546" t="s">
        <v>134</v>
      </c>
      <c r="F546" t="s">
        <v>10239</v>
      </c>
      <c r="G546" t="str">
        <f>"39-9032.00"</f>
        <v>39-9032.00</v>
      </c>
      <c r="H546" t="s">
        <v>4287</v>
      </c>
      <c r="I546">
        <v>12</v>
      </c>
      <c r="J546">
        <v>12</v>
      </c>
      <c r="K546" s="1">
        <v>44958</v>
      </c>
      <c r="L546" s="1">
        <v>45261</v>
      </c>
      <c r="M546" s="1">
        <v>44958</v>
      </c>
      <c r="N546" s="1">
        <v>45261</v>
      </c>
      <c r="O546" t="s">
        <v>117</v>
      </c>
      <c r="P546" t="s">
        <v>10240</v>
      </c>
      <c r="R546" t="s">
        <v>10241</v>
      </c>
      <c r="T546" t="s">
        <v>10242</v>
      </c>
      <c r="U546" t="s">
        <v>1003</v>
      </c>
      <c r="V546" s="4" t="str">
        <f>"07090"</f>
        <v>07090</v>
      </c>
      <c r="W546" t="s">
        <v>120</v>
      </c>
      <c r="Y546" s="5">
        <v>17329799216</v>
      </c>
      <c r="AA546">
        <v>611620</v>
      </c>
      <c r="AB546" t="s">
        <v>4093</v>
      </c>
      <c r="AC546" t="s">
        <v>2867</v>
      </c>
      <c r="AD546" t="s">
        <v>10243</v>
      </c>
      <c r="AE546" t="s">
        <v>1849</v>
      </c>
      <c r="AF546" t="s">
        <v>10244</v>
      </c>
      <c r="AG546" t="s">
        <v>1717</v>
      </c>
      <c r="AH546" t="s">
        <v>10242</v>
      </c>
      <c r="AI546" t="s">
        <v>1003</v>
      </c>
      <c r="AJ546" s="4" t="str">
        <f>"07090"</f>
        <v>07090</v>
      </c>
      <c r="AK546" t="s">
        <v>120</v>
      </c>
      <c r="AM546" s="5">
        <v>17329799216</v>
      </c>
      <c r="AO546" t="s">
        <v>10245</v>
      </c>
      <c r="AP546" t="s">
        <v>122</v>
      </c>
      <c r="AQ546" t="s">
        <v>10246</v>
      </c>
      <c r="AR546" t="s">
        <v>1530</v>
      </c>
      <c r="AS546" t="s">
        <v>2174</v>
      </c>
      <c r="AT546" t="s">
        <v>10247</v>
      </c>
      <c r="AU546" t="s">
        <v>2379</v>
      </c>
      <c r="AV546" t="s">
        <v>10248</v>
      </c>
      <c r="AW546" t="s">
        <v>1003</v>
      </c>
      <c r="AX546" s="4" t="str">
        <f>"07040"</f>
        <v>07040</v>
      </c>
      <c r="AY546" t="s">
        <v>120</v>
      </c>
      <c r="BA546" s="5">
        <v>19737620700</v>
      </c>
      <c r="BC546" t="s">
        <v>10249</v>
      </c>
      <c r="BD546" t="s">
        <v>10250</v>
      </c>
      <c r="BE546" t="s">
        <v>1003</v>
      </c>
      <c r="BF546" t="s">
        <v>322</v>
      </c>
      <c r="BG546" t="s">
        <v>1003</v>
      </c>
      <c r="BH546" s="1">
        <v>44866.833333333336</v>
      </c>
      <c r="BI546">
        <v>35</v>
      </c>
      <c r="BJ546">
        <v>3</v>
      </c>
      <c r="BK546">
        <v>6</v>
      </c>
      <c r="BL546">
        <v>4</v>
      </c>
      <c r="BM546">
        <v>6</v>
      </c>
      <c r="BN546">
        <v>4</v>
      </c>
      <c r="BO546">
        <v>6</v>
      </c>
      <c r="BP546">
        <v>6</v>
      </c>
      <c r="BQ546" t="str">
        <f>"11:00 AM"</f>
        <v>11:00 AM</v>
      </c>
      <c r="BR546" t="str">
        <f>"4:00 PM"</f>
        <v>4:00 PM</v>
      </c>
      <c r="BS546" t="s">
        <v>133</v>
      </c>
      <c r="BT546">
        <v>0</v>
      </c>
      <c r="BU546">
        <v>12</v>
      </c>
      <c r="BV546" t="s">
        <v>134</v>
      </c>
      <c r="BX546" t="s">
        <v>2314</v>
      </c>
      <c r="BY546" t="s">
        <v>10251</v>
      </c>
      <c r="BZ546" t="s">
        <v>10252</v>
      </c>
      <c r="CA546" t="s">
        <v>10253</v>
      </c>
      <c r="CB546" t="s">
        <v>1003</v>
      </c>
      <c r="CC546" s="4" t="str">
        <f>"07920"</f>
        <v>07920</v>
      </c>
      <c r="CD546" t="s">
        <v>2512</v>
      </c>
      <c r="CE546" t="s">
        <v>1009</v>
      </c>
      <c r="CF546" s="6">
        <v>18.28</v>
      </c>
      <c r="CJ546" t="s">
        <v>137</v>
      </c>
      <c r="CL546" t="s">
        <v>10254</v>
      </c>
      <c r="CO546" t="s">
        <v>138</v>
      </c>
      <c r="CP546" t="s">
        <v>114</v>
      </c>
      <c r="CQ546" t="s">
        <v>134</v>
      </c>
      <c r="CR546" t="s">
        <v>134</v>
      </c>
      <c r="CS546" t="s">
        <v>134</v>
      </c>
      <c r="CT546" t="s">
        <v>114</v>
      </c>
      <c r="CU546" t="s">
        <v>134</v>
      </c>
      <c r="CV546" t="s">
        <v>10255</v>
      </c>
      <c r="CW546" s="5" t="str">
        <f>"+19087579090"</f>
        <v>+19087579090</v>
      </c>
      <c r="CX546" t="s">
        <v>10245</v>
      </c>
      <c r="CY546" t="s">
        <v>138</v>
      </c>
      <c r="CZ546" t="s">
        <v>139</v>
      </c>
      <c r="DA546" t="s">
        <v>134</v>
      </c>
      <c r="DB546" t="s">
        <v>134</v>
      </c>
      <c r="DC546" t="s">
        <v>114</v>
      </c>
      <c r="DD546" t="s">
        <v>134</v>
      </c>
    </row>
    <row r="547" spans="1:113" ht="15" customHeight="1" x14ac:dyDescent="0.25">
      <c r="A547" t="s">
        <v>14268</v>
      </c>
      <c r="B547" t="s">
        <v>165</v>
      </c>
      <c r="C547" s="1">
        <v>44868.002218518515</v>
      </c>
      <c r="D547" s="1">
        <v>44897</v>
      </c>
      <c r="E547" t="s">
        <v>134</v>
      </c>
      <c r="F547" t="s">
        <v>1658</v>
      </c>
      <c r="G547" t="str">
        <f>"37-3011.00"</f>
        <v>37-3011.00</v>
      </c>
      <c r="H547" t="s">
        <v>335</v>
      </c>
      <c r="I547">
        <v>10</v>
      </c>
      <c r="J547">
        <v>10</v>
      </c>
      <c r="K547" s="1">
        <v>44958</v>
      </c>
      <c r="L547" s="1">
        <v>45260</v>
      </c>
      <c r="M547" s="1">
        <v>44958</v>
      </c>
      <c r="N547" s="1">
        <v>45260</v>
      </c>
      <c r="O547" t="s">
        <v>117</v>
      </c>
      <c r="P547" t="s">
        <v>1921</v>
      </c>
      <c r="R547" t="s">
        <v>1922</v>
      </c>
      <c r="T547" t="s">
        <v>1923</v>
      </c>
      <c r="U547" t="s">
        <v>339</v>
      </c>
      <c r="V547" s="4" t="str">
        <f>"20882"</f>
        <v>20882</v>
      </c>
      <c r="W547" t="s">
        <v>120</v>
      </c>
      <c r="Y547" s="5">
        <v>13014820300</v>
      </c>
      <c r="AA547">
        <v>56173</v>
      </c>
      <c r="AB547" t="s">
        <v>1924</v>
      </c>
      <c r="AC547" t="s">
        <v>1925</v>
      </c>
      <c r="AD547" t="s">
        <v>138</v>
      </c>
      <c r="AE547" t="s">
        <v>1926</v>
      </c>
      <c r="AF547" t="s">
        <v>1922</v>
      </c>
      <c r="AH547" t="s">
        <v>1923</v>
      </c>
      <c r="AI547" t="s">
        <v>339</v>
      </c>
      <c r="AJ547" s="4" t="str">
        <f>"20882"</f>
        <v>20882</v>
      </c>
      <c r="AK547" t="s">
        <v>120</v>
      </c>
      <c r="AM547" s="5">
        <v>13014820300</v>
      </c>
      <c r="AO547" t="s">
        <v>1927</v>
      </c>
      <c r="AP547" t="s">
        <v>256</v>
      </c>
      <c r="AQ547" t="s">
        <v>1928</v>
      </c>
      <c r="AR547" t="s">
        <v>1929</v>
      </c>
      <c r="AS547" t="s">
        <v>1685</v>
      </c>
      <c r="AT547" t="s">
        <v>1930</v>
      </c>
      <c r="AU547" t="s">
        <v>1931</v>
      </c>
      <c r="AV547" t="s">
        <v>1932</v>
      </c>
      <c r="AW547" t="s">
        <v>349</v>
      </c>
      <c r="AX547" s="4" t="str">
        <f>"83814"</f>
        <v>83814</v>
      </c>
      <c r="AY547" t="s">
        <v>120</v>
      </c>
      <c r="BA547" s="5">
        <v>12087772654</v>
      </c>
      <c r="BC547" t="s">
        <v>1933</v>
      </c>
      <c r="BD547" t="s">
        <v>351</v>
      </c>
      <c r="BG547" t="s">
        <v>119</v>
      </c>
      <c r="BH547" s="1">
        <v>44858.833333333336</v>
      </c>
      <c r="BI547">
        <v>40</v>
      </c>
      <c r="BJ547">
        <v>0</v>
      </c>
      <c r="BK547">
        <v>8</v>
      </c>
      <c r="BL547">
        <v>8</v>
      </c>
      <c r="BM547">
        <v>8</v>
      </c>
      <c r="BN547">
        <v>8</v>
      </c>
      <c r="BO547">
        <v>8</v>
      </c>
      <c r="BP547">
        <v>0</v>
      </c>
      <c r="BQ547" t="str">
        <f>"6:30 AM"</f>
        <v>6:30 AM</v>
      </c>
      <c r="BR547" t="str">
        <f>"3:30 PM"</f>
        <v>3:30 PM</v>
      </c>
      <c r="BS547" t="s">
        <v>133</v>
      </c>
      <c r="BT547">
        <v>0</v>
      </c>
      <c r="BU547">
        <v>0</v>
      </c>
      <c r="BV547" t="s">
        <v>134</v>
      </c>
      <c r="BX547" s="2" t="s">
        <v>1934</v>
      </c>
      <c r="BY547" t="s">
        <v>14269</v>
      </c>
      <c r="CA547" t="s">
        <v>4601</v>
      </c>
      <c r="CB547" t="s">
        <v>119</v>
      </c>
      <c r="CC547" s="4" t="str">
        <f>"27529"</f>
        <v>27529</v>
      </c>
      <c r="CD547" t="s">
        <v>2391</v>
      </c>
      <c r="CE547" t="s">
        <v>2392</v>
      </c>
      <c r="CF547" s="6">
        <v>16.45</v>
      </c>
      <c r="CG547" s="6">
        <v>17.75</v>
      </c>
      <c r="CH547" s="6">
        <v>24.68</v>
      </c>
      <c r="CI547" s="6">
        <v>26.63</v>
      </c>
      <c r="CJ547" t="s">
        <v>137</v>
      </c>
      <c r="CK547" t="s">
        <v>356</v>
      </c>
      <c r="CL547" t="s">
        <v>14270</v>
      </c>
      <c r="CO547" t="s">
        <v>138</v>
      </c>
      <c r="CP547" t="s">
        <v>114</v>
      </c>
      <c r="CQ547" t="s">
        <v>114</v>
      </c>
      <c r="CR547" t="s">
        <v>114</v>
      </c>
      <c r="CS547" t="s">
        <v>114</v>
      </c>
      <c r="CT547" t="s">
        <v>114</v>
      </c>
      <c r="CU547" t="s">
        <v>114</v>
      </c>
      <c r="CV547" s="2" t="s">
        <v>14271</v>
      </c>
      <c r="CW547" s="5" t="str">
        <f>"+19195960047"</f>
        <v>+19195960047</v>
      </c>
      <c r="CX547" t="s">
        <v>14272</v>
      </c>
      <c r="CY547" t="s">
        <v>138</v>
      </c>
      <c r="CZ547" t="s">
        <v>139</v>
      </c>
      <c r="DA547" t="s">
        <v>134</v>
      </c>
      <c r="DB547" t="s">
        <v>114</v>
      </c>
      <c r="DC547" t="s">
        <v>114</v>
      </c>
      <c r="DD547" t="s">
        <v>134</v>
      </c>
    </row>
    <row r="548" spans="1:113" ht="15" customHeight="1" x14ac:dyDescent="0.25">
      <c r="A548" t="s">
        <v>11194</v>
      </c>
      <c r="B548" t="s">
        <v>165</v>
      </c>
      <c r="C548" s="1">
        <v>44868.002047800925</v>
      </c>
      <c r="D548" s="1">
        <v>44897</v>
      </c>
      <c r="E548" t="s">
        <v>134</v>
      </c>
      <c r="F548" t="s">
        <v>5054</v>
      </c>
      <c r="G548" t="str">
        <f>"37-3011.00"</f>
        <v>37-3011.00</v>
      </c>
      <c r="H548" t="s">
        <v>335</v>
      </c>
      <c r="I548">
        <v>52</v>
      </c>
      <c r="J548">
        <v>52</v>
      </c>
      <c r="K548" s="1">
        <v>44958</v>
      </c>
      <c r="L548" s="1">
        <v>45260</v>
      </c>
      <c r="M548" s="1">
        <v>44958</v>
      </c>
      <c r="N548" s="1">
        <v>45260</v>
      </c>
      <c r="O548" t="s">
        <v>117</v>
      </c>
      <c r="P548" t="s">
        <v>1921</v>
      </c>
      <c r="R548" t="s">
        <v>1922</v>
      </c>
      <c r="T548" t="s">
        <v>1923</v>
      </c>
      <c r="U548" t="s">
        <v>339</v>
      </c>
      <c r="V548" s="4" t="str">
        <f>"20882"</f>
        <v>20882</v>
      </c>
      <c r="W548" t="s">
        <v>120</v>
      </c>
      <c r="Y548" s="5">
        <v>13014820300</v>
      </c>
      <c r="AA548">
        <v>56173</v>
      </c>
      <c r="AB548" t="s">
        <v>1924</v>
      </c>
      <c r="AC548" t="s">
        <v>1925</v>
      </c>
      <c r="AD548" t="s">
        <v>138</v>
      </c>
      <c r="AE548" t="s">
        <v>1926</v>
      </c>
      <c r="AF548" t="s">
        <v>1922</v>
      </c>
      <c r="AH548" t="s">
        <v>1923</v>
      </c>
      <c r="AI548" t="s">
        <v>339</v>
      </c>
      <c r="AJ548" s="4" t="str">
        <f>"20882"</f>
        <v>20882</v>
      </c>
      <c r="AK548" t="s">
        <v>120</v>
      </c>
      <c r="AM548" s="5">
        <v>13014820300</v>
      </c>
      <c r="AO548" t="s">
        <v>1927</v>
      </c>
      <c r="AP548" t="s">
        <v>256</v>
      </c>
      <c r="AQ548" t="s">
        <v>1928</v>
      </c>
      <c r="AR548" t="s">
        <v>1929</v>
      </c>
      <c r="AS548" t="s">
        <v>1685</v>
      </c>
      <c r="AT548" t="s">
        <v>1930</v>
      </c>
      <c r="AU548" t="s">
        <v>1931</v>
      </c>
      <c r="AV548" t="s">
        <v>1932</v>
      </c>
      <c r="AW548" t="s">
        <v>349</v>
      </c>
      <c r="AX548" s="4" t="str">
        <f>"83814"</f>
        <v>83814</v>
      </c>
      <c r="AY548" t="s">
        <v>120</v>
      </c>
      <c r="BA548" s="5">
        <v>12087772654</v>
      </c>
      <c r="BC548" t="s">
        <v>1933</v>
      </c>
      <c r="BD548" t="s">
        <v>351</v>
      </c>
      <c r="BG548" t="s">
        <v>339</v>
      </c>
      <c r="BH548" s="1">
        <v>44864.833333333336</v>
      </c>
      <c r="BI548">
        <v>40</v>
      </c>
      <c r="BJ548">
        <v>0</v>
      </c>
      <c r="BK548">
        <v>8</v>
      </c>
      <c r="BL548">
        <v>8</v>
      </c>
      <c r="BM548">
        <v>8</v>
      </c>
      <c r="BN548">
        <v>8</v>
      </c>
      <c r="BO548">
        <v>8</v>
      </c>
      <c r="BP548">
        <v>0</v>
      </c>
      <c r="BQ548" t="str">
        <f>"6:30 AM"</f>
        <v>6:30 AM</v>
      </c>
      <c r="BR548" t="str">
        <f>"3:30 PM"</f>
        <v>3:30 PM</v>
      </c>
      <c r="BS548" t="s">
        <v>133</v>
      </c>
      <c r="BT548">
        <v>0</v>
      </c>
      <c r="BU548">
        <v>0</v>
      </c>
      <c r="BV548" t="s">
        <v>134</v>
      </c>
      <c r="BX548" s="2" t="s">
        <v>1934</v>
      </c>
      <c r="BY548" t="s">
        <v>11195</v>
      </c>
      <c r="CA548" t="s">
        <v>11196</v>
      </c>
      <c r="CB548" t="s">
        <v>339</v>
      </c>
      <c r="CC548" s="4" t="str">
        <f>"20747"</f>
        <v>20747</v>
      </c>
      <c r="CD548" t="s">
        <v>1102</v>
      </c>
      <c r="CE548" t="s">
        <v>355</v>
      </c>
      <c r="CF548" s="6">
        <v>18.36</v>
      </c>
      <c r="CG548" s="6">
        <v>20</v>
      </c>
      <c r="CH548" s="6">
        <v>27.54</v>
      </c>
      <c r="CI548" s="6">
        <v>30</v>
      </c>
      <c r="CJ548" t="s">
        <v>137</v>
      </c>
      <c r="CK548" t="s">
        <v>356</v>
      </c>
      <c r="CL548" t="s">
        <v>11197</v>
      </c>
      <c r="CO548" t="s">
        <v>138</v>
      </c>
      <c r="CP548" t="s">
        <v>114</v>
      </c>
      <c r="CQ548" t="s">
        <v>114</v>
      </c>
      <c r="CR548" t="s">
        <v>114</v>
      </c>
      <c r="CS548" t="s">
        <v>114</v>
      </c>
      <c r="CT548" t="s">
        <v>114</v>
      </c>
      <c r="CU548" t="s">
        <v>114</v>
      </c>
      <c r="CV548" s="2" t="s">
        <v>11198</v>
      </c>
      <c r="CW548" s="5" t="str">
        <f>"+13014140022"</f>
        <v>+13014140022</v>
      </c>
      <c r="CX548" t="s">
        <v>11199</v>
      </c>
      <c r="CY548" t="s">
        <v>138</v>
      </c>
      <c r="CZ548" t="s">
        <v>139</v>
      </c>
      <c r="DA548" t="s">
        <v>134</v>
      </c>
      <c r="DB548" t="s">
        <v>114</v>
      </c>
      <c r="DC548" t="s">
        <v>114</v>
      </c>
      <c r="DD548" t="s">
        <v>134</v>
      </c>
    </row>
    <row r="549" spans="1:113" ht="15" customHeight="1" x14ac:dyDescent="0.25">
      <c r="A549" t="s">
        <v>16299</v>
      </c>
      <c r="B549" t="s">
        <v>165</v>
      </c>
      <c r="C549" s="1">
        <v>44868.001920138886</v>
      </c>
      <c r="D549" s="1">
        <v>44897</v>
      </c>
      <c r="E549" t="s">
        <v>134</v>
      </c>
      <c r="F549" t="s">
        <v>5054</v>
      </c>
      <c r="G549" t="str">
        <f>"37-3011.00"</f>
        <v>37-3011.00</v>
      </c>
      <c r="H549" t="s">
        <v>335</v>
      </c>
      <c r="I549">
        <v>16</v>
      </c>
      <c r="J549">
        <v>16</v>
      </c>
      <c r="K549" s="1">
        <v>44958</v>
      </c>
      <c r="L549" s="1">
        <v>45260</v>
      </c>
      <c r="M549" s="1">
        <v>44958</v>
      </c>
      <c r="N549" s="1">
        <v>45260</v>
      </c>
      <c r="O549" t="s">
        <v>117</v>
      </c>
      <c r="P549" t="s">
        <v>1921</v>
      </c>
      <c r="R549" t="s">
        <v>1922</v>
      </c>
      <c r="T549" t="s">
        <v>1923</v>
      </c>
      <c r="U549" t="s">
        <v>339</v>
      </c>
      <c r="V549" s="4" t="str">
        <f>"20882"</f>
        <v>20882</v>
      </c>
      <c r="W549" t="s">
        <v>120</v>
      </c>
      <c r="Y549" s="5">
        <v>13014820300</v>
      </c>
      <c r="AA549">
        <v>56173</v>
      </c>
      <c r="AB549" t="s">
        <v>1924</v>
      </c>
      <c r="AC549" t="s">
        <v>1925</v>
      </c>
      <c r="AD549" t="s">
        <v>138</v>
      </c>
      <c r="AE549" t="s">
        <v>1926</v>
      </c>
      <c r="AF549" t="s">
        <v>1922</v>
      </c>
      <c r="AH549" t="s">
        <v>1923</v>
      </c>
      <c r="AI549" t="s">
        <v>339</v>
      </c>
      <c r="AJ549" s="4" t="str">
        <f>"20882"</f>
        <v>20882</v>
      </c>
      <c r="AK549" t="s">
        <v>120</v>
      </c>
      <c r="AM549" s="5">
        <v>13014820300</v>
      </c>
      <c r="AO549" t="s">
        <v>1927</v>
      </c>
      <c r="AP549" t="s">
        <v>256</v>
      </c>
      <c r="AQ549" t="s">
        <v>1928</v>
      </c>
      <c r="AR549" t="s">
        <v>1929</v>
      </c>
      <c r="AS549" t="s">
        <v>1685</v>
      </c>
      <c r="AT549" t="s">
        <v>1930</v>
      </c>
      <c r="AU549" t="s">
        <v>1931</v>
      </c>
      <c r="AV549" t="s">
        <v>1932</v>
      </c>
      <c r="AW549" t="s">
        <v>349</v>
      </c>
      <c r="AX549" s="4" t="str">
        <f>"83814"</f>
        <v>83814</v>
      </c>
      <c r="AY549" t="s">
        <v>120</v>
      </c>
      <c r="BA549" s="5">
        <v>12087772654</v>
      </c>
      <c r="BC549" t="s">
        <v>1933</v>
      </c>
      <c r="BD549" t="s">
        <v>351</v>
      </c>
      <c r="BG549" t="s">
        <v>119</v>
      </c>
      <c r="BH549" s="1">
        <v>44858.833333333336</v>
      </c>
      <c r="BI549">
        <v>40</v>
      </c>
      <c r="BJ549">
        <v>0</v>
      </c>
      <c r="BK549">
        <v>8</v>
      </c>
      <c r="BL549">
        <v>8</v>
      </c>
      <c r="BM549">
        <v>8</v>
      </c>
      <c r="BN549">
        <v>8</v>
      </c>
      <c r="BO549">
        <v>8</v>
      </c>
      <c r="BP549">
        <v>0</v>
      </c>
      <c r="BQ549" t="str">
        <f>"6:30 AM"</f>
        <v>6:30 AM</v>
      </c>
      <c r="BR549" t="str">
        <f>"3:30 PM"</f>
        <v>3:30 PM</v>
      </c>
      <c r="BS549" t="s">
        <v>133</v>
      </c>
      <c r="BT549">
        <v>0</v>
      </c>
      <c r="BU549">
        <v>0</v>
      </c>
      <c r="BV549" t="s">
        <v>134</v>
      </c>
      <c r="BX549" s="2" t="s">
        <v>1934</v>
      </c>
      <c r="BY549" t="s">
        <v>16300</v>
      </c>
      <c r="CA549" t="s">
        <v>12755</v>
      </c>
      <c r="CB549" t="s">
        <v>119</v>
      </c>
      <c r="CC549" s="4" t="str">
        <f>"28134"</f>
        <v>28134</v>
      </c>
      <c r="CD549" t="s">
        <v>1403</v>
      </c>
      <c r="CE549" t="s">
        <v>1404</v>
      </c>
      <c r="CF549" s="6">
        <v>16.5</v>
      </c>
      <c r="CG549" s="6">
        <v>17.5</v>
      </c>
      <c r="CH549" s="6">
        <v>24.75</v>
      </c>
      <c r="CI549" s="6">
        <v>26.25</v>
      </c>
      <c r="CJ549" t="s">
        <v>137</v>
      </c>
      <c r="CK549" t="s">
        <v>356</v>
      </c>
      <c r="CL549" t="s">
        <v>16301</v>
      </c>
      <c r="CO549" t="s">
        <v>138</v>
      </c>
      <c r="CP549" t="s">
        <v>114</v>
      </c>
      <c r="CQ549" t="s">
        <v>114</v>
      </c>
      <c r="CR549" t="s">
        <v>114</v>
      </c>
      <c r="CS549" t="s">
        <v>114</v>
      </c>
      <c r="CT549" t="s">
        <v>114</v>
      </c>
      <c r="CU549" t="s">
        <v>114</v>
      </c>
      <c r="CV549" s="2" t="s">
        <v>16302</v>
      </c>
      <c r="CW549" s="5" t="str">
        <f>"+19195960047"</f>
        <v>+19195960047</v>
      </c>
      <c r="CX549" t="s">
        <v>14272</v>
      </c>
      <c r="CY549" t="s">
        <v>138</v>
      </c>
      <c r="CZ549" t="s">
        <v>139</v>
      </c>
      <c r="DA549" t="s">
        <v>134</v>
      </c>
      <c r="DB549" t="s">
        <v>114</v>
      </c>
      <c r="DC549" t="s">
        <v>114</v>
      </c>
      <c r="DD549" t="s">
        <v>134</v>
      </c>
    </row>
    <row r="550" spans="1:113" ht="15" customHeight="1" x14ac:dyDescent="0.25">
      <c r="A550" t="s">
        <v>7337</v>
      </c>
      <c r="B550" t="s">
        <v>165</v>
      </c>
      <c r="C550" s="1">
        <v>44868.001408680553</v>
      </c>
      <c r="D550" s="1">
        <v>44897</v>
      </c>
      <c r="E550" t="s">
        <v>134</v>
      </c>
      <c r="F550" t="s">
        <v>334</v>
      </c>
      <c r="G550" t="str">
        <f>"37-3011.00"</f>
        <v>37-3011.00</v>
      </c>
      <c r="H550" t="s">
        <v>335</v>
      </c>
      <c r="I550">
        <v>50</v>
      </c>
      <c r="J550">
        <v>50</v>
      </c>
      <c r="K550" s="1">
        <v>44958</v>
      </c>
      <c r="L550" s="1">
        <v>45255</v>
      </c>
      <c r="M550" s="1">
        <v>44958</v>
      </c>
      <c r="N550" s="1">
        <v>45255</v>
      </c>
      <c r="O550" t="s">
        <v>117</v>
      </c>
      <c r="P550" t="s">
        <v>7338</v>
      </c>
      <c r="R550" t="s">
        <v>7339</v>
      </c>
      <c r="T550" t="s">
        <v>4596</v>
      </c>
      <c r="U550" t="s">
        <v>631</v>
      </c>
      <c r="V550" s="4" t="str">
        <f>"73013"</f>
        <v>73013</v>
      </c>
      <c r="W550" t="s">
        <v>120</v>
      </c>
      <c r="Y550" s="5">
        <v>14052857275</v>
      </c>
      <c r="AA550">
        <v>56173</v>
      </c>
      <c r="AB550" t="s">
        <v>3310</v>
      </c>
      <c r="AC550" t="s">
        <v>4660</v>
      </c>
      <c r="AE550" t="s">
        <v>1526</v>
      </c>
      <c r="AF550" t="s">
        <v>7339</v>
      </c>
      <c r="AH550" t="s">
        <v>4596</v>
      </c>
      <c r="AI550" t="s">
        <v>631</v>
      </c>
      <c r="AJ550" s="4" t="str">
        <f>"73013"</f>
        <v>73013</v>
      </c>
      <c r="AK550" t="s">
        <v>120</v>
      </c>
      <c r="AM550" s="5">
        <v>14052857275</v>
      </c>
      <c r="AO550" t="s">
        <v>7340</v>
      </c>
      <c r="AP550" t="s">
        <v>256</v>
      </c>
      <c r="AQ550" t="s">
        <v>400</v>
      </c>
      <c r="AR550" t="s">
        <v>401</v>
      </c>
      <c r="AS550" t="s">
        <v>397</v>
      </c>
      <c r="AT550" t="s">
        <v>402</v>
      </c>
      <c r="AU550" t="s">
        <v>152</v>
      </c>
      <c r="AV550" t="s">
        <v>403</v>
      </c>
      <c r="AW550" t="s">
        <v>232</v>
      </c>
      <c r="AX550" s="4" t="str">
        <f>"75033"</f>
        <v>75033</v>
      </c>
      <c r="AY550" t="s">
        <v>120</v>
      </c>
      <c r="BA550" s="5">
        <v>19727789690</v>
      </c>
      <c r="BC550" t="s">
        <v>1239</v>
      </c>
      <c r="BD550" t="s">
        <v>405</v>
      </c>
      <c r="BG550" t="s">
        <v>631</v>
      </c>
      <c r="BH550" s="1">
        <v>44867.833333333336</v>
      </c>
      <c r="BI550">
        <v>48</v>
      </c>
      <c r="BJ550">
        <v>0</v>
      </c>
      <c r="BK550">
        <v>8</v>
      </c>
      <c r="BL550">
        <v>8</v>
      </c>
      <c r="BM550">
        <v>8</v>
      </c>
      <c r="BN550">
        <v>8</v>
      </c>
      <c r="BO550">
        <v>8</v>
      </c>
      <c r="BP550">
        <v>8</v>
      </c>
      <c r="BQ550" t="str">
        <f>"8:00 AM"</f>
        <v>8:00 AM</v>
      </c>
      <c r="BR550" t="str">
        <f>"5:00 PM"</f>
        <v>5:00 PM</v>
      </c>
      <c r="BS550" t="s">
        <v>133</v>
      </c>
      <c r="BT550">
        <v>0</v>
      </c>
      <c r="BU550">
        <v>0</v>
      </c>
      <c r="BV550" t="s">
        <v>134</v>
      </c>
      <c r="BX550" t="s">
        <v>7341</v>
      </c>
      <c r="BY550" t="s">
        <v>7342</v>
      </c>
      <c r="CA550" t="s">
        <v>4596</v>
      </c>
      <c r="CB550" t="s">
        <v>631</v>
      </c>
      <c r="CC550" s="4" t="str">
        <f>"73013"</f>
        <v>73013</v>
      </c>
      <c r="CD550" t="s">
        <v>2925</v>
      </c>
      <c r="CE550" t="s">
        <v>2926</v>
      </c>
      <c r="CF550" s="6">
        <v>15.35</v>
      </c>
      <c r="CG550" s="6">
        <v>15.35</v>
      </c>
      <c r="CH550" s="6">
        <v>23.03</v>
      </c>
      <c r="CI550" s="6">
        <v>23.03</v>
      </c>
      <c r="CJ550" t="s">
        <v>137</v>
      </c>
      <c r="CK550" t="s">
        <v>7343</v>
      </c>
      <c r="CL550" t="s">
        <v>7344</v>
      </c>
      <c r="CO550" t="s">
        <v>138</v>
      </c>
      <c r="CP550" t="s">
        <v>114</v>
      </c>
      <c r="CQ550" t="s">
        <v>114</v>
      </c>
      <c r="CR550" t="s">
        <v>114</v>
      </c>
      <c r="CS550" t="s">
        <v>114</v>
      </c>
      <c r="CT550" t="s">
        <v>114</v>
      </c>
      <c r="CU550" t="s">
        <v>114</v>
      </c>
      <c r="CV550" s="2" t="s">
        <v>7345</v>
      </c>
      <c r="CW550" s="5" t="str">
        <f>"+14052857275"</f>
        <v>+14052857275</v>
      </c>
      <c r="CX550" t="s">
        <v>138</v>
      </c>
      <c r="CY550" t="s">
        <v>2708</v>
      </c>
      <c r="CZ550" t="s">
        <v>139</v>
      </c>
      <c r="DA550" t="s">
        <v>134</v>
      </c>
      <c r="DB550" t="s">
        <v>114</v>
      </c>
      <c r="DC550" t="s">
        <v>114</v>
      </c>
      <c r="DD550" t="s">
        <v>134</v>
      </c>
    </row>
    <row r="551" spans="1:113" ht="15" customHeight="1" x14ac:dyDescent="0.25">
      <c r="A551" t="s">
        <v>15031</v>
      </c>
      <c r="B551" t="s">
        <v>165</v>
      </c>
      <c r="C551" s="1">
        <v>44868.001256018521</v>
      </c>
      <c r="D551" s="1">
        <v>44897</v>
      </c>
      <c r="E551" t="s">
        <v>134</v>
      </c>
      <c r="F551" t="s">
        <v>334</v>
      </c>
      <c r="G551" t="str">
        <f>"37-3011.00"</f>
        <v>37-3011.00</v>
      </c>
      <c r="H551" t="s">
        <v>335</v>
      </c>
      <c r="I551">
        <v>20</v>
      </c>
      <c r="J551">
        <v>20</v>
      </c>
      <c r="K551" s="1">
        <v>44958</v>
      </c>
      <c r="L551" s="1">
        <v>45229</v>
      </c>
      <c r="M551" s="1">
        <v>44958</v>
      </c>
      <c r="N551" s="1">
        <v>45229</v>
      </c>
      <c r="O551" t="s">
        <v>117</v>
      </c>
      <c r="P551" t="s">
        <v>15032</v>
      </c>
      <c r="R551" t="s">
        <v>15033</v>
      </c>
      <c r="S551" t="s">
        <v>7977</v>
      </c>
      <c r="T551" t="s">
        <v>1482</v>
      </c>
      <c r="U551" t="s">
        <v>232</v>
      </c>
      <c r="V551" s="4" t="str">
        <f>"75247"</f>
        <v>75247</v>
      </c>
      <c r="W551" t="s">
        <v>120</v>
      </c>
      <c r="Y551" s="5">
        <v>12143662103</v>
      </c>
      <c r="AA551">
        <v>5617</v>
      </c>
      <c r="AB551" t="s">
        <v>15034</v>
      </c>
      <c r="AC551" t="s">
        <v>5797</v>
      </c>
      <c r="AE551" t="s">
        <v>3368</v>
      </c>
      <c r="AF551" t="s">
        <v>15035</v>
      </c>
      <c r="AH551" t="s">
        <v>1525</v>
      </c>
      <c r="AI551" t="s">
        <v>232</v>
      </c>
      <c r="AJ551" s="4" t="str">
        <f>"75247"</f>
        <v>75247</v>
      </c>
      <c r="AK551" t="s">
        <v>120</v>
      </c>
      <c r="AM551" s="5">
        <v>12143662103</v>
      </c>
      <c r="AO551" t="s">
        <v>15036</v>
      </c>
      <c r="AP551" t="s">
        <v>256</v>
      </c>
      <c r="AQ551" t="s">
        <v>400</v>
      </c>
      <c r="AR551" t="s">
        <v>401</v>
      </c>
      <c r="AS551" t="s">
        <v>397</v>
      </c>
      <c r="AT551" t="s">
        <v>402</v>
      </c>
      <c r="AU551" t="s">
        <v>152</v>
      </c>
      <c r="AV551" t="s">
        <v>403</v>
      </c>
      <c r="AW551" t="s">
        <v>232</v>
      </c>
      <c r="AX551" s="4" t="str">
        <f>"75033"</f>
        <v>75033</v>
      </c>
      <c r="AY551" t="s">
        <v>120</v>
      </c>
      <c r="BA551" s="5">
        <v>19727789690</v>
      </c>
      <c r="BC551" t="s">
        <v>404</v>
      </c>
      <c r="BD551" t="s">
        <v>405</v>
      </c>
      <c r="BG551" t="s">
        <v>232</v>
      </c>
      <c r="BH551" s="1">
        <v>44867.833333333336</v>
      </c>
      <c r="BI551">
        <v>48</v>
      </c>
      <c r="BJ551">
        <v>0</v>
      </c>
      <c r="BK551">
        <v>8</v>
      </c>
      <c r="BL551">
        <v>8</v>
      </c>
      <c r="BM551">
        <v>8</v>
      </c>
      <c r="BN551">
        <v>8</v>
      </c>
      <c r="BO551">
        <v>8</v>
      </c>
      <c r="BP551">
        <v>8</v>
      </c>
      <c r="BQ551" t="str">
        <f>"6:30 AM"</f>
        <v>6:30 AM</v>
      </c>
      <c r="BR551" t="str">
        <f>"3:00 PM"</f>
        <v>3:00 PM</v>
      </c>
      <c r="BS551" t="s">
        <v>133</v>
      </c>
      <c r="BT551">
        <v>0</v>
      </c>
      <c r="BU551">
        <v>0</v>
      </c>
      <c r="BV551" t="s">
        <v>134</v>
      </c>
      <c r="BX551" s="2" t="s">
        <v>15037</v>
      </c>
      <c r="BY551" t="s">
        <v>15038</v>
      </c>
      <c r="BZ551" t="s">
        <v>789</v>
      </c>
      <c r="CA551" t="s">
        <v>1525</v>
      </c>
      <c r="CB551" t="s">
        <v>232</v>
      </c>
      <c r="CC551" s="4" t="str">
        <f>"75247"</f>
        <v>75247</v>
      </c>
      <c r="CD551" t="s">
        <v>1482</v>
      </c>
      <c r="CE551" t="s">
        <v>1528</v>
      </c>
      <c r="CF551" s="6">
        <v>16.3</v>
      </c>
      <c r="CG551" s="6">
        <v>16.3</v>
      </c>
      <c r="CH551" s="6">
        <v>24.45</v>
      </c>
      <c r="CI551" s="6">
        <v>24.45</v>
      </c>
      <c r="CJ551" t="s">
        <v>137</v>
      </c>
      <c r="CK551" t="s">
        <v>593</v>
      </c>
      <c r="CL551" t="s">
        <v>15039</v>
      </c>
      <c r="CO551" t="s">
        <v>138</v>
      </c>
      <c r="CP551" t="s">
        <v>114</v>
      </c>
      <c r="CQ551" t="s">
        <v>114</v>
      </c>
      <c r="CR551" t="s">
        <v>114</v>
      </c>
      <c r="CS551" t="s">
        <v>114</v>
      </c>
      <c r="CT551" t="s">
        <v>114</v>
      </c>
      <c r="CU551" t="s">
        <v>114</v>
      </c>
      <c r="CV551" t="s">
        <v>15040</v>
      </c>
      <c r="CW551" s="5" t="str">
        <f>"+12143662103"</f>
        <v>+12143662103</v>
      </c>
      <c r="CX551" t="s">
        <v>138</v>
      </c>
      <c r="CY551" t="s">
        <v>953</v>
      </c>
      <c r="CZ551" t="s">
        <v>139</v>
      </c>
      <c r="DA551" t="s">
        <v>134</v>
      </c>
      <c r="DB551" t="s">
        <v>114</v>
      </c>
      <c r="DC551" t="s">
        <v>114</v>
      </c>
      <c r="DD551" t="s">
        <v>134</v>
      </c>
    </row>
    <row r="552" spans="1:113" ht="15" customHeight="1" x14ac:dyDescent="0.25">
      <c r="A552" t="s">
        <v>15080</v>
      </c>
      <c r="B552" t="s">
        <v>165</v>
      </c>
      <c r="C552" s="1">
        <v>44867.746364583334</v>
      </c>
      <c r="D552" s="1">
        <v>44897</v>
      </c>
      <c r="E552" t="s">
        <v>134</v>
      </c>
      <c r="F552" t="s">
        <v>1315</v>
      </c>
      <c r="G552" t="str">
        <f>"39-3091.00"</f>
        <v>39-3091.00</v>
      </c>
      <c r="H552" t="s">
        <v>362</v>
      </c>
      <c r="I552">
        <v>62</v>
      </c>
      <c r="J552">
        <v>62</v>
      </c>
      <c r="K552" s="1">
        <v>44942</v>
      </c>
      <c r="L552" s="1">
        <v>45032</v>
      </c>
      <c r="M552" s="1">
        <v>44942</v>
      </c>
      <c r="N552" s="1">
        <v>45032</v>
      </c>
      <c r="O552" t="s">
        <v>199</v>
      </c>
      <c r="P552" t="s">
        <v>15081</v>
      </c>
      <c r="R552" t="s">
        <v>15082</v>
      </c>
      <c r="S552" t="s">
        <v>4152</v>
      </c>
      <c r="T552" t="s">
        <v>3428</v>
      </c>
      <c r="U552" t="s">
        <v>988</v>
      </c>
      <c r="V552" s="4" t="str">
        <f>"89423"</f>
        <v>89423</v>
      </c>
      <c r="W552" t="s">
        <v>120</v>
      </c>
      <c r="Y552" s="5">
        <v>18179469272</v>
      </c>
      <c r="AA552">
        <v>711190</v>
      </c>
      <c r="AB552" t="s">
        <v>4700</v>
      </c>
      <c r="AC552" t="s">
        <v>4701</v>
      </c>
      <c r="AE552" t="s">
        <v>15083</v>
      </c>
      <c r="AF552" t="s">
        <v>15084</v>
      </c>
      <c r="AG552" t="s">
        <v>4152</v>
      </c>
      <c r="AH552" t="s">
        <v>3428</v>
      </c>
      <c r="AI552" t="s">
        <v>988</v>
      </c>
      <c r="AJ552" s="4" t="str">
        <f>"89423"</f>
        <v>89423</v>
      </c>
      <c r="AK552" t="s">
        <v>120</v>
      </c>
      <c r="AM552" s="5">
        <v>18179469272</v>
      </c>
      <c r="AO552" t="s">
        <v>15085</v>
      </c>
      <c r="AP552" t="s">
        <v>256</v>
      </c>
      <c r="AQ552" t="s">
        <v>1615</v>
      </c>
      <c r="AR552" t="s">
        <v>1616</v>
      </c>
      <c r="AT552" t="s">
        <v>1617</v>
      </c>
      <c r="AV552" t="s">
        <v>1618</v>
      </c>
      <c r="AW552" t="s">
        <v>444</v>
      </c>
      <c r="AX552" s="4" t="str">
        <f>"93446"</f>
        <v>93446</v>
      </c>
      <c r="AY552" t="s">
        <v>120</v>
      </c>
      <c r="AZ552" t="s">
        <v>1619</v>
      </c>
      <c r="BA552" s="5">
        <v>13217042589</v>
      </c>
      <c r="BC552" t="s">
        <v>1620</v>
      </c>
      <c r="BD552" t="s">
        <v>1621</v>
      </c>
      <c r="BG552" t="s">
        <v>232</v>
      </c>
      <c r="BH552" s="1">
        <v>44866.833333333336</v>
      </c>
      <c r="BI552">
        <v>40</v>
      </c>
      <c r="BJ552">
        <v>8</v>
      </c>
      <c r="BK552">
        <v>0</v>
      </c>
      <c r="BL552">
        <v>0</v>
      </c>
      <c r="BM552">
        <v>8</v>
      </c>
      <c r="BN552">
        <v>8</v>
      </c>
      <c r="BO552">
        <v>8</v>
      </c>
      <c r="BP552">
        <v>8</v>
      </c>
      <c r="BQ552" t="str">
        <f>"1:00 PM"</f>
        <v>1:00 PM</v>
      </c>
      <c r="BR552" t="str">
        <f>"10:00 PM"</f>
        <v>10:00 PM</v>
      </c>
      <c r="BS552" t="s">
        <v>133</v>
      </c>
      <c r="BT552">
        <v>0</v>
      </c>
      <c r="BU552">
        <v>0</v>
      </c>
      <c r="BV552" t="s">
        <v>134</v>
      </c>
      <c r="BX552" s="2" t="s">
        <v>15086</v>
      </c>
      <c r="BY552" t="s">
        <v>15087</v>
      </c>
      <c r="CA552" t="s">
        <v>5679</v>
      </c>
      <c r="CB552" t="s">
        <v>232</v>
      </c>
      <c r="CC552" s="4" t="str">
        <f>"77471"</f>
        <v>77471</v>
      </c>
      <c r="CD552" t="s">
        <v>5697</v>
      </c>
      <c r="CE552" t="s">
        <v>873</v>
      </c>
      <c r="CF552" s="6">
        <v>9.27</v>
      </c>
      <c r="CG552" s="6">
        <v>11.53</v>
      </c>
      <c r="CJ552" t="s">
        <v>137</v>
      </c>
      <c r="CK552" s="2" t="s">
        <v>15088</v>
      </c>
      <c r="CL552" t="s">
        <v>8180</v>
      </c>
      <c r="CO552" t="s">
        <v>138</v>
      </c>
      <c r="CP552" t="s">
        <v>114</v>
      </c>
      <c r="CQ552" t="s">
        <v>114</v>
      </c>
      <c r="CR552" t="s">
        <v>114</v>
      </c>
      <c r="CS552" t="s">
        <v>114</v>
      </c>
      <c r="CT552" t="s">
        <v>114</v>
      </c>
      <c r="CU552" t="s">
        <v>114</v>
      </c>
      <c r="CV552" t="s">
        <v>15089</v>
      </c>
      <c r="CW552" s="5" t="str">
        <f>"+18179469272"</f>
        <v>+18179469272</v>
      </c>
      <c r="CX552" t="s">
        <v>15085</v>
      </c>
      <c r="CY552" t="s">
        <v>138</v>
      </c>
      <c r="CZ552" t="s">
        <v>139</v>
      </c>
      <c r="DA552" t="s">
        <v>134</v>
      </c>
      <c r="DB552" t="s">
        <v>134</v>
      </c>
      <c r="DC552" t="s">
        <v>114</v>
      </c>
      <c r="DD552" t="s">
        <v>134</v>
      </c>
    </row>
    <row r="553" spans="1:113" ht="15" customHeight="1" x14ac:dyDescent="0.25">
      <c r="A553" t="s">
        <v>12895</v>
      </c>
      <c r="B553" t="s">
        <v>165</v>
      </c>
      <c r="C553" s="1">
        <v>44866.705108333335</v>
      </c>
      <c r="D553" s="1">
        <v>44897</v>
      </c>
      <c r="E553" t="s">
        <v>134</v>
      </c>
      <c r="F553" t="s">
        <v>3920</v>
      </c>
      <c r="G553" t="str">
        <f>"35-3023.00"</f>
        <v>35-3023.00</v>
      </c>
      <c r="H553" t="s">
        <v>555</v>
      </c>
      <c r="I553">
        <v>50</v>
      </c>
      <c r="J553">
        <v>50</v>
      </c>
      <c r="K553" s="1">
        <v>44941</v>
      </c>
      <c r="L553" s="1">
        <v>45244</v>
      </c>
      <c r="M553" s="1">
        <v>44941</v>
      </c>
      <c r="N553" s="1">
        <v>45244</v>
      </c>
      <c r="O553" t="s">
        <v>199</v>
      </c>
      <c r="P553" t="s">
        <v>12896</v>
      </c>
      <c r="R553" t="s">
        <v>12897</v>
      </c>
      <c r="T553" t="s">
        <v>12898</v>
      </c>
      <c r="U553" t="s">
        <v>154</v>
      </c>
      <c r="V553" s="4" t="str">
        <f>"34990"</f>
        <v>34990</v>
      </c>
      <c r="W553" t="s">
        <v>120</v>
      </c>
      <c r="Y553" s="5">
        <v>18133769942</v>
      </c>
      <c r="Z553">
        <v>0</v>
      </c>
      <c r="AA553">
        <v>7139</v>
      </c>
      <c r="AB553" t="s">
        <v>12899</v>
      </c>
      <c r="AC553" t="s">
        <v>12900</v>
      </c>
      <c r="AE553" t="s">
        <v>424</v>
      </c>
      <c r="AF553" t="s">
        <v>12897</v>
      </c>
      <c r="AH553" t="s">
        <v>12898</v>
      </c>
      <c r="AI553" t="s">
        <v>154</v>
      </c>
      <c r="AJ553" s="4" t="str">
        <f>"34990"</f>
        <v>34990</v>
      </c>
      <c r="AK553" t="s">
        <v>120</v>
      </c>
      <c r="AM553" s="5">
        <v>18133769942</v>
      </c>
      <c r="AN553">
        <v>0</v>
      </c>
      <c r="AO553" t="s">
        <v>12901</v>
      </c>
      <c r="AP553" t="s">
        <v>256</v>
      </c>
      <c r="AQ553" t="s">
        <v>535</v>
      </c>
      <c r="AR553" t="s">
        <v>536</v>
      </c>
      <c r="AS553" t="s">
        <v>537</v>
      </c>
      <c r="AT553" t="s">
        <v>538</v>
      </c>
      <c r="AU553" t="s">
        <v>539</v>
      </c>
      <c r="AV553" t="s">
        <v>540</v>
      </c>
      <c r="AW553" t="s">
        <v>232</v>
      </c>
      <c r="AX553" s="4" t="str">
        <f>"78550"</f>
        <v>78550</v>
      </c>
      <c r="AY553" t="s">
        <v>120</v>
      </c>
      <c r="AZ553" t="s">
        <v>2835</v>
      </c>
      <c r="BA553" s="5">
        <v>19564408720</v>
      </c>
      <c r="BB553">
        <v>0</v>
      </c>
      <c r="BC553" t="s">
        <v>542</v>
      </c>
      <c r="BD553" t="s">
        <v>543</v>
      </c>
      <c r="BG553" t="s">
        <v>154</v>
      </c>
      <c r="BH553" s="1">
        <v>44865.833333333336</v>
      </c>
      <c r="BI553">
        <v>40</v>
      </c>
      <c r="BJ553">
        <v>8</v>
      </c>
      <c r="BK553">
        <v>0</v>
      </c>
      <c r="BL553">
        <v>0</v>
      </c>
      <c r="BM553">
        <v>8</v>
      </c>
      <c r="BN553">
        <v>8</v>
      </c>
      <c r="BO553">
        <v>8</v>
      </c>
      <c r="BP553">
        <v>8</v>
      </c>
      <c r="BQ553" t="str">
        <f>"1:00 PM"</f>
        <v>1:00 PM</v>
      </c>
      <c r="BR553" t="str">
        <f>"10:00 PM"</f>
        <v>10:00 PM</v>
      </c>
      <c r="BS553" t="s">
        <v>133</v>
      </c>
      <c r="BT553">
        <v>0</v>
      </c>
      <c r="BU553">
        <v>0</v>
      </c>
      <c r="BV553" t="s">
        <v>134</v>
      </c>
      <c r="BX553" t="s">
        <v>3921</v>
      </c>
      <c r="BY553" t="s">
        <v>12902</v>
      </c>
      <c r="CA553" t="s">
        <v>4302</v>
      </c>
      <c r="CB553" t="s">
        <v>154</v>
      </c>
      <c r="CC553" s="4" t="str">
        <f>"34990"</f>
        <v>34990</v>
      </c>
      <c r="CD553" t="s">
        <v>2821</v>
      </c>
      <c r="CE553" t="s">
        <v>3971</v>
      </c>
      <c r="CF553" s="6">
        <v>10.37</v>
      </c>
      <c r="CG553" s="6">
        <v>13.49</v>
      </c>
      <c r="CH553" s="6">
        <v>0</v>
      </c>
      <c r="CI553" s="6">
        <v>0</v>
      </c>
      <c r="CJ553" t="s">
        <v>137</v>
      </c>
      <c r="CK553" t="s">
        <v>549</v>
      </c>
      <c r="CL553" t="s">
        <v>12903</v>
      </c>
      <c r="CO553" t="s">
        <v>138</v>
      </c>
      <c r="CP553" t="s">
        <v>114</v>
      </c>
      <c r="CQ553" t="s">
        <v>114</v>
      </c>
      <c r="CR553" t="s">
        <v>134</v>
      </c>
      <c r="CS553" t="s">
        <v>114</v>
      </c>
      <c r="CT553" t="s">
        <v>114</v>
      </c>
      <c r="CU553" t="s">
        <v>114</v>
      </c>
      <c r="CV553" t="s">
        <v>4912</v>
      </c>
      <c r="CW553" s="5" t="str">
        <f>"+18133769942"</f>
        <v>+18133769942</v>
      </c>
      <c r="CX553" t="s">
        <v>12901</v>
      </c>
      <c r="CY553" t="s">
        <v>138</v>
      </c>
      <c r="CZ553" t="s">
        <v>139</v>
      </c>
      <c r="DA553" t="s">
        <v>134</v>
      </c>
      <c r="DB553" t="s">
        <v>114</v>
      </c>
      <c r="DC553" t="s">
        <v>114</v>
      </c>
      <c r="DD553" t="s">
        <v>134</v>
      </c>
    </row>
    <row r="554" spans="1:113" ht="15" customHeight="1" x14ac:dyDescent="0.25">
      <c r="A554" t="s">
        <v>16861</v>
      </c>
      <c r="B554" t="s">
        <v>165</v>
      </c>
      <c r="C554" s="1">
        <v>44852.713735532408</v>
      </c>
      <c r="D554" s="1">
        <v>44897</v>
      </c>
      <c r="E554" t="s">
        <v>134</v>
      </c>
      <c r="F554" t="s">
        <v>3920</v>
      </c>
      <c r="G554" t="str">
        <f>"35-3023.00"</f>
        <v>35-3023.00</v>
      </c>
      <c r="H554" t="s">
        <v>555</v>
      </c>
      <c r="I554">
        <v>14</v>
      </c>
      <c r="J554">
        <v>14</v>
      </c>
      <c r="K554" s="1">
        <v>44927</v>
      </c>
      <c r="L554" s="1">
        <v>45224</v>
      </c>
      <c r="M554" s="1">
        <v>44927</v>
      </c>
      <c r="N554" s="1">
        <v>45224</v>
      </c>
      <c r="O554" t="s">
        <v>199</v>
      </c>
      <c r="P554" t="s">
        <v>16862</v>
      </c>
      <c r="R554" t="s">
        <v>16863</v>
      </c>
      <c r="T554" t="s">
        <v>1937</v>
      </c>
      <c r="U554" t="s">
        <v>154</v>
      </c>
      <c r="V554" s="4" t="str">
        <f>"34748"</f>
        <v>34748</v>
      </c>
      <c r="W554" t="s">
        <v>120</v>
      </c>
      <c r="Y554" s="5">
        <v>13522678969</v>
      </c>
      <c r="Z554">
        <v>0</v>
      </c>
      <c r="AA554">
        <v>7139</v>
      </c>
      <c r="AB554" t="s">
        <v>7978</v>
      </c>
      <c r="AC554" t="s">
        <v>750</v>
      </c>
      <c r="AE554" t="s">
        <v>252</v>
      </c>
      <c r="AF554" t="s">
        <v>16863</v>
      </c>
      <c r="AG554" t="s">
        <v>138</v>
      </c>
      <c r="AH554" t="s">
        <v>1937</v>
      </c>
      <c r="AI554" t="s">
        <v>154</v>
      </c>
      <c r="AJ554" s="4" t="str">
        <f>"34748"</f>
        <v>34748</v>
      </c>
      <c r="AK554" t="s">
        <v>120</v>
      </c>
      <c r="AM554" s="5">
        <v>17408080400</v>
      </c>
      <c r="AN554">
        <v>0</v>
      </c>
      <c r="AO554" t="s">
        <v>16864</v>
      </c>
      <c r="AP554" t="s">
        <v>256</v>
      </c>
      <c r="AQ554" t="s">
        <v>535</v>
      </c>
      <c r="AR554" t="s">
        <v>536</v>
      </c>
      <c r="AS554" t="s">
        <v>537</v>
      </c>
      <c r="AT554" t="s">
        <v>538</v>
      </c>
      <c r="AU554" t="s">
        <v>539</v>
      </c>
      <c r="AV554" t="s">
        <v>540</v>
      </c>
      <c r="AW554" t="s">
        <v>232</v>
      </c>
      <c r="AX554" s="4" t="str">
        <f>"78550"</f>
        <v>78550</v>
      </c>
      <c r="AY554" t="s">
        <v>120</v>
      </c>
      <c r="AZ554" t="s">
        <v>16865</v>
      </c>
      <c r="BA554" s="5">
        <v>19564408720</v>
      </c>
      <c r="BB554">
        <v>0</v>
      </c>
      <c r="BC554" t="s">
        <v>542</v>
      </c>
      <c r="BD554" t="s">
        <v>543</v>
      </c>
      <c r="BG554" t="s">
        <v>154</v>
      </c>
      <c r="BH554" s="1">
        <v>44851.833333333336</v>
      </c>
      <c r="BI554">
        <v>40</v>
      </c>
      <c r="BJ554">
        <v>8</v>
      </c>
      <c r="BK554">
        <v>0</v>
      </c>
      <c r="BL554">
        <v>0</v>
      </c>
      <c r="BM554">
        <v>8</v>
      </c>
      <c r="BN554">
        <v>8</v>
      </c>
      <c r="BO554">
        <v>8</v>
      </c>
      <c r="BP554">
        <v>8</v>
      </c>
      <c r="BQ554" t="str">
        <f>"1:00 PM"</f>
        <v>1:00 PM</v>
      </c>
      <c r="BR554" t="str">
        <f>"10:00 PM"</f>
        <v>10:00 PM</v>
      </c>
      <c r="BS554" t="s">
        <v>133</v>
      </c>
      <c r="BT554">
        <v>0</v>
      </c>
      <c r="BU554">
        <v>0</v>
      </c>
      <c r="BV554" t="s">
        <v>134</v>
      </c>
      <c r="BX554" s="2" t="s">
        <v>1324</v>
      </c>
      <c r="BY554" t="s">
        <v>16866</v>
      </c>
      <c r="CA554" t="s">
        <v>1937</v>
      </c>
      <c r="CB554" t="s">
        <v>154</v>
      </c>
      <c r="CC554" s="4" t="str">
        <f>"34748"</f>
        <v>34748</v>
      </c>
      <c r="CD554" t="s">
        <v>1463</v>
      </c>
      <c r="CE554" t="s">
        <v>3159</v>
      </c>
      <c r="CF554" s="6">
        <v>9.51</v>
      </c>
      <c r="CG554" s="6">
        <v>15.12</v>
      </c>
      <c r="CJ554" t="s">
        <v>137</v>
      </c>
      <c r="CK554" t="s">
        <v>549</v>
      </c>
      <c r="CL554" t="s">
        <v>16867</v>
      </c>
      <c r="CO554" t="s">
        <v>138</v>
      </c>
      <c r="CP554" t="s">
        <v>114</v>
      </c>
      <c r="CQ554" t="s">
        <v>114</v>
      </c>
      <c r="CR554" t="s">
        <v>134</v>
      </c>
      <c r="CS554" t="s">
        <v>114</v>
      </c>
      <c r="CT554" t="s">
        <v>114</v>
      </c>
      <c r="CU554" t="s">
        <v>114</v>
      </c>
      <c r="CV554" s="2" t="s">
        <v>5593</v>
      </c>
      <c r="CW554" s="5" t="str">
        <f>"+13522678969"</f>
        <v>+13522678969</v>
      </c>
      <c r="CX554" t="s">
        <v>16864</v>
      </c>
      <c r="CY554" t="s">
        <v>138</v>
      </c>
      <c r="CZ554" t="s">
        <v>139</v>
      </c>
      <c r="DA554" t="s">
        <v>134</v>
      </c>
      <c r="DB554" t="s">
        <v>114</v>
      </c>
      <c r="DC554" t="s">
        <v>114</v>
      </c>
      <c r="DD554" t="s">
        <v>134</v>
      </c>
    </row>
    <row r="555" spans="1:113" ht="15" customHeight="1" x14ac:dyDescent="0.25">
      <c r="A555" t="s">
        <v>13599</v>
      </c>
      <c r="B555" t="s">
        <v>165</v>
      </c>
      <c r="C555" s="1">
        <v>44872.571475810182</v>
      </c>
      <c r="D555" s="1">
        <v>44896</v>
      </c>
      <c r="E555" t="s">
        <v>134</v>
      </c>
      <c r="F555" t="s">
        <v>2308</v>
      </c>
      <c r="G555" t="str">
        <f>"39-3091.00"</f>
        <v>39-3091.00</v>
      </c>
      <c r="H555" t="s">
        <v>362</v>
      </c>
      <c r="I555">
        <v>50</v>
      </c>
      <c r="J555">
        <v>50</v>
      </c>
      <c r="K555" s="1">
        <v>44958</v>
      </c>
      <c r="L555" s="1">
        <v>45245</v>
      </c>
      <c r="M555" s="1">
        <v>44958</v>
      </c>
      <c r="N555" s="1">
        <v>45245</v>
      </c>
      <c r="O555" t="s">
        <v>199</v>
      </c>
      <c r="P555" t="s">
        <v>13600</v>
      </c>
      <c r="R555" t="s">
        <v>13601</v>
      </c>
      <c r="T555" t="s">
        <v>13602</v>
      </c>
      <c r="U555" t="s">
        <v>154</v>
      </c>
      <c r="V555" s="4" t="str">
        <f>"33351"</f>
        <v>33351</v>
      </c>
      <c r="W555" t="s">
        <v>120</v>
      </c>
      <c r="Y555" s="5">
        <v>19542746916</v>
      </c>
      <c r="AA555">
        <v>7139</v>
      </c>
      <c r="AB555" t="s">
        <v>1965</v>
      </c>
      <c r="AC555" t="s">
        <v>8156</v>
      </c>
      <c r="AE555" t="s">
        <v>1710</v>
      </c>
      <c r="AF555" t="s">
        <v>13601</v>
      </c>
      <c r="AH555" t="s">
        <v>13602</v>
      </c>
      <c r="AI555" t="s">
        <v>154</v>
      </c>
      <c r="AJ555" s="4" t="str">
        <f>"33351"</f>
        <v>33351</v>
      </c>
      <c r="AK555" t="s">
        <v>120</v>
      </c>
      <c r="AM555" s="5">
        <v>16037315946</v>
      </c>
      <c r="AO555" t="s">
        <v>13603</v>
      </c>
      <c r="AP555" t="s">
        <v>256</v>
      </c>
      <c r="AQ555" t="s">
        <v>535</v>
      </c>
      <c r="AR555" t="s">
        <v>536</v>
      </c>
      <c r="AS555" t="s">
        <v>537</v>
      </c>
      <c r="AT555" t="s">
        <v>538</v>
      </c>
      <c r="AU555" t="s">
        <v>539</v>
      </c>
      <c r="AV555" t="s">
        <v>540</v>
      </c>
      <c r="AW555" t="s">
        <v>232</v>
      </c>
      <c r="AX555" s="4" t="str">
        <f>"78550"</f>
        <v>78550</v>
      </c>
      <c r="AY555" t="s">
        <v>120</v>
      </c>
      <c r="BA555" s="5">
        <v>19564408720</v>
      </c>
      <c r="BB555">
        <v>0</v>
      </c>
      <c r="BC555" t="s">
        <v>1022</v>
      </c>
      <c r="BD555" t="s">
        <v>543</v>
      </c>
      <c r="BG555" t="s">
        <v>154</v>
      </c>
      <c r="BH555" s="1">
        <v>44871.791666666664</v>
      </c>
      <c r="BI555">
        <v>40</v>
      </c>
      <c r="BJ555">
        <v>8</v>
      </c>
      <c r="BK555">
        <v>0</v>
      </c>
      <c r="BL555">
        <v>0</v>
      </c>
      <c r="BM555">
        <v>8</v>
      </c>
      <c r="BN555">
        <v>8</v>
      </c>
      <c r="BO555">
        <v>8</v>
      </c>
      <c r="BP555">
        <v>8</v>
      </c>
      <c r="BQ555" t="str">
        <f>"1:00 PM"</f>
        <v>1:00 PM</v>
      </c>
      <c r="BR555" t="str">
        <f>"10:00 PM"</f>
        <v>10:00 PM</v>
      </c>
      <c r="BS555" t="s">
        <v>133</v>
      </c>
      <c r="BT555">
        <v>0</v>
      </c>
      <c r="BU555">
        <v>0</v>
      </c>
      <c r="BV555" t="s">
        <v>134</v>
      </c>
      <c r="BX555" s="2" t="s">
        <v>579</v>
      </c>
      <c r="BY555" t="s">
        <v>13601</v>
      </c>
      <c r="CA555" t="s">
        <v>13602</v>
      </c>
      <c r="CB555" t="s">
        <v>154</v>
      </c>
      <c r="CC555" s="4" t="str">
        <f>"33351"</f>
        <v>33351</v>
      </c>
      <c r="CD555" t="s">
        <v>2313</v>
      </c>
      <c r="CE555" t="s">
        <v>1742</v>
      </c>
      <c r="CF555" s="6">
        <v>9.2799999999999994</v>
      </c>
      <c r="CG555" s="6">
        <v>15.23</v>
      </c>
      <c r="CJ555" t="s">
        <v>137</v>
      </c>
      <c r="CK555" t="s">
        <v>549</v>
      </c>
      <c r="CL555" t="s">
        <v>13604</v>
      </c>
      <c r="CO555" t="s">
        <v>138</v>
      </c>
      <c r="CP555" t="s">
        <v>114</v>
      </c>
      <c r="CQ555" t="s">
        <v>114</v>
      </c>
      <c r="CR555" t="s">
        <v>134</v>
      </c>
      <c r="CS555" t="s">
        <v>114</v>
      </c>
      <c r="CT555" t="s">
        <v>114</v>
      </c>
      <c r="CU555" t="s">
        <v>114</v>
      </c>
      <c r="CV555" t="s">
        <v>1029</v>
      </c>
      <c r="CW555" s="5" t="str">
        <f>"+19542746916"</f>
        <v>+19542746916</v>
      </c>
      <c r="CX555" t="s">
        <v>13603</v>
      </c>
      <c r="CY555" t="s">
        <v>138</v>
      </c>
      <c r="CZ555" t="s">
        <v>139</v>
      </c>
      <c r="DA555" t="s">
        <v>134</v>
      </c>
      <c r="DB555" t="s">
        <v>114</v>
      </c>
      <c r="DC555" t="s">
        <v>114</v>
      </c>
      <c r="DD555" t="s">
        <v>134</v>
      </c>
    </row>
    <row r="556" spans="1:113" ht="15" customHeight="1" x14ac:dyDescent="0.25">
      <c r="A556" t="s">
        <v>10229</v>
      </c>
      <c r="B556" t="s">
        <v>165</v>
      </c>
      <c r="C556" s="1">
        <v>44869.724881944443</v>
      </c>
      <c r="D556" s="1">
        <v>44896</v>
      </c>
      <c r="E556" t="s">
        <v>134</v>
      </c>
      <c r="F556" t="s">
        <v>116</v>
      </c>
      <c r="G556" t="str">
        <f>"37-2012.00"</f>
        <v>37-2012.00</v>
      </c>
      <c r="H556" t="s">
        <v>116</v>
      </c>
      <c r="I556">
        <v>8</v>
      </c>
      <c r="J556">
        <v>8</v>
      </c>
      <c r="K556" s="1">
        <v>44958</v>
      </c>
      <c r="L556" s="1">
        <v>45260</v>
      </c>
      <c r="M556" s="1">
        <v>44958</v>
      </c>
      <c r="N556" s="1">
        <v>45260</v>
      </c>
      <c r="O556" t="s">
        <v>117</v>
      </c>
      <c r="P556" t="s">
        <v>10230</v>
      </c>
      <c r="Q556" t="s">
        <v>10231</v>
      </c>
      <c r="R556" t="s">
        <v>10232</v>
      </c>
      <c r="T556" t="s">
        <v>5438</v>
      </c>
      <c r="U556" t="s">
        <v>1750</v>
      </c>
      <c r="V556" s="4" t="str">
        <f>"68803"</f>
        <v>68803</v>
      </c>
      <c r="W556" t="s">
        <v>120</v>
      </c>
      <c r="Y556" s="5">
        <v>13084405810</v>
      </c>
      <c r="AA556">
        <v>721110</v>
      </c>
      <c r="AB556" t="s">
        <v>10233</v>
      </c>
      <c r="AC556" t="s">
        <v>5235</v>
      </c>
      <c r="AE556" t="s">
        <v>1526</v>
      </c>
      <c r="AF556" t="s">
        <v>10232</v>
      </c>
      <c r="AG556" t="s">
        <v>10234</v>
      </c>
      <c r="AH556" t="s">
        <v>5438</v>
      </c>
      <c r="AI556" t="s">
        <v>1750</v>
      </c>
      <c r="AJ556" s="4" t="str">
        <f>"68803"</f>
        <v>68803</v>
      </c>
      <c r="AK556" t="s">
        <v>120</v>
      </c>
      <c r="AM556" s="5">
        <v>13084405810</v>
      </c>
      <c r="AO556" t="s">
        <v>1574</v>
      </c>
      <c r="AP556" t="s">
        <v>256</v>
      </c>
      <c r="AQ556" t="s">
        <v>2145</v>
      </c>
      <c r="AR556" t="s">
        <v>1965</v>
      </c>
      <c r="AT556" t="s">
        <v>1943</v>
      </c>
      <c r="AU556" t="s">
        <v>1944</v>
      </c>
      <c r="AV556" t="s">
        <v>1945</v>
      </c>
      <c r="AW556" t="s">
        <v>631</v>
      </c>
      <c r="AX556" s="4" t="str">
        <f>"74136"</f>
        <v>74136</v>
      </c>
      <c r="AY556" t="s">
        <v>120</v>
      </c>
      <c r="AZ556" t="s">
        <v>5588</v>
      </c>
      <c r="BA556" s="5">
        <v>19189065212</v>
      </c>
      <c r="BC556" t="s">
        <v>5589</v>
      </c>
      <c r="BD556" t="s">
        <v>1947</v>
      </c>
      <c r="BG556" t="s">
        <v>1750</v>
      </c>
      <c r="BH556" s="1">
        <v>44868.833333333336</v>
      </c>
      <c r="BI556">
        <v>40</v>
      </c>
      <c r="BJ556">
        <v>0</v>
      </c>
      <c r="BK556">
        <v>8</v>
      </c>
      <c r="BL556">
        <v>8</v>
      </c>
      <c r="BM556">
        <v>8</v>
      </c>
      <c r="BN556">
        <v>8</v>
      </c>
      <c r="BO556">
        <v>8</v>
      </c>
      <c r="BP556">
        <v>0</v>
      </c>
      <c r="BQ556" t="str">
        <f>"9:00 AM"</f>
        <v>9:00 AM</v>
      </c>
      <c r="BR556" t="str">
        <f>"5:00 PM"</f>
        <v>5:00 PM</v>
      </c>
      <c r="BS556" t="s">
        <v>133</v>
      </c>
      <c r="BT556">
        <v>0</v>
      </c>
      <c r="BU556">
        <v>0</v>
      </c>
      <c r="BV556" t="s">
        <v>134</v>
      </c>
      <c r="BX556" s="2" t="s">
        <v>10235</v>
      </c>
      <c r="BY556" t="s">
        <v>10232</v>
      </c>
      <c r="CA556" t="s">
        <v>5438</v>
      </c>
      <c r="CB556" t="s">
        <v>1750</v>
      </c>
      <c r="CC556" s="4" t="str">
        <f>"68803"</f>
        <v>68803</v>
      </c>
      <c r="CD556" t="s">
        <v>485</v>
      </c>
      <c r="CE556" t="s">
        <v>5439</v>
      </c>
      <c r="CF556" s="6">
        <v>12.81</v>
      </c>
      <c r="CG556" s="6">
        <v>12.81</v>
      </c>
      <c r="CH556" s="6">
        <v>19.22</v>
      </c>
      <c r="CI556" s="6">
        <v>19.22</v>
      </c>
      <c r="CJ556" t="s">
        <v>137</v>
      </c>
      <c r="CK556" t="s">
        <v>1948</v>
      </c>
      <c r="CL556" t="s">
        <v>10236</v>
      </c>
      <c r="CO556" t="s">
        <v>138</v>
      </c>
      <c r="CP556" t="s">
        <v>134</v>
      </c>
      <c r="CQ556" t="s">
        <v>134</v>
      </c>
      <c r="CR556" t="s">
        <v>114</v>
      </c>
      <c r="CS556" t="s">
        <v>114</v>
      </c>
      <c r="CT556" t="s">
        <v>114</v>
      </c>
      <c r="CU556" t="s">
        <v>114</v>
      </c>
      <c r="CV556" s="2" t="s">
        <v>10237</v>
      </c>
      <c r="CW556" s="5" t="str">
        <f>"+13084405810"</f>
        <v>+13084405810</v>
      </c>
      <c r="CX556" t="s">
        <v>138</v>
      </c>
      <c r="CY556" t="s">
        <v>8131</v>
      </c>
      <c r="CZ556" t="s">
        <v>139</v>
      </c>
      <c r="DA556" t="s">
        <v>134</v>
      </c>
      <c r="DB556" t="s">
        <v>114</v>
      </c>
      <c r="DC556" t="s">
        <v>114</v>
      </c>
      <c r="DD556" t="s">
        <v>134</v>
      </c>
    </row>
    <row r="557" spans="1:113" ht="15" customHeight="1" x14ac:dyDescent="0.25">
      <c r="A557" t="s">
        <v>4903</v>
      </c>
      <c r="B557" t="s">
        <v>165</v>
      </c>
      <c r="C557" s="1">
        <v>44869.471126851851</v>
      </c>
      <c r="D557" s="1">
        <v>44896</v>
      </c>
      <c r="E557" t="s">
        <v>134</v>
      </c>
      <c r="F557" t="s">
        <v>3920</v>
      </c>
      <c r="G557" t="str">
        <f>"35-3023.00"</f>
        <v>35-3023.00</v>
      </c>
      <c r="H557" t="s">
        <v>555</v>
      </c>
      <c r="I557">
        <v>12</v>
      </c>
      <c r="J557">
        <v>12</v>
      </c>
      <c r="K557" s="1">
        <v>44944</v>
      </c>
      <c r="L557" s="1">
        <v>45230</v>
      </c>
      <c r="M557" s="1">
        <v>44944</v>
      </c>
      <c r="N557" s="1">
        <v>45230</v>
      </c>
      <c r="O557" t="s">
        <v>199</v>
      </c>
      <c r="P557" t="s">
        <v>4904</v>
      </c>
      <c r="R557" t="s">
        <v>4905</v>
      </c>
      <c r="S557" t="s">
        <v>4906</v>
      </c>
      <c r="T557" t="s">
        <v>4907</v>
      </c>
      <c r="U557" t="s">
        <v>1411</v>
      </c>
      <c r="V557" s="4" t="str">
        <f>"45420"</f>
        <v>45420</v>
      </c>
      <c r="W557" t="s">
        <v>120</v>
      </c>
      <c r="Y557" s="5">
        <v>19379019668</v>
      </c>
      <c r="Z557">
        <v>0</v>
      </c>
      <c r="AA557">
        <v>71399</v>
      </c>
      <c r="AB557" t="s">
        <v>1690</v>
      </c>
      <c r="AC557" t="s">
        <v>2390</v>
      </c>
      <c r="AE557" t="s">
        <v>424</v>
      </c>
      <c r="AF557" t="s">
        <v>4905</v>
      </c>
      <c r="AG557" t="s">
        <v>4906</v>
      </c>
      <c r="AH557" t="s">
        <v>4907</v>
      </c>
      <c r="AI557" t="s">
        <v>1411</v>
      </c>
      <c r="AJ557" s="4" t="str">
        <f>"45420"</f>
        <v>45420</v>
      </c>
      <c r="AK557" t="s">
        <v>120</v>
      </c>
      <c r="AM557" s="5">
        <v>19379019668</v>
      </c>
      <c r="AN557">
        <v>0</v>
      </c>
      <c r="AO557" t="s">
        <v>4908</v>
      </c>
      <c r="AP557" t="s">
        <v>256</v>
      </c>
      <c r="AQ557" t="s">
        <v>535</v>
      </c>
      <c r="AR557" t="s">
        <v>536</v>
      </c>
      <c r="AS557" t="s">
        <v>537</v>
      </c>
      <c r="AT557" t="s">
        <v>538</v>
      </c>
      <c r="AU557" t="s">
        <v>539</v>
      </c>
      <c r="AV557" t="s">
        <v>540</v>
      </c>
      <c r="AW557" t="s">
        <v>232</v>
      </c>
      <c r="AX557" s="4" t="str">
        <f>"78550"</f>
        <v>78550</v>
      </c>
      <c r="AY557" t="s">
        <v>120</v>
      </c>
      <c r="AZ557" t="s">
        <v>2835</v>
      </c>
      <c r="BA557" s="5">
        <v>19564408720</v>
      </c>
      <c r="BB557">
        <v>0</v>
      </c>
      <c r="BC557" t="s">
        <v>542</v>
      </c>
      <c r="BD557" t="s">
        <v>543</v>
      </c>
      <c r="BG557" t="s">
        <v>1411</v>
      </c>
      <c r="BH557" s="1">
        <v>44868.833333333336</v>
      </c>
      <c r="BI557">
        <v>40</v>
      </c>
      <c r="BJ557">
        <v>8</v>
      </c>
      <c r="BK557">
        <v>0</v>
      </c>
      <c r="BL557">
        <v>0</v>
      </c>
      <c r="BM557">
        <v>8</v>
      </c>
      <c r="BN557">
        <v>8</v>
      </c>
      <c r="BO557">
        <v>8</v>
      </c>
      <c r="BP557">
        <v>8</v>
      </c>
      <c r="BQ557" t="str">
        <f>"1:00 PM"</f>
        <v>1:00 PM</v>
      </c>
      <c r="BR557" t="str">
        <f>"10:00 PM"</f>
        <v>10:00 PM</v>
      </c>
      <c r="BS557" t="s">
        <v>133</v>
      </c>
      <c r="BT557">
        <v>0</v>
      </c>
      <c r="BU557">
        <v>0</v>
      </c>
      <c r="BV557" t="s">
        <v>134</v>
      </c>
      <c r="BX557" s="2" t="s">
        <v>1324</v>
      </c>
      <c r="BY557" t="s">
        <v>4909</v>
      </c>
      <c r="BZ557" t="s">
        <v>4910</v>
      </c>
      <c r="CA557" t="s">
        <v>2005</v>
      </c>
      <c r="CB557" t="s">
        <v>1411</v>
      </c>
      <c r="CC557" s="4" t="str">
        <f>"45434"</f>
        <v>45434</v>
      </c>
      <c r="CD557" t="s">
        <v>1363</v>
      </c>
      <c r="CE557" t="s">
        <v>2008</v>
      </c>
      <c r="CF557" s="6">
        <v>9.25</v>
      </c>
      <c r="CG557" s="6">
        <v>14.14</v>
      </c>
      <c r="CH557" s="6">
        <v>0</v>
      </c>
      <c r="CI557" s="6">
        <v>0</v>
      </c>
      <c r="CJ557" t="s">
        <v>137</v>
      </c>
      <c r="CK557" t="s">
        <v>549</v>
      </c>
      <c r="CL557" t="s">
        <v>4911</v>
      </c>
      <c r="CO557" t="s">
        <v>138</v>
      </c>
      <c r="CP557" t="s">
        <v>114</v>
      </c>
      <c r="CQ557" t="s">
        <v>114</v>
      </c>
      <c r="CR557" t="s">
        <v>134</v>
      </c>
      <c r="CS557" t="s">
        <v>114</v>
      </c>
      <c r="CT557" t="s">
        <v>114</v>
      </c>
      <c r="CU557" t="s">
        <v>114</v>
      </c>
      <c r="CV557" t="s">
        <v>4912</v>
      </c>
      <c r="CW557" s="5" t="str">
        <f>"+19379019668"</f>
        <v>+19379019668</v>
      </c>
      <c r="CX557" t="s">
        <v>4913</v>
      </c>
      <c r="CY557" t="s">
        <v>138</v>
      </c>
      <c r="CZ557" t="s">
        <v>139</v>
      </c>
      <c r="DA557" t="s">
        <v>134</v>
      </c>
      <c r="DB557" t="s">
        <v>114</v>
      </c>
      <c r="DC557" t="s">
        <v>114</v>
      </c>
      <c r="DD557" t="s">
        <v>134</v>
      </c>
    </row>
    <row r="558" spans="1:113" ht="15" customHeight="1" x14ac:dyDescent="0.25">
      <c r="A558" t="s">
        <v>16818</v>
      </c>
      <c r="B558" t="s">
        <v>165</v>
      </c>
      <c r="C558" s="1">
        <v>44868.709593287036</v>
      </c>
      <c r="D558" s="1">
        <v>44896</v>
      </c>
      <c r="E558" t="s">
        <v>134</v>
      </c>
      <c r="F558" t="s">
        <v>1662</v>
      </c>
      <c r="G558" t="str">
        <f>"37-3011.00"</f>
        <v>37-3011.00</v>
      </c>
      <c r="H558" t="s">
        <v>335</v>
      </c>
      <c r="I558">
        <v>60</v>
      </c>
      <c r="J558">
        <v>60</v>
      </c>
      <c r="K558" s="1">
        <v>44958</v>
      </c>
      <c r="L558" s="1">
        <v>45219</v>
      </c>
      <c r="M558" s="1">
        <v>44958</v>
      </c>
      <c r="N558" s="1">
        <v>45219</v>
      </c>
      <c r="O558" t="s">
        <v>199</v>
      </c>
      <c r="P558" t="s">
        <v>4439</v>
      </c>
      <c r="R558" t="s">
        <v>3366</v>
      </c>
      <c r="T558" t="s">
        <v>1970</v>
      </c>
      <c r="U558" t="s">
        <v>1411</v>
      </c>
      <c r="V558" s="4" t="str">
        <f>"45241"</f>
        <v>45241</v>
      </c>
      <c r="W558" t="s">
        <v>120</v>
      </c>
      <c r="Y558" s="5">
        <v>18005700213</v>
      </c>
      <c r="AA558">
        <v>56173</v>
      </c>
      <c r="AB558" t="s">
        <v>3367</v>
      </c>
      <c r="AC558" t="s">
        <v>1614</v>
      </c>
      <c r="AD558" t="s">
        <v>1470</v>
      </c>
      <c r="AE558" t="s">
        <v>3368</v>
      </c>
      <c r="AF558" t="s">
        <v>3366</v>
      </c>
      <c r="AH558" t="s">
        <v>1970</v>
      </c>
      <c r="AI558" t="s">
        <v>1411</v>
      </c>
      <c r="AJ558" s="4" t="str">
        <f>"45241"</f>
        <v>45241</v>
      </c>
      <c r="AK558" t="s">
        <v>120</v>
      </c>
      <c r="AM558" s="5">
        <v>18005700213</v>
      </c>
      <c r="AN558">
        <v>1013</v>
      </c>
      <c r="AO558" t="s">
        <v>3369</v>
      </c>
      <c r="AP558" t="s">
        <v>256</v>
      </c>
      <c r="AQ558" t="s">
        <v>1468</v>
      </c>
      <c r="AR558" t="s">
        <v>1469</v>
      </c>
      <c r="AS558" t="s">
        <v>2340</v>
      </c>
      <c r="AT558" t="s">
        <v>1471</v>
      </c>
      <c r="AU558" t="s">
        <v>1472</v>
      </c>
      <c r="AV558" t="s">
        <v>1473</v>
      </c>
      <c r="AW558" t="s">
        <v>479</v>
      </c>
      <c r="AX558" s="4" t="str">
        <f>"22949"</f>
        <v>22949</v>
      </c>
      <c r="AY558" t="s">
        <v>120</v>
      </c>
      <c r="BA558" s="5">
        <v>14342634300</v>
      </c>
      <c r="BC558" t="s">
        <v>1664</v>
      </c>
      <c r="BD558" t="s">
        <v>481</v>
      </c>
      <c r="BG558" t="s">
        <v>1411</v>
      </c>
      <c r="BH558" s="1">
        <v>44867.833333333336</v>
      </c>
      <c r="BI558">
        <v>40</v>
      </c>
      <c r="BJ558">
        <v>0</v>
      </c>
      <c r="BK558">
        <v>8</v>
      </c>
      <c r="BL558">
        <v>8</v>
      </c>
      <c r="BM558">
        <v>8</v>
      </c>
      <c r="BN558">
        <v>8</v>
      </c>
      <c r="BO558">
        <v>8</v>
      </c>
      <c r="BP558">
        <v>0</v>
      </c>
      <c r="BQ558" t="str">
        <f t="shared" ref="BQ558:BQ563" si="35">"7:00 AM"</f>
        <v>7:00 AM</v>
      </c>
      <c r="BR558" t="str">
        <f>"3:30 PM"</f>
        <v>3:30 PM</v>
      </c>
      <c r="BS558" t="s">
        <v>133</v>
      </c>
      <c r="BT558">
        <v>0</v>
      </c>
      <c r="BU558">
        <v>0</v>
      </c>
      <c r="BV558" t="s">
        <v>134</v>
      </c>
      <c r="BX558" s="2" t="s">
        <v>3370</v>
      </c>
      <c r="BY558" t="s">
        <v>4440</v>
      </c>
      <c r="CA558" t="s">
        <v>1970</v>
      </c>
      <c r="CB558" t="s">
        <v>1411</v>
      </c>
      <c r="CC558" s="4" t="str">
        <f>"45241"</f>
        <v>45241</v>
      </c>
      <c r="CD558" t="s">
        <v>1839</v>
      </c>
      <c r="CE558" t="s">
        <v>1417</v>
      </c>
      <c r="CF558" s="6">
        <v>16.04</v>
      </c>
      <c r="CH558" s="6">
        <v>24.06</v>
      </c>
      <c r="CJ558" t="s">
        <v>137</v>
      </c>
      <c r="CK558" t="s">
        <v>487</v>
      </c>
      <c r="CL558" t="s">
        <v>4441</v>
      </c>
      <c r="CO558" t="s">
        <v>138</v>
      </c>
      <c r="CP558" t="s">
        <v>114</v>
      </c>
      <c r="CQ558" t="s">
        <v>134</v>
      </c>
      <c r="CR558" t="s">
        <v>114</v>
      </c>
      <c r="CS558" t="s">
        <v>114</v>
      </c>
      <c r="CT558" t="s">
        <v>114</v>
      </c>
      <c r="CU558" t="s">
        <v>114</v>
      </c>
      <c r="CV558" t="s">
        <v>16595</v>
      </c>
      <c r="CW558" s="5" t="str">
        <f>"N/A"</f>
        <v>N/A</v>
      </c>
      <c r="CX558" t="s">
        <v>3369</v>
      </c>
      <c r="CY558" t="s">
        <v>1657</v>
      </c>
      <c r="CZ558" t="s">
        <v>139</v>
      </c>
      <c r="DA558" t="s">
        <v>134</v>
      </c>
      <c r="DB558" t="s">
        <v>114</v>
      </c>
      <c r="DC558" t="s">
        <v>114</v>
      </c>
      <c r="DD558" t="s">
        <v>134</v>
      </c>
      <c r="DE558" t="s">
        <v>1669</v>
      </c>
      <c r="DF558" t="s">
        <v>1670</v>
      </c>
      <c r="DH558" t="s">
        <v>481</v>
      </c>
      <c r="DI558" t="s">
        <v>1664</v>
      </c>
    </row>
    <row r="559" spans="1:113" ht="15" customHeight="1" x14ac:dyDescent="0.25">
      <c r="A559" t="s">
        <v>9361</v>
      </c>
      <c r="B559" t="s">
        <v>165</v>
      </c>
      <c r="C559" s="1">
        <v>44868.631949768518</v>
      </c>
      <c r="D559" s="1">
        <v>44896</v>
      </c>
      <c r="E559" t="s">
        <v>134</v>
      </c>
      <c r="F559" t="s">
        <v>1662</v>
      </c>
      <c r="G559" t="str">
        <f>"37-3011.00"</f>
        <v>37-3011.00</v>
      </c>
      <c r="H559" t="s">
        <v>335</v>
      </c>
      <c r="I559">
        <v>6</v>
      </c>
      <c r="J559">
        <v>6</v>
      </c>
      <c r="K559" s="1">
        <v>44958</v>
      </c>
      <c r="L559" s="1">
        <v>45260</v>
      </c>
      <c r="M559" s="1">
        <v>44958</v>
      </c>
      <c r="N559" s="1">
        <v>45260</v>
      </c>
      <c r="O559" t="s">
        <v>117</v>
      </c>
      <c r="P559" t="s">
        <v>9362</v>
      </c>
      <c r="R559" t="s">
        <v>9363</v>
      </c>
      <c r="T559" t="s">
        <v>9152</v>
      </c>
      <c r="U559" t="s">
        <v>1003</v>
      </c>
      <c r="V559" s="4" t="str">
        <f>"07932"</f>
        <v>07932</v>
      </c>
      <c r="W559" t="s">
        <v>120</v>
      </c>
      <c r="Y559" s="5">
        <v>19738222008</v>
      </c>
      <c r="AA559">
        <v>56173</v>
      </c>
      <c r="AB559" t="s">
        <v>9364</v>
      </c>
      <c r="AC559" t="s">
        <v>1702</v>
      </c>
      <c r="AE559" t="s">
        <v>342</v>
      </c>
      <c r="AF559" t="s">
        <v>9363</v>
      </c>
      <c r="AH559" t="s">
        <v>9152</v>
      </c>
      <c r="AI559" t="s">
        <v>1003</v>
      </c>
      <c r="AJ559" s="4" t="str">
        <f>"07932"</f>
        <v>07932</v>
      </c>
      <c r="AK559" t="s">
        <v>120</v>
      </c>
      <c r="AM559" s="5">
        <v>19738222008</v>
      </c>
      <c r="AO559" t="s">
        <v>138</v>
      </c>
      <c r="AP559" t="s">
        <v>256</v>
      </c>
      <c r="AQ559" t="s">
        <v>2435</v>
      </c>
      <c r="AR559" t="s">
        <v>5494</v>
      </c>
      <c r="AT559" t="s">
        <v>477</v>
      </c>
      <c r="AV559" t="s">
        <v>478</v>
      </c>
      <c r="AW559" t="s">
        <v>479</v>
      </c>
      <c r="AX559" s="4" t="str">
        <f>"22903"</f>
        <v>22903</v>
      </c>
      <c r="AY559" t="s">
        <v>120</v>
      </c>
      <c r="BA559" s="5">
        <v>14342634300</v>
      </c>
      <c r="BC559" t="s">
        <v>2437</v>
      </c>
      <c r="BD559" t="s">
        <v>481</v>
      </c>
      <c r="BG559" t="s">
        <v>1003</v>
      </c>
      <c r="BH559" s="1">
        <v>44867.833333333336</v>
      </c>
      <c r="BI559">
        <v>40</v>
      </c>
      <c r="BJ559">
        <v>0</v>
      </c>
      <c r="BK559">
        <v>8</v>
      </c>
      <c r="BL559">
        <v>8</v>
      </c>
      <c r="BM559">
        <v>8</v>
      </c>
      <c r="BN559">
        <v>8</v>
      </c>
      <c r="BO559">
        <v>8</v>
      </c>
      <c r="BP559">
        <v>0</v>
      </c>
      <c r="BQ559" t="str">
        <f t="shared" si="35"/>
        <v>7:00 AM</v>
      </c>
      <c r="BR559" t="str">
        <f>"3:30 PM"</f>
        <v>3:30 PM</v>
      </c>
      <c r="BS559" t="s">
        <v>133</v>
      </c>
      <c r="BT559">
        <v>0</v>
      </c>
      <c r="BU559">
        <v>0</v>
      </c>
      <c r="BV559" t="s">
        <v>134</v>
      </c>
      <c r="BX559" s="2" t="s">
        <v>9365</v>
      </c>
      <c r="BY559" t="s">
        <v>9363</v>
      </c>
      <c r="CA559" t="s">
        <v>9152</v>
      </c>
      <c r="CB559" t="s">
        <v>1003</v>
      </c>
      <c r="CC559" s="4" t="str">
        <f>"07932"</f>
        <v>07932</v>
      </c>
      <c r="CD559" t="s">
        <v>1640</v>
      </c>
      <c r="CE559" t="s">
        <v>1009</v>
      </c>
      <c r="CF559" s="6">
        <v>19.940000000000001</v>
      </c>
      <c r="CH559" s="6">
        <v>29.91</v>
      </c>
      <c r="CJ559" t="s">
        <v>137</v>
      </c>
      <c r="CL559" t="s">
        <v>9366</v>
      </c>
      <c r="CO559" t="s">
        <v>138</v>
      </c>
      <c r="CP559" t="s">
        <v>114</v>
      </c>
      <c r="CQ559" t="s">
        <v>114</v>
      </c>
      <c r="CR559" t="s">
        <v>114</v>
      </c>
      <c r="CS559" t="s">
        <v>134</v>
      </c>
      <c r="CT559" t="s">
        <v>114</v>
      </c>
      <c r="CU559" t="s">
        <v>114</v>
      </c>
      <c r="CV559" t="s">
        <v>9367</v>
      </c>
      <c r="CW559" s="5" t="str">
        <f>"+16092925879"</f>
        <v>+16092925879</v>
      </c>
      <c r="CX559" t="s">
        <v>9368</v>
      </c>
      <c r="CY559" t="s">
        <v>138</v>
      </c>
      <c r="CZ559" t="s">
        <v>139</v>
      </c>
      <c r="DA559" t="s">
        <v>134</v>
      </c>
      <c r="DB559" t="s">
        <v>114</v>
      </c>
      <c r="DC559" t="s">
        <v>114</v>
      </c>
      <c r="DD559" t="s">
        <v>134</v>
      </c>
      <c r="DE559" t="s">
        <v>2129</v>
      </c>
      <c r="DF559" t="s">
        <v>2130</v>
      </c>
      <c r="DG559" t="s">
        <v>2540</v>
      </c>
      <c r="DH559" t="s">
        <v>5586</v>
      </c>
      <c r="DI559" t="s">
        <v>2128</v>
      </c>
    </row>
    <row r="560" spans="1:113" ht="15" customHeight="1" x14ac:dyDescent="0.25">
      <c r="A560" t="s">
        <v>10264</v>
      </c>
      <c r="B560" t="s">
        <v>165</v>
      </c>
      <c r="C560" s="1">
        <v>44868.587136111113</v>
      </c>
      <c r="D560" s="1">
        <v>44896</v>
      </c>
      <c r="E560" t="s">
        <v>134</v>
      </c>
      <c r="F560" t="s">
        <v>334</v>
      </c>
      <c r="G560" t="str">
        <f>"37-3011.00"</f>
        <v>37-3011.00</v>
      </c>
      <c r="H560" t="s">
        <v>335</v>
      </c>
      <c r="I560">
        <v>3</v>
      </c>
      <c r="J560">
        <v>3</v>
      </c>
      <c r="K560" s="1">
        <v>44958</v>
      </c>
      <c r="L560" s="1">
        <v>45260</v>
      </c>
      <c r="M560" s="1">
        <v>44958</v>
      </c>
      <c r="N560" s="1">
        <v>45260</v>
      </c>
      <c r="O560" t="s">
        <v>117</v>
      </c>
      <c r="P560" t="s">
        <v>10265</v>
      </c>
      <c r="R560" t="s">
        <v>10266</v>
      </c>
      <c r="T560" t="s">
        <v>7099</v>
      </c>
      <c r="U560" t="s">
        <v>479</v>
      </c>
      <c r="V560" s="4" t="str">
        <f>"20109"</f>
        <v>20109</v>
      </c>
      <c r="W560" t="s">
        <v>120</v>
      </c>
      <c r="Y560" s="5">
        <v>18667187188</v>
      </c>
      <c r="AA560">
        <v>56173</v>
      </c>
      <c r="AB560" t="s">
        <v>2317</v>
      </c>
      <c r="AC560" t="s">
        <v>10267</v>
      </c>
      <c r="AD560" t="s">
        <v>2702</v>
      </c>
      <c r="AE560" t="s">
        <v>342</v>
      </c>
      <c r="AF560" t="s">
        <v>10266</v>
      </c>
      <c r="AH560" t="s">
        <v>7099</v>
      </c>
      <c r="AI560" t="s">
        <v>479</v>
      </c>
      <c r="AJ560" s="4" t="str">
        <f>"20109"</f>
        <v>20109</v>
      </c>
      <c r="AK560" t="s">
        <v>120</v>
      </c>
      <c r="AM560" s="5">
        <v>18667187188</v>
      </c>
      <c r="AO560" t="s">
        <v>10268</v>
      </c>
      <c r="AP560" t="s">
        <v>256</v>
      </c>
      <c r="AQ560" t="s">
        <v>3181</v>
      </c>
      <c r="AR560" t="s">
        <v>3182</v>
      </c>
      <c r="AT560" t="s">
        <v>346</v>
      </c>
      <c r="AU560" t="s">
        <v>347</v>
      </c>
      <c r="AV560" t="s">
        <v>828</v>
      </c>
      <c r="AW560" t="s">
        <v>349</v>
      </c>
      <c r="AX560" s="4" t="str">
        <f>"83814"</f>
        <v>83814</v>
      </c>
      <c r="AY560" t="s">
        <v>120</v>
      </c>
      <c r="BA560" s="5">
        <v>12087772654</v>
      </c>
      <c r="BC560" t="s">
        <v>3183</v>
      </c>
      <c r="BD560" t="s">
        <v>351</v>
      </c>
      <c r="BG560" t="s">
        <v>479</v>
      </c>
      <c r="BH560" s="1">
        <v>44860.833333333336</v>
      </c>
      <c r="BI560">
        <v>40</v>
      </c>
      <c r="BJ560">
        <v>0</v>
      </c>
      <c r="BK560">
        <v>8</v>
      </c>
      <c r="BL560">
        <v>8</v>
      </c>
      <c r="BM560">
        <v>8</v>
      </c>
      <c r="BN560">
        <v>8</v>
      </c>
      <c r="BO560">
        <v>8</v>
      </c>
      <c r="BP560">
        <v>0</v>
      </c>
      <c r="BQ560" t="str">
        <f t="shared" si="35"/>
        <v>7:00 AM</v>
      </c>
      <c r="BR560" t="str">
        <f>"4:00 PM"</f>
        <v>4:00 PM</v>
      </c>
      <c r="BS560" t="s">
        <v>133</v>
      </c>
      <c r="BT560">
        <v>0</v>
      </c>
      <c r="BU560">
        <v>0</v>
      </c>
      <c r="BV560" t="s">
        <v>134</v>
      </c>
      <c r="BX560" s="2" t="s">
        <v>10011</v>
      </c>
      <c r="BY560" t="s">
        <v>10269</v>
      </c>
      <c r="CA560" t="s">
        <v>10270</v>
      </c>
      <c r="CB560" t="s">
        <v>479</v>
      </c>
      <c r="CC560" s="4" t="str">
        <f>"24667"</f>
        <v>24667</v>
      </c>
      <c r="CD560" t="s">
        <v>10271</v>
      </c>
      <c r="CE560" t="s">
        <v>4399</v>
      </c>
      <c r="CF560" s="6">
        <v>18.36</v>
      </c>
      <c r="CG560" s="6">
        <v>26.43</v>
      </c>
      <c r="CH560" s="6">
        <v>27.54</v>
      </c>
      <c r="CI560" s="6">
        <v>39.65</v>
      </c>
      <c r="CJ560" t="s">
        <v>137</v>
      </c>
      <c r="CK560" t="s">
        <v>356</v>
      </c>
      <c r="CL560" t="s">
        <v>10272</v>
      </c>
      <c r="CO560" t="s">
        <v>138</v>
      </c>
      <c r="CP560" t="s">
        <v>114</v>
      </c>
      <c r="CQ560" t="s">
        <v>114</v>
      </c>
      <c r="CR560" t="s">
        <v>114</v>
      </c>
      <c r="CS560" t="s">
        <v>114</v>
      </c>
      <c r="CT560" t="s">
        <v>114</v>
      </c>
      <c r="CU560" t="s">
        <v>114</v>
      </c>
      <c r="CV560" s="2" t="s">
        <v>10273</v>
      </c>
      <c r="CW560" s="5" t="str">
        <f>"+18667187188"</f>
        <v>+18667187188</v>
      </c>
      <c r="CX560" t="s">
        <v>10274</v>
      </c>
      <c r="CY560" t="s">
        <v>138</v>
      </c>
      <c r="CZ560" t="s">
        <v>139</v>
      </c>
      <c r="DA560" t="s">
        <v>134</v>
      </c>
      <c r="DB560" t="s">
        <v>134</v>
      </c>
      <c r="DC560" t="s">
        <v>114</v>
      </c>
      <c r="DD560" t="s">
        <v>134</v>
      </c>
    </row>
    <row r="561" spans="1:108" ht="15" customHeight="1" x14ac:dyDescent="0.25">
      <c r="A561" t="s">
        <v>16834</v>
      </c>
      <c r="B561" t="s">
        <v>165</v>
      </c>
      <c r="C561" s="1">
        <v>44868.583509374999</v>
      </c>
      <c r="D561" s="1">
        <v>44896</v>
      </c>
      <c r="E561" t="s">
        <v>134</v>
      </c>
      <c r="F561" t="s">
        <v>334</v>
      </c>
      <c r="G561" t="str">
        <f>"37-3011.00"</f>
        <v>37-3011.00</v>
      </c>
      <c r="H561" t="s">
        <v>335</v>
      </c>
      <c r="I561">
        <v>58</v>
      </c>
      <c r="J561">
        <v>58</v>
      </c>
      <c r="K561" s="1">
        <v>44958</v>
      </c>
      <c r="L561" s="1">
        <v>45260</v>
      </c>
      <c r="M561" s="1">
        <v>44958</v>
      </c>
      <c r="N561" s="1">
        <v>45260</v>
      </c>
      <c r="O561" t="s">
        <v>117</v>
      </c>
      <c r="P561" t="s">
        <v>10265</v>
      </c>
      <c r="R561" t="s">
        <v>10266</v>
      </c>
      <c r="T561" t="s">
        <v>7099</v>
      </c>
      <c r="U561" t="s">
        <v>479</v>
      </c>
      <c r="V561" s="4" t="str">
        <f>"20109"</f>
        <v>20109</v>
      </c>
      <c r="W561" t="s">
        <v>120</v>
      </c>
      <c r="Y561" s="5">
        <v>18667187188</v>
      </c>
      <c r="AA561">
        <v>56173</v>
      </c>
      <c r="AB561" t="s">
        <v>2317</v>
      </c>
      <c r="AC561" t="s">
        <v>16835</v>
      </c>
      <c r="AD561" t="s">
        <v>2702</v>
      </c>
      <c r="AE561" t="s">
        <v>342</v>
      </c>
      <c r="AF561" t="s">
        <v>10266</v>
      </c>
      <c r="AH561" t="s">
        <v>7099</v>
      </c>
      <c r="AI561" t="s">
        <v>479</v>
      </c>
      <c r="AJ561" s="4" t="str">
        <f>"20109"</f>
        <v>20109</v>
      </c>
      <c r="AK561" t="s">
        <v>120</v>
      </c>
      <c r="AM561" s="5">
        <v>18667187188</v>
      </c>
      <c r="AO561" t="s">
        <v>10274</v>
      </c>
      <c r="AP561" t="s">
        <v>256</v>
      </c>
      <c r="AQ561" t="s">
        <v>3181</v>
      </c>
      <c r="AR561" t="s">
        <v>3182</v>
      </c>
      <c r="AT561" t="s">
        <v>346</v>
      </c>
      <c r="AU561" t="s">
        <v>347</v>
      </c>
      <c r="AV561" t="s">
        <v>828</v>
      </c>
      <c r="AW561" t="s">
        <v>349</v>
      </c>
      <c r="AX561" s="4" t="str">
        <f>"83814"</f>
        <v>83814</v>
      </c>
      <c r="AY561" t="s">
        <v>120</v>
      </c>
      <c r="BA561" s="5">
        <v>12087772654</v>
      </c>
      <c r="BC561" t="s">
        <v>3183</v>
      </c>
      <c r="BD561" t="s">
        <v>351</v>
      </c>
      <c r="BG561" t="s">
        <v>479</v>
      </c>
      <c r="BH561" s="1">
        <v>44852.833333333336</v>
      </c>
      <c r="BI561">
        <v>40</v>
      </c>
      <c r="BJ561">
        <v>0</v>
      </c>
      <c r="BK561">
        <v>8</v>
      </c>
      <c r="BL561">
        <v>8</v>
      </c>
      <c r="BM561">
        <v>8</v>
      </c>
      <c r="BN561">
        <v>8</v>
      </c>
      <c r="BO561">
        <v>8</v>
      </c>
      <c r="BP561">
        <v>0</v>
      </c>
      <c r="BQ561" t="str">
        <f t="shared" si="35"/>
        <v>7:00 AM</v>
      </c>
      <c r="BR561" t="str">
        <f>"4:00 PM"</f>
        <v>4:00 PM</v>
      </c>
      <c r="BS561" t="s">
        <v>133</v>
      </c>
      <c r="BT561">
        <v>0</v>
      </c>
      <c r="BU561">
        <v>0</v>
      </c>
      <c r="BV561" t="s">
        <v>134</v>
      </c>
      <c r="BX561" s="2" t="s">
        <v>352</v>
      </c>
      <c r="BY561" t="s">
        <v>16836</v>
      </c>
      <c r="CA561" t="s">
        <v>7099</v>
      </c>
      <c r="CB561" t="s">
        <v>479</v>
      </c>
      <c r="CC561" s="4" t="str">
        <f>"20109"</f>
        <v>20109</v>
      </c>
      <c r="CD561" t="s">
        <v>7895</v>
      </c>
      <c r="CE561" t="s">
        <v>355</v>
      </c>
      <c r="CF561" s="6">
        <v>18.36</v>
      </c>
      <c r="CG561" s="6">
        <v>26.43</v>
      </c>
      <c r="CH561" s="6">
        <v>27.54</v>
      </c>
      <c r="CI561" s="6">
        <v>39.65</v>
      </c>
      <c r="CJ561" t="s">
        <v>137</v>
      </c>
      <c r="CK561" t="s">
        <v>356</v>
      </c>
      <c r="CL561" t="s">
        <v>16837</v>
      </c>
      <c r="CO561" t="s">
        <v>138</v>
      </c>
      <c r="CP561" t="s">
        <v>114</v>
      </c>
      <c r="CQ561" t="s">
        <v>114</v>
      </c>
      <c r="CR561" t="s">
        <v>114</v>
      </c>
      <c r="CS561" t="s">
        <v>114</v>
      </c>
      <c r="CT561" t="s">
        <v>114</v>
      </c>
      <c r="CU561" t="s">
        <v>114</v>
      </c>
      <c r="CV561" s="2" t="s">
        <v>16838</v>
      </c>
      <c r="CW561" s="5" t="str">
        <f>"+18667187188"</f>
        <v>+18667187188</v>
      </c>
      <c r="CX561" t="s">
        <v>10274</v>
      </c>
      <c r="CY561" t="s">
        <v>138</v>
      </c>
      <c r="CZ561" t="s">
        <v>139</v>
      </c>
      <c r="DA561" t="s">
        <v>134</v>
      </c>
      <c r="DB561" t="s">
        <v>134</v>
      </c>
      <c r="DC561" t="s">
        <v>114</v>
      </c>
      <c r="DD561" t="s">
        <v>134</v>
      </c>
    </row>
    <row r="562" spans="1:108" ht="15" customHeight="1" x14ac:dyDescent="0.25">
      <c r="A562" t="s">
        <v>16868</v>
      </c>
      <c r="B562" t="s">
        <v>165</v>
      </c>
      <c r="C562" s="1">
        <v>44868.512963194444</v>
      </c>
      <c r="D562" s="1">
        <v>44896</v>
      </c>
      <c r="E562" t="s">
        <v>114</v>
      </c>
      <c r="F562" t="s">
        <v>334</v>
      </c>
      <c r="G562" t="str">
        <f>"37-3011.00"</f>
        <v>37-3011.00</v>
      </c>
      <c r="H562" t="s">
        <v>335</v>
      </c>
      <c r="I562">
        <v>38</v>
      </c>
      <c r="J562">
        <v>38</v>
      </c>
      <c r="K562" s="1">
        <v>44958</v>
      </c>
      <c r="L562" s="1">
        <v>45245</v>
      </c>
      <c r="M562" s="1">
        <v>44958</v>
      </c>
      <c r="N562" s="1">
        <v>45245</v>
      </c>
      <c r="O562" t="s">
        <v>117</v>
      </c>
      <c r="P562" t="s">
        <v>10053</v>
      </c>
      <c r="R562" t="s">
        <v>16869</v>
      </c>
      <c r="S562" t="s">
        <v>138</v>
      </c>
      <c r="T562" t="s">
        <v>1978</v>
      </c>
      <c r="U562" t="s">
        <v>697</v>
      </c>
      <c r="V562" s="4" t="str">
        <f>"63303"</f>
        <v>63303</v>
      </c>
      <c r="W562" t="s">
        <v>120</v>
      </c>
      <c r="X562" t="s">
        <v>138</v>
      </c>
      <c r="Y562" s="5">
        <v>13144206447</v>
      </c>
      <c r="AA562">
        <v>561730</v>
      </c>
      <c r="AB562" t="s">
        <v>16870</v>
      </c>
      <c r="AC562" t="s">
        <v>1149</v>
      </c>
      <c r="AD562" t="s">
        <v>138</v>
      </c>
      <c r="AE562" t="s">
        <v>424</v>
      </c>
      <c r="AF562" t="s">
        <v>16869</v>
      </c>
      <c r="AG562" t="s">
        <v>138</v>
      </c>
      <c r="AH562" t="s">
        <v>1978</v>
      </c>
      <c r="AI562" t="s">
        <v>697</v>
      </c>
      <c r="AJ562" s="4" t="str">
        <f>"63303"</f>
        <v>63303</v>
      </c>
      <c r="AK562" t="s">
        <v>120</v>
      </c>
      <c r="AM562" s="5">
        <v>13144206447</v>
      </c>
      <c r="AO562" t="s">
        <v>16871</v>
      </c>
      <c r="AP562" t="s">
        <v>256</v>
      </c>
      <c r="AQ562" t="s">
        <v>1352</v>
      </c>
      <c r="AR562" t="s">
        <v>1353</v>
      </c>
      <c r="AS562" t="s">
        <v>138</v>
      </c>
      <c r="AT562" t="s">
        <v>1284</v>
      </c>
      <c r="AU562" t="s">
        <v>138</v>
      </c>
      <c r="AV562" t="s">
        <v>1285</v>
      </c>
      <c r="AW562" t="s">
        <v>232</v>
      </c>
      <c r="AX562" s="4" t="str">
        <f>"77414"</f>
        <v>77414</v>
      </c>
      <c r="AY562" t="s">
        <v>120</v>
      </c>
      <c r="BA562" s="5">
        <v>19793187285</v>
      </c>
      <c r="BC562" t="s">
        <v>1354</v>
      </c>
      <c r="BD562" t="s">
        <v>1287</v>
      </c>
      <c r="BG562" t="s">
        <v>697</v>
      </c>
      <c r="BH562" s="1">
        <v>44867.833333333336</v>
      </c>
      <c r="BI562">
        <v>40</v>
      </c>
      <c r="BJ562">
        <v>0</v>
      </c>
      <c r="BK562">
        <v>8</v>
      </c>
      <c r="BL562">
        <v>8</v>
      </c>
      <c r="BM562">
        <v>8</v>
      </c>
      <c r="BN562">
        <v>8</v>
      </c>
      <c r="BO562">
        <v>8</v>
      </c>
      <c r="BP562">
        <v>0</v>
      </c>
      <c r="BQ562" t="str">
        <f t="shared" si="35"/>
        <v>7:00 AM</v>
      </c>
      <c r="BR562" t="str">
        <f>"4:00 PM"</f>
        <v>4:00 PM</v>
      </c>
      <c r="BS562" t="s">
        <v>133</v>
      </c>
      <c r="BT562">
        <v>0</v>
      </c>
      <c r="BU562">
        <v>0</v>
      </c>
      <c r="BV562" t="s">
        <v>134</v>
      </c>
      <c r="BX562" t="s">
        <v>16872</v>
      </c>
      <c r="BY562" t="s">
        <v>16873</v>
      </c>
      <c r="BZ562" t="s">
        <v>138</v>
      </c>
      <c r="CA562" t="s">
        <v>7170</v>
      </c>
      <c r="CB562" t="s">
        <v>697</v>
      </c>
      <c r="CC562" s="4" t="str">
        <f>"63376"</f>
        <v>63376</v>
      </c>
      <c r="CD562" t="s">
        <v>1962</v>
      </c>
      <c r="CE562" t="s">
        <v>713</v>
      </c>
      <c r="CF562" s="6">
        <v>16.96</v>
      </c>
      <c r="CG562" s="6">
        <v>19.899999999999999</v>
      </c>
      <c r="CH562" s="6">
        <v>25.44</v>
      </c>
      <c r="CI562" s="6">
        <v>29.85</v>
      </c>
      <c r="CJ562" t="s">
        <v>137</v>
      </c>
      <c r="CK562" t="s">
        <v>12601</v>
      </c>
      <c r="CL562" t="s">
        <v>16874</v>
      </c>
      <c r="CO562" t="s">
        <v>138</v>
      </c>
      <c r="CP562" t="s">
        <v>114</v>
      </c>
      <c r="CQ562" t="s">
        <v>114</v>
      </c>
      <c r="CR562" t="s">
        <v>114</v>
      </c>
      <c r="CS562" t="s">
        <v>114</v>
      </c>
      <c r="CT562" t="s">
        <v>114</v>
      </c>
      <c r="CU562" t="s">
        <v>134</v>
      </c>
      <c r="CV562" t="s">
        <v>1356</v>
      </c>
      <c r="CW562" s="5" t="str">
        <f>"+13144206447"</f>
        <v>+13144206447</v>
      </c>
      <c r="CX562" t="s">
        <v>16875</v>
      </c>
      <c r="CY562" t="s">
        <v>138</v>
      </c>
      <c r="CZ562" t="s">
        <v>139</v>
      </c>
      <c r="DA562" t="s">
        <v>134</v>
      </c>
      <c r="DB562" t="s">
        <v>134</v>
      </c>
      <c r="DC562" t="s">
        <v>114</v>
      </c>
      <c r="DD562" t="s">
        <v>134</v>
      </c>
    </row>
    <row r="563" spans="1:108" ht="15" customHeight="1" x14ac:dyDescent="0.25">
      <c r="A563" t="s">
        <v>11942</v>
      </c>
      <c r="B563" t="s">
        <v>165</v>
      </c>
      <c r="C563" s="1">
        <v>44868.511156134256</v>
      </c>
      <c r="D563" s="1">
        <v>44896</v>
      </c>
      <c r="E563" t="s">
        <v>134</v>
      </c>
      <c r="F563" t="s">
        <v>878</v>
      </c>
      <c r="G563" t="str">
        <f>"53-7064.00"</f>
        <v>53-7064.00</v>
      </c>
      <c r="H563" t="s">
        <v>4749</v>
      </c>
      <c r="I563">
        <v>4</v>
      </c>
      <c r="J563">
        <v>4</v>
      </c>
      <c r="K563" s="1">
        <v>44958</v>
      </c>
      <c r="L563" s="1">
        <v>45231</v>
      </c>
      <c r="M563" s="1">
        <v>44958</v>
      </c>
      <c r="N563" s="1">
        <v>45231</v>
      </c>
      <c r="O563" t="s">
        <v>117</v>
      </c>
      <c r="P563" t="s">
        <v>11943</v>
      </c>
      <c r="Q563" t="s">
        <v>11944</v>
      </c>
      <c r="R563" t="s">
        <v>11945</v>
      </c>
      <c r="T563" t="s">
        <v>10919</v>
      </c>
      <c r="U563" t="s">
        <v>232</v>
      </c>
      <c r="V563" s="4" t="str">
        <f>"79830"</f>
        <v>79830</v>
      </c>
      <c r="W563" t="s">
        <v>120</v>
      </c>
      <c r="Y563" s="5">
        <v>18708635707</v>
      </c>
      <c r="AA563">
        <v>212325</v>
      </c>
      <c r="AB563" t="s">
        <v>11946</v>
      </c>
      <c r="AC563" t="s">
        <v>1467</v>
      </c>
      <c r="AE563" t="s">
        <v>342</v>
      </c>
      <c r="AF563" t="s">
        <v>11947</v>
      </c>
      <c r="AH563" t="s">
        <v>1642</v>
      </c>
      <c r="AI563" t="s">
        <v>1349</v>
      </c>
      <c r="AJ563" s="4" t="str">
        <f>"71730"</f>
        <v>71730</v>
      </c>
      <c r="AK563" t="s">
        <v>120</v>
      </c>
      <c r="AM563" s="5">
        <v>18708635707</v>
      </c>
      <c r="AO563" t="s">
        <v>11948</v>
      </c>
      <c r="AP563" t="s">
        <v>256</v>
      </c>
      <c r="AQ563" t="s">
        <v>885</v>
      </c>
      <c r="AR563" t="s">
        <v>886</v>
      </c>
      <c r="AT563" t="s">
        <v>887</v>
      </c>
      <c r="AV563" t="s">
        <v>888</v>
      </c>
      <c r="AW563" t="s">
        <v>232</v>
      </c>
      <c r="AX563" s="4" t="str">
        <f>"75098"</f>
        <v>75098</v>
      </c>
      <c r="AY563" t="s">
        <v>120</v>
      </c>
      <c r="BA563" s="5">
        <v>19724424244</v>
      </c>
      <c r="BC563" t="s">
        <v>889</v>
      </c>
      <c r="BD563" t="s">
        <v>1264</v>
      </c>
      <c r="BG563" t="s">
        <v>232</v>
      </c>
      <c r="BH563" s="1">
        <v>44867.833333333336</v>
      </c>
      <c r="BI563">
        <v>40</v>
      </c>
      <c r="BJ563">
        <v>0</v>
      </c>
      <c r="BK563">
        <v>8</v>
      </c>
      <c r="BL563">
        <v>8</v>
      </c>
      <c r="BM563">
        <v>8</v>
      </c>
      <c r="BN563">
        <v>8</v>
      </c>
      <c r="BO563">
        <v>8</v>
      </c>
      <c r="BP563">
        <v>0</v>
      </c>
      <c r="BQ563" t="str">
        <f t="shared" si="35"/>
        <v>7:00 AM</v>
      </c>
      <c r="BR563" t="str">
        <f>"4:00 PM"</f>
        <v>4:00 PM</v>
      </c>
      <c r="BS563" t="s">
        <v>133</v>
      </c>
      <c r="BT563">
        <v>0</v>
      </c>
      <c r="BU563">
        <v>0</v>
      </c>
      <c r="BV563" t="s">
        <v>134</v>
      </c>
      <c r="BX563" t="s">
        <v>219</v>
      </c>
      <c r="BY563" t="s">
        <v>11945</v>
      </c>
      <c r="CA563" t="s">
        <v>10919</v>
      </c>
      <c r="CB563" t="s">
        <v>232</v>
      </c>
      <c r="CC563" s="4" t="str">
        <f>"79830"</f>
        <v>79830</v>
      </c>
      <c r="CD563" t="s">
        <v>2250</v>
      </c>
      <c r="CE563" t="s">
        <v>4378</v>
      </c>
      <c r="CF563" s="6">
        <v>14.86</v>
      </c>
      <c r="CH563" s="6">
        <v>22.29</v>
      </c>
      <c r="CJ563" t="s">
        <v>137</v>
      </c>
      <c r="CL563" t="s">
        <v>11949</v>
      </c>
      <c r="CO563" t="s">
        <v>138</v>
      </c>
      <c r="CP563" t="s">
        <v>134</v>
      </c>
      <c r="CQ563" t="s">
        <v>114</v>
      </c>
      <c r="CR563" t="s">
        <v>114</v>
      </c>
      <c r="CS563" t="s">
        <v>134</v>
      </c>
      <c r="CT563" t="s">
        <v>114</v>
      </c>
      <c r="CU563" t="s">
        <v>114</v>
      </c>
      <c r="CV563" t="s">
        <v>219</v>
      </c>
      <c r="CW563" s="5" t="str">
        <f>"+18708635707"</f>
        <v>+18708635707</v>
      </c>
      <c r="CX563" t="s">
        <v>138</v>
      </c>
      <c r="CY563" t="s">
        <v>11948</v>
      </c>
      <c r="CZ563" t="s">
        <v>139</v>
      </c>
      <c r="DA563" t="s">
        <v>134</v>
      </c>
      <c r="DB563" t="s">
        <v>134</v>
      </c>
      <c r="DC563" t="s">
        <v>114</v>
      </c>
      <c r="DD563" t="s">
        <v>134</v>
      </c>
    </row>
    <row r="564" spans="1:108" ht="15" customHeight="1" x14ac:dyDescent="0.25">
      <c r="A564" t="s">
        <v>10256</v>
      </c>
      <c r="B564" t="s">
        <v>165</v>
      </c>
      <c r="C564" s="1">
        <v>44868.499528472224</v>
      </c>
      <c r="D564" s="1">
        <v>44896</v>
      </c>
      <c r="E564" t="s">
        <v>134</v>
      </c>
      <c r="F564" t="s">
        <v>115</v>
      </c>
      <c r="G564" t="str">
        <f>"37-2012.00"</f>
        <v>37-2012.00</v>
      </c>
      <c r="H564" t="s">
        <v>116</v>
      </c>
      <c r="I564">
        <v>10</v>
      </c>
      <c r="J564">
        <v>10</v>
      </c>
      <c r="K564" s="1">
        <v>44958</v>
      </c>
      <c r="L564" s="1">
        <v>45231</v>
      </c>
      <c r="M564" s="1">
        <v>44958</v>
      </c>
      <c r="N564" s="1">
        <v>45231</v>
      </c>
      <c r="O564" t="s">
        <v>117</v>
      </c>
      <c r="P564" t="s">
        <v>10257</v>
      </c>
      <c r="Q564" t="s">
        <v>10258</v>
      </c>
      <c r="R564" t="s">
        <v>10259</v>
      </c>
      <c r="T564" t="s">
        <v>684</v>
      </c>
      <c r="U564" t="s">
        <v>232</v>
      </c>
      <c r="V564" s="4" t="str">
        <f>"78701"</f>
        <v>78701</v>
      </c>
      <c r="W564" t="s">
        <v>120</v>
      </c>
      <c r="Y564" s="5">
        <v>15124763700</v>
      </c>
      <c r="AA564">
        <v>72111</v>
      </c>
      <c r="AB564" t="s">
        <v>10260</v>
      </c>
      <c r="AC564" t="s">
        <v>5252</v>
      </c>
      <c r="AE564" t="s">
        <v>903</v>
      </c>
      <c r="AF564" t="s">
        <v>10259</v>
      </c>
      <c r="AH564" t="s">
        <v>684</v>
      </c>
      <c r="AI564" t="s">
        <v>232</v>
      </c>
      <c r="AJ564" s="4" t="str">
        <f>"78701"</f>
        <v>78701</v>
      </c>
      <c r="AK564" t="s">
        <v>120</v>
      </c>
      <c r="AM564" s="5">
        <v>15124763700</v>
      </c>
      <c r="AO564" t="s">
        <v>904</v>
      </c>
      <c r="AP564" t="s">
        <v>256</v>
      </c>
      <c r="AQ564" t="s">
        <v>400</v>
      </c>
      <c r="AR564" t="s">
        <v>401</v>
      </c>
      <c r="AS564" t="s">
        <v>397</v>
      </c>
      <c r="AT564" t="s">
        <v>402</v>
      </c>
      <c r="AU564" t="s">
        <v>152</v>
      </c>
      <c r="AV564" t="s">
        <v>403</v>
      </c>
      <c r="AW564" t="s">
        <v>232</v>
      </c>
      <c r="AX564" s="4" t="str">
        <f>"75033"</f>
        <v>75033</v>
      </c>
      <c r="AY564" t="s">
        <v>120</v>
      </c>
      <c r="BA564" s="5">
        <v>19727789690</v>
      </c>
      <c r="BC564" t="s">
        <v>905</v>
      </c>
      <c r="BD564" t="s">
        <v>405</v>
      </c>
      <c r="BG564" t="s">
        <v>232</v>
      </c>
      <c r="BH564" s="1">
        <v>44867.833333333336</v>
      </c>
      <c r="BI564">
        <v>40</v>
      </c>
      <c r="BJ564">
        <v>8</v>
      </c>
      <c r="BK564">
        <v>8</v>
      </c>
      <c r="BL564">
        <v>0</v>
      </c>
      <c r="BM564">
        <v>0</v>
      </c>
      <c r="BN564">
        <v>8</v>
      </c>
      <c r="BO564">
        <v>8</v>
      </c>
      <c r="BP564">
        <v>8</v>
      </c>
      <c r="BQ564" t="str">
        <f>"8:00 AM"</f>
        <v>8:00 AM</v>
      </c>
      <c r="BR564" t="str">
        <f>"5:00 PM"</f>
        <v>5:00 PM</v>
      </c>
      <c r="BS564" t="s">
        <v>133</v>
      </c>
      <c r="BT564">
        <v>0</v>
      </c>
      <c r="BU564">
        <v>0</v>
      </c>
      <c r="BV564" t="s">
        <v>134</v>
      </c>
      <c r="BX564" s="2" t="s">
        <v>10261</v>
      </c>
      <c r="BY564" t="s">
        <v>10259</v>
      </c>
      <c r="CA564" t="s">
        <v>684</v>
      </c>
      <c r="CB564" t="s">
        <v>232</v>
      </c>
      <c r="CC564" s="4" t="str">
        <f>"78701"</f>
        <v>78701</v>
      </c>
      <c r="CD564" t="s">
        <v>948</v>
      </c>
      <c r="CE564" t="s">
        <v>949</v>
      </c>
      <c r="CF564" s="6">
        <v>18</v>
      </c>
      <c r="CH564" s="6">
        <v>27</v>
      </c>
      <c r="CJ564" t="s">
        <v>137</v>
      </c>
      <c r="CK564" t="s">
        <v>909</v>
      </c>
      <c r="CL564" t="s">
        <v>10262</v>
      </c>
      <c r="CO564" t="s">
        <v>138</v>
      </c>
      <c r="CP564" t="s">
        <v>134</v>
      </c>
      <c r="CQ564" t="s">
        <v>134</v>
      </c>
      <c r="CR564" t="s">
        <v>114</v>
      </c>
      <c r="CS564" t="s">
        <v>114</v>
      </c>
      <c r="CT564" t="s">
        <v>114</v>
      </c>
      <c r="CU564" t="s">
        <v>114</v>
      </c>
      <c r="CV564" s="2" t="s">
        <v>10263</v>
      </c>
      <c r="CW564" s="5" t="str">
        <f>"+15124763700"</f>
        <v>+15124763700</v>
      </c>
      <c r="CX564" t="s">
        <v>138</v>
      </c>
      <c r="CY564" t="s">
        <v>1913</v>
      </c>
      <c r="CZ564" t="s">
        <v>139</v>
      </c>
      <c r="DA564" t="s">
        <v>134</v>
      </c>
      <c r="DB564" t="s">
        <v>114</v>
      </c>
      <c r="DC564" t="s">
        <v>114</v>
      </c>
      <c r="DD564" t="s">
        <v>134</v>
      </c>
    </row>
    <row r="565" spans="1:108" ht="15" customHeight="1" x14ac:dyDescent="0.25">
      <c r="A565" t="s">
        <v>11953</v>
      </c>
      <c r="B565" t="s">
        <v>165</v>
      </c>
      <c r="C565" s="1">
        <v>44868.479311805553</v>
      </c>
      <c r="D565" s="1">
        <v>44896</v>
      </c>
      <c r="E565" t="s">
        <v>134</v>
      </c>
      <c r="F565" t="s">
        <v>334</v>
      </c>
      <c r="G565" t="str">
        <f>"37-3011.00"</f>
        <v>37-3011.00</v>
      </c>
      <c r="H565" t="s">
        <v>335</v>
      </c>
      <c r="I565">
        <v>25</v>
      </c>
      <c r="J565">
        <v>25</v>
      </c>
      <c r="K565" s="1">
        <v>44958</v>
      </c>
      <c r="L565" s="1">
        <v>45260</v>
      </c>
      <c r="M565" s="1">
        <v>44958</v>
      </c>
      <c r="N565" s="1">
        <v>45260</v>
      </c>
      <c r="O565" t="s">
        <v>117</v>
      </c>
      <c r="P565" t="s">
        <v>11954</v>
      </c>
      <c r="R565" t="s">
        <v>11955</v>
      </c>
      <c r="S565" t="s">
        <v>11956</v>
      </c>
      <c r="T565" t="s">
        <v>4105</v>
      </c>
      <c r="U565" t="s">
        <v>232</v>
      </c>
      <c r="V565" s="4" t="str">
        <f>"76053"</f>
        <v>76053</v>
      </c>
      <c r="W565" t="s">
        <v>120</v>
      </c>
      <c r="X565" t="s">
        <v>138</v>
      </c>
      <c r="Y565" s="5">
        <v>18172310290</v>
      </c>
      <c r="AA565">
        <v>561730</v>
      </c>
      <c r="AB565" t="s">
        <v>3310</v>
      </c>
      <c r="AC565" t="s">
        <v>2093</v>
      </c>
      <c r="AD565" t="s">
        <v>138</v>
      </c>
      <c r="AE565" t="s">
        <v>1710</v>
      </c>
      <c r="AF565" t="s">
        <v>11955</v>
      </c>
      <c r="AG565" t="s">
        <v>11956</v>
      </c>
      <c r="AH565" t="s">
        <v>4105</v>
      </c>
      <c r="AI565" t="s">
        <v>232</v>
      </c>
      <c r="AJ565" s="4" t="str">
        <f>"76053"</f>
        <v>76053</v>
      </c>
      <c r="AK565" t="s">
        <v>120</v>
      </c>
      <c r="AM565" s="5">
        <v>18172310290</v>
      </c>
      <c r="AO565" t="s">
        <v>11957</v>
      </c>
      <c r="AP565" t="s">
        <v>256</v>
      </c>
      <c r="AQ565" t="s">
        <v>4312</v>
      </c>
      <c r="AR565" t="s">
        <v>4313</v>
      </c>
      <c r="AS565" t="s">
        <v>4044</v>
      </c>
      <c r="AT565" t="s">
        <v>1284</v>
      </c>
      <c r="AU565" t="s">
        <v>138</v>
      </c>
      <c r="AV565" t="s">
        <v>1285</v>
      </c>
      <c r="AW565" t="s">
        <v>232</v>
      </c>
      <c r="AX565" s="4" t="str">
        <f>"77414"</f>
        <v>77414</v>
      </c>
      <c r="AY565" t="s">
        <v>120</v>
      </c>
      <c r="BA565" s="5">
        <v>19793187277</v>
      </c>
      <c r="BC565" t="s">
        <v>4314</v>
      </c>
      <c r="BD565" t="s">
        <v>1287</v>
      </c>
      <c r="BG565" t="s">
        <v>232</v>
      </c>
      <c r="BH565" s="1">
        <v>44867.833333333336</v>
      </c>
      <c r="BI565">
        <v>40</v>
      </c>
      <c r="BJ565">
        <v>0</v>
      </c>
      <c r="BK565">
        <v>8</v>
      </c>
      <c r="BL565">
        <v>8</v>
      </c>
      <c r="BM565">
        <v>8</v>
      </c>
      <c r="BN565">
        <v>8</v>
      </c>
      <c r="BO565">
        <v>8</v>
      </c>
      <c r="BP565">
        <v>0</v>
      </c>
      <c r="BQ565" t="str">
        <f>"7:00 AM"</f>
        <v>7:00 AM</v>
      </c>
      <c r="BR565" t="str">
        <f>"4:00 PM"</f>
        <v>4:00 PM</v>
      </c>
      <c r="BS565" t="s">
        <v>133</v>
      </c>
      <c r="BT565">
        <v>0</v>
      </c>
      <c r="BU565">
        <v>0</v>
      </c>
      <c r="BV565" t="s">
        <v>134</v>
      </c>
      <c r="BX565" s="2" t="s">
        <v>11958</v>
      </c>
      <c r="BY565" t="s">
        <v>11955</v>
      </c>
      <c r="BZ565" t="s">
        <v>138</v>
      </c>
      <c r="CA565" t="s">
        <v>4105</v>
      </c>
      <c r="CB565" t="s">
        <v>232</v>
      </c>
      <c r="CC565" s="4" t="str">
        <f>"76053"</f>
        <v>76053</v>
      </c>
      <c r="CD565" t="s">
        <v>2054</v>
      </c>
      <c r="CE565" t="s">
        <v>1528</v>
      </c>
      <c r="CF565" s="6">
        <v>16.3</v>
      </c>
      <c r="CG565" s="6">
        <v>17</v>
      </c>
      <c r="CH565" s="6">
        <v>24.45</v>
      </c>
      <c r="CI565" s="6">
        <v>25.5</v>
      </c>
      <c r="CJ565" t="s">
        <v>137</v>
      </c>
      <c r="CK565" t="s">
        <v>2617</v>
      </c>
      <c r="CL565" t="s">
        <v>11959</v>
      </c>
      <c r="CO565" t="s">
        <v>138</v>
      </c>
      <c r="CP565" t="s">
        <v>114</v>
      </c>
      <c r="CQ565" t="s">
        <v>114</v>
      </c>
      <c r="CR565" t="s">
        <v>114</v>
      </c>
      <c r="CS565" t="s">
        <v>114</v>
      </c>
      <c r="CT565" t="s">
        <v>114</v>
      </c>
      <c r="CU565" t="s">
        <v>134</v>
      </c>
      <c r="CV565" t="s">
        <v>2056</v>
      </c>
      <c r="CW565" s="5" t="str">
        <f>"+18172310290"</f>
        <v>+18172310290</v>
      </c>
      <c r="CX565" t="s">
        <v>11957</v>
      </c>
      <c r="CY565" t="s">
        <v>138</v>
      </c>
      <c r="CZ565" t="s">
        <v>139</v>
      </c>
      <c r="DA565" t="s">
        <v>134</v>
      </c>
      <c r="DB565" t="s">
        <v>134</v>
      </c>
      <c r="DC565" t="s">
        <v>114</v>
      </c>
      <c r="DD565" t="s">
        <v>134</v>
      </c>
    </row>
    <row r="566" spans="1:108" ht="15" customHeight="1" x14ac:dyDescent="0.25">
      <c r="A566" t="s">
        <v>13612</v>
      </c>
      <c r="B566" t="s">
        <v>165</v>
      </c>
      <c r="C566" s="1">
        <v>44868.462003472225</v>
      </c>
      <c r="D566" s="1">
        <v>44896</v>
      </c>
      <c r="E566" t="s">
        <v>134</v>
      </c>
      <c r="F566" t="s">
        <v>334</v>
      </c>
      <c r="G566" t="str">
        <f>"37-3011.00"</f>
        <v>37-3011.00</v>
      </c>
      <c r="H566" t="s">
        <v>335</v>
      </c>
      <c r="I566">
        <v>20</v>
      </c>
      <c r="J566">
        <v>20</v>
      </c>
      <c r="K566" s="1">
        <v>44958</v>
      </c>
      <c r="L566" s="1">
        <v>45260</v>
      </c>
      <c r="M566" s="1">
        <v>44958</v>
      </c>
      <c r="N566" s="1">
        <v>45260</v>
      </c>
      <c r="O566" t="s">
        <v>117</v>
      </c>
      <c r="P566" t="s">
        <v>8000</v>
      </c>
      <c r="Q566" t="s">
        <v>8001</v>
      </c>
      <c r="R566" t="s">
        <v>8002</v>
      </c>
      <c r="S566" t="s">
        <v>138</v>
      </c>
      <c r="T566" t="s">
        <v>1713</v>
      </c>
      <c r="U566" t="s">
        <v>631</v>
      </c>
      <c r="V566" s="4" t="str">
        <f>"73049"</f>
        <v>73049</v>
      </c>
      <c r="W566" t="s">
        <v>120</v>
      </c>
      <c r="X566" t="s">
        <v>138</v>
      </c>
      <c r="Y566" s="5">
        <v>14057715300</v>
      </c>
      <c r="AA566">
        <v>561730</v>
      </c>
      <c r="AB566" t="s">
        <v>8003</v>
      </c>
      <c r="AC566" t="s">
        <v>4372</v>
      </c>
      <c r="AD566" t="s">
        <v>1905</v>
      </c>
      <c r="AE566" t="s">
        <v>1272</v>
      </c>
      <c r="AF566" t="s">
        <v>8002</v>
      </c>
      <c r="AG566" t="s">
        <v>138</v>
      </c>
      <c r="AH566" t="s">
        <v>1713</v>
      </c>
      <c r="AI566" t="s">
        <v>631</v>
      </c>
      <c r="AJ566" s="4" t="str">
        <f>"73049"</f>
        <v>73049</v>
      </c>
      <c r="AK566" t="s">
        <v>120</v>
      </c>
      <c r="AM566" s="5">
        <v>14057715300</v>
      </c>
      <c r="AO566" t="s">
        <v>8004</v>
      </c>
      <c r="AP566" t="s">
        <v>256</v>
      </c>
      <c r="AQ566" t="s">
        <v>1352</v>
      </c>
      <c r="AR566" t="s">
        <v>1353</v>
      </c>
      <c r="AS566" t="s">
        <v>138</v>
      </c>
      <c r="AT566" t="s">
        <v>1284</v>
      </c>
      <c r="AU566" t="s">
        <v>138</v>
      </c>
      <c r="AV566" t="s">
        <v>1285</v>
      </c>
      <c r="AW566" t="s">
        <v>232</v>
      </c>
      <c r="AX566" s="4" t="str">
        <f>"77414"</f>
        <v>77414</v>
      </c>
      <c r="AY566" t="s">
        <v>120</v>
      </c>
      <c r="BA566" s="5">
        <v>19793187285</v>
      </c>
      <c r="BC566" t="s">
        <v>1354</v>
      </c>
      <c r="BD566" t="s">
        <v>1287</v>
      </c>
      <c r="BG566" t="s">
        <v>631</v>
      </c>
      <c r="BH566" s="1">
        <v>44867.833333333336</v>
      </c>
      <c r="BI566">
        <v>40</v>
      </c>
      <c r="BJ566">
        <v>0</v>
      </c>
      <c r="BK566">
        <v>8</v>
      </c>
      <c r="BL566">
        <v>8</v>
      </c>
      <c r="BM566">
        <v>8</v>
      </c>
      <c r="BN566">
        <v>8</v>
      </c>
      <c r="BO566">
        <v>8</v>
      </c>
      <c r="BP566">
        <v>0</v>
      </c>
      <c r="BQ566" t="str">
        <f>"8:00 AM"</f>
        <v>8:00 AM</v>
      </c>
      <c r="BR566" t="str">
        <f>"5:00 PM"</f>
        <v>5:00 PM</v>
      </c>
      <c r="BS566" t="s">
        <v>133</v>
      </c>
      <c r="BT566">
        <v>0</v>
      </c>
      <c r="BU566">
        <v>0</v>
      </c>
      <c r="BV566" t="s">
        <v>134</v>
      </c>
      <c r="BX566" s="2" t="s">
        <v>13613</v>
      </c>
      <c r="BY566" t="s">
        <v>8002</v>
      </c>
      <c r="BZ566" t="s">
        <v>138</v>
      </c>
      <c r="CA566" t="s">
        <v>1713</v>
      </c>
      <c r="CB566" t="s">
        <v>631</v>
      </c>
      <c r="CC566" s="4" t="str">
        <f>"73049"</f>
        <v>73049</v>
      </c>
      <c r="CD566" t="s">
        <v>2925</v>
      </c>
      <c r="CE566" t="s">
        <v>2926</v>
      </c>
      <c r="CF566" s="6">
        <v>15.35</v>
      </c>
      <c r="CH566" s="6">
        <v>23.03</v>
      </c>
      <c r="CJ566" t="s">
        <v>137</v>
      </c>
      <c r="CK566" t="s">
        <v>8005</v>
      </c>
      <c r="CL566" t="s">
        <v>8006</v>
      </c>
      <c r="CO566" t="s">
        <v>138</v>
      </c>
      <c r="CP566" t="s">
        <v>114</v>
      </c>
      <c r="CQ566" t="s">
        <v>114</v>
      </c>
      <c r="CR566" t="s">
        <v>114</v>
      </c>
      <c r="CS566" t="s">
        <v>114</v>
      </c>
      <c r="CT566" t="s">
        <v>114</v>
      </c>
      <c r="CU566" t="s">
        <v>134</v>
      </c>
      <c r="CV566" t="s">
        <v>1356</v>
      </c>
      <c r="CW566" s="5" t="str">
        <f>"+14057715300"</f>
        <v>+14057715300</v>
      </c>
      <c r="CX566" t="s">
        <v>8004</v>
      </c>
      <c r="CY566" t="s">
        <v>138</v>
      </c>
      <c r="CZ566" t="s">
        <v>139</v>
      </c>
      <c r="DA566" t="s">
        <v>134</v>
      </c>
      <c r="DB566" t="s">
        <v>134</v>
      </c>
      <c r="DC566" t="s">
        <v>114</v>
      </c>
      <c r="DD566" t="s">
        <v>134</v>
      </c>
    </row>
    <row r="567" spans="1:108" ht="15" customHeight="1" x14ac:dyDescent="0.25">
      <c r="A567" t="s">
        <v>15044</v>
      </c>
      <c r="B567" t="s">
        <v>165</v>
      </c>
      <c r="C567" s="1">
        <v>44868.439206828705</v>
      </c>
      <c r="D567" s="1">
        <v>44896</v>
      </c>
      <c r="E567" t="s">
        <v>134</v>
      </c>
      <c r="F567" t="s">
        <v>334</v>
      </c>
      <c r="G567" t="str">
        <f>"37-3011.00"</f>
        <v>37-3011.00</v>
      </c>
      <c r="H567" t="s">
        <v>335</v>
      </c>
      <c r="I567">
        <v>7</v>
      </c>
      <c r="J567">
        <v>7</v>
      </c>
      <c r="K567" s="1">
        <v>44958</v>
      </c>
      <c r="L567" s="1">
        <v>45199</v>
      </c>
      <c r="M567" s="1">
        <v>44958</v>
      </c>
      <c r="N567" s="1">
        <v>45199</v>
      </c>
      <c r="O567" t="s">
        <v>117</v>
      </c>
      <c r="P567" t="s">
        <v>15045</v>
      </c>
      <c r="Q567" t="s">
        <v>15046</v>
      </c>
      <c r="R567" t="s">
        <v>15047</v>
      </c>
      <c r="T567" t="s">
        <v>1856</v>
      </c>
      <c r="U567" t="s">
        <v>2164</v>
      </c>
      <c r="V567" s="4" t="str">
        <f>"83001"</f>
        <v>83001</v>
      </c>
      <c r="W567" t="s">
        <v>120</v>
      </c>
      <c r="Y567" s="5">
        <v>13076908718</v>
      </c>
      <c r="AA567">
        <v>56173</v>
      </c>
      <c r="AB567" t="s">
        <v>15048</v>
      </c>
      <c r="AC567" t="s">
        <v>1966</v>
      </c>
      <c r="AE567" t="s">
        <v>342</v>
      </c>
      <c r="AF567" t="s">
        <v>15047</v>
      </c>
      <c r="AH567" t="s">
        <v>1856</v>
      </c>
      <c r="AI567" t="s">
        <v>2164</v>
      </c>
      <c r="AJ567" s="4" t="str">
        <f>"83001"</f>
        <v>83001</v>
      </c>
      <c r="AK567" t="s">
        <v>120</v>
      </c>
      <c r="AM567" s="5">
        <v>13076908718</v>
      </c>
      <c r="AO567" t="s">
        <v>15049</v>
      </c>
      <c r="AP567" t="s">
        <v>256</v>
      </c>
      <c r="AQ567" t="s">
        <v>885</v>
      </c>
      <c r="AR567" t="s">
        <v>886</v>
      </c>
      <c r="AT567" t="s">
        <v>887</v>
      </c>
      <c r="AV567" t="s">
        <v>888</v>
      </c>
      <c r="AW567" t="s">
        <v>232</v>
      </c>
      <c r="AX567" s="4" t="str">
        <f>"75098"</f>
        <v>75098</v>
      </c>
      <c r="AY567" t="s">
        <v>120</v>
      </c>
      <c r="BA567" s="5">
        <v>19724424244</v>
      </c>
      <c r="BC567" t="s">
        <v>889</v>
      </c>
      <c r="BD567" t="s">
        <v>9968</v>
      </c>
      <c r="BG567" t="s">
        <v>2164</v>
      </c>
      <c r="BH567" s="1">
        <v>44867.833333333336</v>
      </c>
      <c r="BI567">
        <v>40</v>
      </c>
      <c r="BJ567">
        <v>0</v>
      </c>
      <c r="BK567">
        <v>8</v>
      </c>
      <c r="BL567">
        <v>8</v>
      </c>
      <c r="BM567">
        <v>8</v>
      </c>
      <c r="BN567">
        <v>8</v>
      </c>
      <c r="BO567">
        <v>8</v>
      </c>
      <c r="BP567">
        <v>0</v>
      </c>
      <c r="BQ567" t="str">
        <f>"5:00 AM"</f>
        <v>5:00 AM</v>
      </c>
      <c r="BR567" t="str">
        <f>"5:00 PM"</f>
        <v>5:00 PM</v>
      </c>
      <c r="BS567" t="s">
        <v>133</v>
      </c>
      <c r="BT567">
        <v>0</v>
      </c>
      <c r="BU567">
        <v>0</v>
      </c>
      <c r="BV567" t="s">
        <v>134</v>
      </c>
      <c r="BX567" t="s">
        <v>219</v>
      </c>
      <c r="BY567" t="s">
        <v>15050</v>
      </c>
      <c r="CA567" t="s">
        <v>1856</v>
      </c>
      <c r="CB567" t="s">
        <v>2164</v>
      </c>
      <c r="CC567" s="4" t="str">
        <f>"83001"</f>
        <v>83001</v>
      </c>
      <c r="CD567" t="s">
        <v>1428</v>
      </c>
      <c r="CE567" t="s">
        <v>4445</v>
      </c>
      <c r="CF567" s="6">
        <v>17.850000000000001</v>
      </c>
      <c r="CG567" s="6">
        <v>24</v>
      </c>
      <c r="CH567" s="6">
        <v>26.78</v>
      </c>
      <c r="CI567" s="6">
        <v>36</v>
      </c>
      <c r="CJ567" t="s">
        <v>137</v>
      </c>
      <c r="CL567" t="s">
        <v>15051</v>
      </c>
      <c r="CO567" t="s">
        <v>138</v>
      </c>
      <c r="CP567" t="s">
        <v>114</v>
      </c>
      <c r="CQ567" t="s">
        <v>114</v>
      </c>
      <c r="CR567" t="s">
        <v>114</v>
      </c>
      <c r="CS567" t="s">
        <v>114</v>
      </c>
      <c r="CT567" t="s">
        <v>114</v>
      </c>
      <c r="CU567" t="s">
        <v>114</v>
      </c>
      <c r="CV567" t="s">
        <v>15052</v>
      </c>
      <c r="CW567" s="5" t="str">
        <f>"+13076908718"</f>
        <v>+13076908718</v>
      </c>
      <c r="CX567" t="s">
        <v>138</v>
      </c>
      <c r="CY567" t="s">
        <v>15053</v>
      </c>
      <c r="CZ567" t="s">
        <v>139</v>
      </c>
      <c r="DA567" t="s">
        <v>134</v>
      </c>
      <c r="DB567" t="s">
        <v>134</v>
      </c>
      <c r="DC567" t="s">
        <v>114</v>
      </c>
      <c r="DD567" t="s">
        <v>134</v>
      </c>
    </row>
    <row r="568" spans="1:108" ht="15" customHeight="1" x14ac:dyDescent="0.25">
      <c r="A568" t="s">
        <v>11179</v>
      </c>
      <c r="B568" t="s">
        <v>165</v>
      </c>
      <c r="C568" s="1">
        <v>44868.428514583335</v>
      </c>
      <c r="D568" s="1">
        <v>44896</v>
      </c>
      <c r="E568" t="s">
        <v>134</v>
      </c>
      <c r="F568" t="s">
        <v>1909</v>
      </c>
      <c r="G568" t="str">
        <f>"35-9021.00"</f>
        <v>35-9021.00</v>
      </c>
      <c r="H568" t="s">
        <v>1910</v>
      </c>
      <c r="I568">
        <v>25</v>
      </c>
      <c r="J568">
        <v>25</v>
      </c>
      <c r="K568" s="1">
        <v>44958</v>
      </c>
      <c r="L568" s="1">
        <v>45260</v>
      </c>
      <c r="M568" s="1">
        <v>44958</v>
      </c>
      <c r="N568" s="1">
        <v>45260</v>
      </c>
      <c r="O568" t="s">
        <v>117</v>
      </c>
      <c r="P568" t="s">
        <v>6281</v>
      </c>
      <c r="Q568" t="s">
        <v>6282</v>
      </c>
      <c r="R568" t="s">
        <v>6283</v>
      </c>
      <c r="T568" t="s">
        <v>6284</v>
      </c>
      <c r="U568" t="s">
        <v>154</v>
      </c>
      <c r="V568" s="4" t="str">
        <f t="shared" ref="V568:V573" si="36">"32034"</f>
        <v>32034</v>
      </c>
      <c r="W568" t="s">
        <v>120</v>
      </c>
      <c r="Y568" s="5">
        <v>19042616161</v>
      </c>
      <c r="AA568">
        <v>72111</v>
      </c>
      <c r="AB568" t="s">
        <v>6285</v>
      </c>
      <c r="AC568" t="s">
        <v>6286</v>
      </c>
      <c r="AE568" t="s">
        <v>6287</v>
      </c>
      <c r="AF568" t="s">
        <v>6283</v>
      </c>
      <c r="AH568" t="s">
        <v>6284</v>
      </c>
      <c r="AI568" t="s">
        <v>154</v>
      </c>
      <c r="AJ568" s="4" t="str">
        <f t="shared" ref="AJ568:AJ573" si="37">"32034"</f>
        <v>32034</v>
      </c>
      <c r="AK568" t="s">
        <v>120</v>
      </c>
      <c r="AM568" s="5">
        <v>19042616161</v>
      </c>
      <c r="AO568" t="s">
        <v>904</v>
      </c>
      <c r="AP568" t="s">
        <v>256</v>
      </c>
      <c r="AQ568" t="s">
        <v>400</v>
      </c>
      <c r="AR568" t="s">
        <v>401</v>
      </c>
      <c r="AS568" t="s">
        <v>397</v>
      </c>
      <c r="AT568" t="s">
        <v>402</v>
      </c>
      <c r="AU568" t="s">
        <v>152</v>
      </c>
      <c r="AV568" t="s">
        <v>403</v>
      </c>
      <c r="AW568" t="s">
        <v>232</v>
      </c>
      <c r="AX568" s="4" t="str">
        <f t="shared" ref="AX568:AX573" si="38">"75033"</f>
        <v>75033</v>
      </c>
      <c r="AY568" t="s">
        <v>120</v>
      </c>
      <c r="BA568" s="5">
        <v>19727789690</v>
      </c>
      <c r="BC568" t="s">
        <v>905</v>
      </c>
      <c r="BD568" t="s">
        <v>405</v>
      </c>
      <c r="BG568" t="s">
        <v>154</v>
      </c>
      <c r="BH568" s="1">
        <v>44867.833333333336</v>
      </c>
      <c r="BI568">
        <v>40</v>
      </c>
      <c r="BJ568">
        <v>8</v>
      </c>
      <c r="BK568">
        <v>8</v>
      </c>
      <c r="BL568">
        <v>0</v>
      </c>
      <c r="BM568">
        <v>0</v>
      </c>
      <c r="BN568">
        <v>8</v>
      </c>
      <c r="BO568">
        <v>8</v>
      </c>
      <c r="BP568">
        <v>8</v>
      </c>
      <c r="BQ568" t="str">
        <f>"5:00 AM"</f>
        <v>5:00 AM</v>
      </c>
      <c r="BR568" t="str">
        <f>"1:30 PM"</f>
        <v>1:30 PM</v>
      </c>
      <c r="BS568" t="s">
        <v>133</v>
      </c>
      <c r="BT568">
        <v>0</v>
      </c>
      <c r="BU568">
        <v>0</v>
      </c>
      <c r="BV568" t="s">
        <v>134</v>
      </c>
      <c r="BX568" s="2" t="s">
        <v>11180</v>
      </c>
      <c r="BY568" t="s">
        <v>6283</v>
      </c>
      <c r="CA568" t="s">
        <v>6284</v>
      </c>
      <c r="CB568" t="s">
        <v>154</v>
      </c>
      <c r="CC568" s="4" t="str">
        <f t="shared" ref="CC568:CC573" si="39">"32034"</f>
        <v>32034</v>
      </c>
      <c r="CD568" t="s">
        <v>2194</v>
      </c>
      <c r="CE568" t="s">
        <v>2683</v>
      </c>
      <c r="CF568" s="6">
        <v>15</v>
      </c>
      <c r="CH568" s="6">
        <v>22.5</v>
      </c>
      <c r="CJ568" t="s">
        <v>137</v>
      </c>
      <c r="CK568" t="s">
        <v>909</v>
      </c>
      <c r="CL568" t="s">
        <v>11181</v>
      </c>
      <c r="CO568" t="s">
        <v>138</v>
      </c>
      <c r="CP568" t="s">
        <v>134</v>
      </c>
      <c r="CQ568" t="s">
        <v>114</v>
      </c>
      <c r="CR568" t="s">
        <v>114</v>
      </c>
      <c r="CS568" t="s">
        <v>114</v>
      </c>
      <c r="CT568" t="s">
        <v>114</v>
      </c>
      <c r="CU568" t="s">
        <v>114</v>
      </c>
      <c r="CV568" s="2" t="s">
        <v>11182</v>
      </c>
      <c r="CW568" s="5" t="str">
        <f t="shared" ref="CW568:CW573" si="40">"+19042616161"</f>
        <v>+19042616161</v>
      </c>
      <c r="CX568" t="s">
        <v>138</v>
      </c>
      <c r="CY568" t="s">
        <v>1913</v>
      </c>
      <c r="CZ568" t="s">
        <v>139</v>
      </c>
      <c r="DA568" t="s">
        <v>134</v>
      </c>
      <c r="DB568" t="s">
        <v>114</v>
      </c>
      <c r="DC568" t="s">
        <v>114</v>
      </c>
      <c r="DD568" t="s">
        <v>134</v>
      </c>
    </row>
    <row r="569" spans="1:108" ht="15" customHeight="1" x14ac:dyDescent="0.25">
      <c r="A569" t="s">
        <v>16829</v>
      </c>
      <c r="B569" t="s">
        <v>165</v>
      </c>
      <c r="C569" s="1">
        <v>44868.425991898148</v>
      </c>
      <c r="D569" s="1">
        <v>44896</v>
      </c>
      <c r="E569" t="s">
        <v>134</v>
      </c>
      <c r="F569" t="s">
        <v>2387</v>
      </c>
      <c r="G569" t="str">
        <f>"35-3031.00"</f>
        <v>35-3031.00</v>
      </c>
      <c r="H569" t="s">
        <v>389</v>
      </c>
      <c r="I569">
        <v>47</v>
      </c>
      <c r="J569">
        <v>47</v>
      </c>
      <c r="K569" s="1">
        <v>44958</v>
      </c>
      <c r="L569" s="1">
        <v>45260</v>
      </c>
      <c r="M569" s="1">
        <v>44958</v>
      </c>
      <c r="N569" s="1">
        <v>45260</v>
      </c>
      <c r="O569" t="s">
        <v>117</v>
      </c>
      <c r="P569" t="s">
        <v>6281</v>
      </c>
      <c r="Q569" t="s">
        <v>6282</v>
      </c>
      <c r="R569" t="s">
        <v>6283</v>
      </c>
      <c r="T569" t="s">
        <v>6284</v>
      </c>
      <c r="U569" t="s">
        <v>154</v>
      </c>
      <c r="V569" s="4" t="str">
        <f t="shared" si="36"/>
        <v>32034</v>
      </c>
      <c r="W569" t="s">
        <v>120</v>
      </c>
      <c r="Y569" s="5">
        <v>19042616161</v>
      </c>
      <c r="AA569">
        <v>72111</v>
      </c>
      <c r="AB569" t="s">
        <v>6285</v>
      </c>
      <c r="AC569" t="s">
        <v>6286</v>
      </c>
      <c r="AE569" t="s">
        <v>6287</v>
      </c>
      <c r="AF569" t="s">
        <v>6283</v>
      </c>
      <c r="AH569" t="s">
        <v>6284</v>
      </c>
      <c r="AI569" t="s">
        <v>154</v>
      </c>
      <c r="AJ569" s="4" t="str">
        <f t="shared" si="37"/>
        <v>32034</v>
      </c>
      <c r="AK569" t="s">
        <v>120</v>
      </c>
      <c r="AM569" s="5">
        <v>19042616161</v>
      </c>
      <c r="AO569" t="s">
        <v>904</v>
      </c>
      <c r="AP569" t="s">
        <v>256</v>
      </c>
      <c r="AQ569" t="s">
        <v>400</v>
      </c>
      <c r="AR569" t="s">
        <v>401</v>
      </c>
      <c r="AS569" t="s">
        <v>397</v>
      </c>
      <c r="AT569" t="s">
        <v>402</v>
      </c>
      <c r="AU569" t="s">
        <v>152</v>
      </c>
      <c r="AV569" t="s">
        <v>403</v>
      </c>
      <c r="AW569" t="s">
        <v>232</v>
      </c>
      <c r="AX569" s="4" t="str">
        <f t="shared" si="38"/>
        <v>75033</v>
      </c>
      <c r="AY569" t="s">
        <v>120</v>
      </c>
      <c r="BA569" s="5">
        <v>19727789690</v>
      </c>
      <c r="BC569" t="s">
        <v>905</v>
      </c>
      <c r="BD569" t="s">
        <v>405</v>
      </c>
      <c r="BG569" t="s">
        <v>154</v>
      </c>
      <c r="BH569" s="1">
        <v>44867.833333333336</v>
      </c>
      <c r="BI569">
        <v>40</v>
      </c>
      <c r="BJ569">
        <v>8</v>
      </c>
      <c r="BK569">
        <v>8</v>
      </c>
      <c r="BL569">
        <v>0</v>
      </c>
      <c r="BM569">
        <v>0</v>
      </c>
      <c r="BN569">
        <v>8</v>
      </c>
      <c r="BO569">
        <v>8</v>
      </c>
      <c r="BP569">
        <v>8</v>
      </c>
      <c r="BQ569" t="str">
        <f>"6:00 AM"</f>
        <v>6:00 AM</v>
      </c>
      <c r="BR569" t="str">
        <f>"2:30 PM"</f>
        <v>2:30 PM</v>
      </c>
      <c r="BS569" t="s">
        <v>133</v>
      </c>
      <c r="BT569">
        <v>0</v>
      </c>
      <c r="BU569">
        <v>0</v>
      </c>
      <c r="BV569" t="s">
        <v>134</v>
      </c>
      <c r="BX569" s="2" t="s">
        <v>16830</v>
      </c>
      <c r="BY569" t="s">
        <v>6283</v>
      </c>
      <c r="CA569" t="s">
        <v>6284</v>
      </c>
      <c r="CB569" t="s">
        <v>154</v>
      </c>
      <c r="CC569" s="4" t="str">
        <f t="shared" si="39"/>
        <v>32034</v>
      </c>
      <c r="CD569" t="s">
        <v>2194</v>
      </c>
      <c r="CE569" t="s">
        <v>2683</v>
      </c>
      <c r="CF569" s="6">
        <v>13.81</v>
      </c>
      <c r="CH569" s="6">
        <v>20.72</v>
      </c>
      <c r="CJ569" t="s">
        <v>137</v>
      </c>
      <c r="CK569" t="s">
        <v>16831</v>
      </c>
      <c r="CL569" t="s">
        <v>16832</v>
      </c>
      <c r="CO569" t="s">
        <v>138</v>
      </c>
      <c r="CP569" t="s">
        <v>134</v>
      </c>
      <c r="CQ569" t="s">
        <v>114</v>
      </c>
      <c r="CR569" t="s">
        <v>114</v>
      </c>
      <c r="CS569" t="s">
        <v>114</v>
      </c>
      <c r="CT569" t="s">
        <v>114</v>
      </c>
      <c r="CU569" t="s">
        <v>114</v>
      </c>
      <c r="CV569" s="2" t="s">
        <v>16833</v>
      </c>
      <c r="CW569" s="5" t="str">
        <f t="shared" si="40"/>
        <v>+19042616161</v>
      </c>
      <c r="CX569" t="s">
        <v>138</v>
      </c>
      <c r="CY569" t="s">
        <v>1913</v>
      </c>
      <c r="CZ569" t="s">
        <v>139</v>
      </c>
      <c r="DA569" t="s">
        <v>134</v>
      </c>
      <c r="DB569" t="s">
        <v>114</v>
      </c>
      <c r="DC569" t="s">
        <v>114</v>
      </c>
      <c r="DD569" t="s">
        <v>134</v>
      </c>
    </row>
    <row r="570" spans="1:108" ht="15" customHeight="1" x14ac:dyDescent="0.25">
      <c r="A570" t="s">
        <v>6280</v>
      </c>
      <c r="B570" t="s">
        <v>165</v>
      </c>
      <c r="C570" s="1">
        <v>44868.42330289352</v>
      </c>
      <c r="D570" s="1">
        <v>44896</v>
      </c>
      <c r="E570" t="s">
        <v>134</v>
      </c>
      <c r="F570" t="s">
        <v>2470</v>
      </c>
      <c r="G570" t="str">
        <f>"37-2012.00"</f>
        <v>37-2012.00</v>
      </c>
      <c r="H570" t="s">
        <v>116</v>
      </c>
      <c r="I570">
        <v>48</v>
      </c>
      <c r="J570">
        <v>48</v>
      </c>
      <c r="K570" s="1">
        <v>44958</v>
      </c>
      <c r="L570" s="1">
        <v>45260</v>
      </c>
      <c r="M570" s="1">
        <v>44958</v>
      </c>
      <c r="N570" s="1">
        <v>45260</v>
      </c>
      <c r="O570" t="s">
        <v>117</v>
      </c>
      <c r="P570" t="s">
        <v>6281</v>
      </c>
      <c r="Q570" t="s">
        <v>6282</v>
      </c>
      <c r="R570" t="s">
        <v>6283</v>
      </c>
      <c r="T570" t="s">
        <v>6284</v>
      </c>
      <c r="U570" t="s">
        <v>154</v>
      </c>
      <c r="V570" s="4" t="str">
        <f t="shared" si="36"/>
        <v>32034</v>
      </c>
      <c r="W570" t="s">
        <v>120</v>
      </c>
      <c r="Y570" s="5">
        <v>19042616161</v>
      </c>
      <c r="AA570">
        <v>72111</v>
      </c>
      <c r="AB570" t="s">
        <v>6285</v>
      </c>
      <c r="AC570" t="s">
        <v>6286</v>
      </c>
      <c r="AE570" t="s">
        <v>6287</v>
      </c>
      <c r="AF570" t="s">
        <v>6283</v>
      </c>
      <c r="AH570" t="s">
        <v>6284</v>
      </c>
      <c r="AI570" t="s">
        <v>154</v>
      </c>
      <c r="AJ570" s="4" t="str">
        <f t="shared" si="37"/>
        <v>32034</v>
      </c>
      <c r="AK570" t="s">
        <v>120</v>
      </c>
      <c r="AM570" s="5">
        <v>19042616161</v>
      </c>
      <c r="AO570" t="s">
        <v>904</v>
      </c>
      <c r="AP570" t="s">
        <v>256</v>
      </c>
      <c r="AQ570" t="s">
        <v>400</v>
      </c>
      <c r="AR570" t="s">
        <v>401</v>
      </c>
      <c r="AS570" t="s">
        <v>397</v>
      </c>
      <c r="AT570" t="s">
        <v>402</v>
      </c>
      <c r="AU570" t="s">
        <v>152</v>
      </c>
      <c r="AV570" t="s">
        <v>403</v>
      </c>
      <c r="AW570" t="s">
        <v>232</v>
      </c>
      <c r="AX570" s="4" t="str">
        <f t="shared" si="38"/>
        <v>75033</v>
      </c>
      <c r="AY570" t="s">
        <v>120</v>
      </c>
      <c r="BA570" s="5">
        <v>19727789690</v>
      </c>
      <c r="BC570" t="s">
        <v>905</v>
      </c>
      <c r="BD570" t="s">
        <v>405</v>
      </c>
      <c r="BG570" t="s">
        <v>154</v>
      </c>
      <c r="BH570" s="1">
        <v>44867.833333333336</v>
      </c>
      <c r="BI570">
        <v>40</v>
      </c>
      <c r="BJ570">
        <v>8</v>
      </c>
      <c r="BK570">
        <v>8</v>
      </c>
      <c r="BL570">
        <v>0</v>
      </c>
      <c r="BM570">
        <v>0</v>
      </c>
      <c r="BN570">
        <v>8</v>
      </c>
      <c r="BO570">
        <v>8</v>
      </c>
      <c r="BP570">
        <v>8</v>
      </c>
      <c r="BQ570" t="str">
        <f>"8:30 AM"</f>
        <v>8:30 AM</v>
      </c>
      <c r="BR570" t="str">
        <f>"5:00 PM"</f>
        <v>5:00 PM</v>
      </c>
      <c r="BS570" t="s">
        <v>133</v>
      </c>
      <c r="BT570">
        <v>0</v>
      </c>
      <c r="BU570">
        <v>0</v>
      </c>
      <c r="BV570" t="s">
        <v>134</v>
      </c>
      <c r="BX570" s="2" t="s">
        <v>6288</v>
      </c>
      <c r="BY570" t="s">
        <v>6283</v>
      </c>
      <c r="CA570" t="s">
        <v>6284</v>
      </c>
      <c r="CB570" t="s">
        <v>154</v>
      </c>
      <c r="CC570" s="4" t="str">
        <f t="shared" si="39"/>
        <v>32034</v>
      </c>
      <c r="CD570" t="s">
        <v>2194</v>
      </c>
      <c r="CE570" t="s">
        <v>2683</v>
      </c>
      <c r="CF570" s="6">
        <v>16</v>
      </c>
      <c r="CH570" s="6">
        <v>24</v>
      </c>
      <c r="CJ570" t="s">
        <v>137</v>
      </c>
      <c r="CK570" t="s">
        <v>909</v>
      </c>
      <c r="CL570" t="s">
        <v>6289</v>
      </c>
      <c r="CO570" t="s">
        <v>138</v>
      </c>
      <c r="CP570" t="s">
        <v>134</v>
      </c>
      <c r="CQ570" t="s">
        <v>114</v>
      </c>
      <c r="CR570" t="s">
        <v>114</v>
      </c>
      <c r="CS570" t="s">
        <v>114</v>
      </c>
      <c r="CT570" t="s">
        <v>114</v>
      </c>
      <c r="CU570" t="s">
        <v>114</v>
      </c>
      <c r="CV570" s="2" t="s">
        <v>6290</v>
      </c>
      <c r="CW570" s="5" t="str">
        <f t="shared" si="40"/>
        <v>+19042616161</v>
      </c>
      <c r="CX570" t="s">
        <v>138</v>
      </c>
      <c r="CY570" t="s">
        <v>1913</v>
      </c>
      <c r="CZ570" t="s">
        <v>139</v>
      </c>
      <c r="DA570" t="s">
        <v>134</v>
      </c>
      <c r="DB570" t="s">
        <v>114</v>
      </c>
      <c r="DC570" t="s">
        <v>114</v>
      </c>
      <c r="DD570" t="s">
        <v>134</v>
      </c>
    </row>
    <row r="571" spans="1:108" ht="15" customHeight="1" x14ac:dyDescent="0.25">
      <c r="A571" t="s">
        <v>8384</v>
      </c>
      <c r="B571" t="s">
        <v>165</v>
      </c>
      <c r="C571" s="1">
        <v>44868.420263888889</v>
      </c>
      <c r="D571" s="1">
        <v>44896</v>
      </c>
      <c r="E571" t="s">
        <v>134</v>
      </c>
      <c r="F571" t="s">
        <v>8385</v>
      </c>
      <c r="G571" t="str">
        <f>"49-9071.00"</f>
        <v>49-9071.00</v>
      </c>
      <c r="H571" t="s">
        <v>2375</v>
      </c>
      <c r="I571">
        <v>4</v>
      </c>
      <c r="J571">
        <v>4</v>
      </c>
      <c r="K571" s="1">
        <v>44958</v>
      </c>
      <c r="L571" s="1">
        <v>45260</v>
      </c>
      <c r="M571" s="1">
        <v>44958</v>
      </c>
      <c r="N571" s="1">
        <v>45260</v>
      </c>
      <c r="O571" t="s">
        <v>117</v>
      </c>
      <c r="P571" t="s">
        <v>6281</v>
      </c>
      <c r="Q571" t="s">
        <v>6282</v>
      </c>
      <c r="R571" t="s">
        <v>6283</v>
      </c>
      <c r="T571" t="s">
        <v>6284</v>
      </c>
      <c r="U571" t="s">
        <v>154</v>
      </c>
      <c r="V571" s="4" t="str">
        <f t="shared" si="36"/>
        <v>32034</v>
      </c>
      <c r="W571" t="s">
        <v>120</v>
      </c>
      <c r="Y571" s="5">
        <v>19042616161</v>
      </c>
      <c r="AA571">
        <v>72111</v>
      </c>
      <c r="AB571" t="s">
        <v>6285</v>
      </c>
      <c r="AC571" t="s">
        <v>6286</v>
      </c>
      <c r="AE571" t="s">
        <v>6287</v>
      </c>
      <c r="AF571" t="s">
        <v>6283</v>
      </c>
      <c r="AH571" t="s">
        <v>6284</v>
      </c>
      <c r="AI571" t="s">
        <v>154</v>
      </c>
      <c r="AJ571" s="4" t="str">
        <f t="shared" si="37"/>
        <v>32034</v>
      </c>
      <c r="AK571" t="s">
        <v>120</v>
      </c>
      <c r="AM571" s="5">
        <v>19042616161</v>
      </c>
      <c r="AO571" t="s">
        <v>904</v>
      </c>
      <c r="AP571" t="s">
        <v>256</v>
      </c>
      <c r="AQ571" t="s">
        <v>400</v>
      </c>
      <c r="AR571" t="s">
        <v>401</v>
      </c>
      <c r="AS571" t="s">
        <v>397</v>
      </c>
      <c r="AT571" t="s">
        <v>402</v>
      </c>
      <c r="AU571" t="s">
        <v>152</v>
      </c>
      <c r="AV571" t="s">
        <v>403</v>
      </c>
      <c r="AW571" t="s">
        <v>232</v>
      </c>
      <c r="AX571" s="4" t="str">
        <f t="shared" si="38"/>
        <v>75033</v>
      </c>
      <c r="AY571" t="s">
        <v>120</v>
      </c>
      <c r="BA571" s="5">
        <v>19727789690</v>
      </c>
      <c r="BC571" t="s">
        <v>905</v>
      </c>
      <c r="BD571" t="s">
        <v>405</v>
      </c>
      <c r="BG571" t="s">
        <v>154</v>
      </c>
      <c r="BH571" s="1">
        <v>44867.833333333336</v>
      </c>
      <c r="BI571">
        <v>40</v>
      </c>
      <c r="BJ571">
        <v>8</v>
      </c>
      <c r="BK571">
        <v>8</v>
      </c>
      <c r="BL571">
        <v>0</v>
      </c>
      <c r="BM571">
        <v>0</v>
      </c>
      <c r="BN571">
        <v>8</v>
      </c>
      <c r="BO571">
        <v>8</v>
      </c>
      <c r="BP571">
        <v>8</v>
      </c>
      <c r="BQ571" t="str">
        <f>"7:00 AM"</f>
        <v>7:00 AM</v>
      </c>
      <c r="BR571" t="str">
        <f>"3:30 PM"</f>
        <v>3:30 PM</v>
      </c>
      <c r="BS571" t="s">
        <v>133</v>
      </c>
      <c r="BT571">
        <v>0</v>
      </c>
      <c r="BU571">
        <v>0</v>
      </c>
      <c r="BV571" t="s">
        <v>134</v>
      </c>
      <c r="BX571" s="2" t="s">
        <v>8386</v>
      </c>
      <c r="BY571" t="s">
        <v>6283</v>
      </c>
      <c r="CA571" t="s">
        <v>6284</v>
      </c>
      <c r="CB571" t="s">
        <v>154</v>
      </c>
      <c r="CC571" s="4" t="str">
        <f t="shared" si="39"/>
        <v>32034</v>
      </c>
      <c r="CD571" t="s">
        <v>2194</v>
      </c>
      <c r="CE571" t="s">
        <v>2683</v>
      </c>
      <c r="CF571" s="6">
        <v>19.68</v>
      </c>
      <c r="CH571" s="6">
        <v>29.52</v>
      </c>
      <c r="CJ571" t="s">
        <v>137</v>
      </c>
      <c r="CK571" t="s">
        <v>6223</v>
      </c>
      <c r="CL571" t="s">
        <v>8387</v>
      </c>
      <c r="CO571" t="s">
        <v>138</v>
      </c>
      <c r="CP571" t="s">
        <v>134</v>
      </c>
      <c r="CQ571" t="s">
        <v>114</v>
      </c>
      <c r="CR571" t="s">
        <v>114</v>
      </c>
      <c r="CS571" t="s">
        <v>114</v>
      </c>
      <c r="CT571" t="s">
        <v>114</v>
      </c>
      <c r="CU571" t="s">
        <v>114</v>
      </c>
      <c r="CV571" s="2" t="s">
        <v>8388</v>
      </c>
      <c r="CW571" s="5" t="str">
        <f t="shared" si="40"/>
        <v>+19042616161</v>
      </c>
      <c r="CX571" t="s">
        <v>138</v>
      </c>
      <c r="CY571" t="s">
        <v>1913</v>
      </c>
      <c r="CZ571" t="s">
        <v>139</v>
      </c>
      <c r="DA571" t="s">
        <v>134</v>
      </c>
      <c r="DB571" t="s">
        <v>114</v>
      </c>
      <c r="DC571" t="s">
        <v>114</v>
      </c>
      <c r="DD571" t="s">
        <v>134</v>
      </c>
    </row>
    <row r="572" spans="1:108" ht="15" customHeight="1" x14ac:dyDescent="0.25">
      <c r="A572" t="s">
        <v>16839</v>
      </c>
      <c r="B572" t="s">
        <v>165</v>
      </c>
      <c r="C572" s="1">
        <v>44868.413755208334</v>
      </c>
      <c r="D572" s="1">
        <v>44896</v>
      </c>
      <c r="E572" t="s">
        <v>134</v>
      </c>
      <c r="F572" t="s">
        <v>4081</v>
      </c>
      <c r="G572" t="str">
        <f>"35-9011.00"</f>
        <v>35-9011.00</v>
      </c>
      <c r="H572" t="s">
        <v>743</v>
      </c>
      <c r="I572">
        <v>20</v>
      </c>
      <c r="J572">
        <v>20</v>
      </c>
      <c r="K572" s="1">
        <v>44958</v>
      </c>
      <c r="L572" s="1">
        <v>45260</v>
      </c>
      <c r="M572" s="1">
        <v>44958</v>
      </c>
      <c r="N572" s="1">
        <v>45260</v>
      </c>
      <c r="O572" t="s">
        <v>117</v>
      </c>
      <c r="P572" t="s">
        <v>6281</v>
      </c>
      <c r="Q572" t="s">
        <v>6282</v>
      </c>
      <c r="R572" t="s">
        <v>6283</v>
      </c>
      <c r="T572" t="s">
        <v>6284</v>
      </c>
      <c r="U572" t="s">
        <v>154</v>
      </c>
      <c r="V572" s="4" t="str">
        <f t="shared" si="36"/>
        <v>32034</v>
      </c>
      <c r="W572" t="s">
        <v>120</v>
      </c>
      <c r="Y572" s="5">
        <v>19042616161</v>
      </c>
      <c r="AA572">
        <v>72111</v>
      </c>
      <c r="AB572" t="s">
        <v>6285</v>
      </c>
      <c r="AC572" t="s">
        <v>6286</v>
      </c>
      <c r="AE572" t="s">
        <v>6287</v>
      </c>
      <c r="AF572" t="s">
        <v>6283</v>
      </c>
      <c r="AH572" t="s">
        <v>6284</v>
      </c>
      <c r="AI572" t="s">
        <v>154</v>
      </c>
      <c r="AJ572" s="4" t="str">
        <f t="shared" si="37"/>
        <v>32034</v>
      </c>
      <c r="AK572" t="s">
        <v>120</v>
      </c>
      <c r="AM572" s="5">
        <v>19042616161</v>
      </c>
      <c r="AO572" t="s">
        <v>904</v>
      </c>
      <c r="AP572" t="s">
        <v>256</v>
      </c>
      <c r="AQ572" t="s">
        <v>400</v>
      </c>
      <c r="AR572" t="s">
        <v>401</v>
      </c>
      <c r="AS572" t="s">
        <v>397</v>
      </c>
      <c r="AT572" t="s">
        <v>402</v>
      </c>
      <c r="AU572" t="s">
        <v>152</v>
      </c>
      <c r="AV572" t="s">
        <v>403</v>
      </c>
      <c r="AW572" t="s">
        <v>232</v>
      </c>
      <c r="AX572" s="4" t="str">
        <f t="shared" si="38"/>
        <v>75033</v>
      </c>
      <c r="AY572" t="s">
        <v>120</v>
      </c>
      <c r="BA572" s="5">
        <v>19727789690</v>
      </c>
      <c r="BC572" t="s">
        <v>905</v>
      </c>
      <c r="BD572" t="s">
        <v>405</v>
      </c>
      <c r="BG572" t="s">
        <v>154</v>
      </c>
      <c r="BH572" s="1">
        <v>44867.833333333336</v>
      </c>
      <c r="BI572">
        <v>40</v>
      </c>
      <c r="BJ572">
        <v>8</v>
      </c>
      <c r="BK572">
        <v>8</v>
      </c>
      <c r="BL572">
        <v>0</v>
      </c>
      <c r="BM572">
        <v>0</v>
      </c>
      <c r="BN572">
        <v>8</v>
      </c>
      <c r="BO572">
        <v>8</v>
      </c>
      <c r="BP572">
        <v>8</v>
      </c>
      <c r="BQ572" t="str">
        <f>"6:00 AM"</f>
        <v>6:00 AM</v>
      </c>
      <c r="BR572" t="str">
        <f>"2:30 PM"</f>
        <v>2:30 PM</v>
      </c>
      <c r="BS572" t="s">
        <v>133</v>
      </c>
      <c r="BT572">
        <v>0</v>
      </c>
      <c r="BU572">
        <v>0</v>
      </c>
      <c r="BV572" t="s">
        <v>134</v>
      </c>
      <c r="BX572" s="2" t="s">
        <v>16840</v>
      </c>
      <c r="BY572" t="s">
        <v>6283</v>
      </c>
      <c r="CA572" t="s">
        <v>6284</v>
      </c>
      <c r="CB572" t="s">
        <v>154</v>
      </c>
      <c r="CC572" s="4" t="str">
        <f t="shared" si="39"/>
        <v>32034</v>
      </c>
      <c r="CD572" t="s">
        <v>2194</v>
      </c>
      <c r="CE572" t="s">
        <v>2683</v>
      </c>
      <c r="CF572" s="6">
        <v>11.85</v>
      </c>
      <c r="CH572" s="6">
        <v>17.78</v>
      </c>
      <c r="CJ572" t="s">
        <v>137</v>
      </c>
      <c r="CK572" t="s">
        <v>909</v>
      </c>
      <c r="CL572" t="s">
        <v>16841</v>
      </c>
      <c r="CO572" t="s">
        <v>138</v>
      </c>
      <c r="CP572" t="s">
        <v>134</v>
      </c>
      <c r="CQ572" t="s">
        <v>114</v>
      </c>
      <c r="CR572" t="s">
        <v>114</v>
      </c>
      <c r="CS572" t="s">
        <v>114</v>
      </c>
      <c r="CT572" t="s">
        <v>114</v>
      </c>
      <c r="CU572" t="s">
        <v>114</v>
      </c>
      <c r="CV572" s="2" t="s">
        <v>16842</v>
      </c>
      <c r="CW572" s="5" t="str">
        <f t="shared" si="40"/>
        <v>+19042616161</v>
      </c>
      <c r="CX572" t="s">
        <v>138</v>
      </c>
      <c r="CY572" t="s">
        <v>1913</v>
      </c>
      <c r="CZ572" t="s">
        <v>139</v>
      </c>
      <c r="DA572" t="s">
        <v>134</v>
      </c>
      <c r="DB572" t="s">
        <v>114</v>
      </c>
      <c r="DC572" t="s">
        <v>114</v>
      </c>
      <c r="DD572" t="s">
        <v>134</v>
      </c>
    </row>
    <row r="573" spans="1:108" ht="15" customHeight="1" x14ac:dyDescent="0.25">
      <c r="A573" t="s">
        <v>16876</v>
      </c>
      <c r="B573" t="s">
        <v>165</v>
      </c>
      <c r="C573" s="1">
        <v>44868.406224421298</v>
      </c>
      <c r="D573" s="1">
        <v>44896</v>
      </c>
      <c r="E573" t="s">
        <v>134</v>
      </c>
      <c r="F573" t="s">
        <v>1331</v>
      </c>
      <c r="G573" t="str">
        <f>"35-2014.00"</f>
        <v>35-2014.00</v>
      </c>
      <c r="H573" t="s">
        <v>915</v>
      </c>
      <c r="I573">
        <v>39</v>
      </c>
      <c r="J573">
        <v>39</v>
      </c>
      <c r="K573" s="1">
        <v>44958</v>
      </c>
      <c r="L573" s="1">
        <v>45260</v>
      </c>
      <c r="M573" s="1">
        <v>44958</v>
      </c>
      <c r="N573" s="1">
        <v>45260</v>
      </c>
      <c r="O573" t="s">
        <v>117</v>
      </c>
      <c r="P573" t="s">
        <v>6281</v>
      </c>
      <c r="Q573" t="s">
        <v>6282</v>
      </c>
      <c r="R573" t="s">
        <v>6283</v>
      </c>
      <c r="T573" t="s">
        <v>6284</v>
      </c>
      <c r="U573" t="s">
        <v>154</v>
      </c>
      <c r="V573" s="4" t="str">
        <f t="shared" si="36"/>
        <v>32034</v>
      </c>
      <c r="W573" t="s">
        <v>120</v>
      </c>
      <c r="Y573" s="5">
        <v>19042616161</v>
      </c>
      <c r="AA573">
        <v>72111</v>
      </c>
      <c r="AB573" t="s">
        <v>6285</v>
      </c>
      <c r="AC573" t="s">
        <v>6286</v>
      </c>
      <c r="AE573" t="s">
        <v>6287</v>
      </c>
      <c r="AF573" t="s">
        <v>6283</v>
      </c>
      <c r="AH573" t="s">
        <v>6284</v>
      </c>
      <c r="AI573" t="s">
        <v>154</v>
      </c>
      <c r="AJ573" s="4" t="str">
        <f t="shared" si="37"/>
        <v>32034</v>
      </c>
      <c r="AK573" t="s">
        <v>120</v>
      </c>
      <c r="AM573" s="5">
        <v>19042616161</v>
      </c>
      <c r="AO573" t="s">
        <v>904</v>
      </c>
      <c r="AP573" t="s">
        <v>256</v>
      </c>
      <c r="AQ573" t="s">
        <v>400</v>
      </c>
      <c r="AR573" t="s">
        <v>401</v>
      </c>
      <c r="AS573" t="s">
        <v>397</v>
      </c>
      <c r="AT573" t="s">
        <v>402</v>
      </c>
      <c r="AU573" t="s">
        <v>152</v>
      </c>
      <c r="AV573" t="s">
        <v>403</v>
      </c>
      <c r="AW573" t="s">
        <v>232</v>
      </c>
      <c r="AX573" s="4" t="str">
        <f t="shared" si="38"/>
        <v>75033</v>
      </c>
      <c r="AY573" t="s">
        <v>120</v>
      </c>
      <c r="BA573" s="5">
        <v>19727789690</v>
      </c>
      <c r="BC573" t="s">
        <v>905</v>
      </c>
      <c r="BD573" t="s">
        <v>405</v>
      </c>
      <c r="BG573" t="s">
        <v>154</v>
      </c>
      <c r="BH573" s="1">
        <v>44867.833333333336</v>
      </c>
      <c r="BI573">
        <v>40</v>
      </c>
      <c r="BJ573">
        <v>8</v>
      </c>
      <c r="BK573">
        <v>8</v>
      </c>
      <c r="BL573">
        <v>0</v>
      </c>
      <c r="BM573">
        <v>0</v>
      </c>
      <c r="BN573">
        <v>8</v>
      </c>
      <c r="BO573">
        <v>8</v>
      </c>
      <c r="BP573">
        <v>8</v>
      </c>
      <c r="BQ573" t="str">
        <f>"5:00 AM"</f>
        <v>5:00 AM</v>
      </c>
      <c r="BR573" t="str">
        <f>"1:30 PM"</f>
        <v>1:30 PM</v>
      </c>
      <c r="BS573" t="s">
        <v>133</v>
      </c>
      <c r="BT573">
        <v>0</v>
      </c>
      <c r="BU573">
        <v>0</v>
      </c>
      <c r="BV573" t="s">
        <v>134</v>
      </c>
      <c r="BX573" s="2" t="s">
        <v>6288</v>
      </c>
      <c r="BY573" t="s">
        <v>6283</v>
      </c>
      <c r="CA573" t="s">
        <v>6284</v>
      </c>
      <c r="CB573" t="s">
        <v>154</v>
      </c>
      <c r="CC573" s="4" t="str">
        <f t="shared" si="39"/>
        <v>32034</v>
      </c>
      <c r="CD573" t="s">
        <v>2194</v>
      </c>
      <c r="CE573" t="s">
        <v>2683</v>
      </c>
      <c r="CF573" s="6">
        <v>15</v>
      </c>
      <c r="CH573" s="6">
        <v>22.5</v>
      </c>
      <c r="CJ573" t="s">
        <v>137</v>
      </c>
      <c r="CK573" t="s">
        <v>909</v>
      </c>
      <c r="CL573" t="s">
        <v>16877</v>
      </c>
      <c r="CO573" t="s">
        <v>138</v>
      </c>
      <c r="CP573" t="s">
        <v>134</v>
      </c>
      <c r="CQ573" t="s">
        <v>114</v>
      </c>
      <c r="CR573" t="s">
        <v>114</v>
      </c>
      <c r="CS573" t="s">
        <v>114</v>
      </c>
      <c r="CT573" t="s">
        <v>114</v>
      </c>
      <c r="CU573" t="s">
        <v>114</v>
      </c>
      <c r="CV573" s="2" t="s">
        <v>6290</v>
      </c>
      <c r="CW573" s="5" t="str">
        <f t="shared" si="40"/>
        <v>+19042616161</v>
      </c>
      <c r="CX573" t="s">
        <v>138</v>
      </c>
      <c r="CY573" t="s">
        <v>16026</v>
      </c>
      <c r="CZ573" t="s">
        <v>139</v>
      </c>
      <c r="DA573" t="s">
        <v>134</v>
      </c>
      <c r="DB573" t="s">
        <v>114</v>
      </c>
      <c r="DC573" t="s">
        <v>114</v>
      </c>
      <c r="DD573" t="s">
        <v>134</v>
      </c>
    </row>
    <row r="574" spans="1:108" ht="15" customHeight="1" x14ac:dyDescent="0.25">
      <c r="A574" t="s">
        <v>16295</v>
      </c>
      <c r="B574" t="s">
        <v>165</v>
      </c>
      <c r="C574" s="1">
        <v>44868.400600925925</v>
      </c>
      <c r="D574" s="1">
        <v>44896</v>
      </c>
      <c r="E574" t="s">
        <v>134</v>
      </c>
      <c r="F574" t="s">
        <v>334</v>
      </c>
      <c r="G574" t="str">
        <f>"37-3011.00"</f>
        <v>37-3011.00</v>
      </c>
      <c r="H574" t="s">
        <v>335</v>
      </c>
      <c r="I574">
        <v>9</v>
      </c>
      <c r="J574">
        <v>9</v>
      </c>
      <c r="K574" s="1">
        <v>44958</v>
      </c>
      <c r="L574" s="1">
        <v>45260</v>
      </c>
      <c r="M574" s="1">
        <v>44958</v>
      </c>
      <c r="N574" s="1">
        <v>45260</v>
      </c>
      <c r="O574" t="s">
        <v>117</v>
      </c>
      <c r="P574" t="s">
        <v>6002</v>
      </c>
      <c r="R574" t="s">
        <v>6003</v>
      </c>
      <c r="S574" t="s">
        <v>138</v>
      </c>
      <c r="T574" t="s">
        <v>4101</v>
      </c>
      <c r="U574" t="s">
        <v>232</v>
      </c>
      <c r="V574" s="4" t="str">
        <f>"77705"</f>
        <v>77705</v>
      </c>
      <c r="W574" t="s">
        <v>120</v>
      </c>
      <c r="Y574" s="5">
        <v>14098131866</v>
      </c>
      <c r="AA574">
        <v>561730</v>
      </c>
      <c r="AB574" t="s">
        <v>6004</v>
      </c>
      <c r="AC574" t="s">
        <v>1149</v>
      </c>
      <c r="AD574" t="s">
        <v>138</v>
      </c>
      <c r="AE574" t="s">
        <v>424</v>
      </c>
      <c r="AF574" t="s">
        <v>6005</v>
      </c>
      <c r="AG574" t="s">
        <v>138</v>
      </c>
      <c r="AH574" t="s">
        <v>4101</v>
      </c>
      <c r="AI574" t="s">
        <v>232</v>
      </c>
      <c r="AJ574" s="4" t="str">
        <f>"77705"</f>
        <v>77705</v>
      </c>
      <c r="AK574" t="s">
        <v>120</v>
      </c>
      <c r="AM574" s="5">
        <v>14098131866</v>
      </c>
      <c r="AO574" t="s">
        <v>6006</v>
      </c>
      <c r="AP574" t="s">
        <v>256</v>
      </c>
      <c r="AQ574" t="s">
        <v>2048</v>
      </c>
      <c r="AR574" t="s">
        <v>2049</v>
      </c>
      <c r="AS574" t="s">
        <v>1378</v>
      </c>
      <c r="AT574" t="s">
        <v>2050</v>
      </c>
      <c r="AU574" t="s">
        <v>138</v>
      </c>
      <c r="AV574" t="s">
        <v>1285</v>
      </c>
      <c r="AW574" t="s">
        <v>232</v>
      </c>
      <c r="AX574" s="4" t="str">
        <f>"77414"</f>
        <v>77414</v>
      </c>
      <c r="AY574" t="s">
        <v>120</v>
      </c>
      <c r="BA574" s="5">
        <v>19793187278</v>
      </c>
      <c r="BC574" t="s">
        <v>2051</v>
      </c>
      <c r="BD574" t="s">
        <v>1287</v>
      </c>
      <c r="BG574" t="s">
        <v>232</v>
      </c>
      <c r="BH574" s="1">
        <v>44867.833333333336</v>
      </c>
      <c r="BI574">
        <v>40</v>
      </c>
      <c r="BJ574">
        <v>0</v>
      </c>
      <c r="BK574">
        <v>8</v>
      </c>
      <c r="BL574">
        <v>8</v>
      </c>
      <c r="BM574">
        <v>8</v>
      </c>
      <c r="BN574">
        <v>8</v>
      </c>
      <c r="BO574">
        <v>8</v>
      </c>
      <c r="BP574">
        <v>0</v>
      </c>
      <c r="BQ574" t="str">
        <f>"7:30 AM"</f>
        <v>7:30 AM</v>
      </c>
      <c r="BR574" t="str">
        <f>"4:00 PM"</f>
        <v>4:00 PM</v>
      </c>
      <c r="BS574" t="s">
        <v>133</v>
      </c>
      <c r="BT574">
        <v>0</v>
      </c>
      <c r="BU574">
        <v>0</v>
      </c>
      <c r="BV574" t="s">
        <v>134</v>
      </c>
      <c r="BX574" s="2" t="s">
        <v>16296</v>
      </c>
      <c r="BY574" t="s">
        <v>6003</v>
      </c>
      <c r="BZ574" t="s">
        <v>138</v>
      </c>
      <c r="CA574" t="s">
        <v>4101</v>
      </c>
      <c r="CB574" t="s">
        <v>232</v>
      </c>
      <c r="CC574" s="4" t="str">
        <f>"77705"</f>
        <v>77705</v>
      </c>
      <c r="CD574" t="s">
        <v>1387</v>
      </c>
      <c r="CE574" t="s">
        <v>4102</v>
      </c>
      <c r="CF574" s="6">
        <v>14.56</v>
      </c>
      <c r="CH574" s="6">
        <v>21.84</v>
      </c>
      <c r="CJ574" t="s">
        <v>137</v>
      </c>
      <c r="CK574" t="s">
        <v>2617</v>
      </c>
      <c r="CL574" t="s">
        <v>6007</v>
      </c>
      <c r="CO574" t="s">
        <v>138</v>
      </c>
      <c r="CP574" t="s">
        <v>114</v>
      </c>
      <c r="CQ574" t="s">
        <v>114</v>
      </c>
      <c r="CR574" t="s">
        <v>114</v>
      </c>
      <c r="CS574" t="s">
        <v>114</v>
      </c>
      <c r="CT574" t="s">
        <v>114</v>
      </c>
      <c r="CU574" t="s">
        <v>114</v>
      </c>
      <c r="CV574" t="s">
        <v>6008</v>
      </c>
      <c r="CW574" s="5" t="str">
        <f>"+14098131866"</f>
        <v>+14098131866</v>
      </c>
      <c r="CX574" t="s">
        <v>6006</v>
      </c>
      <c r="CY574" t="s">
        <v>138</v>
      </c>
      <c r="CZ574" t="s">
        <v>139</v>
      </c>
      <c r="DA574" t="s">
        <v>134</v>
      </c>
      <c r="DB574" t="s">
        <v>134</v>
      </c>
      <c r="DC574" t="s">
        <v>114</v>
      </c>
      <c r="DD574" t="s">
        <v>134</v>
      </c>
    </row>
    <row r="575" spans="1:108" ht="15" customHeight="1" x14ac:dyDescent="0.25">
      <c r="A575" t="s">
        <v>4886</v>
      </c>
      <c r="B575" t="s">
        <v>165</v>
      </c>
      <c r="C575" s="1">
        <v>44868.040336226855</v>
      </c>
      <c r="D575" s="1">
        <v>44896</v>
      </c>
      <c r="E575" t="s">
        <v>134</v>
      </c>
      <c r="F575" t="s">
        <v>334</v>
      </c>
      <c r="G575" t="str">
        <f>"37-3011.00"</f>
        <v>37-3011.00</v>
      </c>
      <c r="H575" t="s">
        <v>335</v>
      </c>
      <c r="I575">
        <v>13</v>
      </c>
      <c r="J575">
        <v>13</v>
      </c>
      <c r="K575" s="1">
        <v>44958</v>
      </c>
      <c r="L575" s="1">
        <v>45260</v>
      </c>
      <c r="M575" s="1">
        <v>44958</v>
      </c>
      <c r="N575" s="1">
        <v>45260</v>
      </c>
      <c r="O575" t="s">
        <v>117</v>
      </c>
      <c r="P575" t="s">
        <v>4887</v>
      </c>
      <c r="Q575" t="s">
        <v>4888</v>
      </c>
      <c r="R575" t="s">
        <v>4889</v>
      </c>
      <c r="T575" t="s">
        <v>2108</v>
      </c>
      <c r="U575" t="s">
        <v>232</v>
      </c>
      <c r="V575" s="4" t="str">
        <f>"78212"</f>
        <v>78212</v>
      </c>
      <c r="W575" t="s">
        <v>120</v>
      </c>
      <c r="Y575" s="5">
        <v>12104910700</v>
      </c>
      <c r="AA575">
        <v>56173</v>
      </c>
      <c r="AB575" t="s">
        <v>4890</v>
      </c>
      <c r="AC575" t="s">
        <v>4891</v>
      </c>
      <c r="AE575" t="s">
        <v>1407</v>
      </c>
      <c r="AF575" t="s">
        <v>4889</v>
      </c>
      <c r="AH575" t="s">
        <v>2108</v>
      </c>
      <c r="AI575" t="s">
        <v>232</v>
      </c>
      <c r="AJ575" s="4" t="str">
        <f>"78212"</f>
        <v>78212</v>
      </c>
      <c r="AK575" t="s">
        <v>120</v>
      </c>
      <c r="AM575" s="5">
        <v>12104910700</v>
      </c>
      <c r="AO575" t="s">
        <v>4892</v>
      </c>
      <c r="AP575" t="s">
        <v>256</v>
      </c>
      <c r="AQ575" t="s">
        <v>344</v>
      </c>
      <c r="AR575" t="s">
        <v>345</v>
      </c>
      <c r="AT575" t="s">
        <v>346</v>
      </c>
      <c r="AU575" t="s">
        <v>347</v>
      </c>
      <c r="AV575" t="s">
        <v>348</v>
      </c>
      <c r="AW575" t="s">
        <v>349</v>
      </c>
      <c r="AX575" s="4" t="str">
        <f>"83814"</f>
        <v>83814</v>
      </c>
      <c r="AY575" t="s">
        <v>120</v>
      </c>
      <c r="BA575" s="5">
        <v>12087772654</v>
      </c>
      <c r="BC575" t="s">
        <v>350</v>
      </c>
      <c r="BD575" t="s">
        <v>351</v>
      </c>
      <c r="BG575" t="s">
        <v>232</v>
      </c>
      <c r="BH575" s="1">
        <v>44858.833333333336</v>
      </c>
      <c r="BI575">
        <v>40</v>
      </c>
      <c r="BJ575">
        <v>0</v>
      </c>
      <c r="BK575">
        <v>8</v>
      </c>
      <c r="BL575">
        <v>8</v>
      </c>
      <c r="BM575">
        <v>8</v>
      </c>
      <c r="BN575">
        <v>8</v>
      </c>
      <c r="BO575">
        <v>8</v>
      </c>
      <c r="BP575">
        <v>0</v>
      </c>
      <c r="BQ575" t="str">
        <f>"8:00 AM"</f>
        <v>8:00 AM</v>
      </c>
      <c r="BR575" t="str">
        <f>"5:00 PM"</f>
        <v>5:00 PM</v>
      </c>
      <c r="BS575" t="s">
        <v>133</v>
      </c>
      <c r="BT575">
        <v>0</v>
      </c>
      <c r="BU575">
        <v>0</v>
      </c>
      <c r="BV575" t="s">
        <v>134</v>
      </c>
      <c r="BX575" s="2" t="s">
        <v>1836</v>
      </c>
      <c r="BY575" t="s">
        <v>4893</v>
      </c>
      <c r="CA575" t="s">
        <v>2108</v>
      </c>
      <c r="CB575" t="s">
        <v>232</v>
      </c>
      <c r="CC575" s="4" t="str">
        <f>"78212"</f>
        <v>78212</v>
      </c>
      <c r="CD575" t="s">
        <v>2112</v>
      </c>
      <c r="CE575" t="s">
        <v>1342</v>
      </c>
      <c r="CF575" s="6">
        <v>15.05</v>
      </c>
      <c r="CG575" s="6">
        <v>16</v>
      </c>
      <c r="CH575" s="6">
        <v>22.58</v>
      </c>
      <c r="CI575" s="6">
        <v>24</v>
      </c>
      <c r="CJ575" t="s">
        <v>137</v>
      </c>
      <c r="CK575" t="s">
        <v>356</v>
      </c>
      <c r="CL575" t="s">
        <v>4894</v>
      </c>
      <c r="CO575" t="s">
        <v>138</v>
      </c>
      <c r="CP575" t="s">
        <v>114</v>
      </c>
      <c r="CQ575" t="s">
        <v>114</v>
      </c>
      <c r="CR575" t="s">
        <v>114</v>
      </c>
      <c r="CS575" t="s">
        <v>114</v>
      </c>
      <c r="CT575" t="s">
        <v>114</v>
      </c>
      <c r="CU575" t="s">
        <v>114</v>
      </c>
      <c r="CV575" s="2" t="s">
        <v>4895</v>
      </c>
      <c r="CW575" s="5" t="str">
        <f>"+19727071589"</f>
        <v>+19727071589</v>
      </c>
      <c r="CX575" t="s">
        <v>4896</v>
      </c>
      <c r="CY575" t="s">
        <v>138</v>
      </c>
      <c r="CZ575" t="s">
        <v>139</v>
      </c>
      <c r="DA575" t="s">
        <v>134</v>
      </c>
      <c r="DB575" t="s">
        <v>134</v>
      </c>
      <c r="DC575" t="s">
        <v>114</v>
      </c>
      <c r="DD575" t="s">
        <v>134</v>
      </c>
    </row>
    <row r="576" spans="1:108" ht="15" customHeight="1" x14ac:dyDescent="0.25">
      <c r="A576" t="s">
        <v>11221</v>
      </c>
      <c r="B576" t="s">
        <v>165</v>
      </c>
      <c r="C576" s="1">
        <v>44868.00595590278</v>
      </c>
      <c r="D576" s="1">
        <v>44896</v>
      </c>
      <c r="E576" t="s">
        <v>134</v>
      </c>
      <c r="F576" t="s">
        <v>334</v>
      </c>
      <c r="G576" t="str">
        <f>"37-3011.00"</f>
        <v>37-3011.00</v>
      </c>
      <c r="H576" t="s">
        <v>335</v>
      </c>
      <c r="I576">
        <v>24</v>
      </c>
      <c r="J576">
        <v>24</v>
      </c>
      <c r="K576" s="1">
        <v>44958</v>
      </c>
      <c r="L576" s="1">
        <v>45260</v>
      </c>
      <c r="M576" s="1">
        <v>44958</v>
      </c>
      <c r="N576" s="1">
        <v>45260</v>
      </c>
      <c r="O576" t="s">
        <v>199</v>
      </c>
      <c r="P576" t="s">
        <v>11222</v>
      </c>
      <c r="R576" t="s">
        <v>11223</v>
      </c>
      <c r="T576" t="s">
        <v>11224</v>
      </c>
      <c r="U576" t="s">
        <v>339</v>
      </c>
      <c r="V576" s="4" t="str">
        <f>"21078"</f>
        <v>21078</v>
      </c>
      <c r="W576" t="s">
        <v>120</v>
      </c>
      <c r="Y576" s="5">
        <v>14107340228</v>
      </c>
      <c r="AA576">
        <v>56173</v>
      </c>
      <c r="AB576" t="s">
        <v>11225</v>
      </c>
      <c r="AC576" t="s">
        <v>975</v>
      </c>
      <c r="AE576" t="s">
        <v>342</v>
      </c>
      <c r="AF576" t="s">
        <v>11223</v>
      </c>
      <c r="AH576" t="s">
        <v>11224</v>
      </c>
      <c r="AI576" t="s">
        <v>339</v>
      </c>
      <c r="AJ576" s="4" t="str">
        <f>"21078"</f>
        <v>21078</v>
      </c>
      <c r="AK576" t="s">
        <v>120</v>
      </c>
      <c r="AM576" s="5">
        <v>14107340228</v>
      </c>
      <c r="AO576" t="s">
        <v>11226</v>
      </c>
      <c r="AP576" t="s">
        <v>256</v>
      </c>
      <c r="AQ576" t="s">
        <v>3181</v>
      </c>
      <c r="AR576" t="s">
        <v>3182</v>
      </c>
      <c r="AT576" t="s">
        <v>346</v>
      </c>
      <c r="AU576" t="s">
        <v>347</v>
      </c>
      <c r="AV576" t="s">
        <v>828</v>
      </c>
      <c r="AW576" t="s">
        <v>349</v>
      </c>
      <c r="AX576" s="4" t="str">
        <f>"83814"</f>
        <v>83814</v>
      </c>
      <c r="AY576" t="s">
        <v>120</v>
      </c>
      <c r="BA576" s="5">
        <v>12087772654</v>
      </c>
      <c r="BC576" t="s">
        <v>3183</v>
      </c>
      <c r="BD576" t="s">
        <v>351</v>
      </c>
      <c r="BG576" t="s">
        <v>339</v>
      </c>
      <c r="BH576" s="1">
        <v>44852.833333333336</v>
      </c>
      <c r="BI576">
        <v>40</v>
      </c>
      <c r="BJ576">
        <v>0</v>
      </c>
      <c r="BK576">
        <v>8</v>
      </c>
      <c r="BL576">
        <v>8</v>
      </c>
      <c r="BM576">
        <v>8</v>
      </c>
      <c r="BN576">
        <v>8</v>
      </c>
      <c r="BO576">
        <v>8</v>
      </c>
      <c r="BP576">
        <v>0</v>
      </c>
      <c r="BQ576" t="str">
        <f>"7:00 AM"</f>
        <v>7:00 AM</v>
      </c>
      <c r="BR576" t="str">
        <f>"4:00 PM"</f>
        <v>4:00 PM</v>
      </c>
      <c r="BS576" t="s">
        <v>133</v>
      </c>
      <c r="BT576">
        <v>0</v>
      </c>
      <c r="BU576">
        <v>0</v>
      </c>
      <c r="BV576" t="s">
        <v>134</v>
      </c>
      <c r="BX576" s="2" t="s">
        <v>1836</v>
      </c>
      <c r="BY576" t="s">
        <v>11227</v>
      </c>
      <c r="CA576" t="s">
        <v>11224</v>
      </c>
      <c r="CB576" t="s">
        <v>339</v>
      </c>
      <c r="CC576" s="4" t="str">
        <f>"21078"</f>
        <v>21078</v>
      </c>
      <c r="CD576" t="s">
        <v>2811</v>
      </c>
      <c r="CE576" t="s">
        <v>1673</v>
      </c>
      <c r="CF576" s="6">
        <v>17.82</v>
      </c>
      <c r="CH576" s="6">
        <v>26.73</v>
      </c>
      <c r="CJ576" t="s">
        <v>137</v>
      </c>
      <c r="CK576" t="s">
        <v>138</v>
      </c>
      <c r="CL576" t="s">
        <v>11228</v>
      </c>
      <c r="CO576" t="s">
        <v>138</v>
      </c>
      <c r="CP576" t="s">
        <v>114</v>
      </c>
      <c r="CQ576" t="s">
        <v>114</v>
      </c>
      <c r="CR576" t="s">
        <v>114</v>
      </c>
      <c r="CS576" t="s">
        <v>114</v>
      </c>
      <c r="CT576" t="s">
        <v>114</v>
      </c>
      <c r="CU576" t="s">
        <v>114</v>
      </c>
      <c r="CV576" s="2" t="s">
        <v>11229</v>
      </c>
      <c r="CW576" s="5" t="str">
        <f>"+14107340228"</f>
        <v>+14107340228</v>
      </c>
      <c r="CX576" t="s">
        <v>11226</v>
      </c>
      <c r="CY576" t="s">
        <v>138</v>
      </c>
      <c r="CZ576" t="s">
        <v>139</v>
      </c>
      <c r="DA576" t="s">
        <v>134</v>
      </c>
      <c r="DB576" t="s">
        <v>134</v>
      </c>
      <c r="DC576" t="s">
        <v>114</v>
      </c>
      <c r="DD576" t="s">
        <v>134</v>
      </c>
    </row>
    <row r="577" spans="1:113" ht="15" customHeight="1" x14ac:dyDescent="0.25">
      <c r="A577" t="s">
        <v>16284</v>
      </c>
      <c r="B577" t="s">
        <v>165</v>
      </c>
      <c r="C577" s="1">
        <v>44868.001840046294</v>
      </c>
      <c r="D577" s="1">
        <v>44896</v>
      </c>
      <c r="E577" t="s">
        <v>134</v>
      </c>
      <c r="F577" t="s">
        <v>334</v>
      </c>
      <c r="G577" t="str">
        <f>"37-3011.00"</f>
        <v>37-3011.00</v>
      </c>
      <c r="H577" t="s">
        <v>335</v>
      </c>
      <c r="I577">
        <v>72</v>
      </c>
      <c r="J577">
        <v>72</v>
      </c>
      <c r="K577" s="1">
        <v>44958</v>
      </c>
      <c r="L577" s="1">
        <v>45245</v>
      </c>
      <c r="M577" s="1">
        <v>44958</v>
      </c>
      <c r="N577" s="1">
        <v>45245</v>
      </c>
      <c r="O577" t="s">
        <v>117</v>
      </c>
      <c r="P577" t="s">
        <v>6091</v>
      </c>
      <c r="R577" t="s">
        <v>6092</v>
      </c>
      <c r="T577" t="s">
        <v>6093</v>
      </c>
      <c r="U577" t="s">
        <v>631</v>
      </c>
      <c r="V577" s="4" t="str">
        <f>"73034"</f>
        <v>73034</v>
      </c>
      <c r="W577" t="s">
        <v>120</v>
      </c>
      <c r="Y577" s="5">
        <v>14058448908</v>
      </c>
      <c r="AA577">
        <v>56173</v>
      </c>
      <c r="AB577" t="s">
        <v>6094</v>
      </c>
      <c r="AC577" t="s">
        <v>6095</v>
      </c>
      <c r="AD577" t="s">
        <v>2702</v>
      </c>
      <c r="AE577" t="s">
        <v>1849</v>
      </c>
      <c r="AF577" t="s">
        <v>6092</v>
      </c>
      <c r="AH577" t="s">
        <v>6093</v>
      </c>
      <c r="AI577" t="s">
        <v>631</v>
      </c>
      <c r="AJ577" s="4" t="str">
        <f>"73034"</f>
        <v>73034</v>
      </c>
      <c r="AK577" t="s">
        <v>120</v>
      </c>
      <c r="AM577" s="5">
        <v>14058448908</v>
      </c>
      <c r="AO577" t="s">
        <v>6096</v>
      </c>
      <c r="AP577" t="s">
        <v>256</v>
      </c>
      <c r="AQ577" t="s">
        <v>400</v>
      </c>
      <c r="AR577" t="s">
        <v>401</v>
      </c>
      <c r="AS577" t="s">
        <v>397</v>
      </c>
      <c r="AT577" t="s">
        <v>402</v>
      </c>
      <c r="AU577" t="s">
        <v>152</v>
      </c>
      <c r="AV577" t="s">
        <v>403</v>
      </c>
      <c r="AW577" t="s">
        <v>232</v>
      </c>
      <c r="AX577" s="4" t="str">
        <f>"75033"</f>
        <v>75033</v>
      </c>
      <c r="AY577" t="s">
        <v>120</v>
      </c>
      <c r="BA577" s="5">
        <v>19727789690</v>
      </c>
      <c r="BC577" t="s">
        <v>1239</v>
      </c>
      <c r="BD577" t="s">
        <v>405</v>
      </c>
      <c r="BG577" t="s">
        <v>631</v>
      </c>
      <c r="BH577" s="1">
        <v>44867.833333333336</v>
      </c>
      <c r="BI577">
        <v>48</v>
      </c>
      <c r="BJ577">
        <v>0</v>
      </c>
      <c r="BK577">
        <v>8</v>
      </c>
      <c r="BL577">
        <v>8</v>
      </c>
      <c r="BM577">
        <v>8</v>
      </c>
      <c r="BN577">
        <v>8</v>
      </c>
      <c r="BO577">
        <v>8</v>
      </c>
      <c r="BP577">
        <v>8</v>
      </c>
      <c r="BQ577" t="str">
        <f>"8:00 AM"</f>
        <v>8:00 AM</v>
      </c>
      <c r="BR577" t="str">
        <f>"5:00 PM"</f>
        <v>5:00 PM</v>
      </c>
      <c r="BS577" t="s">
        <v>133</v>
      </c>
      <c r="BT577">
        <v>0</v>
      </c>
      <c r="BU577">
        <v>0</v>
      </c>
      <c r="BV577" t="s">
        <v>134</v>
      </c>
      <c r="BX577" s="2" t="s">
        <v>16285</v>
      </c>
      <c r="BY577" t="s">
        <v>6097</v>
      </c>
      <c r="CA577" t="s">
        <v>4596</v>
      </c>
      <c r="CB577" t="s">
        <v>631</v>
      </c>
      <c r="CC577" s="4" t="str">
        <f>"73034"</f>
        <v>73034</v>
      </c>
      <c r="CD577" t="s">
        <v>6098</v>
      </c>
      <c r="CE577" t="s">
        <v>2926</v>
      </c>
      <c r="CF577" s="6">
        <v>15.35</v>
      </c>
      <c r="CG577" s="6">
        <v>15.35</v>
      </c>
      <c r="CH577" s="6">
        <v>23.03</v>
      </c>
      <c r="CI577" s="6">
        <v>23.03</v>
      </c>
      <c r="CJ577" t="s">
        <v>137</v>
      </c>
      <c r="CK577" t="s">
        <v>950</v>
      </c>
      <c r="CL577" t="s">
        <v>6099</v>
      </c>
      <c r="CO577" t="s">
        <v>138</v>
      </c>
      <c r="CP577" t="s">
        <v>114</v>
      </c>
      <c r="CQ577" t="s">
        <v>114</v>
      </c>
      <c r="CR577" t="s">
        <v>114</v>
      </c>
      <c r="CS577" t="s">
        <v>114</v>
      </c>
      <c r="CT577" t="s">
        <v>114</v>
      </c>
      <c r="CU577" t="s">
        <v>114</v>
      </c>
      <c r="CV577" s="2" t="s">
        <v>16286</v>
      </c>
      <c r="CW577" s="5" t="str">
        <f>"+14058448908"</f>
        <v>+14058448908</v>
      </c>
      <c r="CX577" t="s">
        <v>138</v>
      </c>
      <c r="CY577" t="s">
        <v>2708</v>
      </c>
      <c r="CZ577" t="s">
        <v>139</v>
      </c>
      <c r="DA577" t="s">
        <v>134</v>
      </c>
      <c r="DB577" t="s">
        <v>114</v>
      </c>
      <c r="DC577" t="s">
        <v>114</v>
      </c>
      <c r="DD577" t="s">
        <v>134</v>
      </c>
    </row>
    <row r="578" spans="1:113" ht="15" customHeight="1" x14ac:dyDescent="0.25">
      <c r="A578" t="s">
        <v>11170</v>
      </c>
      <c r="B578" t="s">
        <v>165</v>
      </c>
      <c r="C578" s="1">
        <v>44852.650560532406</v>
      </c>
      <c r="D578" s="1">
        <v>44896</v>
      </c>
      <c r="E578" t="s">
        <v>134</v>
      </c>
      <c r="F578" t="s">
        <v>3920</v>
      </c>
      <c r="G578" t="str">
        <f>"35-3023.00"</f>
        <v>35-3023.00</v>
      </c>
      <c r="H578" t="s">
        <v>555</v>
      </c>
      <c r="I578">
        <v>28</v>
      </c>
      <c r="J578">
        <v>28</v>
      </c>
      <c r="K578" s="1">
        <v>44942</v>
      </c>
      <c r="L578" s="1">
        <v>45245</v>
      </c>
      <c r="M578" s="1">
        <v>44942</v>
      </c>
      <c r="N578" s="1">
        <v>45245</v>
      </c>
      <c r="O578" t="s">
        <v>199</v>
      </c>
      <c r="P578" t="s">
        <v>11171</v>
      </c>
      <c r="R578" t="s">
        <v>11172</v>
      </c>
      <c r="S578" t="s">
        <v>11173</v>
      </c>
      <c r="T578" t="s">
        <v>3346</v>
      </c>
      <c r="U578" t="s">
        <v>154</v>
      </c>
      <c r="V578" s="4" t="str">
        <f>"33534"</f>
        <v>33534</v>
      </c>
      <c r="W578" t="s">
        <v>120</v>
      </c>
      <c r="Y578" s="5">
        <v>18134070316</v>
      </c>
      <c r="Z578">
        <v>0</v>
      </c>
      <c r="AA578">
        <v>7139</v>
      </c>
      <c r="AB578" t="s">
        <v>11174</v>
      </c>
      <c r="AC578" t="s">
        <v>2305</v>
      </c>
      <c r="AE578" t="s">
        <v>3928</v>
      </c>
      <c r="AF578" t="s">
        <v>11172</v>
      </c>
      <c r="AG578" t="s">
        <v>11173</v>
      </c>
      <c r="AH578" t="s">
        <v>3346</v>
      </c>
      <c r="AI578" t="s">
        <v>154</v>
      </c>
      <c r="AJ578" s="4" t="str">
        <f>"33534"</f>
        <v>33534</v>
      </c>
      <c r="AK578" t="s">
        <v>120</v>
      </c>
      <c r="AM578" s="5">
        <v>18134070316</v>
      </c>
      <c r="AN578">
        <v>0</v>
      </c>
      <c r="AO578" t="s">
        <v>11175</v>
      </c>
      <c r="AP578" t="s">
        <v>256</v>
      </c>
      <c r="AQ578" t="s">
        <v>535</v>
      </c>
      <c r="AR578" t="s">
        <v>536</v>
      </c>
      <c r="AS578" t="s">
        <v>537</v>
      </c>
      <c r="AT578" t="s">
        <v>538</v>
      </c>
      <c r="AU578" t="s">
        <v>539</v>
      </c>
      <c r="AV578" t="s">
        <v>540</v>
      </c>
      <c r="AW578" t="s">
        <v>232</v>
      </c>
      <c r="AX578" s="4" t="str">
        <f>"78550"</f>
        <v>78550</v>
      </c>
      <c r="AY578" t="s">
        <v>120</v>
      </c>
      <c r="AZ578" t="s">
        <v>2835</v>
      </c>
      <c r="BA578" s="5">
        <v>19564408720</v>
      </c>
      <c r="BB578">
        <v>0</v>
      </c>
      <c r="BC578" t="s">
        <v>542</v>
      </c>
      <c r="BD578" t="s">
        <v>543</v>
      </c>
      <c r="BG578" t="s">
        <v>154</v>
      </c>
      <c r="BH578" s="1">
        <v>44851.833333333336</v>
      </c>
      <c r="BI578">
        <v>40</v>
      </c>
      <c r="BJ578">
        <v>8</v>
      </c>
      <c r="BK578">
        <v>0</v>
      </c>
      <c r="BL578">
        <v>0</v>
      </c>
      <c r="BM578">
        <v>8</v>
      </c>
      <c r="BN578">
        <v>8</v>
      </c>
      <c r="BO578">
        <v>8</v>
      </c>
      <c r="BP578">
        <v>8</v>
      </c>
      <c r="BQ578" t="str">
        <f>"1:00 PM"</f>
        <v>1:00 PM</v>
      </c>
      <c r="BR578" t="str">
        <f>"10:00 PM"</f>
        <v>10:00 PM</v>
      </c>
      <c r="BS578" t="s">
        <v>133</v>
      </c>
      <c r="BT578">
        <v>0</v>
      </c>
      <c r="BU578">
        <v>0</v>
      </c>
      <c r="BV578" t="s">
        <v>134</v>
      </c>
      <c r="BX578" s="2" t="s">
        <v>1324</v>
      </c>
      <c r="BY578" t="s">
        <v>2105</v>
      </c>
      <c r="BZ578" t="s">
        <v>11176</v>
      </c>
      <c r="CA578" t="s">
        <v>2106</v>
      </c>
      <c r="CB578" t="s">
        <v>154</v>
      </c>
      <c r="CC578" s="4" t="str">
        <f>"33534"</f>
        <v>33534</v>
      </c>
      <c r="CD578" t="s">
        <v>566</v>
      </c>
      <c r="CE578" t="s">
        <v>567</v>
      </c>
      <c r="CF578" s="6">
        <v>10.06</v>
      </c>
      <c r="CG578" s="6">
        <v>15.12</v>
      </c>
      <c r="CH578" s="6">
        <v>0</v>
      </c>
      <c r="CI578" s="6">
        <v>0</v>
      </c>
      <c r="CJ578" t="s">
        <v>137</v>
      </c>
      <c r="CK578" t="s">
        <v>549</v>
      </c>
      <c r="CL578" t="s">
        <v>11177</v>
      </c>
      <c r="CO578" t="s">
        <v>138</v>
      </c>
      <c r="CP578" t="s">
        <v>114</v>
      </c>
      <c r="CQ578" t="s">
        <v>114</v>
      </c>
      <c r="CR578" t="s">
        <v>134</v>
      </c>
      <c r="CS578" t="s">
        <v>114</v>
      </c>
      <c r="CT578" t="s">
        <v>114</v>
      </c>
      <c r="CU578" t="s">
        <v>114</v>
      </c>
      <c r="CV578" t="s">
        <v>10188</v>
      </c>
      <c r="CW578" s="5" t="str">
        <f>"+18134070316"</f>
        <v>+18134070316</v>
      </c>
      <c r="CX578" t="s">
        <v>11178</v>
      </c>
      <c r="CY578" t="s">
        <v>138</v>
      </c>
      <c r="CZ578" t="s">
        <v>139</v>
      </c>
      <c r="DA578" t="s">
        <v>134</v>
      </c>
      <c r="DB578" t="s">
        <v>114</v>
      </c>
      <c r="DC578" t="s">
        <v>114</v>
      </c>
      <c r="DD578" t="s">
        <v>134</v>
      </c>
    </row>
    <row r="579" spans="1:113" ht="15" customHeight="1" x14ac:dyDescent="0.25">
      <c r="A579" t="s">
        <v>11989</v>
      </c>
      <c r="B579" t="s">
        <v>165</v>
      </c>
      <c r="C579" s="1">
        <v>44839.444958796295</v>
      </c>
      <c r="D579" s="1">
        <v>44896</v>
      </c>
      <c r="E579" t="s">
        <v>134</v>
      </c>
      <c r="F579" t="s">
        <v>3910</v>
      </c>
      <c r="G579" t="str">
        <f>"51-3022.00"</f>
        <v>51-3022.00</v>
      </c>
      <c r="H579" t="s">
        <v>817</v>
      </c>
      <c r="I579">
        <v>20</v>
      </c>
      <c r="J579">
        <v>20</v>
      </c>
      <c r="K579" s="1">
        <v>44927</v>
      </c>
      <c r="L579" s="1">
        <v>45092</v>
      </c>
      <c r="M579" s="1">
        <v>44927</v>
      </c>
      <c r="N579" s="1">
        <v>45092</v>
      </c>
      <c r="O579" t="s">
        <v>199</v>
      </c>
      <c r="P579" t="s">
        <v>11990</v>
      </c>
      <c r="R579" t="s">
        <v>11991</v>
      </c>
      <c r="T579" t="s">
        <v>730</v>
      </c>
      <c r="U579" t="s">
        <v>214</v>
      </c>
      <c r="V579" s="4" t="str">
        <f>"70535"</f>
        <v>70535</v>
      </c>
      <c r="W579" t="s">
        <v>120</v>
      </c>
      <c r="Y579" s="5">
        <v>13375466011</v>
      </c>
      <c r="AA579">
        <v>424460</v>
      </c>
      <c r="AB579" t="s">
        <v>11992</v>
      </c>
      <c r="AC579" t="s">
        <v>1412</v>
      </c>
      <c r="AE579" t="s">
        <v>424</v>
      </c>
      <c r="AF579" t="s">
        <v>11991</v>
      </c>
      <c r="AH579" t="s">
        <v>730</v>
      </c>
      <c r="AI579" t="s">
        <v>214</v>
      </c>
      <c r="AJ579" s="4" t="str">
        <f>"70535"</f>
        <v>70535</v>
      </c>
      <c r="AK579" t="s">
        <v>120</v>
      </c>
      <c r="AM579" s="5">
        <v>13375466011</v>
      </c>
      <c r="AO579" t="s">
        <v>11993</v>
      </c>
      <c r="AP579" t="s">
        <v>122</v>
      </c>
      <c r="AQ579" t="s">
        <v>725</v>
      </c>
      <c r="AR579" t="s">
        <v>726</v>
      </c>
      <c r="AS579" t="s">
        <v>727</v>
      </c>
      <c r="AT579" t="s">
        <v>728</v>
      </c>
      <c r="AU579" t="s">
        <v>729</v>
      </c>
      <c r="AV579" t="s">
        <v>730</v>
      </c>
      <c r="AW579" t="s">
        <v>214</v>
      </c>
      <c r="AX579" s="4" t="str">
        <f>"70535"</f>
        <v>70535</v>
      </c>
      <c r="AY579" t="s">
        <v>120</v>
      </c>
      <c r="BA579" s="5">
        <v>13374663722</v>
      </c>
      <c r="BC579" t="s">
        <v>731</v>
      </c>
      <c r="BD579" t="s">
        <v>732</v>
      </c>
      <c r="BE579" t="s">
        <v>214</v>
      </c>
      <c r="BF579" t="s">
        <v>3912</v>
      </c>
      <c r="BG579" t="s">
        <v>214</v>
      </c>
      <c r="BH579" s="1">
        <v>44838.833333333336</v>
      </c>
      <c r="BI579">
        <v>40</v>
      </c>
      <c r="BJ579">
        <v>0</v>
      </c>
      <c r="BK579">
        <v>8</v>
      </c>
      <c r="BL579">
        <v>8</v>
      </c>
      <c r="BM579">
        <v>8</v>
      </c>
      <c r="BN579">
        <v>8</v>
      </c>
      <c r="BO579">
        <v>8</v>
      </c>
      <c r="BP579">
        <v>0</v>
      </c>
      <c r="BQ579" t="str">
        <f>"6:00 AM"</f>
        <v>6:00 AM</v>
      </c>
      <c r="BR579" t="str">
        <f>"3:00 PM"</f>
        <v>3:00 PM</v>
      </c>
      <c r="BS579" t="s">
        <v>133</v>
      </c>
      <c r="BT579">
        <v>0</v>
      </c>
      <c r="BU579">
        <v>0</v>
      </c>
      <c r="BV579" t="s">
        <v>134</v>
      </c>
      <c r="BX579" s="2" t="s">
        <v>11994</v>
      </c>
      <c r="BY579" t="s">
        <v>11991</v>
      </c>
      <c r="CA579" t="s">
        <v>730</v>
      </c>
      <c r="CB579" t="s">
        <v>214</v>
      </c>
      <c r="CC579" s="4" t="str">
        <f>"70535"</f>
        <v>70535</v>
      </c>
      <c r="CD579" t="s">
        <v>5066</v>
      </c>
      <c r="CE579" t="s">
        <v>5067</v>
      </c>
      <c r="CF579" s="6">
        <v>10.18</v>
      </c>
      <c r="CG579" s="6">
        <v>10.18</v>
      </c>
      <c r="CH579" s="6">
        <v>15.27</v>
      </c>
      <c r="CI579" s="6">
        <v>15.27</v>
      </c>
      <c r="CJ579" t="s">
        <v>137</v>
      </c>
      <c r="CK579" t="s">
        <v>11995</v>
      </c>
      <c r="CL579" t="s">
        <v>11996</v>
      </c>
      <c r="CO579" t="s">
        <v>138</v>
      </c>
      <c r="CP579" t="s">
        <v>134</v>
      </c>
      <c r="CQ579" t="s">
        <v>114</v>
      </c>
      <c r="CR579" t="s">
        <v>114</v>
      </c>
      <c r="CS579" t="s">
        <v>114</v>
      </c>
      <c r="CT579" t="s">
        <v>114</v>
      </c>
      <c r="CU579" t="s">
        <v>114</v>
      </c>
      <c r="CV579" t="s">
        <v>11997</v>
      </c>
      <c r="CW579" s="5" t="str">
        <f>"+13375466011"</f>
        <v>+13375466011</v>
      </c>
      <c r="CX579" t="s">
        <v>11998</v>
      </c>
      <c r="CY579" t="s">
        <v>138</v>
      </c>
      <c r="CZ579" t="s">
        <v>139</v>
      </c>
      <c r="DA579" t="s">
        <v>134</v>
      </c>
      <c r="DB579" t="s">
        <v>134</v>
      </c>
      <c r="DC579" t="s">
        <v>114</v>
      </c>
      <c r="DD579" t="s">
        <v>134</v>
      </c>
    </row>
    <row r="580" spans="1:113" ht="15" customHeight="1" x14ac:dyDescent="0.25">
      <c r="A580" t="s">
        <v>11960</v>
      </c>
      <c r="B580" t="s">
        <v>165</v>
      </c>
      <c r="C580" s="1">
        <v>44869.628538194447</v>
      </c>
      <c r="D580" s="1">
        <v>44895</v>
      </c>
      <c r="E580" t="s">
        <v>134</v>
      </c>
      <c r="F580" t="s">
        <v>10969</v>
      </c>
      <c r="G580" t="str">
        <f>"53-7062.00"</f>
        <v>53-7062.00</v>
      </c>
      <c r="H580" t="s">
        <v>245</v>
      </c>
      <c r="I580">
        <v>18</v>
      </c>
      <c r="J580">
        <v>18</v>
      </c>
      <c r="K580" s="1">
        <v>44958</v>
      </c>
      <c r="L580" s="1">
        <v>45260</v>
      </c>
      <c r="M580" s="1">
        <v>44958</v>
      </c>
      <c r="N580" s="1">
        <v>45260</v>
      </c>
      <c r="O580" t="s">
        <v>199</v>
      </c>
      <c r="P580" t="s">
        <v>11961</v>
      </c>
      <c r="R580" t="s">
        <v>11962</v>
      </c>
      <c r="T580" t="s">
        <v>4155</v>
      </c>
      <c r="U580" t="s">
        <v>479</v>
      </c>
      <c r="V580" s="4" t="str">
        <f>"23228"</f>
        <v>23228</v>
      </c>
      <c r="W580" t="s">
        <v>120</v>
      </c>
      <c r="Y580" s="5">
        <v>18042646621</v>
      </c>
      <c r="AA580">
        <v>532289</v>
      </c>
      <c r="AB580" t="s">
        <v>11963</v>
      </c>
      <c r="AC580" t="s">
        <v>2506</v>
      </c>
      <c r="AE580" t="s">
        <v>1212</v>
      </c>
      <c r="AF580" t="s">
        <v>11964</v>
      </c>
      <c r="AH580" t="s">
        <v>4155</v>
      </c>
      <c r="AI580" t="s">
        <v>479</v>
      </c>
      <c r="AJ580" s="4" t="str">
        <f>"23228"</f>
        <v>23228</v>
      </c>
      <c r="AK580" t="s">
        <v>120</v>
      </c>
      <c r="AM580" s="5">
        <v>18042646621</v>
      </c>
      <c r="AO580" t="s">
        <v>11965</v>
      </c>
      <c r="AP580" t="s">
        <v>256</v>
      </c>
      <c r="AQ580" t="s">
        <v>1898</v>
      </c>
      <c r="AR580" t="s">
        <v>1899</v>
      </c>
      <c r="AS580" t="s">
        <v>1900</v>
      </c>
      <c r="AT580" t="s">
        <v>1901</v>
      </c>
      <c r="AV580" t="s">
        <v>1902</v>
      </c>
      <c r="AW580" t="s">
        <v>479</v>
      </c>
      <c r="AX580" s="4" t="str">
        <f>"23223"</f>
        <v>23223</v>
      </c>
      <c r="AY580" t="s">
        <v>120</v>
      </c>
      <c r="BA580" s="5">
        <v>18043019607</v>
      </c>
      <c r="BC580" t="s">
        <v>1903</v>
      </c>
      <c r="BD580" t="s">
        <v>1904</v>
      </c>
      <c r="BG580" t="s">
        <v>479</v>
      </c>
      <c r="BH580" s="1">
        <v>44867.833333333336</v>
      </c>
      <c r="BI580">
        <v>40</v>
      </c>
      <c r="BJ580">
        <v>0</v>
      </c>
      <c r="BK580">
        <v>8</v>
      </c>
      <c r="BL580">
        <v>8</v>
      </c>
      <c r="BM580">
        <v>8</v>
      </c>
      <c r="BN580">
        <v>8</v>
      </c>
      <c r="BO580">
        <v>8</v>
      </c>
      <c r="BP580">
        <v>0</v>
      </c>
      <c r="BQ580" t="str">
        <f>"7:00 AM"</f>
        <v>7:00 AM</v>
      </c>
      <c r="BR580" t="str">
        <f>"4:00 PM"</f>
        <v>4:00 PM</v>
      </c>
      <c r="BS580" t="s">
        <v>133</v>
      </c>
      <c r="BT580">
        <v>0</v>
      </c>
      <c r="BU580">
        <v>3</v>
      </c>
      <c r="BV580" t="s">
        <v>134</v>
      </c>
      <c r="BX580" t="s">
        <v>11966</v>
      </c>
      <c r="BY580" t="s">
        <v>11967</v>
      </c>
      <c r="CA580" t="s">
        <v>10882</v>
      </c>
      <c r="CB580" t="s">
        <v>479</v>
      </c>
      <c r="CC580" s="4" t="str">
        <f>"23228"</f>
        <v>23228</v>
      </c>
      <c r="CD580" t="s">
        <v>6017</v>
      </c>
      <c r="CE580" t="s">
        <v>1863</v>
      </c>
      <c r="CF580" s="6">
        <v>16.27</v>
      </c>
      <c r="CG580" s="6">
        <v>16.27</v>
      </c>
      <c r="CH580" s="6">
        <v>24.41</v>
      </c>
      <c r="CI580" s="6">
        <v>24.41</v>
      </c>
      <c r="CJ580" t="s">
        <v>137</v>
      </c>
      <c r="CK580" t="s">
        <v>11968</v>
      </c>
      <c r="CL580" t="s">
        <v>11969</v>
      </c>
      <c r="CO580" t="s">
        <v>138</v>
      </c>
      <c r="CP580" t="s">
        <v>134</v>
      </c>
      <c r="CQ580" t="s">
        <v>114</v>
      </c>
      <c r="CR580" t="s">
        <v>114</v>
      </c>
      <c r="CS580" t="s">
        <v>134</v>
      </c>
      <c r="CT580" t="s">
        <v>114</v>
      </c>
      <c r="CU580" t="s">
        <v>134</v>
      </c>
      <c r="CV580" t="s">
        <v>2222</v>
      </c>
      <c r="CW580" s="5" t="str">
        <f>"+18042646621"</f>
        <v>+18042646621</v>
      </c>
      <c r="CX580" t="s">
        <v>11965</v>
      </c>
      <c r="CY580" t="s">
        <v>138</v>
      </c>
      <c r="CZ580" t="s">
        <v>139</v>
      </c>
      <c r="DA580" t="s">
        <v>134</v>
      </c>
      <c r="DB580" t="s">
        <v>114</v>
      </c>
      <c r="DC580" t="s">
        <v>114</v>
      </c>
      <c r="DD580" t="s">
        <v>134</v>
      </c>
      <c r="DE580" t="s">
        <v>11970</v>
      </c>
      <c r="DF580" t="s">
        <v>1899</v>
      </c>
      <c r="DG580" t="s">
        <v>1905</v>
      </c>
      <c r="DH580" t="s">
        <v>11971</v>
      </c>
      <c r="DI580" t="s">
        <v>1903</v>
      </c>
    </row>
    <row r="581" spans="1:113" ht="15" customHeight="1" x14ac:dyDescent="0.25">
      <c r="A581" t="s">
        <v>14391</v>
      </c>
      <c r="B581" t="s">
        <v>165</v>
      </c>
      <c r="C581" s="1">
        <v>44869.447812384256</v>
      </c>
      <c r="D581" s="1">
        <v>44895</v>
      </c>
      <c r="E581" t="s">
        <v>134</v>
      </c>
      <c r="F581" t="s">
        <v>334</v>
      </c>
      <c r="G581" t="str">
        <f t="shared" ref="G581:G587" si="41">"37-3011.00"</f>
        <v>37-3011.00</v>
      </c>
      <c r="H581" t="s">
        <v>335</v>
      </c>
      <c r="I581">
        <v>20</v>
      </c>
      <c r="J581">
        <v>20</v>
      </c>
      <c r="K581" s="1">
        <v>44958</v>
      </c>
      <c r="L581" s="1">
        <v>45260</v>
      </c>
      <c r="M581" s="1">
        <v>44958</v>
      </c>
      <c r="N581" s="1">
        <v>45260</v>
      </c>
      <c r="O581" t="s">
        <v>199</v>
      </c>
      <c r="P581" t="s">
        <v>14392</v>
      </c>
      <c r="Q581" t="s">
        <v>14393</v>
      </c>
      <c r="R581" t="s">
        <v>14394</v>
      </c>
      <c r="T581" t="s">
        <v>4480</v>
      </c>
      <c r="U581" t="s">
        <v>697</v>
      </c>
      <c r="V581" s="4" t="str">
        <f>"65202"</f>
        <v>65202</v>
      </c>
      <c r="W581" t="s">
        <v>120</v>
      </c>
      <c r="Y581" s="5">
        <v>15738755040</v>
      </c>
      <c r="AA581">
        <v>56173</v>
      </c>
      <c r="AB581" t="s">
        <v>14395</v>
      </c>
      <c r="AC581" t="s">
        <v>4372</v>
      </c>
      <c r="AE581" t="s">
        <v>7068</v>
      </c>
      <c r="AF581" t="s">
        <v>14394</v>
      </c>
      <c r="AH581" t="s">
        <v>4480</v>
      </c>
      <c r="AI581" t="s">
        <v>697</v>
      </c>
      <c r="AJ581" s="4" t="str">
        <f>"65202"</f>
        <v>65202</v>
      </c>
      <c r="AK581" t="s">
        <v>120</v>
      </c>
      <c r="AM581" s="5">
        <v>15738755040</v>
      </c>
      <c r="AO581" t="s">
        <v>14396</v>
      </c>
      <c r="AP581" t="s">
        <v>256</v>
      </c>
      <c r="AQ581" t="s">
        <v>3181</v>
      </c>
      <c r="AR581" t="s">
        <v>3182</v>
      </c>
      <c r="AT581" t="s">
        <v>346</v>
      </c>
      <c r="AU581" t="s">
        <v>347</v>
      </c>
      <c r="AV581" t="s">
        <v>828</v>
      </c>
      <c r="AW581" t="s">
        <v>349</v>
      </c>
      <c r="AX581" s="4" t="str">
        <f>"83814"</f>
        <v>83814</v>
      </c>
      <c r="AY581" t="s">
        <v>120</v>
      </c>
      <c r="BA581" s="5">
        <v>12087772654</v>
      </c>
      <c r="BC581" t="s">
        <v>3183</v>
      </c>
      <c r="BD581" t="s">
        <v>351</v>
      </c>
      <c r="BG581" t="s">
        <v>697</v>
      </c>
      <c r="BH581" s="1">
        <v>44852.833333333336</v>
      </c>
      <c r="BI581">
        <v>40</v>
      </c>
      <c r="BJ581">
        <v>0</v>
      </c>
      <c r="BK581">
        <v>8</v>
      </c>
      <c r="BL581">
        <v>8</v>
      </c>
      <c r="BM581">
        <v>8</v>
      </c>
      <c r="BN581">
        <v>8</v>
      </c>
      <c r="BO581">
        <v>8</v>
      </c>
      <c r="BP581">
        <v>0</v>
      </c>
      <c r="BQ581" t="str">
        <f>"8:00 AM"</f>
        <v>8:00 AM</v>
      </c>
      <c r="BR581" t="str">
        <f>"5:00 PM"</f>
        <v>5:00 PM</v>
      </c>
      <c r="BS581" t="s">
        <v>133</v>
      </c>
      <c r="BT581">
        <v>0</v>
      </c>
      <c r="BU581">
        <v>0</v>
      </c>
      <c r="BV581" t="s">
        <v>134</v>
      </c>
      <c r="BX581" s="2" t="s">
        <v>352</v>
      </c>
      <c r="BY581" t="s">
        <v>14397</v>
      </c>
      <c r="CA581" t="s">
        <v>4480</v>
      </c>
      <c r="CB581" t="s">
        <v>697</v>
      </c>
      <c r="CC581" s="4" t="str">
        <f>"65202"</f>
        <v>65202</v>
      </c>
      <c r="CD581" t="s">
        <v>3822</v>
      </c>
      <c r="CE581" t="s">
        <v>4250</v>
      </c>
      <c r="CF581" s="6">
        <v>15.45</v>
      </c>
      <c r="CG581" s="6">
        <v>19.5</v>
      </c>
      <c r="CH581" s="6">
        <v>23.18</v>
      </c>
      <c r="CI581" s="6">
        <v>29.25</v>
      </c>
      <c r="CJ581" t="s">
        <v>137</v>
      </c>
      <c r="CK581" t="s">
        <v>356</v>
      </c>
      <c r="CL581" t="s">
        <v>14398</v>
      </c>
      <c r="CO581" t="s">
        <v>138</v>
      </c>
      <c r="CP581" t="s">
        <v>114</v>
      </c>
      <c r="CQ581" t="s">
        <v>114</v>
      </c>
      <c r="CR581" t="s">
        <v>114</v>
      </c>
      <c r="CS581" t="s">
        <v>114</v>
      </c>
      <c r="CT581" t="s">
        <v>114</v>
      </c>
      <c r="CU581" t="s">
        <v>134</v>
      </c>
      <c r="CV581" t="s">
        <v>358</v>
      </c>
      <c r="CW581" s="5" t="str">
        <f>"+15738755040"</f>
        <v>+15738755040</v>
      </c>
      <c r="CX581" t="s">
        <v>14396</v>
      </c>
      <c r="CY581" t="s">
        <v>138</v>
      </c>
      <c r="CZ581" t="s">
        <v>139</v>
      </c>
      <c r="DA581" t="s">
        <v>134</v>
      </c>
      <c r="DB581" t="s">
        <v>134</v>
      </c>
      <c r="DC581" t="s">
        <v>114</v>
      </c>
      <c r="DD581" t="s">
        <v>134</v>
      </c>
    </row>
    <row r="582" spans="1:113" ht="15" customHeight="1" x14ac:dyDescent="0.25">
      <c r="A582" t="s">
        <v>16307</v>
      </c>
      <c r="B582" t="s">
        <v>165</v>
      </c>
      <c r="C582" s="1">
        <v>44868.74126516204</v>
      </c>
      <c r="D582" s="1">
        <v>44895</v>
      </c>
      <c r="E582" t="s">
        <v>134</v>
      </c>
      <c r="F582" t="s">
        <v>16308</v>
      </c>
      <c r="G582" t="str">
        <f t="shared" si="41"/>
        <v>37-3011.00</v>
      </c>
      <c r="H582" t="s">
        <v>335</v>
      </c>
      <c r="I582">
        <v>15</v>
      </c>
      <c r="J582">
        <v>15</v>
      </c>
      <c r="K582" s="1">
        <v>44958</v>
      </c>
      <c r="L582" s="1">
        <v>45245</v>
      </c>
      <c r="M582" s="1">
        <v>44958</v>
      </c>
      <c r="N582" s="1">
        <v>45245</v>
      </c>
      <c r="O582" t="s">
        <v>117</v>
      </c>
      <c r="P582" t="s">
        <v>16309</v>
      </c>
      <c r="R582" t="s">
        <v>16310</v>
      </c>
      <c r="T582" t="s">
        <v>8068</v>
      </c>
      <c r="U582" t="s">
        <v>214</v>
      </c>
      <c r="V582" s="4" t="str">
        <f>"70403"</f>
        <v>70403</v>
      </c>
      <c r="W582" t="s">
        <v>120</v>
      </c>
      <c r="Y582" s="5">
        <v>19858931928</v>
      </c>
      <c r="AA582">
        <v>5617</v>
      </c>
      <c r="AB582" t="s">
        <v>16311</v>
      </c>
      <c r="AC582" t="s">
        <v>16312</v>
      </c>
      <c r="AE582" t="s">
        <v>2082</v>
      </c>
      <c r="AF582" t="s">
        <v>16310</v>
      </c>
      <c r="AH582" t="s">
        <v>8068</v>
      </c>
      <c r="AI582" t="s">
        <v>214</v>
      </c>
      <c r="AJ582" s="4" t="str">
        <f>"70403"</f>
        <v>70403</v>
      </c>
      <c r="AK582" t="s">
        <v>120</v>
      </c>
      <c r="AM582" s="5">
        <v>19859918933</v>
      </c>
      <c r="AO582" t="s">
        <v>16313</v>
      </c>
      <c r="AP582" t="s">
        <v>256</v>
      </c>
      <c r="AQ582" t="s">
        <v>1615</v>
      </c>
      <c r="AR582" t="s">
        <v>1616</v>
      </c>
      <c r="AT582" t="s">
        <v>1617</v>
      </c>
      <c r="AV582" t="s">
        <v>1618</v>
      </c>
      <c r="AW582" t="s">
        <v>444</v>
      </c>
      <c r="AX582" s="4" t="str">
        <f>"93446"</f>
        <v>93446</v>
      </c>
      <c r="AY582" t="s">
        <v>120</v>
      </c>
      <c r="AZ582" t="s">
        <v>1619</v>
      </c>
      <c r="BA582" s="5">
        <v>13217042589</v>
      </c>
      <c r="BC582" t="s">
        <v>1620</v>
      </c>
      <c r="BD582" t="s">
        <v>1621</v>
      </c>
      <c r="BG582" t="s">
        <v>214</v>
      </c>
      <c r="BH582" s="1">
        <v>44867.833333333336</v>
      </c>
      <c r="BI582">
        <v>40</v>
      </c>
      <c r="BJ582">
        <v>0</v>
      </c>
      <c r="BK582">
        <v>8</v>
      </c>
      <c r="BL582">
        <v>8</v>
      </c>
      <c r="BM582">
        <v>8</v>
      </c>
      <c r="BN582">
        <v>8</v>
      </c>
      <c r="BO582">
        <v>8</v>
      </c>
      <c r="BP582">
        <v>0</v>
      </c>
      <c r="BQ582" t="str">
        <f>"7:00 AM"</f>
        <v>7:00 AM</v>
      </c>
      <c r="BR582" t="str">
        <f>"4:00 PM"</f>
        <v>4:00 PM</v>
      </c>
      <c r="BS582" t="s">
        <v>133</v>
      </c>
      <c r="BT582">
        <v>0</v>
      </c>
      <c r="BU582">
        <v>0</v>
      </c>
      <c r="BV582" t="s">
        <v>134</v>
      </c>
      <c r="BX582" s="2" t="s">
        <v>16314</v>
      </c>
      <c r="BY582" t="s">
        <v>16315</v>
      </c>
      <c r="CA582" t="s">
        <v>6000</v>
      </c>
      <c r="CB582" t="s">
        <v>214</v>
      </c>
      <c r="CC582" s="4" t="str">
        <f>"70434"</f>
        <v>70434</v>
      </c>
      <c r="CD582" t="s">
        <v>4567</v>
      </c>
      <c r="CE582" t="s">
        <v>4568</v>
      </c>
      <c r="CF582" s="6">
        <v>14.84</v>
      </c>
      <c r="CG582" s="6">
        <v>14.84</v>
      </c>
      <c r="CH582" s="6">
        <v>22.26</v>
      </c>
      <c r="CI582" s="6">
        <v>22.26</v>
      </c>
      <c r="CJ582" t="s">
        <v>137</v>
      </c>
      <c r="CK582" t="s">
        <v>4706</v>
      </c>
      <c r="CL582" t="s">
        <v>16316</v>
      </c>
      <c r="CO582" t="s">
        <v>138</v>
      </c>
      <c r="CP582" t="s">
        <v>114</v>
      </c>
      <c r="CQ582" t="s">
        <v>114</v>
      </c>
      <c r="CR582" t="s">
        <v>114</v>
      </c>
      <c r="CS582" t="s">
        <v>114</v>
      </c>
      <c r="CT582" t="s">
        <v>114</v>
      </c>
      <c r="CU582" t="s">
        <v>114</v>
      </c>
      <c r="CV582" t="s">
        <v>16317</v>
      </c>
      <c r="CW582" s="5" t="str">
        <f>"+19858931928"</f>
        <v>+19858931928</v>
      </c>
      <c r="CX582" t="s">
        <v>16318</v>
      </c>
      <c r="CY582" t="s">
        <v>138</v>
      </c>
      <c r="CZ582" t="s">
        <v>139</v>
      </c>
      <c r="DA582" t="s">
        <v>134</v>
      </c>
      <c r="DB582" t="s">
        <v>134</v>
      </c>
      <c r="DC582" t="s">
        <v>114</v>
      </c>
      <c r="DD582" t="s">
        <v>134</v>
      </c>
    </row>
    <row r="583" spans="1:113" ht="15" customHeight="1" x14ac:dyDescent="0.25">
      <c r="A583" t="s">
        <v>16424</v>
      </c>
      <c r="B583" t="s">
        <v>165</v>
      </c>
      <c r="C583" s="1">
        <v>44868.49799502315</v>
      </c>
      <c r="D583" s="1">
        <v>44895</v>
      </c>
      <c r="E583" t="s">
        <v>134</v>
      </c>
      <c r="F583" t="s">
        <v>334</v>
      </c>
      <c r="G583" t="str">
        <f t="shared" si="41"/>
        <v>37-3011.00</v>
      </c>
      <c r="H583" t="s">
        <v>335</v>
      </c>
      <c r="I583">
        <v>20</v>
      </c>
      <c r="J583">
        <v>20</v>
      </c>
      <c r="K583" s="1">
        <v>44958</v>
      </c>
      <c r="L583" s="1">
        <v>45260</v>
      </c>
      <c r="M583" s="1">
        <v>44958</v>
      </c>
      <c r="N583" s="1">
        <v>45260</v>
      </c>
      <c r="O583" t="s">
        <v>199</v>
      </c>
      <c r="P583" t="s">
        <v>16425</v>
      </c>
      <c r="R583" t="s">
        <v>16426</v>
      </c>
      <c r="T583" t="s">
        <v>16427</v>
      </c>
      <c r="U583" t="s">
        <v>697</v>
      </c>
      <c r="V583" s="4" t="str">
        <f>"64133"</f>
        <v>64133</v>
      </c>
      <c r="W583" t="s">
        <v>120</v>
      </c>
      <c r="Y583" s="5">
        <v>18167880808</v>
      </c>
      <c r="AA583">
        <v>56173</v>
      </c>
      <c r="AB583" t="s">
        <v>1829</v>
      </c>
      <c r="AC583" t="s">
        <v>16428</v>
      </c>
      <c r="AE583" t="s">
        <v>2623</v>
      </c>
      <c r="AF583" t="s">
        <v>16426</v>
      </c>
      <c r="AH583" t="s">
        <v>16427</v>
      </c>
      <c r="AI583" t="s">
        <v>697</v>
      </c>
      <c r="AJ583" s="4" t="str">
        <f>"64133"</f>
        <v>64133</v>
      </c>
      <c r="AK583" t="s">
        <v>120</v>
      </c>
      <c r="AM583" s="5">
        <v>18167880808</v>
      </c>
      <c r="AO583" t="s">
        <v>16429</v>
      </c>
      <c r="AP583" t="s">
        <v>256</v>
      </c>
      <c r="AQ583" t="s">
        <v>3181</v>
      </c>
      <c r="AR583" t="s">
        <v>3182</v>
      </c>
      <c r="AT583" t="s">
        <v>346</v>
      </c>
      <c r="AU583" t="s">
        <v>347</v>
      </c>
      <c r="AV583" t="s">
        <v>828</v>
      </c>
      <c r="AW583" t="s">
        <v>349</v>
      </c>
      <c r="AX583" s="4" t="str">
        <f>"83814"</f>
        <v>83814</v>
      </c>
      <c r="AY583" t="s">
        <v>120</v>
      </c>
      <c r="BA583" s="5">
        <v>12087772654</v>
      </c>
      <c r="BC583" t="s">
        <v>3183</v>
      </c>
      <c r="BD583" t="s">
        <v>351</v>
      </c>
      <c r="BG583" t="s">
        <v>697</v>
      </c>
      <c r="BH583" s="1">
        <v>44852.833333333336</v>
      </c>
      <c r="BI583">
        <v>40</v>
      </c>
      <c r="BJ583">
        <v>0</v>
      </c>
      <c r="BK583">
        <v>8</v>
      </c>
      <c r="BL583">
        <v>8</v>
      </c>
      <c r="BM583">
        <v>8</v>
      </c>
      <c r="BN583">
        <v>8</v>
      </c>
      <c r="BO583">
        <v>8</v>
      </c>
      <c r="BP583">
        <v>0</v>
      </c>
      <c r="BQ583" t="str">
        <f>"7:00 AM"</f>
        <v>7:00 AM</v>
      </c>
      <c r="BR583" t="str">
        <f>"4:00 PM"</f>
        <v>4:00 PM</v>
      </c>
      <c r="BS583" t="s">
        <v>133</v>
      </c>
      <c r="BT583">
        <v>0</v>
      </c>
      <c r="BU583">
        <v>0</v>
      </c>
      <c r="BV583" t="s">
        <v>134</v>
      </c>
      <c r="BX583" s="2" t="s">
        <v>1836</v>
      </c>
      <c r="BY583" t="s">
        <v>16430</v>
      </c>
      <c r="CA583" t="s">
        <v>16427</v>
      </c>
      <c r="CB583" t="s">
        <v>697</v>
      </c>
      <c r="CC583" s="4" t="str">
        <f>"64133"</f>
        <v>64133</v>
      </c>
      <c r="CD583" t="s">
        <v>1116</v>
      </c>
      <c r="CE583" t="s">
        <v>1290</v>
      </c>
      <c r="CF583" s="6">
        <v>16.920000000000002</v>
      </c>
      <c r="CG583" s="6">
        <v>20</v>
      </c>
      <c r="CH583" s="6">
        <v>25.38</v>
      </c>
      <c r="CI583" s="6">
        <v>30</v>
      </c>
      <c r="CJ583" t="s">
        <v>137</v>
      </c>
      <c r="CK583" t="s">
        <v>356</v>
      </c>
      <c r="CL583" t="s">
        <v>16431</v>
      </c>
      <c r="CO583" t="s">
        <v>138</v>
      </c>
      <c r="CP583" t="s">
        <v>114</v>
      </c>
      <c r="CQ583" t="s">
        <v>114</v>
      </c>
      <c r="CR583" t="s">
        <v>114</v>
      </c>
      <c r="CS583" t="s">
        <v>114</v>
      </c>
      <c r="CT583" t="s">
        <v>114</v>
      </c>
      <c r="CU583" t="s">
        <v>114</v>
      </c>
      <c r="CV583" t="s">
        <v>16432</v>
      </c>
      <c r="CW583" s="5" t="str">
        <f>"+18167880808"</f>
        <v>+18167880808</v>
      </c>
      <c r="CX583" t="s">
        <v>16429</v>
      </c>
      <c r="CY583" t="s">
        <v>138</v>
      </c>
      <c r="CZ583" t="s">
        <v>139</v>
      </c>
      <c r="DA583" t="s">
        <v>134</v>
      </c>
      <c r="DB583" t="s">
        <v>134</v>
      </c>
      <c r="DC583" t="s">
        <v>114</v>
      </c>
      <c r="DD583" t="s">
        <v>134</v>
      </c>
    </row>
    <row r="584" spans="1:113" ht="15" customHeight="1" x14ac:dyDescent="0.25">
      <c r="A584" t="s">
        <v>16441</v>
      </c>
      <c r="B584" t="s">
        <v>165</v>
      </c>
      <c r="C584" s="1">
        <v>44868.495403819441</v>
      </c>
      <c r="D584" s="1">
        <v>44895</v>
      </c>
      <c r="E584" t="s">
        <v>134</v>
      </c>
      <c r="F584" t="s">
        <v>334</v>
      </c>
      <c r="G584" t="str">
        <f t="shared" si="41"/>
        <v>37-3011.00</v>
      </c>
      <c r="H584" t="s">
        <v>335</v>
      </c>
      <c r="I584">
        <v>20</v>
      </c>
      <c r="J584">
        <v>20</v>
      </c>
      <c r="K584" s="1">
        <v>44958</v>
      </c>
      <c r="L584" s="1">
        <v>45260</v>
      </c>
      <c r="M584" s="1">
        <v>44958</v>
      </c>
      <c r="N584" s="1">
        <v>45260</v>
      </c>
      <c r="O584" t="s">
        <v>199</v>
      </c>
      <c r="P584" t="s">
        <v>16442</v>
      </c>
      <c r="R584" t="s">
        <v>16443</v>
      </c>
      <c r="T584" t="s">
        <v>4480</v>
      </c>
      <c r="U584" t="s">
        <v>697</v>
      </c>
      <c r="V584" s="4" t="str">
        <f>"65202"</f>
        <v>65202</v>
      </c>
      <c r="W584" t="s">
        <v>120</v>
      </c>
      <c r="Y584" s="5">
        <v>15734454465</v>
      </c>
      <c r="AA584">
        <v>56173</v>
      </c>
      <c r="AB584" t="s">
        <v>14395</v>
      </c>
      <c r="AC584" t="s">
        <v>14129</v>
      </c>
      <c r="AE584" t="s">
        <v>342</v>
      </c>
      <c r="AF584" t="s">
        <v>16443</v>
      </c>
      <c r="AH584" t="s">
        <v>4480</v>
      </c>
      <c r="AI584" t="s">
        <v>697</v>
      </c>
      <c r="AJ584" s="4" t="str">
        <f>"65202"</f>
        <v>65202</v>
      </c>
      <c r="AK584" t="s">
        <v>120</v>
      </c>
      <c r="AM584" s="5">
        <v>15734454465</v>
      </c>
      <c r="AO584" t="s">
        <v>16444</v>
      </c>
      <c r="AP584" t="s">
        <v>256</v>
      </c>
      <c r="AQ584" t="s">
        <v>3181</v>
      </c>
      <c r="AR584" t="s">
        <v>3182</v>
      </c>
      <c r="AT584" t="s">
        <v>346</v>
      </c>
      <c r="AU584" t="s">
        <v>347</v>
      </c>
      <c r="AV584" t="s">
        <v>828</v>
      </c>
      <c r="AW584" t="s">
        <v>349</v>
      </c>
      <c r="AX584" s="4" t="str">
        <f>"83814"</f>
        <v>83814</v>
      </c>
      <c r="AY584" t="s">
        <v>120</v>
      </c>
      <c r="BA584" s="5">
        <v>12087772654</v>
      </c>
      <c r="BC584" t="s">
        <v>3183</v>
      </c>
      <c r="BD584" t="s">
        <v>351</v>
      </c>
      <c r="BG584" t="s">
        <v>697</v>
      </c>
      <c r="BH584" s="1">
        <v>44852.833333333336</v>
      </c>
      <c r="BI584">
        <v>40</v>
      </c>
      <c r="BJ584">
        <v>0</v>
      </c>
      <c r="BK584">
        <v>8</v>
      </c>
      <c r="BL584">
        <v>8</v>
      </c>
      <c r="BM584">
        <v>8</v>
      </c>
      <c r="BN584">
        <v>8</v>
      </c>
      <c r="BO584">
        <v>8</v>
      </c>
      <c r="BP584">
        <v>0</v>
      </c>
      <c r="BQ584" t="str">
        <f>"8:00 AM"</f>
        <v>8:00 AM</v>
      </c>
      <c r="BR584" t="str">
        <f>"5:00 PM"</f>
        <v>5:00 PM</v>
      </c>
      <c r="BS584" t="s">
        <v>133</v>
      </c>
      <c r="BT584">
        <v>0</v>
      </c>
      <c r="BU584">
        <v>0</v>
      </c>
      <c r="BV584" t="s">
        <v>134</v>
      </c>
      <c r="BX584" s="2" t="s">
        <v>352</v>
      </c>
      <c r="BY584" t="s">
        <v>16445</v>
      </c>
      <c r="CA584" t="s">
        <v>4480</v>
      </c>
      <c r="CB584" t="s">
        <v>697</v>
      </c>
      <c r="CC584" s="4" t="str">
        <f>"65202"</f>
        <v>65202</v>
      </c>
      <c r="CD584" t="s">
        <v>3822</v>
      </c>
      <c r="CE584" t="s">
        <v>4250</v>
      </c>
      <c r="CF584" s="6">
        <v>15.45</v>
      </c>
      <c r="CG584" s="6">
        <v>19.5</v>
      </c>
      <c r="CH584" s="6">
        <v>23.18</v>
      </c>
      <c r="CI584" s="6">
        <v>29.25</v>
      </c>
      <c r="CJ584" t="s">
        <v>137</v>
      </c>
      <c r="CK584" t="s">
        <v>356</v>
      </c>
      <c r="CL584" t="s">
        <v>16446</v>
      </c>
      <c r="CO584" t="s">
        <v>138</v>
      </c>
      <c r="CP584" t="s">
        <v>114</v>
      </c>
      <c r="CQ584" t="s">
        <v>114</v>
      </c>
      <c r="CR584" t="s">
        <v>114</v>
      </c>
      <c r="CS584" t="s">
        <v>114</v>
      </c>
      <c r="CT584" t="s">
        <v>114</v>
      </c>
      <c r="CU584" t="s">
        <v>134</v>
      </c>
      <c r="CV584" t="s">
        <v>358</v>
      </c>
      <c r="CW584" s="5" t="str">
        <f>"+15734454465"</f>
        <v>+15734454465</v>
      </c>
      <c r="CX584" t="s">
        <v>16444</v>
      </c>
      <c r="CY584" t="s">
        <v>138</v>
      </c>
      <c r="CZ584" t="s">
        <v>139</v>
      </c>
      <c r="DA584" t="s">
        <v>134</v>
      </c>
      <c r="DB584" t="s">
        <v>134</v>
      </c>
      <c r="DC584" t="s">
        <v>114</v>
      </c>
      <c r="DD584" t="s">
        <v>134</v>
      </c>
    </row>
    <row r="585" spans="1:113" ht="15" customHeight="1" x14ac:dyDescent="0.25">
      <c r="A585" t="s">
        <v>12025</v>
      </c>
      <c r="B585" t="s">
        <v>165</v>
      </c>
      <c r="C585" s="1">
        <v>44868.39506354167</v>
      </c>
      <c r="D585" s="1">
        <v>44895</v>
      </c>
      <c r="E585" t="s">
        <v>134</v>
      </c>
      <c r="F585" t="s">
        <v>334</v>
      </c>
      <c r="G585" t="str">
        <f t="shared" si="41"/>
        <v>37-3011.00</v>
      </c>
      <c r="H585" t="s">
        <v>335</v>
      </c>
      <c r="I585">
        <v>17</v>
      </c>
      <c r="J585">
        <v>17</v>
      </c>
      <c r="K585" s="1">
        <v>44958</v>
      </c>
      <c r="L585" s="1">
        <v>45252</v>
      </c>
      <c r="M585" s="1">
        <v>44958</v>
      </c>
      <c r="N585" s="1">
        <v>45252</v>
      </c>
      <c r="O585" t="s">
        <v>117</v>
      </c>
      <c r="P585" t="s">
        <v>12026</v>
      </c>
      <c r="R585" t="s">
        <v>12027</v>
      </c>
      <c r="S585" t="s">
        <v>12028</v>
      </c>
      <c r="T585" t="s">
        <v>2108</v>
      </c>
      <c r="U585" t="s">
        <v>232</v>
      </c>
      <c r="V585" s="4" t="str">
        <f>"78213"</f>
        <v>78213</v>
      </c>
      <c r="W585" t="s">
        <v>120</v>
      </c>
      <c r="Y585" s="5">
        <v>12103493263</v>
      </c>
      <c r="AA585">
        <v>561730</v>
      </c>
      <c r="AB585" t="s">
        <v>12029</v>
      </c>
      <c r="AC585" t="s">
        <v>1271</v>
      </c>
      <c r="AD585" t="s">
        <v>138</v>
      </c>
      <c r="AE585" t="s">
        <v>424</v>
      </c>
      <c r="AF585" t="s">
        <v>12027</v>
      </c>
      <c r="AG585" t="s">
        <v>12028</v>
      </c>
      <c r="AH585" t="s">
        <v>2108</v>
      </c>
      <c r="AI585" t="s">
        <v>232</v>
      </c>
      <c r="AJ585" s="4" t="str">
        <f>"78213"</f>
        <v>78213</v>
      </c>
      <c r="AK585" t="s">
        <v>120</v>
      </c>
      <c r="AM585" s="5">
        <v>12103493263</v>
      </c>
      <c r="AO585" t="s">
        <v>12030</v>
      </c>
      <c r="AP585" t="s">
        <v>256</v>
      </c>
      <c r="AQ585" t="s">
        <v>1282</v>
      </c>
      <c r="AR585" t="s">
        <v>1283</v>
      </c>
      <c r="AS585" t="s">
        <v>138</v>
      </c>
      <c r="AT585" t="s">
        <v>1284</v>
      </c>
      <c r="AU585" t="s">
        <v>138</v>
      </c>
      <c r="AV585" t="s">
        <v>1285</v>
      </c>
      <c r="AW585" t="s">
        <v>232</v>
      </c>
      <c r="AX585" s="4" t="str">
        <f>"77414"</f>
        <v>77414</v>
      </c>
      <c r="AY585" t="s">
        <v>120</v>
      </c>
      <c r="BA585" s="5">
        <v>19793187279</v>
      </c>
      <c r="BC585" t="s">
        <v>1286</v>
      </c>
      <c r="BD585" t="s">
        <v>1287</v>
      </c>
      <c r="BG585" t="s">
        <v>232</v>
      </c>
      <c r="BH585" s="1">
        <v>44867.833333333336</v>
      </c>
      <c r="BI585">
        <v>50</v>
      </c>
      <c r="BJ585">
        <v>0</v>
      </c>
      <c r="BK585">
        <v>10</v>
      </c>
      <c r="BL585">
        <v>10</v>
      </c>
      <c r="BM585">
        <v>10</v>
      </c>
      <c r="BN585">
        <v>10</v>
      </c>
      <c r="BO585">
        <v>10</v>
      </c>
      <c r="BP585">
        <v>0</v>
      </c>
      <c r="BQ585" t="str">
        <f>"7:00 AM"</f>
        <v>7:00 AM</v>
      </c>
      <c r="BR585" t="str">
        <f>"5:00 PM"</f>
        <v>5:00 PM</v>
      </c>
      <c r="BS585" t="s">
        <v>133</v>
      </c>
      <c r="BT585">
        <v>0</v>
      </c>
      <c r="BU585">
        <v>0</v>
      </c>
      <c r="BV585" t="s">
        <v>134</v>
      </c>
      <c r="BX585" s="2" t="s">
        <v>12031</v>
      </c>
      <c r="BY585" t="s">
        <v>12027</v>
      </c>
      <c r="BZ585" t="s">
        <v>12028</v>
      </c>
      <c r="CA585" t="s">
        <v>2108</v>
      </c>
      <c r="CB585" t="s">
        <v>232</v>
      </c>
      <c r="CC585" s="4" t="str">
        <f>"78213"</f>
        <v>78213</v>
      </c>
      <c r="CD585" t="s">
        <v>2112</v>
      </c>
      <c r="CE585" t="s">
        <v>1342</v>
      </c>
      <c r="CF585" s="6">
        <v>15.05</v>
      </c>
      <c r="CG585" s="6">
        <v>22</v>
      </c>
      <c r="CH585" s="6">
        <v>22.58</v>
      </c>
      <c r="CI585" s="6">
        <v>33</v>
      </c>
      <c r="CJ585" t="s">
        <v>137</v>
      </c>
      <c r="CK585" t="s">
        <v>12032</v>
      </c>
      <c r="CL585" t="s">
        <v>12033</v>
      </c>
      <c r="CO585" t="s">
        <v>138</v>
      </c>
      <c r="CP585" t="s">
        <v>114</v>
      </c>
      <c r="CQ585" t="s">
        <v>114</v>
      </c>
      <c r="CR585" t="s">
        <v>114</v>
      </c>
      <c r="CS585" t="s">
        <v>114</v>
      </c>
      <c r="CT585" t="s">
        <v>114</v>
      </c>
      <c r="CU585" t="s">
        <v>114</v>
      </c>
      <c r="CV585" s="2" t="s">
        <v>12034</v>
      </c>
      <c r="CW585" s="5" t="str">
        <f>"+12103493263"</f>
        <v>+12103493263</v>
      </c>
      <c r="CX585" t="s">
        <v>12030</v>
      </c>
      <c r="CY585" t="s">
        <v>138</v>
      </c>
      <c r="CZ585" t="s">
        <v>139</v>
      </c>
      <c r="DA585" t="s">
        <v>134</v>
      </c>
      <c r="DB585" t="s">
        <v>134</v>
      </c>
      <c r="DC585" t="s">
        <v>114</v>
      </c>
      <c r="DD585" t="s">
        <v>134</v>
      </c>
    </row>
    <row r="586" spans="1:113" ht="15" customHeight="1" x14ac:dyDescent="0.25">
      <c r="A586" t="s">
        <v>10370</v>
      </c>
      <c r="B586" t="s">
        <v>165</v>
      </c>
      <c r="C586" s="1">
        <v>44868.36651550926</v>
      </c>
      <c r="D586" s="1">
        <v>44895</v>
      </c>
      <c r="E586" t="s">
        <v>134</v>
      </c>
      <c r="F586" t="s">
        <v>4397</v>
      </c>
      <c r="G586" t="str">
        <f t="shared" si="41"/>
        <v>37-3011.00</v>
      </c>
      <c r="H586" t="s">
        <v>335</v>
      </c>
      <c r="I586">
        <v>12</v>
      </c>
      <c r="J586">
        <v>12</v>
      </c>
      <c r="K586" s="1">
        <v>44958</v>
      </c>
      <c r="L586" s="1">
        <v>45245</v>
      </c>
      <c r="M586" s="1">
        <v>44958</v>
      </c>
      <c r="N586" s="1">
        <v>45245</v>
      </c>
      <c r="O586" t="s">
        <v>117</v>
      </c>
      <c r="P586" t="s">
        <v>10371</v>
      </c>
      <c r="Q586" t="s">
        <v>10372</v>
      </c>
      <c r="R586" t="s">
        <v>10373</v>
      </c>
      <c r="S586" t="s">
        <v>10374</v>
      </c>
      <c r="T586" t="s">
        <v>10375</v>
      </c>
      <c r="U586" t="s">
        <v>119</v>
      </c>
      <c r="V586" s="4" t="str">
        <f>"28584"</f>
        <v>28584</v>
      </c>
      <c r="W586" t="s">
        <v>120</v>
      </c>
      <c r="Y586" s="5">
        <v>19104834005</v>
      </c>
      <c r="AA586">
        <v>56173</v>
      </c>
      <c r="AB586" t="s">
        <v>10376</v>
      </c>
      <c r="AC586" t="s">
        <v>626</v>
      </c>
      <c r="AE586" t="s">
        <v>342</v>
      </c>
      <c r="AF586" t="s">
        <v>10373</v>
      </c>
      <c r="AG586" t="s">
        <v>10374</v>
      </c>
      <c r="AH586" t="s">
        <v>10375</v>
      </c>
      <c r="AI586" t="s">
        <v>119</v>
      </c>
      <c r="AJ586" s="4" t="str">
        <f>"28584"</f>
        <v>28584</v>
      </c>
      <c r="AK586" t="s">
        <v>120</v>
      </c>
      <c r="AM586" s="5">
        <v>19104834005</v>
      </c>
      <c r="AO586" t="s">
        <v>10377</v>
      </c>
      <c r="AP586" t="s">
        <v>256</v>
      </c>
      <c r="AQ586" t="s">
        <v>475</v>
      </c>
      <c r="AR586" t="s">
        <v>1548</v>
      </c>
      <c r="AT586" t="s">
        <v>477</v>
      </c>
      <c r="AV586" t="s">
        <v>478</v>
      </c>
      <c r="AW586" t="s">
        <v>479</v>
      </c>
      <c r="AX586" s="4" t="str">
        <f>"22903"</f>
        <v>22903</v>
      </c>
      <c r="AY586" t="s">
        <v>120</v>
      </c>
      <c r="BA586" s="5">
        <v>14342634300</v>
      </c>
      <c r="BC586" t="s">
        <v>480</v>
      </c>
      <c r="BD586" t="s">
        <v>481</v>
      </c>
      <c r="BG586" t="s">
        <v>119</v>
      </c>
      <c r="BH586" s="1">
        <v>44867.833333333336</v>
      </c>
      <c r="BI586">
        <v>40</v>
      </c>
      <c r="BJ586">
        <v>0</v>
      </c>
      <c r="BK586">
        <v>10</v>
      </c>
      <c r="BL586">
        <v>10</v>
      </c>
      <c r="BM586">
        <v>10</v>
      </c>
      <c r="BN586">
        <v>10</v>
      </c>
      <c r="BO586">
        <v>0</v>
      </c>
      <c r="BP586">
        <v>0</v>
      </c>
      <c r="BQ586" t="str">
        <f>"7:00 AM"</f>
        <v>7:00 AM</v>
      </c>
      <c r="BR586" t="str">
        <f>"5:30 PM"</f>
        <v>5:30 PM</v>
      </c>
      <c r="BS586" t="s">
        <v>133</v>
      </c>
      <c r="BT586">
        <v>0</v>
      </c>
      <c r="BU586">
        <v>3</v>
      </c>
      <c r="BV586" t="s">
        <v>134</v>
      </c>
      <c r="BX586" s="2" t="s">
        <v>10378</v>
      </c>
      <c r="BY586" t="s">
        <v>10379</v>
      </c>
      <c r="CA586" t="s">
        <v>10375</v>
      </c>
      <c r="CB586" t="s">
        <v>119</v>
      </c>
      <c r="CC586" s="4" t="str">
        <f>"28584"</f>
        <v>28584</v>
      </c>
      <c r="CD586" t="s">
        <v>5806</v>
      </c>
      <c r="CE586" t="s">
        <v>5807</v>
      </c>
      <c r="CF586" s="6">
        <v>14.23</v>
      </c>
      <c r="CH586" s="6">
        <v>23.12</v>
      </c>
      <c r="CJ586" t="s">
        <v>137</v>
      </c>
      <c r="CK586" t="s">
        <v>487</v>
      </c>
      <c r="CL586" t="s">
        <v>10380</v>
      </c>
      <c r="CO586" t="s">
        <v>138</v>
      </c>
      <c r="CP586" t="s">
        <v>114</v>
      </c>
      <c r="CQ586" t="s">
        <v>114</v>
      </c>
      <c r="CR586" t="s">
        <v>114</v>
      </c>
      <c r="CS586" t="s">
        <v>134</v>
      </c>
      <c r="CT586" t="s">
        <v>114</v>
      </c>
      <c r="CU586" t="s">
        <v>114</v>
      </c>
      <c r="CV586" t="s">
        <v>5744</v>
      </c>
      <c r="CW586" s="5" t="str">
        <f>"+19104834005"</f>
        <v>+19104834005</v>
      </c>
      <c r="CX586" t="s">
        <v>138</v>
      </c>
      <c r="CY586" t="s">
        <v>2142</v>
      </c>
      <c r="CZ586" t="s">
        <v>139</v>
      </c>
      <c r="DA586" t="s">
        <v>134</v>
      </c>
      <c r="DB586" t="s">
        <v>114</v>
      </c>
      <c r="DC586" t="s">
        <v>114</v>
      </c>
      <c r="DD586" t="s">
        <v>134</v>
      </c>
      <c r="DE586" t="s">
        <v>492</v>
      </c>
      <c r="DF586" t="s">
        <v>493</v>
      </c>
      <c r="DH586" t="s">
        <v>481</v>
      </c>
      <c r="DI586" t="s">
        <v>480</v>
      </c>
    </row>
    <row r="587" spans="1:113" ht="15" customHeight="1" x14ac:dyDescent="0.25">
      <c r="A587" t="s">
        <v>6497</v>
      </c>
      <c r="B587" t="s">
        <v>165</v>
      </c>
      <c r="C587" s="1">
        <v>44868.361499768522</v>
      </c>
      <c r="D587" s="1">
        <v>44895</v>
      </c>
      <c r="E587" t="s">
        <v>134</v>
      </c>
      <c r="F587" t="s">
        <v>334</v>
      </c>
      <c r="G587" t="str">
        <f t="shared" si="41"/>
        <v>37-3011.00</v>
      </c>
      <c r="H587" t="s">
        <v>335</v>
      </c>
      <c r="I587">
        <v>20</v>
      </c>
      <c r="J587">
        <v>20</v>
      </c>
      <c r="K587" s="1">
        <v>44958</v>
      </c>
      <c r="L587" s="1">
        <v>45261</v>
      </c>
      <c r="M587" s="1">
        <v>44958</v>
      </c>
      <c r="N587" s="1">
        <v>45261</v>
      </c>
      <c r="O587" t="s">
        <v>117</v>
      </c>
      <c r="P587" t="s">
        <v>6498</v>
      </c>
      <c r="R587" t="s">
        <v>6499</v>
      </c>
      <c r="T587" t="s">
        <v>5553</v>
      </c>
      <c r="U587" t="s">
        <v>214</v>
      </c>
      <c r="V587" s="4" t="str">
        <f>"70726"</f>
        <v>70726</v>
      </c>
      <c r="W587" t="s">
        <v>120</v>
      </c>
      <c r="Y587" s="5">
        <v>12254454870</v>
      </c>
      <c r="AA587">
        <v>56173</v>
      </c>
      <c r="AB587" t="s">
        <v>6500</v>
      </c>
      <c r="AC587" t="s">
        <v>1702</v>
      </c>
      <c r="AE587" t="s">
        <v>342</v>
      </c>
      <c r="AF587" t="s">
        <v>6501</v>
      </c>
      <c r="AH587" t="s">
        <v>5553</v>
      </c>
      <c r="AI587" t="s">
        <v>214</v>
      </c>
      <c r="AJ587" s="4" t="str">
        <f>"70726"</f>
        <v>70726</v>
      </c>
      <c r="AK587" t="s">
        <v>120</v>
      </c>
      <c r="AM587" s="5">
        <v>12254454870</v>
      </c>
      <c r="AO587" t="s">
        <v>6502</v>
      </c>
      <c r="AP587" t="s">
        <v>256</v>
      </c>
      <c r="AQ587" t="s">
        <v>257</v>
      </c>
      <c r="AR587" t="s">
        <v>258</v>
      </c>
      <c r="AS587" t="s">
        <v>259</v>
      </c>
      <c r="AT587" t="s">
        <v>260</v>
      </c>
      <c r="AU587" t="s">
        <v>261</v>
      </c>
      <c r="AV587" t="s">
        <v>262</v>
      </c>
      <c r="AW587" t="s">
        <v>214</v>
      </c>
      <c r="AX587" s="4" t="str">
        <f>"70754"</f>
        <v>70754</v>
      </c>
      <c r="AY587" t="s">
        <v>120</v>
      </c>
      <c r="AZ587" t="s">
        <v>263</v>
      </c>
      <c r="BA587" s="5">
        <v>12256863033</v>
      </c>
      <c r="BC587" t="s">
        <v>264</v>
      </c>
      <c r="BD587" t="s">
        <v>265</v>
      </c>
      <c r="BG587" t="s">
        <v>214</v>
      </c>
      <c r="BH587" s="1">
        <v>44867.833333333336</v>
      </c>
      <c r="BI587">
        <v>35</v>
      </c>
      <c r="BJ587">
        <v>0</v>
      </c>
      <c r="BK587">
        <v>6</v>
      </c>
      <c r="BL587">
        <v>6</v>
      </c>
      <c r="BM587">
        <v>6</v>
      </c>
      <c r="BN587">
        <v>6</v>
      </c>
      <c r="BO587">
        <v>6</v>
      </c>
      <c r="BP587">
        <v>5</v>
      </c>
      <c r="BQ587" t="str">
        <f>"7:00 AM"</f>
        <v>7:00 AM</v>
      </c>
      <c r="BR587" t="str">
        <f>"4:00 PM"</f>
        <v>4:00 PM</v>
      </c>
      <c r="BS587" t="s">
        <v>133</v>
      </c>
      <c r="BT587">
        <v>0</v>
      </c>
      <c r="BU587">
        <v>0</v>
      </c>
      <c r="BV587" t="s">
        <v>134</v>
      </c>
      <c r="BX587" s="2" t="s">
        <v>6503</v>
      </c>
      <c r="BY587" t="s">
        <v>6499</v>
      </c>
      <c r="CA587" t="s">
        <v>5553</v>
      </c>
      <c r="CB587" t="s">
        <v>214</v>
      </c>
      <c r="CC587" s="4" t="str">
        <f>"70726"</f>
        <v>70726</v>
      </c>
      <c r="CD587" t="s">
        <v>1627</v>
      </c>
      <c r="CE587" t="s">
        <v>737</v>
      </c>
      <c r="CF587" s="6">
        <v>14.87</v>
      </c>
      <c r="CH587" s="6">
        <v>22.31</v>
      </c>
      <c r="CJ587" t="s">
        <v>137</v>
      </c>
      <c r="CK587" t="s">
        <v>271</v>
      </c>
      <c r="CL587" t="s">
        <v>6504</v>
      </c>
      <c r="CO587" t="s">
        <v>138</v>
      </c>
      <c r="CP587" t="s">
        <v>114</v>
      </c>
      <c r="CQ587" t="s">
        <v>114</v>
      </c>
      <c r="CR587" t="s">
        <v>114</v>
      </c>
      <c r="CS587" t="s">
        <v>114</v>
      </c>
      <c r="CT587" t="s">
        <v>114</v>
      </c>
      <c r="CU587" t="s">
        <v>114</v>
      </c>
      <c r="CV587" s="2" t="s">
        <v>6505</v>
      </c>
      <c r="CW587" s="5" t="str">
        <f>"+12257525222"</f>
        <v>+12257525222</v>
      </c>
      <c r="CX587" t="s">
        <v>6506</v>
      </c>
      <c r="CY587" t="s">
        <v>2248</v>
      </c>
      <c r="CZ587" t="s">
        <v>139</v>
      </c>
      <c r="DA587" t="s">
        <v>134</v>
      </c>
      <c r="DB587" t="s">
        <v>134</v>
      </c>
      <c r="DC587" t="s">
        <v>114</v>
      </c>
      <c r="DD587" t="s">
        <v>134</v>
      </c>
    </row>
    <row r="588" spans="1:113" ht="15" customHeight="1" x14ac:dyDescent="0.25">
      <c r="A588" t="s">
        <v>16843</v>
      </c>
      <c r="B588" t="s">
        <v>165</v>
      </c>
      <c r="C588" s="1">
        <v>44868.357150115742</v>
      </c>
      <c r="D588" s="1">
        <v>44895</v>
      </c>
      <c r="E588" t="s">
        <v>134</v>
      </c>
      <c r="F588" t="s">
        <v>1357</v>
      </c>
      <c r="G588" t="str">
        <f>"35-3023.00"</f>
        <v>35-3023.00</v>
      </c>
      <c r="H588" t="s">
        <v>555</v>
      </c>
      <c r="I588">
        <v>7</v>
      </c>
      <c r="J588">
        <v>7</v>
      </c>
      <c r="K588" s="1">
        <v>44958</v>
      </c>
      <c r="L588" s="1">
        <v>45230</v>
      </c>
      <c r="M588" s="1">
        <v>44958</v>
      </c>
      <c r="N588" s="1">
        <v>45230</v>
      </c>
      <c r="O588" t="s">
        <v>199</v>
      </c>
      <c r="P588" t="s">
        <v>16844</v>
      </c>
      <c r="Q588" t="s">
        <v>16845</v>
      </c>
      <c r="R588" t="s">
        <v>16846</v>
      </c>
      <c r="T588" t="s">
        <v>16847</v>
      </c>
      <c r="U588" t="s">
        <v>1414</v>
      </c>
      <c r="V588" s="4" t="str">
        <f>"48616"</f>
        <v>48616</v>
      </c>
      <c r="W588" t="s">
        <v>120</v>
      </c>
      <c r="Y588" s="5">
        <v>19897372222</v>
      </c>
      <c r="AA588">
        <v>71119</v>
      </c>
      <c r="AB588" t="s">
        <v>14374</v>
      </c>
      <c r="AC588" t="s">
        <v>16848</v>
      </c>
      <c r="AD588" t="s">
        <v>1869</v>
      </c>
      <c r="AE588" t="s">
        <v>424</v>
      </c>
      <c r="AF588" t="s">
        <v>16849</v>
      </c>
      <c r="AH588" t="s">
        <v>16847</v>
      </c>
      <c r="AI588" t="s">
        <v>1414</v>
      </c>
      <c r="AJ588" s="4" t="str">
        <f>"48616"</f>
        <v>48616</v>
      </c>
      <c r="AK588" t="s">
        <v>120</v>
      </c>
      <c r="AM588" s="5">
        <v>19897372222</v>
      </c>
      <c r="AO588" t="s">
        <v>16850</v>
      </c>
      <c r="AP588" t="s">
        <v>256</v>
      </c>
      <c r="AQ588" t="s">
        <v>535</v>
      </c>
      <c r="AR588" t="s">
        <v>536</v>
      </c>
      <c r="AS588" t="s">
        <v>537</v>
      </c>
      <c r="AT588" t="s">
        <v>538</v>
      </c>
      <c r="AU588" t="s">
        <v>539</v>
      </c>
      <c r="AV588" t="s">
        <v>540</v>
      </c>
      <c r="AW588" t="s">
        <v>232</v>
      </c>
      <c r="AX588" s="4" t="str">
        <f>"78550"</f>
        <v>78550</v>
      </c>
      <c r="AY588" t="s">
        <v>120</v>
      </c>
      <c r="BA588" s="5">
        <v>19564408720</v>
      </c>
      <c r="BB588">
        <v>0</v>
      </c>
      <c r="BC588" t="s">
        <v>563</v>
      </c>
      <c r="BD588" t="s">
        <v>543</v>
      </c>
      <c r="BG588" t="s">
        <v>1414</v>
      </c>
      <c r="BH588" s="1">
        <v>44867.833333333336</v>
      </c>
      <c r="BI588">
        <v>40</v>
      </c>
      <c r="BJ588">
        <v>8</v>
      </c>
      <c r="BK588">
        <v>0</v>
      </c>
      <c r="BL588">
        <v>0</v>
      </c>
      <c r="BM588">
        <v>8</v>
      </c>
      <c r="BN588">
        <v>8</v>
      </c>
      <c r="BO588">
        <v>8</v>
      </c>
      <c r="BP588">
        <v>8</v>
      </c>
      <c r="BQ588" t="str">
        <f>"1:00 PM"</f>
        <v>1:00 PM</v>
      </c>
      <c r="BR588" t="str">
        <f>"10:00 PM"</f>
        <v>10:00 PM</v>
      </c>
      <c r="BS588" t="s">
        <v>133</v>
      </c>
      <c r="BT588">
        <v>0</v>
      </c>
      <c r="BU588">
        <v>0</v>
      </c>
      <c r="BV588" t="s">
        <v>134</v>
      </c>
      <c r="BX588" s="2" t="s">
        <v>3113</v>
      </c>
      <c r="BY588" t="s">
        <v>16849</v>
      </c>
      <c r="CA588" t="s">
        <v>16847</v>
      </c>
      <c r="CB588" t="s">
        <v>1414</v>
      </c>
      <c r="CC588" s="4" t="str">
        <f>"48616"</f>
        <v>48616</v>
      </c>
      <c r="CD588" t="s">
        <v>14378</v>
      </c>
      <c r="CE588" t="s">
        <v>14379</v>
      </c>
      <c r="CF588" s="6">
        <v>10.039999999999999</v>
      </c>
      <c r="CG588" s="6">
        <v>15.5</v>
      </c>
      <c r="CJ588" t="s">
        <v>137</v>
      </c>
      <c r="CK588" t="s">
        <v>549</v>
      </c>
      <c r="CL588" t="s">
        <v>16851</v>
      </c>
      <c r="CO588" t="s">
        <v>138</v>
      </c>
      <c r="CP588" t="s">
        <v>114</v>
      </c>
      <c r="CQ588" t="s">
        <v>114</v>
      </c>
      <c r="CR588" t="s">
        <v>134</v>
      </c>
      <c r="CS588" t="s">
        <v>114</v>
      </c>
      <c r="CT588" t="s">
        <v>114</v>
      </c>
      <c r="CU588" t="s">
        <v>114</v>
      </c>
      <c r="CV588" t="s">
        <v>569</v>
      </c>
      <c r="CW588" s="5" t="str">
        <f>"+19897372222"</f>
        <v>+19897372222</v>
      </c>
      <c r="CX588" t="s">
        <v>16850</v>
      </c>
      <c r="CY588" t="s">
        <v>138</v>
      </c>
      <c r="CZ588" t="s">
        <v>139</v>
      </c>
      <c r="DA588" t="s">
        <v>134</v>
      </c>
      <c r="DB588" t="s">
        <v>114</v>
      </c>
      <c r="DC588" t="s">
        <v>114</v>
      </c>
      <c r="DD588" t="s">
        <v>134</v>
      </c>
    </row>
    <row r="589" spans="1:113" ht="15" customHeight="1" x14ac:dyDescent="0.25">
      <c r="A589" t="s">
        <v>12997</v>
      </c>
      <c r="B589" t="s">
        <v>165</v>
      </c>
      <c r="C589" s="1">
        <v>44868.333178356479</v>
      </c>
      <c r="D589" s="1">
        <v>44895</v>
      </c>
      <c r="E589" t="s">
        <v>134</v>
      </c>
      <c r="F589" t="s">
        <v>1296</v>
      </c>
      <c r="G589" t="str">
        <f t="shared" ref="G589:G602" si="42">"37-3011.00"</f>
        <v>37-3011.00</v>
      </c>
      <c r="H589" t="s">
        <v>335</v>
      </c>
      <c r="I589">
        <v>34</v>
      </c>
      <c r="J589">
        <v>34</v>
      </c>
      <c r="K589" s="1">
        <v>44958</v>
      </c>
      <c r="L589" s="1">
        <v>45260</v>
      </c>
      <c r="M589" s="1">
        <v>44958</v>
      </c>
      <c r="N589" s="1">
        <v>45260</v>
      </c>
      <c r="O589" t="s">
        <v>117</v>
      </c>
      <c r="P589" t="s">
        <v>12998</v>
      </c>
      <c r="R589" t="s">
        <v>12999</v>
      </c>
      <c r="T589" t="s">
        <v>2213</v>
      </c>
      <c r="U589" t="s">
        <v>479</v>
      </c>
      <c r="V589" s="4" t="str">
        <f>"23701"</f>
        <v>23701</v>
      </c>
      <c r="W589" t="s">
        <v>120</v>
      </c>
      <c r="Y589" s="5">
        <v>17574888600</v>
      </c>
      <c r="AA589">
        <v>56173</v>
      </c>
      <c r="AB589" t="s">
        <v>2578</v>
      </c>
      <c r="AC589" t="s">
        <v>4062</v>
      </c>
      <c r="AD589" t="s">
        <v>1685</v>
      </c>
      <c r="AE589" t="s">
        <v>12453</v>
      </c>
      <c r="AF589" t="s">
        <v>13000</v>
      </c>
      <c r="AH589" t="s">
        <v>7904</v>
      </c>
      <c r="AI589" t="s">
        <v>479</v>
      </c>
      <c r="AJ589" s="4" t="str">
        <f>"23059"</f>
        <v>23059</v>
      </c>
      <c r="AK589" t="s">
        <v>120</v>
      </c>
      <c r="AM589" s="5">
        <v>18045503500</v>
      </c>
      <c r="AO589" t="s">
        <v>12456</v>
      </c>
      <c r="AP589" t="s">
        <v>256</v>
      </c>
      <c r="AQ589" t="s">
        <v>1731</v>
      </c>
      <c r="AR589" t="s">
        <v>1732</v>
      </c>
      <c r="AS589" t="s">
        <v>1733</v>
      </c>
      <c r="AT589" t="s">
        <v>1734</v>
      </c>
      <c r="AU589" t="s">
        <v>1735</v>
      </c>
      <c r="AV589" t="s">
        <v>1736</v>
      </c>
      <c r="AW589" t="s">
        <v>479</v>
      </c>
      <c r="AX589" s="4" t="str">
        <f>"24521"</f>
        <v>24521</v>
      </c>
      <c r="AY589" t="s">
        <v>120</v>
      </c>
      <c r="BA589" s="5">
        <v>14349460035</v>
      </c>
      <c r="BB589">
        <v>11</v>
      </c>
      <c r="BC589" t="s">
        <v>1737</v>
      </c>
      <c r="BD589" t="s">
        <v>1738</v>
      </c>
      <c r="BG589" t="s">
        <v>479</v>
      </c>
      <c r="BH589" s="1">
        <v>44867.833333333336</v>
      </c>
      <c r="BI589">
        <v>35</v>
      </c>
      <c r="BJ589">
        <v>0</v>
      </c>
      <c r="BK589">
        <v>7</v>
      </c>
      <c r="BL589">
        <v>7</v>
      </c>
      <c r="BM589">
        <v>7</v>
      </c>
      <c r="BN589">
        <v>7</v>
      </c>
      <c r="BO589">
        <v>7</v>
      </c>
      <c r="BP589">
        <v>0</v>
      </c>
      <c r="BQ589" t="str">
        <f>"7:00 AM"</f>
        <v>7:00 AM</v>
      </c>
      <c r="BR589" t="str">
        <f>"4:00 PM"</f>
        <v>4:00 PM</v>
      </c>
      <c r="BS589" t="s">
        <v>133</v>
      </c>
      <c r="BT589">
        <v>0</v>
      </c>
      <c r="BU589">
        <v>3</v>
      </c>
      <c r="BV589" t="s">
        <v>134</v>
      </c>
      <c r="BX589" s="2" t="s">
        <v>13001</v>
      </c>
      <c r="BY589" t="s">
        <v>12999</v>
      </c>
      <c r="CA589" t="s">
        <v>2213</v>
      </c>
      <c r="CB589" t="s">
        <v>479</v>
      </c>
      <c r="CC589" s="4" t="str">
        <f>"23701"</f>
        <v>23701</v>
      </c>
      <c r="CD589" t="s">
        <v>2620</v>
      </c>
      <c r="CE589" t="s">
        <v>1687</v>
      </c>
      <c r="CF589" s="6">
        <v>15.16</v>
      </c>
      <c r="CG589" s="6">
        <v>15.16</v>
      </c>
      <c r="CH589" s="6">
        <v>22.74</v>
      </c>
      <c r="CI589" s="6">
        <v>22.74</v>
      </c>
      <c r="CJ589" t="s">
        <v>137</v>
      </c>
      <c r="CK589" t="s">
        <v>10887</v>
      </c>
      <c r="CL589" t="s">
        <v>13002</v>
      </c>
      <c r="CO589" t="s">
        <v>138</v>
      </c>
      <c r="CP589" t="s">
        <v>114</v>
      </c>
      <c r="CQ589" t="s">
        <v>114</v>
      </c>
      <c r="CR589" t="s">
        <v>114</v>
      </c>
      <c r="CS589" t="s">
        <v>134</v>
      </c>
      <c r="CT589" t="s">
        <v>114</v>
      </c>
      <c r="CU589" t="s">
        <v>114</v>
      </c>
      <c r="CV589" t="s">
        <v>13003</v>
      </c>
      <c r="CW589" s="5" t="str">
        <f>"N/A"</f>
        <v>N/A</v>
      </c>
      <c r="CX589" t="s">
        <v>13004</v>
      </c>
      <c r="CY589" t="s">
        <v>13005</v>
      </c>
      <c r="CZ589" t="s">
        <v>139</v>
      </c>
      <c r="DA589" t="s">
        <v>134</v>
      </c>
      <c r="DB589" t="s">
        <v>114</v>
      </c>
      <c r="DC589" t="s">
        <v>114</v>
      </c>
      <c r="DD589" t="s">
        <v>134</v>
      </c>
    </row>
    <row r="590" spans="1:113" ht="15" customHeight="1" x14ac:dyDescent="0.25">
      <c r="A590" t="s">
        <v>16414</v>
      </c>
      <c r="B590" t="s">
        <v>165</v>
      </c>
      <c r="C590" s="1">
        <v>44868.051440162038</v>
      </c>
      <c r="D590" s="1">
        <v>44895</v>
      </c>
      <c r="E590" t="s">
        <v>134</v>
      </c>
      <c r="F590" t="s">
        <v>334</v>
      </c>
      <c r="G590" t="str">
        <f t="shared" si="42"/>
        <v>37-3011.00</v>
      </c>
      <c r="H590" t="s">
        <v>335</v>
      </c>
      <c r="I590">
        <v>39</v>
      </c>
      <c r="J590">
        <v>39</v>
      </c>
      <c r="K590" s="1">
        <v>44958</v>
      </c>
      <c r="L590" s="1">
        <v>45260</v>
      </c>
      <c r="M590" s="1">
        <v>44958</v>
      </c>
      <c r="N590" s="1">
        <v>45260</v>
      </c>
      <c r="O590" t="s">
        <v>117</v>
      </c>
      <c r="P590" t="s">
        <v>16415</v>
      </c>
      <c r="Q590" t="s">
        <v>4888</v>
      </c>
      <c r="R590" t="s">
        <v>16416</v>
      </c>
      <c r="T590" t="s">
        <v>2044</v>
      </c>
      <c r="U590" t="s">
        <v>232</v>
      </c>
      <c r="V590" s="4" t="str">
        <f>"76092"</f>
        <v>76092</v>
      </c>
      <c r="W590" t="s">
        <v>120</v>
      </c>
      <c r="Y590" s="5">
        <v>18176080660</v>
      </c>
      <c r="AA590">
        <v>56173</v>
      </c>
      <c r="AB590" t="s">
        <v>4890</v>
      </c>
      <c r="AC590" t="s">
        <v>4891</v>
      </c>
      <c r="AE590" t="s">
        <v>1407</v>
      </c>
      <c r="AF590" t="s">
        <v>16416</v>
      </c>
      <c r="AH590" t="s">
        <v>2044</v>
      </c>
      <c r="AI590" t="s">
        <v>232</v>
      </c>
      <c r="AJ590" s="4" t="str">
        <f>"76092"</f>
        <v>76092</v>
      </c>
      <c r="AK590" t="s">
        <v>120</v>
      </c>
      <c r="AM590" s="5">
        <v>18176080660</v>
      </c>
      <c r="AO590" t="s">
        <v>4892</v>
      </c>
      <c r="AP590" t="s">
        <v>256</v>
      </c>
      <c r="AQ590" t="s">
        <v>344</v>
      </c>
      <c r="AR590" t="s">
        <v>345</v>
      </c>
      <c r="AT590" t="s">
        <v>346</v>
      </c>
      <c r="AU590" t="s">
        <v>347</v>
      </c>
      <c r="AV590" t="s">
        <v>348</v>
      </c>
      <c r="AW590" t="s">
        <v>349</v>
      </c>
      <c r="AX590" s="4" t="str">
        <f t="shared" ref="AX590:AX602" si="43">"83814"</f>
        <v>83814</v>
      </c>
      <c r="AY590" t="s">
        <v>120</v>
      </c>
      <c r="BA590" s="5">
        <v>12087772654</v>
      </c>
      <c r="BC590" t="s">
        <v>350</v>
      </c>
      <c r="BD590" t="s">
        <v>351</v>
      </c>
      <c r="BG590" t="s">
        <v>232</v>
      </c>
      <c r="BH590" s="1">
        <v>44853.833333333336</v>
      </c>
      <c r="BI590">
        <v>40</v>
      </c>
      <c r="BJ590">
        <v>0</v>
      </c>
      <c r="BK590">
        <v>8</v>
      </c>
      <c r="BL590">
        <v>8</v>
      </c>
      <c r="BM590">
        <v>8</v>
      </c>
      <c r="BN590">
        <v>8</v>
      </c>
      <c r="BO590">
        <v>8</v>
      </c>
      <c r="BP590">
        <v>0</v>
      </c>
      <c r="BQ590" t="str">
        <f>"8:00 AM"</f>
        <v>8:00 AM</v>
      </c>
      <c r="BR590" t="str">
        <f>"5:00 PM"</f>
        <v>5:00 PM</v>
      </c>
      <c r="BS590" t="s">
        <v>133</v>
      </c>
      <c r="BT590">
        <v>0</v>
      </c>
      <c r="BU590">
        <v>0</v>
      </c>
      <c r="BV590" t="s">
        <v>134</v>
      </c>
      <c r="BX590" s="2" t="s">
        <v>1836</v>
      </c>
      <c r="BY590" t="s">
        <v>16417</v>
      </c>
      <c r="CA590" t="s">
        <v>2044</v>
      </c>
      <c r="CB590" t="s">
        <v>232</v>
      </c>
      <c r="CC590" s="4" t="str">
        <f>"76092"</f>
        <v>76092</v>
      </c>
      <c r="CD590" t="s">
        <v>2054</v>
      </c>
      <c r="CE590" t="s">
        <v>1528</v>
      </c>
      <c r="CF590" s="6">
        <v>16.3</v>
      </c>
      <c r="CG590" s="6">
        <v>19</v>
      </c>
      <c r="CH590" s="6">
        <v>24.45</v>
      </c>
      <c r="CI590" s="6">
        <v>28.5</v>
      </c>
      <c r="CJ590" t="s">
        <v>137</v>
      </c>
      <c r="CK590" t="s">
        <v>356</v>
      </c>
      <c r="CL590" t="s">
        <v>16418</v>
      </c>
      <c r="CO590" t="s">
        <v>138</v>
      </c>
      <c r="CP590" t="s">
        <v>114</v>
      </c>
      <c r="CQ590" t="s">
        <v>114</v>
      </c>
      <c r="CR590" t="s">
        <v>114</v>
      </c>
      <c r="CS590" t="s">
        <v>114</v>
      </c>
      <c r="CT590" t="s">
        <v>114</v>
      </c>
      <c r="CU590" t="s">
        <v>114</v>
      </c>
      <c r="CV590" s="2" t="s">
        <v>16419</v>
      </c>
      <c r="CW590" s="5" t="str">
        <f>"+19727071589"</f>
        <v>+19727071589</v>
      </c>
      <c r="CX590" t="s">
        <v>4896</v>
      </c>
      <c r="CY590" t="s">
        <v>138</v>
      </c>
      <c r="CZ590" t="s">
        <v>139</v>
      </c>
      <c r="DA590" t="s">
        <v>134</v>
      </c>
      <c r="DB590" t="s">
        <v>134</v>
      </c>
      <c r="DC590" t="s">
        <v>114</v>
      </c>
      <c r="DD590" t="s">
        <v>134</v>
      </c>
    </row>
    <row r="591" spans="1:113" ht="15" customHeight="1" x14ac:dyDescent="0.25">
      <c r="A591" t="s">
        <v>8361</v>
      </c>
      <c r="B591" t="s">
        <v>165</v>
      </c>
      <c r="C591" s="1">
        <v>44868.037810532405</v>
      </c>
      <c r="D591" s="1">
        <v>44895</v>
      </c>
      <c r="E591" t="s">
        <v>134</v>
      </c>
      <c r="F591" t="s">
        <v>334</v>
      </c>
      <c r="G591" t="str">
        <f t="shared" si="42"/>
        <v>37-3011.00</v>
      </c>
      <c r="H591" t="s">
        <v>335</v>
      </c>
      <c r="I591">
        <v>10</v>
      </c>
      <c r="J591">
        <v>10</v>
      </c>
      <c r="K591" s="1">
        <v>44958</v>
      </c>
      <c r="L591" s="1">
        <v>45260</v>
      </c>
      <c r="M591" s="1">
        <v>44958</v>
      </c>
      <c r="N591" s="1">
        <v>45260</v>
      </c>
      <c r="O591" t="s">
        <v>117</v>
      </c>
      <c r="P591" t="s">
        <v>8362</v>
      </c>
      <c r="Q591" t="s">
        <v>4888</v>
      </c>
      <c r="R591" t="s">
        <v>8363</v>
      </c>
      <c r="T591" t="s">
        <v>4637</v>
      </c>
      <c r="U591" t="s">
        <v>394</v>
      </c>
      <c r="V591" s="4" t="str">
        <f>"29418"</f>
        <v>29418</v>
      </c>
      <c r="W591" t="s">
        <v>120</v>
      </c>
      <c r="Y591" s="5">
        <v>18438554116</v>
      </c>
      <c r="AA591">
        <v>56173</v>
      </c>
      <c r="AB591" t="s">
        <v>4890</v>
      </c>
      <c r="AC591" t="s">
        <v>4891</v>
      </c>
      <c r="AE591" t="s">
        <v>1407</v>
      </c>
      <c r="AF591" t="s">
        <v>8363</v>
      </c>
      <c r="AH591" t="s">
        <v>4637</v>
      </c>
      <c r="AI591" t="s">
        <v>394</v>
      </c>
      <c r="AJ591" s="4" t="str">
        <f>"29418"</f>
        <v>29418</v>
      </c>
      <c r="AK591" t="s">
        <v>120</v>
      </c>
      <c r="AM591" s="5">
        <v>18438554116</v>
      </c>
      <c r="AO591" t="s">
        <v>4892</v>
      </c>
      <c r="AP591" t="s">
        <v>256</v>
      </c>
      <c r="AQ591" t="s">
        <v>344</v>
      </c>
      <c r="AR591" t="s">
        <v>345</v>
      </c>
      <c r="AT591" t="s">
        <v>346</v>
      </c>
      <c r="AU591" t="s">
        <v>347</v>
      </c>
      <c r="AV591" t="s">
        <v>348</v>
      </c>
      <c r="AW591" t="s">
        <v>349</v>
      </c>
      <c r="AX591" s="4" t="str">
        <f t="shared" si="43"/>
        <v>83814</v>
      </c>
      <c r="AY591" t="s">
        <v>120</v>
      </c>
      <c r="BA591" s="5">
        <v>12087772654</v>
      </c>
      <c r="BC591" t="s">
        <v>350</v>
      </c>
      <c r="BD591" t="s">
        <v>351</v>
      </c>
      <c r="BG591" t="s">
        <v>394</v>
      </c>
      <c r="BH591" s="1">
        <v>44853.833333333336</v>
      </c>
      <c r="BI591">
        <v>40</v>
      </c>
      <c r="BJ591">
        <v>0</v>
      </c>
      <c r="BK591">
        <v>8</v>
      </c>
      <c r="BL591">
        <v>8</v>
      </c>
      <c r="BM591">
        <v>8</v>
      </c>
      <c r="BN591">
        <v>8</v>
      </c>
      <c r="BO591">
        <v>8</v>
      </c>
      <c r="BP591">
        <v>0</v>
      </c>
      <c r="BQ591" t="str">
        <f>"8:00 AM"</f>
        <v>8:00 AM</v>
      </c>
      <c r="BR591" t="str">
        <f>"5:00 PM"</f>
        <v>5:00 PM</v>
      </c>
      <c r="BS591" t="s">
        <v>133</v>
      </c>
      <c r="BT591">
        <v>0</v>
      </c>
      <c r="BU591">
        <v>0</v>
      </c>
      <c r="BV591" t="s">
        <v>134</v>
      </c>
      <c r="BX591" s="2" t="s">
        <v>1836</v>
      </c>
      <c r="BY591" t="s">
        <v>8364</v>
      </c>
      <c r="CA591" t="s">
        <v>4637</v>
      </c>
      <c r="CB591" t="s">
        <v>394</v>
      </c>
      <c r="CC591" s="4" t="str">
        <f>"29418"</f>
        <v>29418</v>
      </c>
      <c r="CD591" t="s">
        <v>1243</v>
      </c>
      <c r="CE591" t="s">
        <v>1244</v>
      </c>
      <c r="CF591" s="6">
        <v>16.09</v>
      </c>
      <c r="CH591" s="6">
        <v>24.14</v>
      </c>
      <c r="CJ591" t="s">
        <v>137</v>
      </c>
      <c r="CL591" t="s">
        <v>8365</v>
      </c>
      <c r="CO591" t="s">
        <v>138</v>
      </c>
      <c r="CP591" t="s">
        <v>114</v>
      </c>
      <c r="CQ591" t="s">
        <v>114</v>
      </c>
      <c r="CR591" t="s">
        <v>114</v>
      </c>
      <c r="CS591" t="s">
        <v>114</v>
      </c>
      <c r="CT591" t="s">
        <v>114</v>
      </c>
      <c r="CU591" t="s">
        <v>114</v>
      </c>
      <c r="CV591" s="2" t="s">
        <v>8366</v>
      </c>
      <c r="CW591" s="5" t="str">
        <f>"+19727071589"</f>
        <v>+19727071589</v>
      </c>
      <c r="CX591" t="s">
        <v>4896</v>
      </c>
      <c r="CY591" t="s">
        <v>138</v>
      </c>
      <c r="CZ591" t="s">
        <v>139</v>
      </c>
      <c r="DA591" t="s">
        <v>134</v>
      </c>
      <c r="DB591" t="s">
        <v>134</v>
      </c>
      <c r="DC591" t="s">
        <v>114</v>
      </c>
      <c r="DD591" t="s">
        <v>134</v>
      </c>
    </row>
    <row r="592" spans="1:113" ht="15" customHeight="1" x14ac:dyDescent="0.25">
      <c r="A592" t="s">
        <v>14454</v>
      </c>
      <c r="B592" t="s">
        <v>165</v>
      </c>
      <c r="C592" s="1">
        <v>44868.008199768519</v>
      </c>
      <c r="D592" s="1">
        <v>44895</v>
      </c>
      <c r="E592" t="s">
        <v>134</v>
      </c>
      <c r="F592" t="s">
        <v>334</v>
      </c>
      <c r="G592" t="str">
        <f t="shared" si="42"/>
        <v>37-3011.00</v>
      </c>
      <c r="H592" t="s">
        <v>335</v>
      </c>
      <c r="I592">
        <v>36</v>
      </c>
      <c r="J592">
        <v>36</v>
      </c>
      <c r="K592" s="1">
        <v>44958</v>
      </c>
      <c r="L592" s="1">
        <v>45260</v>
      </c>
      <c r="M592" s="1">
        <v>44958</v>
      </c>
      <c r="N592" s="1">
        <v>45260</v>
      </c>
      <c r="O592" t="s">
        <v>199</v>
      </c>
      <c r="P592" t="s">
        <v>14455</v>
      </c>
      <c r="R592" t="s">
        <v>14456</v>
      </c>
      <c r="T592" t="s">
        <v>1978</v>
      </c>
      <c r="U592" t="s">
        <v>697</v>
      </c>
      <c r="V592" s="4" t="str">
        <f>"63301"</f>
        <v>63301</v>
      </c>
      <c r="W592" t="s">
        <v>120</v>
      </c>
      <c r="Y592" s="5">
        <v>16367238737</v>
      </c>
      <c r="AA592">
        <v>56173</v>
      </c>
      <c r="AB592" t="s">
        <v>14457</v>
      </c>
      <c r="AC592" t="s">
        <v>9398</v>
      </c>
      <c r="AD592" t="s">
        <v>1458</v>
      </c>
      <c r="AE592" t="s">
        <v>342</v>
      </c>
      <c r="AF592" t="s">
        <v>14456</v>
      </c>
      <c r="AH592" t="s">
        <v>1978</v>
      </c>
      <c r="AI592" t="s">
        <v>697</v>
      </c>
      <c r="AJ592" s="4" t="str">
        <f>"63301"</f>
        <v>63301</v>
      </c>
      <c r="AK592" t="s">
        <v>120</v>
      </c>
      <c r="AM592" s="5">
        <v>16367238737</v>
      </c>
      <c r="AO592" t="s">
        <v>14458</v>
      </c>
      <c r="AP592" t="s">
        <v>256</v>
      </c>
      <c r="AQ592" t="s">
        <v>3181</v>
      </c>
      <c r="AR592" t="s">
        <v>3182</v>
      </c>
      <c r="AT592" t="s">
        <v>346</v>
      </c>
      <c r="AU592" t="s">
        <v>347</v>
      </c>
      <c r="AV592" t="s">
        <v>828</v>
      </c>
      <c r="AW592" t="s">
        <v>349</v>
      </c>
      <c r="AX592" s="4" t="str">
        <f t="shared" si="43"/>
        <v>83814</v>
      </c>
      <c r="AY592" t="s">
        <v>120</v>
      </c>
      <c r="BA592" s="5">
        <v>12087772654</v>
      </c>
      <c r="BC592" t="s">
        <v>3183</v>
      </c>
      <c r="BD592" t="s">
        <v>351</v>
      </c>
      <c r="BG592" t="s">
        <v>697</v>
      </c>
      <c r="BH592" s="1">
        <v>44852.833333333336</v>
      </c>
      <c r="BI592">
        <v>40</v>
      </c>
      <c r="BJ592">
        <v>0</v>
      </c>
      <c r="BK592">
        <v>8</v>
      </c>
      <c r="BL592">
        <v>8</v>
      </c>
      <c r="BM592">
        <v>8</v>
      </c>
      <c r="BN592">
        <v>8</v>
      </c>
      <c r="BO592">
        <v>8</v>
      </c>
      <c r="BP592">
        <v>0</v>
      </c>
      <c r="BQ592" t="str">
        <f>"7:00 AM"</f>
        <v>7:00 AM</v>
      </c>
      <c r="BR592" t="str">
        <f>"4:00 PM"</f>
        <v>4:00 PM</v>
      </c>
      <c r="BS592" t="s">
        <v>133</v>
      </c>
      <c r="BT592">
        <v>0</v>
      </c>
      <c r="BU592">
        <v>0</v>
      </c>
      <c r="BV592" t="s">
        <v>134</v>
      </c>
      <c r="BX592" s="2" t="s">
        <v>352</v>
      </c>
      <c r="BY592" t="s">
        <v>14459</v>
      </c>
      <c r="CA592" t="s">
        <v>1978</v>
      </c>
      <c r="CB592" t="s">
        <v>697</v>
      </c>
      <c r="CC592" s="4" t="str">
        <f>"63301"</f>
        <v>63301</v>
      </c>
      <c r="CD592" t="s">
        <v>1962</v>
      </c>
      <c r="CE592" t="s">
        <v>713</v>
      </c>
      <c r="CF592" s="6">
        <v>16.96</v>
      </c>
      <c r="CG592" s="6">
        <v>23</v>
      </c>
      <c r="CH592" s="6">
        <v>25.44</v>
      </c>
      <c r="CI592" s="6">
        <v>34.5</v>
      </c>
      <c r="CJ592" t="s">
        <v>137</v>
      </c>
      <c r="CK592" t="s">
        <v>356</v>
      </c>
      <c r="CL592" t="s">
        <v>14460</v>
      </c>
      <c r="CO592" t="s">
        <v>138</v>
      </c>
      <c r="CP592" t="s">
        <v>114</v>
      </c>
      <c r="CQ592" t="s">
        <v>114</v>
      </c>
      <c r="CR592" t="s">
        <v>114</v>
      </c>
      <c r="CS592" t="s">
        <v>114</v>
      </c>
      <c r="CT592" t="s">
        <v>114</v>
      </c>
      <c r="CU592" t="s">
        <v>114</v>
      </c>
      <c r="CV592" s="2" t="s">
        <v>14461</v>
      </c>
      <c r="CW592" s="5" t="str">
        <f>"+16367238737"</f>
        <v>+16367238737</v>
      </c>
      <c r="CX592" t="s">
        <v>14458</v>
      </c>
      <c r="CY592" t="s">
        <v>138</v>
      </c>
      <c r="CZ592" t="s">
        <v>139</v>
      </c>
      <c r="DA592" t="s">
        <v>134</v>
      </c>
      <c r="DB592" t="s">
        <v>134</v>
      </c>
      <c r="DC592" t="s">
        <v>114</v>
      </c>
      <c r="DD592" t="s">
        <v>134</v>
      </c>
    </row>
    <row r="593" spans="1:113" ht="15" customHeight="1" x14ac:dyDescent="0.25">
      <c r="A593" t="s">
        <v>14273</v>
      </c>
      <c r="B593" t="s">
        <v>165</v>
      </c>
      <c r="C593" s="1">
        <v>44868.005186342591</v>
      </c>
      <c r="D593" s="1">
        <v>44895</v>
      </c>
      <c r="E593" t="s">
        <v>134</v>
      </c>
      <c r="F593" t="s">
        <v>334</v>
      </c>
      <c r="G593" t="str">
        <f t="shared" si="42"/>
        <v>37-3011.00</v>
      </c>
      <c r="H593" t="s">
        <v>335</v>
      </c>
      <c r="I593">
        <v>70</v>
      </c>
      <c r="J593">
        <v>70</v>
      </c>
      <c r="K593" s="1">
        <v>44958</v>
      </c>
      <c r="L593" s="1">
        <v>45260</v>
      </c>
      <c r="M593" s="1">
        <v>44958</v>
      </c>
      <c r="N593" s="1">
        <v>45260</v>
      </c>
      <c r="O593" t="s">
        <v>117</v>
      </c>
      <c r="P593" t="s">
        <v>14274</v>
      </c>
      <c r="R593" t="s">
        <v>14275</v>
      </c>
      <c r="T593" t="s">
        <v>4096</v>
      </c>
      <c r="U593" t="s">
        <v>232</v>
      </c>
      <c r="V593" s="4" t="str">
        <f>"75081"</f>
        <v>75081</v>
      </c>
      <c r="W593" t="s">
        <v>120</v>
      </c>
      <c r="Y593" s="5">
        <v>19724245726</v>
      </c>
      <c r="AA593">
        <v>56173</v>
      </c>
      <c r="AB593" t="s">
        <v>4474</v>
      </c>
      <c r="AC593" t="s">
        <v>13963</v>
      </c>
      <c r="AE593" t="s">
        <v>342</v>
      </c>
      <c r="AF593" t="s">
        <v>14275</v>
      </c>
      <c r="AH593" t="s">
        <v>4096</v>
      </c>
      <c r="AI593" t="s">
        <v>232</v>
      </c>
      <c r="AJ593" s="4" t="str">
        <f>"75081"</f>
        <v>75081</v>
      </c>
      <c r="AK593" t="s">
        <v>120</v>
      </c>
      <c r="AM593" s="5">
        <v>19724245726</v>
      </c>
      <c r="AO593" t="s">
        <v>14276</v>
      </c>
      <c r="AP593" t="s">
        <v>256</v>
      </c>
      <c r="AQ593" t="s">
        <v>344</v>
      </c>
      <c r="AR593" t="s">
        <v>345</v>
      </c>
      <c r="AT593" t="s">
        <v>346</v>
      </c>
      <c r="AU593" t="s">
        <v>347</v>
      </c>
      <c r="AV593" t="s">
        <v>348</v>
      </c>
      <c r="AW593" t="s">
        <v>349</v>
      </c>
      <c r="AX593" s="4" t="str">
        <f t="shared" si="43"/>
        <v>83814</v>
      </c>
      <c r="AY593" t="s">
        <v>120</v>
      </c>
      <c r="BA593" s="5">
        <v>12087772654</v>
      </c>
      <c r="BC593" t="s">
        <v>350</v>
      </c>
      <c r="BD593" t="s">
        <v>351</v>
      </c>
      <c r="BG593" t="s">
        <v>232</v>
      </c>
      <c r="BH593" s="1">
        <v>44851.833333333336</v>
      </c>
      <c r="BI593">
        <v>40</v>
      </c>
      <c r="BJ593">
        <v>0</v>
      </c>
      <c r="BK593">
        <v>8</v>
      </c>
      <c r="BL593">
        <v>8</v>
      </c>
      <c r="BM593">
        <v>8</v>
      </c>
      <c r="BN593">
        <v>8</v>
      </c>
      <c r="BO593">
        <v>8</v>
      </c>
      <c r="BP593">
        <v>0</v>
      </c>
      <c r="BQ593" t="str">
        <f>"7:00 AM"</f>
        <v>7:00 AM</v>
      </c>
      <c r="BR593" t="str">
        <f>"4:00 PM"</f>
        <v>4:00 PM</v>
      </c>
      <c r="BS593" t="s">
        <v>133</v>
      </c>
      <c r="BT593">
        <v>0</v>
      </c>
      <c r="BU593">
        <v>0</v>
      </c>
      <c r="BV593" t="s">
        <v>134</v>
      </c>
      <c r="BX593" s="2" t="s">
        <v>352</v>
      </c>
      <c r="BY593" t="s">
        <v>14277</v>
      </c>
      <c r="CA593" t="s">
        <v>4096</v>
      </c>
      <c r="CB593" t="s">
        <v>232</v>
      </c>
      <c r="CC593" s="4" t="str">
        <f>"75081"</f>
        <v>75081</v>
      </c>
      <c r="CD593" t="s">
        <v>1482</v>
      </c>
      <c r="CE593" t="s">
        <v>1528</v>
      </c>
      <c r="CF593" s="6">
        <v>16.3</v>
      </c>
      <c r="CG593" s="6">
        <v>20</v>
      </c>
      <c r="CH593" s="6">
        <v>24.45</v>
      </c>
      <c r="CI593" s="6">
        <v>30</v>
      </c>
      <c r="CJ593" t="s">
        <v>137</v>
      </c>
      <c r="CK593" t="s">
        <v>356</v>
      </c>
      <c r="CL593" t="s">
        <v>14278</v>
      </c>
      <c r="CO593" t="s">
        <v>138</v>
      </c>
      <c r="CP593" t="s">
        <v>114</v>
      </c>
      <c r="CQ593" t="s">
        <v>114</v>
      </c>
      <c r="CR593" t="s">
        <v>114</v>
      </c>
      <c r="CS593" t="s">
        <v>114</v>
      </c>
      <c r="CT593" t="s">
        <v>114</v>
      </c>
      <c r="CU593" t="s">
        <v>134</v>
      </c>
      <c r="CV593" t="s">
        <v>358</v>
      </c>
      <c r="CW593" s="5" t="str">
        <f>"+19724245726"</f>
        <v>+19724245726</v>
      </c>
      <c r="CX593" t="s">
        <v>14276</v>
      </c>
      <c r="CY593" t="s">
        <v>138</v>
      </c>
      <c r="CZ593" t="s">
        <v>139</v>
      </c>
      <c r="DA593" t="s">
        <v>134</v>
      </c>
      <c r="DB593" t="s">
        <v>134</v>
      </c>
      <c r="DC593" t="s">
        <v>114</v>
      </c>
      <c r="DD593" t="s">
        <v>134</v>
      </c>
    </row>
    <row r="594" spans="1:113" ht="15" customHeight="1" x14ac:dyDescent="0.25">
      <c r="A594" t="s">
        <v>4925</v>
      </c>
      <c r="B594" t="s">
        <v>165</v>
      </c>
      <c r="C594" s="1">
        <v>44868.004409027781</v>
      </c>
      <c r="D594" s="1">
        <v>44895</v>
      </c>
      <c r="E594" t="s">
        <v>134</v>
      </c>
      <c r="F594" t="s">
        <v>334</v>
      </c>
      <c r="G594" t="str">
        <f t="shared" si="42"/>
        <v>37-3011.00</v>
      </c>
      <c r="H594" t="s">
        <v>335</v>
      </c>
      <c r="I594">
        <v>50</v>
      </c>
      <c r="J594">
        <v>50</v>
      </c>
      <c r="K594" s="1">
        <v>44958</v>
      </c>
      <c r="L594" s="1">
        <v>45260</v>
      </c>
      <c r="M594" s="1">
        <v>44958</v>
      </c>
      <c r="N594" s="1">
        <v>45260</v>
      </c>
      <c r="O594" t="s">
        <v>199</v>
      </c>
      <c r="P594" t="s">
        <v>4926</v>
      </c>
      <c r="R594" t="s">
        <v>4927</v>
      </c>
      <c r="T594" t="s">
        <v>4928</v>
      </c>
      <c r="U594" t="s">
        <v>697</v>
      </c>
      <c r="V594" s="4" t="str">
        <f>"63385"</f>
        <v>63385</v>
      </c>
      <c r="W594" t="s">
        <v>120</v>
      </c>
      <c r="Y594" s="5">
        <v>16363988800</v>
      </c>
      <c r="AA594">
        <v>56173</v>
      </c>
      <c r="AB594" t="s">
        <v>4929</v>
      </c>
      <c r="AC594" t="s">
        <v>4930</v>
      </c>
      <c r="AE594" t="s">
        <v>2082</v>
      </c>
      <c r="AF594" t="s">
        <v>4927</v>
      </c>
      <c r="AH594" t="s">
        <v>4928</v>
      </c>
      <c r="AI594" t="s">
        <v>697</v>
      </c>
      <c r="AJ594" s="4" t="str">
        <f>"63385"</f>
        <v>63385</v>
      </c>
      <c r="AK594" t="s">
        <v>120</v>
      </c>
      <c r="AM594" s="5">
        <v>16363988800</v>
      </c>
      <c r="AO594" t="s">
        <v>4931</v>
      </c>
      <c r="AP594" t="s">
        <v>256</v>
      </c>
      <c r="AQ594" t="s">
        <v>344</v>
      </c>
      <c r="AR594" t="s">
        <v>345</v>
      </c>
      <c r="AT594" t="s">
        <v>346</v>
      </c>
      <c r="AU594" t="s">
        <v>347</v>
      </c>
      <c r="AV594" t="s">
        <v>348</v>
      </c>
      <c r="AW594" t="s">
        <v>349</v>
      </c>
      <c r="AX594" s="4" t="str">
        <f t="shared" si="43"/>
        <v>83814</v>
      </c>
      <c r="AY594" t="s">
        <v>120</v>
      </c>
      <c r="BA594" s="5">
        <v>12087772654</v>
      </c>
      <c r="BC594" t="s">
        <v>350</v>
      </c>
      <c r="BD594" t="s">
        <v>351</v>
      </c>
      <c r="BG594" t="s">
        <v>697</v>
      </c>
      <c r="BH594" s="1">
        <v>44853.833333333336</v>
      </c>
      <c r="BI594">
        <v>40</v>
      </c>
      <c r="BJ594">
        <v>0</v>
      </c>
      <c r="BK594">
        <v>8</v>
      </c>
      <c r="BL594">
        <v>8</v>
      </c>
      <c r="BM594">
        <v>8</v>
      </c>
      <c r="BN594">
        <v>8</v>
      </c>
      <c r="BO594">
        <v>8</v>
      </c>
      <c r="BP594">
        <v>0</v>
      </c>
      <c r="BQ594" t="str">
        <f>"6:30 AM"</f>
        <v>6:30 AM</v>
      </c>
      <c r="BR594" t="str">
        <f>"4:00 PM"</f>
        <v>4:00 PM</v>
      </c>
      <c r="BS594" t="s">
        <v>133</v>
      </c>
      <c r="BT594">
        <v>0</v>
      </c>
      <c r="BU594">
        <v>0</v>
      </c>
      <c r="BV594" t="s">
        <v>134</v>
      </c>
      <c r="BX594" s="2" t="s">
        <v>352</v>
      </c>
      <c r="BY594" t="s">
        <v>4932</v>
      </c>
      <c r="CA594" t="s">
        <v>4928</v>
      </c>
      <c r="CB594" t="s">
        <v>697</v>
      </c>
      <c r="CC594" s="4" t="str">
        <f>"63385"</f>
        <v>63385</v>
      </c>
      <c r="CD594" t="s">
        <v>1962</v>
      </c>
      <c r="CE594" t="s">
        <v>713</v>
      </c>
      <c r="CF594" s="6">
        <v>16.96</v>
      </c>
      <c r="CH594" s="6">
        <v>25.44</v>
      </c>
      <c r="CJ594" t="s">
        <v>137</v>
      </c>
      <c r="CL594" t="s">
        <v>4933</v>
      </c>
      <c r="CO594" t="s">
        <v>138</v>
      </c>
      <c r="CP594" t="s">
        <v>114</v>
      </c>
      <c r="CQ594" t="s">
        <v>114</v>
      </c>
      <c r="CR594" t="s">
        <v>114</v>
      </c>
      <c r="CS594" t="s">
        <v>114</v>
      </c>
      <c r="CT594" t="s">
        <v>114</v>
      </c>
      <c r="CU594" t="s">
        <v>114</v>
      </c>
      <c r="CV594" t="s">
        <v>4934</v>
      </c>
      <c r="CW594" s="5" t="str">
        <f>"+16363988800"</f>
        <v>+16363988800</v>
      </c>
      <c r="CX594" t="s">
        <v>4935</v>
      </c>
      <c r="CY594" t="s">
        <v>138</v>
      </c>
      <c r="CZ594" t="s">
        <v>139</v>
      </c>
      <c r="DA594" t="s">
        <v>134</v>
      </c>
      <c r="DB594" t="s">
        <v>134</v>
      </c>
      <c r="DC594" t="s">
        <v>114</v>
      </c>
      <c r="DD594" t="s">
        <v>134</v>
      </c>
    </row>
    <row r="595" spans="1:113" ht="15" customHeight="1" x14ac:dyDescent="0.25">
      <c r="A595" t="s">
        <v>11972</v>
      </c>
      <c r="B595" t="s">
        <v>165</v>
      </c>
      <c r="C595" s="1">
        <v>44868.003991782411</v>
      </c>
      <c r="D595" s="1">
        <v>44895</v>
      </c>
      <c r="E595" t="s">
        <v>134</v>
      </c>
      <c r="F595" t="s">
        <v>334</v>
      </c>
      <c r="G595" t="str">
        <f t="shared" si="42"/>
        <v>37-3011.00</v>
      </c>
      <c r="H595" t="s">
        <v>335</v>
      </c>
      <c r="I595">
        <v>30</v>
      </c>
      <c r="J595">
        <v>30</v>
      </c>
      <c r="K595" s="1">
        <v>44958</v>
      </c>
      <c r="L595" s="1">
        <v>45260</v>
      </c>
      <c r="M595" s="1">
        <v>44958</v>
      </c>
      <c r="N595" s="1">
        <v>45260</v>
      </c>
      <c r="O595" t="s">
        <v>199</v>
      </c>
      <c r="P595" t="s">
        <v>11973</v>
      </c>
      <c r="R595" t="s">
        <v>11974</v>
      </c>
      <c r="T595" t="s">
        <v>4444</v>
      </c>
      <c r="U595" t="s">
        <v>1279</v>
      </c>
      <c r="V595" s="4" t="str">
        <f>"66223"</f>
        <v>66223</v>
      </c>
      <c r="W595" t="s">
        <v>120</v>
      </c>
      <c r="Y595" s="5">
        <v>19136851000</v>
      </c>
      <c r="AA595">
        <v>56173</v>
      </c>
      <c r="AB595" t="s">
        <v>4563</v>
      </c>
      <c r="AC595" t="s">
        <v>3548</v>
      </c>
      <c r="AE595" t="s">
        <v>11975</v>
      </c>
      <c r="AF595" t="s">
        <v>11974</v>
      </c>
      <c r="AH595" t="s">
        <v>4444</v>
      </c>
      <c r="AI595" t="s">
        <v>1279</v>
      </c>
      <c r="AJ595" s="4" t="str">
        <f>"66223"</f>
        <v>66223</v>
      </c>
      <c r="AK595" t="s">
        <v>120</v>
      </c>
      <c r="AM595" s="5">
        <v>19136851000</v>
      </c>
      <c r="AO595" t="s">
        <v>11976</v>
      </c>
      <c r="AP595" t="s">
        <v>256</v>
      </c>
      <c r="AQ595" t="s">
        <v>3181</v>
      </c>
      <c r="AR595" t="s">
        <v>3182</v>
      </c>
      <c r="AT595" t="s">
        <v>346</v>
      </c>
      <c r="AU595" t="s">
        <v>347</v>
      </c>
      <c r="AV595" t="s">
        <v>828</v>
      </c>
      <c r="AW595" t="s">
        <v>349</v>
      </c>
      <c r="AX595" s="4" t="str">
        <f t="shared" si="43"/>
        <v>83814</v>
      </c>
      <c r="AY595" t="s">
        <v>120</v>
      </c>
      <c r="BA595" s="5">
        <v>12087772654</v>
      </c>
      <c r="BC595" t="s">
        <v>3183</v>
      </c>
      <c r="BD595" t="s">
        <v>351</v>
      </c>
      <c r="BG595" t="s">
        <v>1279</v>
      </c>
      <c r="BH595" s="1">
        <v>44852.833333333336</v>
      </c>
      <c r="BI595">
        <v>40</v>
      </c>
      <c r="BJ595">
        <v>0</v>
      </c>
      <c r="BK595">
        <v>8</v>
      </c>
      <c r="BL595">
        <v>8</v>
      </c>
      <c r="BM595">
        <v>8</v>
      </c>
      <c r="BN595">
        <v>8</v>
      </c>
      <c r="BO595">
        <v>8</v>
      </c>
      <c r="BP595">
        <v>0</v>
      </c>
      <c r="BQ595" t="str">
        <f>"8:00 AM"</f>
        <v>8:00 AM</v>
      </c>
      <c r="BR595" t="str">
        <f>"5:00 PM"</f>
        <v>5:00 PM</v>
      </c>
      <c r="BS595" t="s">
        <v>133</v>
      </c>
      <c r="BT595">
        <v>0</v>
      </c>
      <c r="BU595">
        <v>0</v>
      </c>
      <c r="BV595" t="s">
        <v>134</v>
      </c>
      <c r="BX595" s="2" t="s">
        <v>11977</v>
      </c>
      <c r="BY595" t="s">
        <v>11978</v>
      </c>
      <c r="CA595" t="s">
        <v>4444</v>
      </c>
      <c r="CB595" t="s">
        <v>1279</v>
      </c>
      <c r="CC595" s="4" t="str">
        <f>"66223"</f>
        <v>66223</v>
      </c>
      <c r="CD595" t="s">
        <v>1289</v>
      </c>
      <c r="CE595" t="s">
        <v>1290</v>
      </c>
      <c r="CF595" s="6">
        <v>16.920000000000002</v>
      </c>
      <c r="CG595" s="6">
        <v>22</v>
      </c>
      <c r="CH595" s="6">
        <v>25.38</v>
      </c>
      <c r="CI595" s="6">
        <v>33</v>
      </c>
      <c r="CJ595" t="s">
        <v>137</v>
      </c>
      <c r="CK595" t="s">
        <v>356</v>
      </c>
      <c r="CL595" t="s">
        <v>11979</v>
      </c>
      <c r="CO595" t="s">
        <v>138</v>
      </c>
      <c r="CP595" t="s">
        <v>114</v>
      </c>
      <c r="CQ595" t="s">
        <v>114</v>
      </c>
      <c r="CR595" t="s">
        <v>114</v>
      </c>
      <c r="CS595" t="s">
        <v>114</v>
      </c>
      <c r="CT595" t="s">
        <v>114</v>
      </c>
      <c r="CU595" t="s">
        <v>134</v>
      </c>
      <c r="CV595" t="s">
        <v>358</v>
      </c>
      <c r="CW595" s="5" t="str">
        <f>"N/A"</f>
        <v>N/A</v>
      </c>
      <c r="CX595" t="s">
        <v>11976</v>
      </c>
      <c r="CY595" t="s">
        <v>11980</v>
      </c>
      <c r="CZ595" t="s">
        <v>139</v>
      </c>
      <c r="DA595" t="s">
        <v>134</v>
      </c>
      <c r="DB595" t="s">
        <v>134</v>
      </c>
      <c r="DC595" t="s">
        <v>114</v>
      </c>
      <c r="DD595" t="s">
        <v>134</v>
      </c>
    </row>
    <row r="596" spans="1:113" ht="15" customHeight="1" x14ac:dyDescent="0.25">
      <c r="A596" t="s">
        <v>11214</v>
      </c>
      <c r="B596" t="s">
        <v>165</v>
      </c>
      <c r="C596" s="1">
        <v>44868.003953587962</v>
      </c>
      <c r="D596" s="1">
        <v>44895</v>
      </c>
      <c r="E596" t="s">
        <v>134</v>
      </c>
      <c r="F596" t="s">
        <v>334</v>
      </c>
      <c r="G596" t="str">
        <f t="shared" si="42"/>
        <v>37-3011.00</v>
      </c>
      <c r="H596" t="s">
        <v>335</v>
      </c>
      <c r="I596">
        <v>10</v>
      </c>
      <c r="J596">
        <v>10</v>
      </c>
      <c r="K596" s="1">
        <v>44958</v>
      </c>
      <c r="L596" s="1">
        <v>45260</v>
      </c>
      <c r="M596" s="1">
        <v>44958</v>
      </c>
      <c r="N596" s="1">
        <v>45260</v>
      </c>
      <c r="O596" t="s">
        <v>199</v>
      </c>
      <c r="P596" t="s">
        <v>11215</v>
      </c>
      <c r="R596" t="s">
        <v>11216</v>
      </c>
      <c r="T596" t="s">
        <v>1978</v>
      </c>
      <c r="U596" t="s">
        <v>697</v>
      </c>
      <c r="V596" s="4" t="str">
        <f>"63301"</f>
        <v>63301</v>
      </c>
      <c r="W596" t="s">
        <v>120</v>
      </c>
      <c r="Y596" s="5">
        <v>16369161881</v>
      </c>
      <c r="AA596">
        <v>56173</v>
      </c>
      <c r="AB596" t="s">
        <v>11217</v>
      </c>
      <c r="AC596" t="s">
        <v>1925</v>
      </c>
      <c r="AE596" t="s">
        <v>1710</v>
      </c>
      <c r="AF596" t="s">
        <v>11216</v>
      </c>
      <c r="AH596" t="s">
        <v>1978</v>
      </c>
      <c r="AI596" t="s">
        <v>697</v>
      </c>
      <c r="AJ596" s="4" t="str">
        <f>"63301"</f>
        <v>63301</v>
      </c>
      <c r="AK596" t="s">
        <v>120</v>
      </c>
      <c r="AM596" s="5">
        <v>16369161881</v>
      </c>
      <c r="AO596" t="s">
        <v>11218</v>
      </c>
      <c r="AP596" t="s">
        <v>256</v>
      </c>
      <c r="AQ596" t="s">
        <v>344</v>
      </c>
      <c r="AR596" t="s">
        <v>345</v>
      </c>
      <c r="AT596" t="s">
        <v>346</v>
      </c>
      <c r="AU596" t="s">
        <v>347</v>
      </c>
      <c r="AV596" t="s">
        <v>348</v>
      </c>
      <c r="AW596" t="s">
        <v>349</v>
      </c>
      <c r="AX596" s="4" t="str">
        <f t="shared" si="43"/>
        <v>83814</v>
      </c>
      <c r="AY596" t="s">
        <v>120</v>
      </c>
      <c r="BA596" s="5">
        <v>12087772654</v>
      </c>
      <c r="BC596" t="s">
        <v>350</v>
      </c>
      <c r="BD596" t="s">
        <v>351</v>
      </c>
      <c r="BG596" t="s">
        <v>697</v>
      </c>
      <c r="BH596" s="1">
        <v>44853.833333333336</v>
      </c>
      <c r="BI596">
        <v>40</v>
      </c>
      <c r="BJ596">
        <v>0</v>
      </c>
      <c r="BK596">
        <v>8</v>
      </c>
      <c r="BL596">
        <v>8</v>
      </c>
      <c r="BM596">
        <v>8</v>
      </c>
      <c r="BN596">
        <v>8</v>
      </c>
      <c r="BO596">
        <v>8</v>
      </c>
      <c r="BP596">
        <v>0</v>
      </c>
      <c r="BQ596" t="str">
        <f>"7:00 AM"</f>
        <v>7:00 AM</v>
      </c>
      <c r="BR596" t="str">
        <f>"5:00 PM"</f>
        <v>5:00 PM</v>
      </c>
      <c r="BS596" t="s">
        <v>133</v>
      </c>
      <c r="BT596">
        <v>0</v>
      </c>
      <c r="BU596">
        <v>0</v>
      </c>
      <c r="BV596" t="s">
        <v>134</v>
      </c>
      <c r="BX596" s="2" t="s">
        <v>352</v>
      </c>
      <c r="BY596" t="s">
        <v>11219</v>
      </c>
      <c r="CA596" t="s">
        <v>1978</v>
      </c>
      <c r="CB596" t="s">
        <v>697</v>
      </c>
      <c r="CC596" s="4" t="str">
        <f>"63301"</f>
        <v>63301</v>
      </c>
      <c r="CD596" t="s">
        <v>1962</v>
      </c>
      <c r="CE596" t="s">
        <v>713</v>
      </c>
      <c r="CF596" s="6">
        <v>16.96</v>
      </c>
      <c r="CH596" s="6">
        <v>25.44</v>
      </c>
      <c r="CJ596" t="s">
        <v>137</v>
      </c>
      <c r="CL596" t="s">
        <v>11220</v>
      </c>
      <c r="CO596" t="s">
        <v>138</v>
      </c>
      <c r="CP596" t="s">
        <v>114</v>
      </c>
      <c r="CQ596" t="s">
        <v>114</v>
      </c>
      <c r="CR596" t="s">
        <v>114</v>
      </c>
      <c r="CS596" t="s">
        <v>114</v>
      </c>
      <c r="CT596" t="s">
        <v>114</v>
      </c>
      <c r="CU596" t="s">
        <v>134</v>
      </c>
      <c r="CV596" t="s">
        <v>358</v>
      </c>
      <c r="CW596" s="5" t="str">
        <f>"+16369161881"</f>
        <v>+16369161881</v>
      </c>
      <c r="CX596" t="s">
        <v>11218</v>
      </c>
      <c r="CY596" t="s">
        <v>138</v>
      </c>
      <c r="CZ596" t="s">
        <v>139</v>
      </c>
      <c r="DA596" t="s">
        <v>134</v>
      </c>
      <c r="DB596" t="s">
        <v>134</v>
      </c>
      <c r="DC596" t="s">
        <v>114</v>
      </c>
      <c r="DD596" t="s">
        <v>134</v>
      </c>
    </row>
    <row r="597" spans="1:113" ht="15" customHeight="1" x14ac:dyDescent="0.25">
      <c r="A597" t="s">
        <v>13572</v>
      </c>
      <c r="B597" t="s">
        <v>165</v>
      </c>
      <c r="C597" s="1">
        <v>44868.003494212964</v>
      </c>
      <c r="D597" s="1">
        <v>44895</v>
      </c>
      <c r="E597" t="s">
        <v>134</v>
      </c>
      <c r="F597" t="s">
        <v>334</v>
      </c>
      <c r="G597" t="str">
        <f t="shared" si="42"/>
        <v>37-3011.00</v>
      </c>
      <c r="H597" t="s">
        <v>335</v>
      </c>
      <c r="I597">
        <v>12</v>
      </c>
      <c r="J597">
        <v>12</v>
      </c>
      <c r="K597" s="1">
        <v>44958</v>
      </c>
      <c r="L597" s="1">
        <v>45260</v>
      </c>
      <c r="M597" s="1">
        <v>44958</v>
      </c>
      <c r="N597" s="1">
        <v>45260</v>
      </c>
      <c r="O597" t="s">
        <v>199</v>
      </c>
      <c r="P597" t="s">
        <v>13573</v>
      </c>
      <c r="R597" t="s">
        <v>13574</v>
      </c>
      <c r="T597" t="s">
        <v>1629</v>
      </c>
      <c r="U597" t="s">
        <v>697</v>
      </c>
      <c r="V597" s="4" t="str">
        <f>"63129"</f>
        <v>63129</v>
      </c>
      <c r="W597" t="s">
        <v>120</v>
      </c>
      <c r="Y597" s="5">
        <v>13148467505</v>
      </c>
      <c r="AA597">
        <v>56173</v>
      </c>
      <c r="AB597" t="s">
        <v>13575</v>
      </c>
      <c r="AC597" t="s">
        <v>1614</v>
      </c>
      <c r="AE597" t="s">
        <v>342</v>
      </c>
      <c r="AF597" t="s">
        <v>13574</v>
      </c>
      <c r="AH597" t="s">
        <v>1629</v>
      </c>
      <c r="AI597" t="s">
        <v>697</v>
      </c>
      <c r="AJ597" s="4" t="str">
        <f>"63129"</f>
        <v>63129</v>
      </c>
      <c r="AK597" t="s">
        <v>120</v>
      </c>
      <c r="AM597" s="5">
        <v>13148467505</v>
      </c>
      <c r="AO597" t="s">
        <v>13576</v>
      </c>
      <c r="AP597" t="s">
        <v>256</v>
      </c>
      <c r="AQ597" t="s">
        <v>344</v>
      </c>
      <c r="AR597" t="s">
        <v>345</v>
      </c>
      <c r="AT597" t="s">
        <v>346</v>
      </c>
      <c r="AU597" t="s">
        <v>347</v>
      </c>
      <c r="AV597" t="s">
        <v>348</v>
      </c>
      <c r="AW597" t="s">
        <v>349</v>
      </c>
      <c r="AX597" s="4" t="str">
        <f t="shared" si="43"/>
        <v>83814</v>
      </c>
      <c r="AY597" t="s">
        <v>120</v>
      </c>
      <c r="BA597" s="5">
        <v>12087772654</v>
      </c>
      <c r="BC597" t="s">
        <v>350</v>
      </c>
      <c r="BD597" t="s">
        <v>351</v>
      </c>
      <c r="BG597" t="s">
        <v>697</v>
      </c>
      <c r="BH597" s="1">
        <v>44851.833333333336</v>
      </c>
      <c r="BI597">
        <v>40</v>
      </c>
      <c r="BJ597">
        <v>0</v>
      </c>
      <c r="BK597">
        <v>8</v>
      </c>
      <c r="BL597">
        <v>8</v>
      </c>
      <c r="BM597">
        <v>8</v>
      </c>
      <c r="BN597">
        <v>8</v>
      </c>
      <c r="BO597">
        <v>8</v>
      </c>
      <c r="BP597">
        <v>0</v>
      </c>
      <c r="BQ597" t="str">
        <f>"7:30 AM"</f>
        <v>7:30 AM</v>
      </c>
      <c r="BR597" t="str">
        <f>"5:00 PM"</f>
        <v>5:00 PM</v>
      </c>
      <c r="BS597" t="s">
        <v>133</v>
      </c>
      <c r="BT597">
        <v>0</v>
      </c>
      <c r="BU597">
        <v>0</v>
      </c>
      <c r="BV597" t="s">
        <v>134</v>
      </c>
      <c r="BX597" s="2" t="s">
        <v>352</v>
      </c>
      <c r="BY597" t="s">
        <v>13577</v>
      </c>
      <c r="CA597" t="s">
        <v>1629</v>
      </c>
      <c r="CB597" t="s">
        <v>697</v>
      </c>
      <c r="CC597" s="4" t="str">
        <f>"63129"</f>
        <v>63129</v>
      </c>
      <c r="CD597" t="s">
        <v>712</v>
      </c>
      <c r="CE597" t="s">
        <v>713</v>
      </c>
      <c r="CF597" s="6">
        <v>16.96</v>
      </c>
      <c r="CH597" s="6">
        <v>25.44</v>
      </c>
      <c r="CJ597" t="s">
        <v>137</v>
      </c>
      <c r="CL597" t="s">
        <v>13578</v>
      </c>
      <c r="CO597" t="s">
        <v>138</v>
      </c>
      <c r="CP597" t="s">
        <v>114</v>
      </c>
      <c r="CQ597" t="s">
        <v>114</v>
      </c>
      <c r="CR597" t="s">
        <v>114</v>
      </c>
      <c r="CS597" t="s">
        <v>114</v>
      </c>
      <c r="CT597" t="s">
        <v>114</v>
      </c>
      <c r="CU597" t="s">
        <v>114</v>
      </c>
      <c r="CV597" s="2" t="s">
        <v>13579</v>
      </c>
      <c r="CW597" s="5" t="str">
        <f>"+13148467505"</f>
        <v>+13148467505</v>
      </c>
      <c r="CX597" t="s">
        <v>13580</v>
      </c>
      <c r="CY597" t="s">
        <v>138</v>
      </c>
      <c r="CZ597" t="s">
        <v>139</v>
      </c>
      <c r="DA597" t="s">
        <v>134</v>
      </c>
      <c r="DB597" t="s">
        <v>134</v>
      </c>
      <c r="DC597" t="s">
        <v>114</v>
      </c>
      <c r="DD597" t="s">
        <v>134</v>
      </c>
    </row>
    <row r="598" spans="1:113" ht="15" customHeight="1" x14ac:dyDescent="0.25">
      <c r="A598" t="s">
        <v>333</v>
      </c>
      <c r="B598" t="s">
        <v>165</v>
      </c>
      <c r="C598" s="1">
        <v>44868.002984606479</v>
      </c>
      <c r="D598" s="1">
        <v>44895</v>
      </c>
      <c r="E598" t="s">
        <v>134</v>
      </c>
      <c r="F598" t="s">
        <v>334</v>
      </c>
      <c r="G598" t="str">
        <f t="shared" si="42"/>
        <v>37-3011.00</v>
      </c>
      <c r="H598" t="s">
        <v>335</v>
      </c>
      <c r="I598">
        <v>28</v>
      </c>
      <c r="J598">
        <v>28</v>
      </c>
      <c r="K598" s="1">
        <v>44958</v>
      </c>
      <c r="L598" s="1">
        <v>45260</v>
      </c>
      <c r="M598" s="1">
        <v>44958</v>
      </c>
      <c r="N598" s="1">
        <v>45260</v>
      </c>
      <c r="O598" t="s">
        <v>199</v>
      </c>
      <c r="P598" t="s">
        <v>336</v>
      </c>
      <c r="R598" t="s">
        <v>337</v>
      </c>
      <c r="T598" t="s">
        <v>338</v>
      </c>
      <c r="U598" t="s">
        <v>339</v>
      </c>
      <c r="V598" s="4" t="str">
        <f>"21702"</f>
        <v>21702</v>
      </c>
      <c r="W598" t="s">
        <v>120</v>
      </c>
      <c r="Y598" s="5">
        <v>13016983220</v>
      </c>
      <c r="AA598">
        <v>56173</v>
      </c>
      <c r="AB598" t="s">
        <v>340</v>
      </c>
      <c r="AC598" t="s">
        <v>341</v>
      </c>
      <c r="AE598" t="s">
        <v>342</v>
      </c>
      <c r="AF598" t="s">
        <v>337</v>
      </c>
      <c r="AH598" t="s">
        <v>338</v>
      </c>
      <c r="AI598" t="s">
        <v>339</v>
      </c>
      <c r="AJ598" s="4" t="str">
        <f>"21702"</f>
        <v>21702</v>
      </c>
      <c r="AK598" t="s">
        <v>120</v>
      </c>
      <c r="AM598" s="5">
        <v>13016983220</v>
      </c>
      <c r="AO598" t="s">
        <v>343</v>
      </c>
      <c r="AP598" t="s">
        <v>256</v>
      </c>
      <c r="AQ598" t="s">
        <v>344</v>
      </c>
      <c r="AR598" t="s">
        <v>345</v>
      </c>
      <c r="AT598" t="s">
        <v>346</v>
      </c>
      <c r="AU598" t="s">
        <v>347</v>
      </c>
      <c r="AV598" t="s">
        <v>348</v>
      </c>
      <c r="AW598" t="s">
        <v>349</v>
      </c>
      <c r="AX598" s="4" t="str">
        <f t="shared" si="43"/>
        <v>83814</v>
      </c>
      <c r="AY598" t="s">
        <v>120</v>
      </c>
      <c r="BA598" s="5">
        <v>12087772654</v>
      </c>
      <c r="BC598" t="s">
        <v>350</v>
      </c>
      <c r="BD598" t="s">
        <v>351</v>
      </c>
      <c r="BG598" t="s">
        <v>339</v>
      </c>
      <c r="BH598" s="1">
        <v>44851.833333333336</v>
      </c>
      <c r="BI598">
        <v>40</v>
      </c>
      <c r="BJ598">
        <v>0</v>
      </c>
      <c r="BK598">
        <v>8</v>
      </c>
      <c r="BL598">
        <v>8</v>
      </c>
      <c r="BM598">
        <v>8</v>
      </c>
      <c r="BN598">
        <v>8</v>
      </c>
      <c r="BO598">
        <v>8</v>
      </c>
      <c r="BP598">
        <v>0</v>
      </c>
      <c r="BQ598" t="str">
        <f>"7:00 AM"</f>
        <v>7:00 AM</v>
      </c>
      <c r="BR598" t="str">
        <f>"5:00 PM"</f>
        <v>5:00 PM</v>
      </c>
      <c r="BS598" t="s">
        <v>133</v>
      </c>
      <c r="BT598">
        <v>0</v>
      </c>
      <c r="BU598">
        <v>0</v>
      </c>
      <c r="BV598" t="s">
        <v>134</v>
      </c>
      <c r="BX598" s="2" t="s">
        <v>352</v>
      </c>
      <c r="BY598" t="s">
        <v>353</v>
      </c>
      <c r="CA598" t="s">
        <v>338</v>
      </c>
      <c r="CB598" t="s">
        <v>339</v>
      </c>
      <c r="CC598" s="4" t="str">
        <f>"21701"</f>
        <v>21701</v>
      </c>
      <c r="CD598" t="s">
        <v>354</v>
      </c>
      <c r="CE598" t="s">
        <v>355</v>
      </c>
      <c r="CF598" s="6">
        <v>18.36</v>
      </c>
      <c r="CG598" s="6">
        <v>18.5</v>
      </c>
      <c r="CH598" s="6">
        <v>27.54</v>
      </c>
      <c r="CI598" s="6">
        <v>27.75</v>
      </c>
      <c r="CJ598" t="s">
        <v>137</v>
      </c>
      <c r="CK598" t="s">
        <v>356</v>
      </c>
      <c r="CL598" t="s">
        <v>357</v>
      </c>
      <c r="CO598" t="s">
        <v>138</v>
      </c>
      <c r="CP598" t="s">
        <v>114</v>
      </c>
      <c r="CQ598" t="s">
        <v>114</v>
      </c>
      <c r="CR598" t="s">
        <v>114</v>
      </c>
      <c r="CS598" t="s">
        <v>114</v>
      </c>
      <c r="CT598" t="s">
        <v>114</v>
      </c>
      <c r="CU598" t="s">
        <v>134</v>
      </c>
      <c r="CV598" t="s">
        <v>358</v>
      </c>
      <c r="CW598" s="5" t="str">
        <f>"+13016983220"</f>
        <v>+13016983220</v>
      </c>
      <c r="CX598" t="s">
        <v>359</v>
      </c>
      <c r="CY598" t="s">
        <v>138</v>
      </c>
      <c r="CZ598" t="s">
        <v>139</v>
      </c>
      <c r="DA598" t="s">
        <v>134</v>
      </c>
      <c r="DB598" t="s">
        <v>134</v>
      </c>
      <c r="DC598" t="s">
        <v>114</v>
      </c>
      <c r="DD598" t="s">
        <v>134</v>
      </c>
    </row>
    <row r="599" spans="1:113" ht="15" customHeight="1" x14ac:dyDescent="0.25">
      <c r="A599" t="s">
        <v>11324</v>
      </c>
      <c r="B599" t="s">
        <v>165</v>
      </c>
      <c r="C599" s="1">
        <v>44868.002136574076</v>
      </c>
      <c r="D599" s="1">
        <v>44895</v>
      </c>
      <c r="E599" t="s">
        <v>134</v>
      </c>
      <c r="F599" t="s">
        <v>1658</v>
      </c>
      <c r="G599" t="str">
        <f t="shared" si="42"/>
        <v>37-3011.00</v>
      </c>
      <c r="H599" t="s">
        <v>335</v>
      </c>
      <c r="I599">
        <v>55</v>
      </c>
      <c r="J599">
        <v>55</v>
      </c>
      <c r="K599" s="1">
        <v>44958</v>
      </c>
      <c r="L599" s="1">
        <v>45260</v>
      </c>
      <c r="M599" s="1">
        <v>44958</v>
      </c>
      <c r="N599" s="1">
        <v>45260</v>
      </c>
      <c r="O599" t="s">
        <v>117</v>
      </c>
      <c r="P599" t="s">
        <v>1921</v>
      </c>
      <c r="R599" t="s">
        <v>1922</v>
      </c>
      <c r="T599" t="s">
        <v>1923</v>
      </c>
      <c r="U599" t="s">
        <v>339</v>
      </c>
      <c r="V599" s="4" t="str">
        <f>"20882"</f>
        <v>20882</v>
      </c>
      <c r="W599" t="s">
        <v>120</v>
      </c>
      <c r="Y599" s="5">
        <v>13014820300</v>
      </c>
      <c r="AA599">
        <v>56173</v>
      </c>
      <c r="AB599" t="s">
        <v>1924</v>
      </c>
      <c r="AC599" t="s">
        <v>1925</v>
      </c>
      <c r="AD599" t="s">
        <v>138</v>
      </c>
      <c r="AE599" t="s">
        <v>1926</v>
      </c>
      <c r="AF599" t="s">
        <v>1922</v>
      </c>
      <c r="AH599" t="s">
        <v>1923</v>
      </c>
      <c r="AI599" t="s">
        <v>339</v>
      </c>
      <c r="AJ599" s="4" t="str">
        <f>"20882"</f>
        <v>20882</v>
      </c>
      <c r="AK599" t="s">
        <v>120</v>
      </c>
      <c r="AM599" s="5">
        <v>13014820300</v>
      </c>
      <c r="AO599" t="s">
        <v>1927</v>
      </c>
      <c r="AP599" t="s">
        <v>256</v>
      </c>
      <c r="AQ599" t="s">
        <v>1928</v>
      </c>
      <c r="AR599" t="s">
        <v>1929</v>
      </c>
      <c r="AS599" t="s">
        <v>1685</v>
      </c>
      <c r="AT599" t="s">
        <v>1930</v>
      </c>
      <c r="AU599" t="s">
        <v>1931</v>
      </c>
      <c r="AV599" t="s">
        <v>1932</v>
      </c>
      <c r="AW599" t="s">
        <v>349</v>
      </c>
      <c r="AX599" s="4" t="str">
        <f t="shared" si="43"/>
        <v>83814</v>
      </c>
      <c r="AY599" t="s">
        <v>120</v>
      </c>
      <c r="BA599" s="5">
        <v>12087772654</v>
      </c>
      <c r="BC599" t="s">
        <v>1933</v>
      </c>
      <c r="BD599" t="s">
        <v>351</v>
      </c>
      <c r="BG599" t="s">
        <v>479</v>
      </c>
      <c r="BH599" s="1">
        <v>44858.833333333336</v>
      </c>
      <c r="BI599">
        <v>40</v>
      </c>
      <c r="BJ599">
        <v>0</v>
      </c>
      <c r="BK599">
        <v>8</v>
      </c>
      <c r="BL599">
        <v>8</v>
      </c>
      <c r="BM599">
        <v>8</v>
      </c>
      <c r="BN599">
        <v>8</v>
      </c>
      <c r="BO599">
        <v>8</v>
      </c>
      <c r="BP599">
        <v>0</v>
      </c>
      <c r="BQ599" t="str">
        <f>"6:30 AM"</f>
        <v>6:30 AM</v>
      </c>
      <c r="BR599" t="str">
        <f>"3:30 PM"</f>
        <v>3:30 PM</v>
      </c>
      <c r="BS599" t="s">
        <v>133</v>
      </c>
      <c r="BT599">
        <v>0</v>
      </c>
      <c r="BU599">
        <v>0</v>
      </c>
      <c r="BV599" t="s">
        <v>134</v>
      </c>
      <c r="BX599" s="2" t="s">
        <v>1934</v>
      </c>
      <c r="BY599" t="s">
        <v>11325</v>
      </c>
      <c r="CA599" t="s">
        <v>484</v>
      </c>
      <c r="CB599" t="s">
        <v>479</v>
      </c>
      <c r="CC599" s="4" t="str">
        <f>"20155"</f>
        <v>20155</v>
      </c>
      <c r="CD599" t="s">
        <v>7895</v>
      </c>
      <c r="CE599" t="s">
        <v>355</v>
      </c>
      <c r="CF599" s="6">
        <v>18.36</v>
      </c>
      <c r="CG599" s="6">
        <v>20.25</v>
      </c>
      <c r="CH599" s="6">
        <v>27.54</v>
      </c>
      <c r="CI599" s="6">
        <v>30.38</v>
      </c>
      <c r="CJ599" t="s">
        <v>137</v>
      </c>
      <c r="CK599" t="s">
        <v>356</v>
      </c>
      <c r="CL599" t="s">
        <v>11326</v>
      </c>
      <c r="CO599" t="s">
        <v>138</v>
      </c>
      <c r="CP599" t="s">
        <v>114</v>
      </c>
      <c r="CQ599" t="s">
        <v>114</v>
      </c>
      <c r="CR599" t="s">
        <v>114</v>
      </c>
      <c r="CS599" t="s">
        <v>114</v>
      </c>
      <c r="CT599" t="s">
        <v>114</v>
      </c>
      <c r="CU599" t="s">
        <v>114</v>
      </c>
      <c r="CV599" s="2" t="s">
        <v>11327</v>
      </c>
      <c r="CW599" s="5" t="str">
        <f>"+15712484460"</f>
        <v>+15712484460</v>
      </c>
      <c r="CX599" t="s">
        <v>11328</v>
      </c>
      <c r="CY599" t="s">
        <v>138</v>
      </c>
      <c r="CZ599" t="s">
        <v>139</v>
      </c>
      <c r="DA599" t="s">
        <v>134</v>
      </c>
      <c r="DB599" t="s">
        <v>114</v>
      </c>
      <c r="DC599" t="s">
        <v>114</v>
      </c>
      <c r="DD599" t="s">
        <v>134</v>
      </c>
    </row>
    <row r="600" spans="1:113" ht="15" customHeight="1" x14ac:dyDescent="0.25">
      <c r="A600" t="s">
        <v>13719</v>
      </c>
      <c r="B600" t="s">
        <v>165</v>
      </c>
      <c r="C600" s="1">
        <v>44868.00159861111</v>
      </c>
      <c r="D600" s="1">
        <v>44895</v>
      </c>
      <c r="E600" t="s">
        <v>134</v>
      </c>
      <c r="F600" t="s">
        <v>5054</v>
      </c>
      <c r="G600" t="str">
        <f t="shared" si="42"/>
        <v>37-3011.00</v>
      </c>
      <c r="H600" t="s">
        <v>335</v>
      </c>
      <c r="I600">
        <v>21</v>
      </c>
      <c r="J600">
        <v>21</v>
      </c>
      <c r="K600" s="1">
        <v>44958</v>
      </c>
      <c r="L600" s="1">
        <v>45260</v>
      </c>
      <c r="M600" s="1">
        <v>44958</v>
      </c>
      <c r="N600" s="1">
        <v>45260</v>
      </c>
      <c r="O600" t="s">
        <v>117</v>
      </c>
      <c r="P600" t="s">
        <v>1921</v>
      </c>
      <c r="R600" t="s">
        <v>1922</v>
      </c>
      <c r="T600" t="s">
        <v>1923</v>
      </c>
      <c r="U600" t="s">
        <v>339</v>
      </c>
      <c r="V600" s="4" t="str">
        <f>"20882"</f>
        <v>20882</v>
      </c>
      <c r="W600" t="s">
        <v>120</v>
      </c>
      <c r="Y600" s="5">
        <v>13014820300</v>
      </c>
      <c r="AA600">
        <v>56173</v>
      </c>
      <c r="AB600" t="s">
        <v>1924</v>
      </c>
      <c r="AC600" t="s">
        <v>1925</v>
      </c>
      <c r="AD600" t="s">
        <v>138</v>
      </c>
      <c r="AE600" t="s">
        <v>1926</v>
      </c>
      <c r="AF600" t="s">
        <v>1922</v>
      </c>
      <c r="AH600" t="s">
        <v>1923</v>
      </c>
      <c r="AI600" t="s">
        <v>339</v>
      </c>
      <c r="AJ600" s="4" t="str">
        <f>"20882"</f>
        <v>20882</v>
      </c>
      <c r="AK600" t="s">
        <v>120</v>
      </c>
      <c r="AM600" s="5">
        <v>13014820300</v>
      </c>
      <c r="AO600" t="s">
        <v>1927</v>
      </c>
      <c r="AP600" t="s">
        <v>256</v>
      </c>
      <c r="AQ600" t="s">
        <v>1928</v>
      </c>
      <c r="AR600" t="s">
        <v>1929</v>
      </c>
      <c r="AS600" t="s">
        <v>1685</v>
      </c>
      <c r="AT600" t="s">
        <v>1930</v>
      </c>
      <c r="AU600" t="s">
        <v>1931</v>
      </c>
      <c r="AV600" t="s">
        <v>1932</v>
      </c>
      <c r="AW600" t="s">
        <v>349</v>
      </c>
      <c r="AX600" s="4" t="str">
        <f t="shared" si="43"/>
        <v>83814</v>
      </c>
      <c r="AY600" t="s">
        <v>120</v>
      </c>
      <c r="BA600" s="5">
        <v>12087772654</v>
      </c>
      <c r="BC600" t="s">
        <v>1933</v>
      </c>
      <c r="BD600" t="s">
        <v>351</v>
      </c>
      <c r="BG600" t="s">
        <v>129</v>
      </c>
      <c r="BH600" s="1">
        <v>44858.833333333336</v>
      </c>
      <c r="BI600">
        <v>40</v>
      </c>
      <c r="BJ600">
        <v>0</v>
      </c>
      <c r="BK600">
        <v>8</v>
      </c>
      <c r="BL600">
        <v>8</v>
      </c>
      <c r="BM600">
        <v>8</v>
      </c>
      <c r="BN600">
        <v>8</v>
      </c>
      <c r="BO600">
        <v>8</v>
      </c>
      <c r="BP600">
        <v>0</v>
      </c>
      <c r="BQ600" t="str">
        <f>"6:30 AM"</f>
        <v>6:30 AM</v>
      </c>
      <c r="BR600" t="str">
        <f>"3:30 PM"</f>
        <v>3:30 PM</v>
      </c>
      <c r="BS600" t="s">
        <v>133</v>
      </c>
      <c r="BT600">
        <v>0</v>
      </c>
      <c r="BU600">
        <v>0</v>
      </c>
      <c r="BV600" t="s">
        <v>134</v>
      </c>
      <c r="BX600" s="2" t="s">
        <v>1934</v>
      </c>
      <c r="BY600" t="s">
        <v>13720</v>
      </c>
      <c r="CA600" t="s">
        <v>8160</v>
      </c>
      <c r="CB600" t="s">
        <v>129</v>
      </c>
      <c r="CC600" s="4" t="str">
        <f>"30047"</f>
        <v>30047</v>
      </c>
      <c r="CD600" t="s">
        <v>2560</v>
      </c>
      <c r="CE600" t="s">
        <v>908</v>
      </c>
      <c r="CF600" s="6">
        <v>16.45</v>
      </c>
      <c r="CG600" s="6">
        <v>18</v>
      </c>
      <c r="CH600" s="6">
        <v>24.68</v>
      </c>
      <c r="CI600" s="6">
        <v>27</v>
      </c>
      <c r="CJ600" t="s">
        <v>137</v>
      </c>
      <c r="CK600" t="s">
        <v>356</v>
      </c>
      <c r="CL600" t="s">
        <v>13721</v>
      </c>
      <c r="CO600" t="s">
        <v>138</v>
      </c>
      <c r="CP600" t="s">
        <v>114</v>
      </c>
      <c r="CQ600" t="s">
        <v>114</v>
      </c>
      <c r="CR600" t="s">
        <v>114</v>
      </c>
      <c r="CS600" t="s">
        <v>114</v>
      </c>
      <c r="CT600" t="s">
        <v>114</v>
      </c>
      <c r="CU600" t="s">
        <v>114</v>
      </c>
      <c r="CV600" s="2" t="s">
        <v>13722</v>
      </c>
      <c r="CW600" s="5" t="str">
        <f>"+17709319900"</f>
        <v>+17709319900</v>
      </c>
      <c r="CX600" t="s">
        <v>10369</v>
      </c>
      <c r="CY600" t="s">
        <v>138</v>
      </c>
      <c r="CZ600" t="s">
        <v>139</v>
      </c>
      <c r="DA600" t="s">
        <v>134</v>
      </c>
      <c r="DB600" t="s">
        <v>114</v>
      </c>
      <c r="DC600" t="s">
        <v>114</v>
      </c>
      <c r="DD600" t="s">
        <v>134</v>
      </c>
    </row>
    <row r="601" spans="1:113" ht="15" customHeight="1" x14ac:dyDescent="0.25">
      <c r="A601" t="s">
        <v>5053</v>
      </c>
      <c r="B601" t="s">
        <v>165</v>
      </c>
      <c r="C601" s="1">
        <v>44868.001253819442</v>
      </c>
      <c r="D601" s="1">
        <v>44895</v>
      </c>
      <c r="E601" t="s">
        <v>134</v>
      </c>
      <c r="F601" t="s">
        <v>5054</v>
      </c>
      <c r="G601" t="str">
        <f t="shared" si="42"/>
        <v>37-3011.00</v>
      </c>
      <c r="H601" t="s">
        <v>335</v>
      </c>
      <c r="I601">
        <v>30</v>
      </c>
      <c r="J601">
        <v>30</v>
      </c>
      <c r="K601" s="1">
        <v>44958</v>
      </c>
      <c r="L601" s="1">
        <v>45260</v>
      </c>
      <c r="M601" s="1">
        <v>44958</v>
      </c>
      <c r="N601" s="1">
        <v>45260</v>
      </c>
      <c r="O601" t="s">
        <v>117</v>
      </c>
      <c r="P601" t="s">
        <v>1921</v>
      </c>
      <c r="R601" t="s">
        <v>1922</v>
      </c>
      <c r="T601" t="s">
        <v>1923</v>
      </c>
      <c r="U601" t="s">
        <v>339</v>
      </c>
      <c r="V601" s="4" t="str">
        <f>"20882"</f>
        <v>20882</v>
      </c>
      <c r="W601" t="s">
        <v>120</v>
      </c>
      <c r="Y601" s="5">
        <v>13014820300</v>
      </c>
      <c r="AA601">
        <v>56173</v>
      </c>
      <c r="AB601" t="s">
        <v>1924</v>
      </c>
      <c r="AC601" t="s">
        <v>1925</v>
      </c>
      <c r="AD601" t="s">
        <v>138</v>
      </c>
      <c r="AE601" t="s">
        <v>1926</v>
      </c>
      <c r="AF601" t="s">
        <v>1922</v>
      </c>
      <c r="AH601" t="s">
        <v>1923</v>
      </c>
      <c r="AI601" t="s">
        <v>339</v>
      </c>
      <c r="AJ601" s="4" t="str">
        <f>"20882"</f>
        <v>20882</v>
      </c>
      <c r="AK601" t="s">
        <v>120</v>
      </c>
      <c r="AM601" s="5">
        <v>13014820300</v>
      </c>
      <c r="AO601" t="s">
        <v>1927</v>
      </c>
      <c r="AP601" t="s">
        <v>256</v>
      </c>
      <c r="AQ601" t="s">
        <v>1928</v>
      </c>
      <c r="AR601" t="s">
        <v>1929</v>
      </c>
      <c r="AS601" t="s">
        <v>1685</v>
      </c>
      <c r="AT601" t="s">
        <v>1930</v>
      </c>
      <c r="AU601" t="s">
        <v>1931</v>
      </c>
      <c r="AV601" t="s">
        <v>1932</v>
      </c>
      <c r="AW601" t="s">
        <v>349</v>
      </c>
      <c r="AX601" s="4" t="str">
        <f t="shared" si="43"/>
        <v>83814</v>
      </c>
      <c r="AY601" t="s">
        <v>120</v>
      </c>
      <c r="BA601" s="5">
        <v>12087772654</v>
      </c>
      <c r="BC601" t="s">
        <v>1933</v>
      </c>
      <c r="BD601" t="s">
        <v>351</v>
      </c>
      <c r="BG601" t="s">
        <v>479</v>
      </c>
      <c r="BH601" s="1">
        <v>44858.833333333336</v>
      </c>
      <c r="BI601">
        <v>40</v>
      </c>
      <c r="BJ601">
        <v>0</v>
      </c>
      <c r="BK601">
        <v>8</v>
      </c>
      <c r="BL601">
        <v>8</v>
      </c>
      <c r="BM601">
        <v>8</v>
      </c>
      <c r="BN601">
        <v>8</v>
      </c>
      <c r="BO601">
        <v>8</v>
      </c>
      <c r="BP601">
        <v>0</v>
      </c>
      <c r="BQ601" t="str">
        <f>"6:30 AM"</f>
        <v>6:30 AM</v>
      </c>
      <c r="BR601" t="str">
        <f>"3:30 PM"</f>
        <v>3:30 PM</v>
      </c>
      <c r="BS601" t="s">
        <v>133</v>
      </c>
      <c r="BT601">
        <v>0</v>
      </c>
      <c r="BU601">
        <v>0</v>
      </c>
      <c r="BV601" t="s">
        <v>134</v>
      </c>
      <c r="BX601" s="2" t="s">
        <v>1934</v>
      </c>
      <c r="BY601" t="s">
        <v>5055</v>
      </c>
      <c r="CA601" t="s">
        <v>4270</v>
      </c>
      <c r="CB601" t="s">
        <v>479</v>
      </c>
      <c r="CC601" s="4" t="str">
        <f>"22079"</f>
        <v>22079</v>
      </c>
      <c r="CD601" t="s">
        <v>2631</v>
      </c>
      <c r="CE601" t="s">
        <v>355</v>
      </c>
      <c r="CF601" s="6">
        <v>18.36</v>
      </c>
      <c r="CG601" s="6">
        <v>21</v>
      </c>
      <c r="CH601" s="6">
        <v>27.54</v>
      </c>
      <c r="CI601" s="6">
        <v>31.5</v>
      </c>
      <c r="CJ601" t="s">
        <v>137</v>
      </c>
      <c r="CK601" t="s">
        <v>356</v>
      </c>
      <c r="CL601" t="s">
        <v>5056</v>
      </c>
      <c r="CO601" t="s">
        <v>138</v>
      </c>
      <c r="CP601" t="s">
        <v>114</v>
      </c>
      <c r="CQ601" t="s">
        <v>114</v>
      </c>
      <c r="CR601" t="s">
        <v>114</v>
      </c>
      <c r="CS601" t="s">
        <v>114</v>
      </c>
      <c r="CT601" t="s">
        <v>114</v>
      </c>
      <c r="CU601" t="s">
        <v>114</v>
      </c>
      <c r="CV601" s="2" t="s">
        <v>5057</v>
      </c>
      <c r="CW601" s="5" t="str">
        <f>"+17033725795"</f>
        <v>+17033725795</v>
      </c>
      <c r="CX601" t="s">
        <v>5058</v>
      </c>
      <c r="CY601" t="s">
        <v>138</v>
      </c>
      <c r="CZ601" t="s">
        <v>139</v>
      </c>
      <c r="DA601" t="s">
        <v>134</v>
      </c>
      <c r="DB601" t="s">
        <v>114</v>
      </c>
      <c r="DC601" t="s">
        <v>114</v>
      </c>
      <c r="DD601" t="s">
        <v>134</v>
      </c>
    </row>
    <row r="602" spans="1:113" ht="15" customHeight="1" x14ac:dyDescent="0.25">
      <c r="A602" t="s">
        <v>6507</v>
      </c>
      <c r="B602" t="s">
        <v>165</v>
      </c>
      <c r="C602" s="1">
        <v>44868.001153124998</v>
      </c>
      <c r="D602" s="1">
        <v>44895</v>
      </c>
      <c r="E602" t="s">
        <v>134</v>
      </c>
      <c r="F602" t="s">
        <v>5054</v>
      </c>
      <c r="G602" t="str">
        <f t="shared" si="42"/>
        <v>37-3011.00</v>
      </c>
      <c r="H602" t="s">
        <v>335</v>
      </c>
      <c r="I602">
        <v>18</v>
      </c>
      <c r="J602">
        <v>18</v>
      </c>
      <c r="K602" s="1">
        <v>44958</v>
      </c>
      <c r="L602" s="1">
        <v>45260</v>
      </c>
      <c r="M602" s="1">
        <v>44958</v>
      </c>
      <c r="N602" s="1">
        <v>45260</v>
      </c>
      <c r="O602" t="s">
        <v>117</v>
      </c>
      <c r="P602" t="s">
        <v>1921</v>
      </c>
      <c r="R602" t="s">
        <v>1922</v>
      </c>
      <c r="T602" t="s">
        <v>1923</v>
      </c>
      <c r="U602" t="s">
        <v>339</v>
      </c>
      <c r="V602" s="4" t="str">
        <f>"20882"</f>
        <v>20882</v>
      </c>
      <c r="W602" t="s">
        <v>120</v>
      </c>
      <c r="Y602" s="5">
        <v>13014820300</v>
      </c>
      <c r="AA602">
        <v>56173</v>
      </c>
      <c r="AB602" t="s">
        <v>1924</v>
      </c>
      <c r="AC602" t="s">
        <v>1925</v>
      </c>
      <c r="AD602" t="s">
        <v>138</v>
      </c>
      <c r="AE602" t="s">
        <v>1926</v>
      </c>
      <c r="AF602" t="s">
        <v>1922</v>
      </c>
      <c r="AH602" t="s">
        <v>1923</v>
      </c>
      <c r="AI602" t="s">
        <v>339</v>
      </c>
      <c r="AJ602" s="4" t="str">
        <f>"20882"</f>
        <v>20882</v>
      </c>
      <c r="AK602" t="s">
        <v>120</v>
      </c>
      <c r="AM602" s="5">
        <v>13014820300</v>
      </c>
      <c r="AO602" t="s">
        <v>1927</v>
      </c>
      <c r="AP602" t="s">
        <v>256</v>
      </c>
      <c r="AQ602" t="s">
        <v>1928</v>
      </c>
      <c r="AR602" t="s">
        <v>1929</v>
      </c>
      <c r="AS602" t="s">
        <v>1685</v>
      </c>
      <c r="AT602" t="s">
        <v>1930</v>
      </c>
      <c r="AU602" t="s">
        <v>1931</v>
      </c>
      <c r="AV602" t="s">
        <v>1932</v>
      </c>
      <c r="AW602" t="s">
        <v>349</v>
      </c>
      <c r="AX602" s="4" t="str">
        <f t="shared" si="43"/>
        <v>83814</v>
      </c>
      <c r="AY602" t="s">
        <v>120</v>
      </c>
      <c r="BA602" s="5">
        <v>12087772654</v>
      </c>
      <c r="BC602" t="s">
        <v>1933</v>
      </c>
      <c r="BD602" t="s">
        <v>351</v>
      </c>
      <c r="BG602" t="s">
        <v>119</v>
      </c>
      <c r="BH602" s="1">
        <v>44858.833333333336</v>
      </c>
      <c r="BI602">
        <v>40</v>
      </c>
      <c r="BJ602">
        <v>0</v>
      </c>
      <c r="BK602">
        <v>8</v>
      </c>
      <c r="BL602">
        <v>8</v>
      </c>
      <c r="BM602">
        <v>8</v>
      </c>
      <c r="BN602">
        <v>8</v>
      </c>
      <c r="BO602">
        <v>8</v>
      </c>
      <c r="BP602">
        <v>0</v>
      </c>
      <c r="BQ602" t="str">
        <f>"6:30 AM"</f>
        <v>6:30 AM</v>
      </c>
      <c r="BR602" t="str">
        <f>"3:30 PM"</f>
        <v>3:30 PM</v>
      </c>
      <c r="BS602" t="s">
        <v>133</v>
      </c>
      <c r="BT602">
        <v>0</v>
      </c>
      <c r="BU602">
        <v>0</v>
      </c>
      <c r="BV602" t="s">
        <v>134</v>
      </c>
      <c r="BX602" s="2" t="s">
        <v>1934</v>
      </c>
      <c r="BY602" t="s">
        <v>6508</v>
      </c>
      <c r="CA602" t="s">
        <v>4390</v>
      </c>
      <c r="CB602" t="s">
        <v>119</v>
      </c>
      <c r="CC602" s="4" t="str">
        <f>"27703"</f>
        <v>27703</v>
      </c>
      <c r="CD602" t="s">
        <v>4391</v>
      </c>
      <c r="CE602" t="s">
        <v>3791</v>
      </c>
      <c r="CF602" s="6">
        <v>16.45</v>
      </c>
      <c r="CG602" s="6">
        <v>18.54</v>
      </c>
      <c r="CH602" s="6">
        <v>24.68</v>
      </c>
      <c r="CI602" s="6">
        <v>27.81</v>
      </c>
      <c r="CJ602" t="s">
        <v>137</v>
      </c>
      <c r="CK602" t="s">
        <v>356</v>
      </c>
      <c r="CL602" t="s">
        <v>6509</v>
      </c>
      <c r="CO602" t="s">
        <v>138</v>
      </c>
      <c r="CP602" t="s">
        <v>114</v>
      </c>
      <c r="CQ602" t="s">
        <v>114</v>
      </c>
      <c r="CR602" t="s">
        <v>114</v>
      </c>
      <c r="CS602" t="s">
        <v>114</v>
      </c>
      <c r="CT602" t="s">
        <v>114</v>
      </c>
      <c r="CU602" t="s">
        <v>114</v>
      </c>
      <c r="CV602" s="2" t="s">
        <v>6510</v>
      </c>
      <c r="CW602" s="5" t="str">
        <f>"+19195960047"</f>
        <v>+19195960047</v>
      </c>
      <c r="CX602" t="s">
        <v>6511</v>
      </c>
      <c r="CY602" t="s">
        <v>138</v>
      </c>
      <c r="CZ602" t="s">
        <v>139</v>
      </c>
      <c r="DA602" t="s">
        <v>134</v>
      </c>
      <c r="DB602" t="s">
        <v>114</v>
      </c>
      <c r="DC602" t="s">
        <v>114</v>
      </c>
      <c r="DD602" t="s">
        <v>134</v>
      </c>
    </row>
    <row r="603" spans="1:113" ht="15" customHeight="1" x14ac:dyDescent="0.25">
      <c r="A603" t="s">
        <v>387</v>
      </c>
      <c r="B603" t="s">
        <v>165</v>
      </c>
      <c r="C603" s="1">
        <v>44868.000641550927</v>
      </c>
      <c r="D603" s="1">
        <v>44895</v>
      </c>
      <c r="E603" t="s">
        <v>134</v>
      </c>
      <c r="F603" t="s">
        <v>388</v>
      </c>
      <c r="G603" t="str">
        <f>"35-3031.00"</f>
        <v>35-3031.00</v>
      </c>
      <c r="H603" t="s">
        <v>389</v>
      </c>
      <c r="I603">
        <v>22</v>
      </c>
      <c r="J603">
        <v>22</v>
      </c>
      <c r="K603" s="1">
        <v>44958</v>
      </c>
      <c r="L603" s="1">
        <v>45260</v>
      </c>
      <c r="M603" s="1">
        <v>44958</v>
      </c>
      <c r="N603" s="1">
        <v>45260</v>
      </c>
      <c r="O603" t="s">
        <v>117</v>
      </c>
      <c r="P603" t="s">
        <v>390</v>
      </c>
      <c r="Q603" t="s">
        <v>391</v>
      </c>
      <c r="R603" t="s">
        <v>392</v>
      </c>
      <c r="T603" t="s">
        <v>393</v>
      </c>
      <c r="U603" t="s">
        <v>394</v>
      </c>
      <c r="V603" s="4" t="str">
        <f>"29928"</f>
        <v>29928</v>
      </c>
      <c r="W603" t="s">
        <v>120</v>
      </c>
      <c r="Y603" s="5">
        <v>18438422400</v>
      </c>
      <c r="AA603">
        <v>7211</v>
      </c>
      <c r="AB603" t="s">
        <v>395</v>
      </c>
      <c r="AC603" t="s">
        <v>396</v>
      </c>
      <c r="AD603" t="s">
        <v>397</v>
      </c>
      <c r="AE603" t="s">
        <v>398</v>
      </c>
      <c r="AF603" t="s">
        <v>392</v>
      </c>
      <c r="AH603" t="s">
        <v>393</v>
      </c>
      <c r="AI603" t="s">
        <v>394</v>
      </c>
      <c r="AJ603" s="4" t="str">
        <f>"29928"</f>
        <v>29928</v>
      </c>
      <c r="AK603" t="s">
        <v>120</v>
      </c>
      <c r="AM603" s="5">
        <v>18438422400</v>
      </c>
      <c r="AO603" t="s">
        <v>399</v>
      </c>
      <c r="AP603" t="s">
        <v>256</v>
      </c>
      <c r="AQ603" t="s">
        <v>400</v>
      </c>
      <c r="AR603" t="s">
        <v>401</v>
      </c>
      <c r="AS603" t="s">
        <v>397</v>
      </c>
      <c r="AT603" t="s">
        <v>402</v>
      </c>
      <c r="AU603" t="s">
        <v>152</v>
      </c>
      <c r="AV603" t="s">
        <v>403</v>
      </c>
      <c r="AW603" t="s">
        <v>232</v>
      </c>
      <c r="AX603" s="4" t="str">
        <f>"75033"</f>
        <v>75033</v>
      </c>
      <c r="AY603" t="s">
        <v>120</v>
      </c>
      <c r="BA603" s="5">
        <v>19727789690</v>
      </c>
      <c r="BC603" t="s">
        <v>404</v>
      </c>
      <c r="BD603" t="s">
        <v>405</v>
      </c>
      <c r="BG603" t="s">
        <v>394</v>
      </c>
      <c r="BH603" s="1">
        <v>44867.833333333336</v>
      </c>
      <c r="BI603">
        <v>40</v>
      </c>
      <c r="BJ603">
        <v>8</v>
      </c>
      <c r="BK603">
        <v>0</v>
      </c>
      <c r="BL603">
        <v>0</v>
      </c>
      <c r="BM603">
        <v>8</v>
      </c>
      <c r="BN603">
        <v>8</v>
      </c>
      <c r="BO603">
        <v>8</v>
      </c>
      <c r="BP603">
        <v>8</v>
      </c>
      <c r="BQ603" t="str">
        <f>"5:30 AM"</f>
        <v>5:30 AM</v>
      </c>
      <c r="BR603" t="str">
        <f>"2:00 PM"</f>
        <v>2:00 PM</v>
      </c>
      <c r="BS603" t="s">
        <v>133</v>
      </c>
      <c r="BT603">
        <v>0</v>
      </c>
      <c r="BU603">
        <v>0</v>
      </c>
      <c r="BV603" t="s">
        <v>134</v>
      </c>
      <c r="BX603" s="2" t="s">
        <v>406</v>
      </c>
      <c r="BY603" t="s">
        <v>407</v>
      </c>
      <c r="CA603" t="s">
        <v>408</v>
      </c>
      <c r="CB603" t="s">
        <v>394</v>
      </c>
      <c r="CC603" s="4" t="str">
        <f>"29928"</f>
        <v>29928</v>
      </c>
      <c r="CD603" t="s">
        <v>409</v>
      </c>
      <c r="CE603" t="s">
        <v>410</v>
      </c>
      <c r="CF603" s="6">
        <v>13.5</v>
      </c>
      <c r="CG603" s="6">
        <v>13.5</v>
      </c>
      <c r="CH603" s="6">
        <v>20.25</v>
      </c>
      <c r="CI603" s="6">
        <v>20.25</v>
      </c>
      <c r="CJ603" t="s">
        <v>137</v>
      </c>
      <c r="CK603" t="s">
        <v>411</v>
      </c>
      <c r="CL603" t="s">
        <v>412</v>
      </c>
      <c r="CO603" t="s">
        <v>138</v>
      </c>
      <c r="CP603" t="s">
        <v>134</v>
      </c>
      <c r="CQ603" t="s">
        <v>114</v>
      </c>
      <c r="CR603" t="s">
        <v>114</v>
      </c>
      <c r="CS603" t="s">
        <v>114</v>
      </c>
      <c r="CT603" t="s">
        <v>114</v>
      </c>
      <c r="CU603" t="s">
        <v>114</v>
      </c>
      <c r="CV603" t="s">
        <v>413</v>
      </c>
      <c r="CW603" s="5" t="str">
        <f>"+18438422400"</f>
        <v>+18438422400</v>
      </c>
      <c r="CX603" t="s">
        <v>138</v>
      </c>
      <c r="CY603" t="s">
        <v>414</v>
      </c>
      <c r="CZ603" t="s">
        <v>139</v>
      </c>
      <c r="DA603" t="s">
        <v>134</v>
      </c>
      <c r="DB603" t="s">
        <v>114</v>
      </c>
      <c r="DC603" t="s">
        <v>114</v>
      </c>
      <c r="DD603" t="s">
        <v>134</v>
      </c>
    </row>
    <row r="604" spans="1:113" ht="15" customHeight="1" x14ac:dyDescent="0.25">
      <c r="A604" t="s">
        <v>11321</v>
      </c>
      <c r="B604" t="s">
        <v>165</v>
      </c>
      <c r="C604" s="1">
        <v>44868.000405324077</v>
      </c>
      <c r="D604" s="1">
        <v>44895</v>
      </c>
      <c r="E604" t="s">
        <v>134</v>
      </c>
      <c r="F604" t="s">
        <v>115</v>
      </c>
      <c r="G604" t="str">
        <f>"37-2012.00"</f>
        <v>37-2012.00</v>
      </c>
      <c r="H604" t="s">
        <v>116</v>
      </c>
      <c r="I604">
        <v>38</v>
      </c>
      <c r="J604">
        <v>38</v>
      </c>
      <c r="K604" s="1">
        <v>44958</v>
      </c>
      <c r="L604" s="1">
        <v>45260</v>
      </c>
      <c r="M604" s="1">
        <v>44958</v>
      </c>
      <c r="N604" s="1">
        <v>45260</v>
      </c>
      <c r="O604" t="s">
        <v>117</v>
      </c>
      <c r="P604" t="s">
        <v>390</v>
      </c>
      <c r="Q604" t="s">
        <v>391</v>
      </c>
      <c r="R604" t="s">
        <v>392</v>
      </c>
      <c r="T604" t="s">
        <v>393</v>
      </c>
      <c r="U604" t="s">
        <v>394</v>
      </c>
      <c r="V604" s="4" t="str">
        <f>"29928"</f>
        <v>29928</v>
      </c>
      <c r="W604" t="s">
        <v>120</v>
      </c>
      <c r="Y604" s="5">
        <v>18438422400</v>
      </c>
      <c r="AA604">
        <v>7211</v>
      </c>
      <c r="AB604" t="s">
        <v>395</v>
      </c>
      <c r="AC604" t="s">
        <v>396</v>
      </c>
      <c r="AD604" t="s">
        <v>397</v>
      </c>
      <c r="AE604" t="s">
        <v>398</v>
      </c>
      <c r="AF604" t="s">
        <v>392</v>
      </c>
      <c r="AH604" t="s">
        <v>393</v>
      </c>
      <c r="AI604" t="s">
        <v>394</v>
      </c>
      <c r="AJ604" s="4" t="str">
        <f>"29928"</f>
        <v>29928</v>
      </c>
      <c r="AK604" t="s">
        <v>120</v>
      </c>
      <c r="AM604" s="5">
        <v>18438422400</v>
      </c>
      <c r="AO604" t="s">
        <v>399</v>
      </c>
      <c r="AP604" t="s">
        <v>256</v>
      </c>
      <c r="AQ604" t="s">
        <v>400</v>
      </c>
      <c r="AR604" t="s">
        <v>401</v>
      </c>
      <c r="AS604" t="s">
        <v>397</v>
      </c>
      <c r="AT604" t="s">
        <v>402</v>
      </c>
      <c r="AU604" t="s">
        <v>152</v>
      </c>
      <c r="AV604" t="s">
        <v>403</v>
      </c>
      <c r="AW604" t="s">
        <v>232</v>
      </c>
      <c r="AX604" s="4" t="str">
        <f>"75033"</f>
        <v>75033</v>
      </c>
      <c r="AY604" t="s">
        <v>120</v>
      </c>
      <c r="BA604" s="5">
        <v>19727789690</v>
      </c>
      <c r="BC604" t="s">
        <v>404</v>
      </c>
      <c r="BD604" t="s">
        <v>405</v>
      </c>
      <c r="BG604" t="s">
        <v>394</v>
      </c>
      <c r="BH604" s="1">
        <v>44867.833333333336</v>
      </c>
      <c r="BI604">
        <v>40</v>
      </c>
      <c r="BJ604">
        <v>8</v>
      </c>
      <c r="BK604">
        <v>0</v>
      </c>
      <c r="BL604">
        <v>0</v>
      </c>
      <c r="BM604">
        <v>8</v>
      </c>
      <c r="BN604">
        <v>8</v>
      </c>
      <c r="BO604">
        <v>8</v>
      </c>
      <c r="BP604">
        <v>8</v>
      </c>
      <c r="BQ604" t="str">
        <f>"8:00 AM"</f>
        <v>8:00 AM</v>
      </c>
      <c r="BR604" t="str">
        <f>"4:30 PM"</f>
        <v>4:30 PM</v>
      </c>
      <c r="BS604" t="s">
        <v>133</v>
      </c>
      <c r="BT604">
        <v>0</v>
      </c>
      <c r="BU604">
        <v>0</v>
      </c>
      <c r="BV604" t="s">
        <v>134</v>
      </c>
      <c r="BX604" s="2" t="s">
        <v>11322</v>
      </c>
      <c r="BY604" t="s">
        <v>407</v>
      </c>
      <c r="CA604" t="s">
        <v>408</v>
      </c>
      <c r="CB604" t="s">
        <v>394</v>
      </c>
      <c r="CC604" s="4" t="str">
        <f>"29928"</f>
        <v>29928</v>
      </c>
      <c r="CD604" t="s">
        <v>409</v>
      </c>
      <c r="CE604" t="s">
        <v>410</v>
      </c>
      <c r="CF604" s="6">
        <v>13.5</v>
      </c>
      <c r="CG604" s="6">
        <v>13.5</v>
      </c>
      <c r="CH604" s="6">
        <v>20.25</v>
      </c>
      <c r="CI604" s="6">
        <v>20.25</v>
      </c>
      <c r="CJ604" t="s">
        <v>137</v>
      </c>
      <c r="CK604" t="s">
        <v>4437</v>
      </c>
      <c r="CL604" t="s">
        <v>11323</v>
      </c>
      <c r="CO604" t="s">
        <v>138</v>
      </c>
      <c r="CP604" t="s">
        <v>134</v>
      </c>
      <c r="CQ604" t="s">
        <v>114</v>
      </c>
      <c r="CR604" t="s">
        <v>114</v>
      </c>
      <c r="CS604" t="s">
        <v>114</v>
      </c>
      <c r="CT604" t="s">
        <v>114</v>
      </c>
      <c r="CU604" t="s">
        <v>114</v>
      </c>
      <c r="CV604" t="s">
        <v>413</v>
      </c>
      <c r="CW604" s="5" t="str">
        <f>"+18438422400"</f>
        <v>+18438422400</v>
      </c>
      <c r="CX604" t="s">
        <v>138</v>
      </c>
      <c r="CY604" t="s">
        <v>414</v>
      </c>
      <c r="CZ604" t="s">
        <v>139</v>
      </c>
      <c r="DA604" t="s">
        <v>134</v>
      </c>
      <c r="DB604" t="s">
        <v>114</v>
      </c>
      <c r="DC604" t="s">
        <v>114</v>
      </c>
      <c r="DD604" t="s">
        <v>134</v>
      </c>
    </row>
    <row r="605" spans="1:113" ht="15" customHeight="1" x14ac:dyDescent="0.25">
      <c r="A605" t="s">
        <v>9511</v>
      </c>
      <c r="B605" t="s">
        <v>165</v>
      </c>
      <c r="C605" s="1">
        <v>44868.000051736111</v>
      </c>
      <c r="D605" s="1">
        <v>44895</v>
      </c>
      <c r="E605" t="s">
        <v>134</v>
      </c>
      <c r="F605" t="s">
        <v>1331</v>
      </c>
      <c r="G605" t="str">
        <f>"35-2014.00"</f>
        <v>35-2014.00</v>
      </c>
      <c r="H605" t="s">
        <v>915</v>
      </c>
      <c r="I605">
        <v>12</v>
      </c>
      <c r="J605">
        <v>12</v>
      </c>
      <c r="K605" s="1">
        <v>44958</v>
      </c>
      <c r="L605" s="1">
        <v>45260</v>
      </c>
      <c r="M605" s="1">
        <v>44958</v>
      </c>
      <c r="N605" s="1">
        <v>45260</v>
      </c>
      <c r="O605" t="s">
        <v>117</v>
      </c>
      <c r="P605" t="s">
        <v>390</v>
      </c>
      <c r="Q605" t="s">
        <v>391</v>
      </c>
      <c r="R605" t="s">
        <v>392</v>
      </c>
      <c r="T605" t="s">
        <v>393</v>
      </c>
      <c r="U605" t="s">
        <v>394</v>
      </c>
      <c r="V605" s="4" t="str">
        <f>"29928"</f>
        <v>29928</v>
      </c>
      <c r="W605" t="s">
        <v>120</v>
      </c>
      <c r="Y605" s="5">
        <v>18438422400</v>
      </c>
      <c r="AA605">
        <v>7211</v>
      </c>
      <c r="AB605" t="s">
        <v>395</v>
      </c>
      <c r="AC605" t="s">
        <v>396</v>
      </c>
      <c r="AD605" t="s">
        <v>397</v>
      </c>
      <c r="AE605" t="s">
        <v>398</v>
      </c>
      <c r="AF605" t="s">
        <v>392</v>
      </c>
      <c r="AH605" t="s">
        <v>393</v>
      </c>
      <c r="AI605" t="s">
        <v>394</v>
      </c>
      <c r="AJ605" s="4" t="str">
        <f>"29928"</f>
        <v>29928</v>
      </c>
      <c r="AK605" t="s">
        <v>120</v>
      </c>
      <c r="AM605" s="5">
        <v>18438422400</v>
      </c>
      <c r="AO605" t="s">
        <v>399</v>
      </c>
      <c r="AP605" t="s">
        <v>256</v>
      </c>
      <c r="AQ605" t="s">
        <v>400</v>
      </c>
      <c r="AR605" t="s">
        <v>401</v>
      </c>
      <c r="AS605" t="s">
        <v>397</v>
      </c>
      <c r="AT605" t="s">
        <v>402</v>
      </c>
      <c r="AU605" t="s">
        <v>152</v>
      </c>
      <c r="AV605" t="s">
        <v>403</v>
      </c>
      <c r="AW605" t="s">
        <v>232</v>
      </c>
      <c r="AX605" s="4" t="str">
        <f>"75033"</f>
        <v>75033</v>
      </c>
      <c r="AY605" t="s">
        <v>120</v>
      </c>
      <c r="BA605" s="5">
        <v>19727789690</v>
      </c>
      <c r="BC605" t="s">
        <v>404</v>
      </c>
      <c r="BD605" t="s">
        <v>405</v>
      </c>
      <c r="BG605" t="s">
        <v>394</v>
      </c>
      <c r="BH605" s="1">
        <v>44867.833333333336</v>
      </c>
      <c r="BI605">
        <v>40</v>
      </c>
      <c r="BJ605">
        <v>8</v>
      </c>
      <c r="BK605">
        <v>0</v>
      </c>
      <c r="BL605">
        <v>0</v>
      </c>
      <c r="BM605">
        <v>8</v>
      </c>
      <c r="BN605">
        <v>8</v>
      </c>
      <c r="BO605">
        <v>8</v>
      </c>
      <c r="BP605">
        <v>8</v>
      </c>
      <c r="BQ605" t="str">
        <f>"7:00 AM"</f>
        <v>7:00 AM</v>
      </c>
      <c r="BR605" t="str">
        <f>"3:30 PM"</f>
        <v>3:30 PM</v>
      </c>
      <c r="BS605" t="s">
        <v>133</v>
      </c>
      <c r="BT605">
        <v>0</v>
      </c>
      <c r="BU605">
        <v>0</v>
      </c>
      <c r="BV605" t="s">
        <v>134</v>
      </c>
      <c r="BX605" s="2" t="s">
        <v>9512</v>
      </c>
      <c r="BY605" t="s">
        <v>407</v>
      </c>
      <c r="CA605" t="s">
        <v>408</v>
      </c>
      <c r="CB605" t="s">
        <v>394</v>
      </c>
      <c r="CC605" s="4" t="str">
        <f>"29928"</f>
        <v>29928</v>
      </c>
      <c r="CD605" t="s">
        <v>409</v>
      </c>
      <c r="CE605" t="s">
        <v>410</v>
      </c>
      <c r="CF605" s="6">
        <v>14.5</v>
      </c>
      <c r="CG605" s="6">
        <v>14.5</v>
      </c>
      <c r="CH605" s="6">
        <v>21.75</v>
      </c>
      <c r="CI605" s="6">
        <v>21.75</v>
      </c>
      <c r="CJ605" t="s">
        <v>137</v>
      </c>
      <c r="CK605" t="s">
        <v>593</v>
      </c>
      <c r="CL605" t="s">
        <v>9513</v>
      </c>
      <c r="CO605" t="s">
        <v>138</v>
      </c>
      <c r="CP605" t="s">
        <v>134</v>
      </c>
      <c r="CQ605" t="s">
        <v>114</v>
      </c>
      <c r="CR605" t="s">
        <v>114</v>
      </c>
      <c r="CS605" t="s">
        <v>114</v>
      </c>
      <c r="CT605" t="s">
        <v>114</v>
      </c>
      <c r="CU605" t="s">
        <v>114</v>
      </c>
      <c r="CV605" t="s">
        <v>9514</v>
      </c>
      <c r="CW605" s="5" t="str">
        <f>"+18438422400"</f>
        <v>+18438422400</v>
      </c>
      <c r="CX605" t="s">
        <v>138</v>
      </c>
      <c r="CY605" t="s">
        <v>414</v>
      </c>
      <c r="CZ605" t="s">
        <v>139</v>
      </c>
      <c r="DA605" t="s">
        <v>134</v>
      </c>
      <c r="DB605" t="s">
        <v>114</v>
      </c>
      <c r="DC605" t="s">
        <v>114</v>
      </c>
      <c r="DD605" t="s">
        <v>134</v>
      </c>
    </row>
    <row r="606" spans="1:113" ht="15" customHeight="1" x14ac:dyDescent="0.25">
      <c r="A606" t="s">
        <v>360</v>
      </c>
      <c r="B606" t="s">
        <v>165</v>
      </c>
      <c r="C606" s="1">
        <v>44862.560051851855</v>
      </c>
      <c r="D606" s="1">
        <v>44895</v>
      </c>
      <c r="E606" t="s">
        <v>134</v>
      </c>
      <c r="F606" t="s">
        <v>361</v>
      </c>
      <c r="G606" t="str">
        <f>"39-3091.00"</f>
        <v>39-3091.00</v>
      </c>
      <c r="H606" t="s">
        <v>362</v>
      </c>
      <c r="I606">
        <v>45</v>
      </c>
      <c r="J606">
        <v>45</v>
      </c>
      <c r="K606" s="1">
        <v>44942</v>
      </c>
      <c r="L606" s="1">
        <v>45189</v>
      </c>
      <c r="M606" s="1">
        <v>44942</v>
      </c>
      <c r="N606" s="1">
        <v>45189</v>
      </c>
      <c r="O606" t="s">
        <v>199</v>
      </c>
      <c r="P606" t="s">
        <v>363</v>
      </c>
      <c r="R606" t="s">
        <v>364</v>
      </c>
      <c r="T606" t="s">
        <v>365</v>
      </c>
      <c r="U606" t="s">
        <v>232</v>
      </c>
      <c r="V606" s="4" t="str">
        <f>"76148"</f>
        <v>76148</v>
      </c>
      <c r="W606" t="s">
        <v>120</v>
      </c>
      <c r="Y606" s="5">
        <v>18178329832</v>
      </c>
      <c r="Z606">
        <v>0</v>
      </c>
      <c r="AA606">
        <v>71399</v>
      </c>
      <c r="AB606" t="s">
        <v>366</v>
      </c>
      <c r="AC606" t="s">
        <v>367</v>
      </c>
      <c r="AE606" t="s">
        <v>342</v>
      </c>
      <c r="AF606" t="s">
        <v>364</v>
      </c>
      <c r="AH606" t="s">
        <v>365</v>
      </c>
      <c r="AI606" t="s">
        <v>232</v>
      </c>
      <c r="AJ606" s="4" t="str">
        <f>"76148"</f>
        <v>76148</v>
      </c>
      <c r="AK606" t="s">
        <v>120</v>
      </c>
      <c r="AM606" s="5">
        <v>18178329832</v>
      </c>
      <c r="AN606">
        <v>0</v>
      </c>
      <c r="AO606" t="s">
        <v>368</v>
      </c>
      <c r="AP606" t="s">
        <v>122</v>
      </c>
      <c r="AQ606" t="s">
        <v>369</v>
      </c>
      <c r="AR606" t="s">
        <v>370</v>
      </c>
      <c r="AS606" t="s">
        <v>371</v>
      </c>
      <c r="AT606" t="s">
        <v>372</v>
      </c>
      <c r="AU606" t="s">
        <v>373</v>
      </c>
      <c r="AV606" t="s">
        <v>374</v>
      </c>
      <c r="AW606" t="s">
        <v>339</v>
      </c>
      <c r="AX606" s="4" t="str">
        <f>"21401"</f>
        <v>21401</v>
      </c>
      <c r="AY606" t="s">
        <v>120</v>
      </c>
      <c r="BA606" s="5">
        <v>14105739955</v>
      </c>
      <c r="BB606">
        <v>0</v>
      </c>
      <c r="BC606" t="s">
        <v>375</v>
      </c>
      <c r="BD606" t="s">
        <v>376</v>
      </c>
      <c r="BE606" t="s">
        <v>339</v>
      </c>
      <c r="BF606" t="s">
        <v>377</v>
      </c>
      <c r="BG606" t="s">
        <v>232</v>
      </c>
      <c r="BH606" s="1">
        <v>44861.833333333336</v>
      </c>
      <c r="BI606">
        <v>35</v>
      </c>
      <c r="BJ606">
        <v>7</v>
      </c>
      <c r="BK606">
        <v>0</v>
      </c>
      <c r="BL606">
        <v>0</v>
      </c>
      <c r="BM606">
        <v>7</v>
      </c>
      <c r="BN606">
        <v>7</v>
      </c>
      <c r="BO606">
        <v>7</v>
      </c>
      <c r="BP606">
        <v>7</v>
      </c>
      <c r="BQ606" t="str">
        <f>"4:00 PM"</f>
        <v>4:00 PM</v>
      </c>
      <c r="BR606" t="str">
        <f>"11:00 PM"</f>
        <v>11:00 PM</v>
      </c>
      <c r="BS606" t="s">
        <v>133</v>
      </c>
      <c r="BT606">
        <v>0</v>
      </c>
      <c r="BU606">
        <v>0</v>
      </c>
      <c r="BV606" t="s">
        <v>134</v>
      </c>
      <c r="BX606" s="2" t="s">
        <v>378</v>
      </c>
      <c r="BY606" t="s">
        <v>379</v>
      </c>
      <c r="CA606" t="s">
        <v>380</v>
      </c>
      <c r="CB606" t="s">
        <v>232</v>
      </c>
      <c r="CC606" s="4" t="str">
        <f>"79602"</f>
        <v>79602</v>
      </c>
      <c r="CD606" t="s">
        <v>381</v>
      </c>
      <c r="CE606" t="s">
        <v>382</v>
      </c>
      <c r="CF606" s="6">
        <v>10.15</v>
      </c>
      <c r="CG606" s="6">
        <v>14.63</v>
      </c>
      <c r="CH606" s="6">
        <v>15.23</v>
      </c>
      <c r="CI606" s="6">
        <v>21.95</v>
      </c>
      <c r="CJ606" t="s">
        <v>137</v>
      </c>
      <c r="CK606" t="s">
        <v>383</v>
      </c>
      <c r="CL606" t="s">
        <v>384</v>
      </c>
      <c r="CO606" t="s">
        <v>138</v>
      </c>
      <c r="CP606" t="s">
        <v>114</v>
      </c>
      <c r="CQ606" t="s">
        <v>134</v>
      </c>
      <c r="CR606" t="s">
        <v>134</v>
      </c>
      <c r="CS606" t="s">
        <v>114</v>
      </c>
      <c r="CT606" t="s">
        <v>114</v>
      </c>
      <c r="CU606" t="s">
        <v>114</v>
      </c>
      <c r="CV606" t="s">
        <v>385</v>
      </c>
      <c r="CW606" s="5" t="str">
        <f>"+18178329832"</f>
        <v>+18178329832</v>
      </c>
      <c r="CX606" t="s">
        <v>386</v>
      </c>
      <c r="CY606" t="s">
        <v>138</v>
      </c>
      <c r="CZ606" t="s">
        <v>139</v>
      </c>
      <c r="DA606" t="s">
        <v>134</v>
      </c>
      <c r="DB606" t="s">
        <v>114</v>
      </c>
      <c r="DC606" t="s">
        <v>114</v>
      </c>
      <c r="DD606" t="s">
        <v>134</v>
      </c>
    </row>
    <row r="607" spans="1:113" ht="15" customHeight="1" x14ac:dyDescent="0.25">
      <c r="A607" t="s">
        <v>12986</v>
      </c>
      <c r="B607" t="s">
        <v>165</v>
      </c>
      <c r="C607" s="1">
        <v>44860.643882060183</v>
      </c>
      <c r="D607" s="1">
        <v>44895</v>
      </c>
      <c r="E607" t="s">
        <v>134</v>
      </c>
      <c r="F607" t="s">
        <v>524</v>
      </c>
      <c r="G607" t="str">
        <f>"49-9098.00"</f>
        <v>49-9098.00</v>
      </c>
      <c r="H607" t="s">
        <v>525</v>
      </c>
      <c r="I607">
        <v>10</v>
      </c>
      <c r="J607">
        <v>10</v>
      </c>
      <c r="K607" s="1">
        <v>44935</v>
      </c>
      <c r="L607" s="1">
        <v>45017</v>
      </c>
      <c r="M607" s="1">
        <v>44935</v>
      </c>
      <c r="N607" s="1">
        <v>45017</v>
      </c>
      <c r="O607" t="s">
        <v>199</v>
      </c>
      <c r="P607" t="s">
        <v>12987</v>
      </c>
      <c r="Q607" t="s">
        <v>12988</v>
      </c>
      <c r="R607" t="s">
        <v>12989</v>
      </c>
      <c r="T607" t="s">
        <v>2635</v>
      </c>
      <c r="U607" t="s">
        <v>281</v>
      </c>
      <c r="V607" s="4" t="str">
        <f>"01887"</f>
        <v>01887</v>
      </c>
      <c r="W607" t="s">
        <v>120</v>
      </c>
      <c r="Y607" s="5">
        <v>19786583928</v>
      </c>
      <c r="Z607">
        <v>0</v>
      </c>
      <c r="AA607">
        <v>71119</v>
      </c>
      <c r="AB607" t="s">
        <v>12990</v>
      </c>
      <c r="AC607" t="s">
        <v>2728</v>
      </c>
      <c r="AD607" t="s">
        <v>7045</v>
      </c>
      <c r="AE607" t="s">
        <v>1855</v>
      </c>
      <c r="AF607" t="s">
        <v>12989</v>
      </c>
      <c r="AH607" t="s">
        <v>2635</v>
      </c>
      <c r="AI607" t="s">
        <v>281</v>
      </c>
      <c r="AJ607" s="4" t="str">
        <f>"01887"</f>
        <v>01887</v>
      </c>
      <c r="AK607" t="s">
        <v>120</v>
      </c>
      <c r="AM607" s="5">
        <v>19786040183</v>
      </c>
      <c r="AN607">
        <v>0</v>
      </c>
      <c r="AO607" t="s">
        <v>12991</v>
      </c>
      <c r="AP607" t="s">
        <v>256</v>
      </c>
      <c r="AQ607" t="s">
        <v>535</v>
      </c>
      <c r="AR607" t="s">
        <v>536</v>
      </c>
      <c r="AS607" t="s">
        <v>537</v>
      </c>
      <c r="AT607" t="s">
        <v>538</v>
      </c>
      <c r="AU607" t="s">
        <v>539</v>
      </c>
      <c r="AV607" t="s">
        <v>540</v>
      </c>
      <c r="AW607" t="s">
        <v>232</v>
      </c>
      <c r="AX607" s="4" t="str">
        <f>"78550"</f>
        <v>78550</v>
      </c>
      <c r="AY607" t="s">
        <v>120</v>
      </c>
      <c r="AZ607" t="s">
        <v>541</v>
      </c>
      <c r="BA607" s="5">
        <v>19564408720</v>
      </c>
      <c r="BB607">
        <v>0</v>
      </c>
      <c r="BC607" t="s">
        <v>542</v>
      </c>
      <c r="BD607" t="s">
        <v>543</v>
      </c>
      <c r="BG607" t="s">
        <v>281</v>
      </c>
      <c r="BH607" s="1">
        <v>44859.833333333336</v>
      </c>
      <c r="BI607">
        <v>40</v>
      </c>
      <c r="BJ607">
        <v>0</v>
      </c>
      <c r="BK607">
        <v>8</v>
      </c>
      <c r="BL607">
        <v>8</v>
      </c>
      <c r="BM607">
        <v>8</v>
      </c>
      <c r="BN607">
        <v>8</v>
      </c>
      <c r="BO607">
        <v>8</v>
      </c>
      <c r="BP607">
        <v>0</v>
      </c>
      <c r="BQ607" t="str">
        <f>"8:00 AM"</f>
        <v>8:00 AM</v>
      </c>
      <c r="BR607" t="str">
        <f>"5:00 PM"</f>
        <v>5:00 PM</v>
      </c>
      <c r="BS607" t="s">
        <v>133</v>
      </c>
      <c r="BT607">
        <v>0</v>
      </c>
      <c r="BU607">
        <v>0</v>
      </c>
      <c r="BV607" t="s">
        <v>134</v>
      </c>
      <c r="BX607" s="2" t="s">
        <v>10091</v>
      </c>
      <c r="BY607" t="s">
        <v>12992</v>
      </c>
      <c r="CA607" t="s">
        <v>2635</v>
      </c>
      <c r="CB607" t="s">
        <v>281</v>
      </c>
      <c r="CC607" s="4" t="str">
        <f>"01887"</f>
        <v>01887</v>
      </c>
      <c r="CD607" t="s">
        <v>12993</v>
      </c>
      <c r="CE607" t="s">
        <v>2630</v>
      </c>
      <c r="CF607" s="6">
        <v>20.75</v>
      </c>
      <c r="CG607" s="6">
        <v>20.75</v>
      </c>
      <c r="CH607" s="6">
        <v>0</v>
      </c>
      <c r="CI607" s="6">
        <v>0</v>
      </c>
      <c r="CJ607" t="s">
        <v>137</v>
      </c>
      <c r="CL607" t="s">
        <v>12994</v>
      </c>
      <c r="CO607" t="s">
        <v>138</v>
      </c>
      <c r="CP607" t="s">
        <v>134</v>
      </c>
      <c r="CQ607" t="s">
        <v>114</v>
      </c>
      <c r="CR607" t="s">
        <v>134</v>
      </c>
      <c r="CS607" t="s">
        <v>114</v>
      </c>
      <c r="CT607" t="s">
        <v>114</v>
      </c>
      <c r="CU607" t="s">
        <v>114</v>
      </c>
      <c r="CV607" t="s">
        <v>12995</v>
      </c>
      <c r="CW607" s="5" t="str">
        <f>"+19782733858"</f>
        <v>+19782733858</v>
      </c>
      <c r="CX607" t="s">
        <v>12996</v>
      </c>
      <c r="CY607" t="s">
        <v>138</v>
      </c>
      <c r="CZ607" t="s">
        <v>139</v>
      </c>
      <c r="DA607" t="s">
        <v>134</v>
      </c>
      <c r="DB607" t="s">
        <v>114</v>
      </c>
      <c r="DC607" t="s">
        <v>114</v>
      </c>
      <c r="DD607" t="s">
        <v>134</v>
      </c>
    </row>
    <row r="608" spans="1:113" ht="15" customHeight="1" x14ac:dyDescent="0.25">
      <c r="A608" t="s">
        <v>3364</v>
      </c>
      <c r="B608" t="s">
        <v>165</v>
      </c>
      <c r="C608" s="1">
        <v>44868.725165625001</v>
      </c>
      <c r="D608" s="1">
        <v>44894</v>
      </c>
      <c r="E608" t="s">
        <v>134</v>
      </c>
      <c r="F608" t="s">
        <v>1662</v>
      </c>
      <c r="G608" t="str">
        <f>"37-3011.00"</f>
        <v>37-3011.00</v>
      </c>
      <c r="H608" t="s">
        <v>335</v>
      </c>
      <c r="I608">
        <v>10</v>
      </c>
      <c r="J608">
        <v>10</v>
      </c>
      <c r="K608" s="1">
        <v>44958</v>
      </c>
      <c r="L608" s="1">
        <v>45219</v>
      </c>
      <c r="M608" s="1">
        <v>44958</v>
      </c>
      <c r="N608" s="1">
        <v>45219</v>
      </c>
      <c r="O608" t="s">
        <v>199</v>
      </c>
      <c r="P608" t="s">
        <v>3365</v>
      </c>
      <c r="R608" t="s">
        <v>3366</v>
      </c>
      <c r="T608" t="s">
        <v>1970</v>
      </c>
      <c r="U608" t="s">
        <v>1411</v>
      </c>
      <c r="V608" s="4" t="str">
        <f>"45241"</f>
        <v>45241</v>
      </c>
      <c r="W608" t="s">
        <v>120</v>
      </c>
      <c r="Y608" s="5">
        <v>18005700213</v>
      </c>
      <c r="AA608">
        <v>56173</v>
      </c>
      <c r="AB608" t="s">
        <v>3367</v>
      </c>
      <c r="AC608" t="s">
        <v>1614</v>
      </c>
      <c r="AD608" t="s">
        <v>1470</v>
      </c>
      <c r="AE608" t="s">
        <v>3368</v>
      </c>
      <c r="AF608" t="s">
        <v>3366</v>
      </c>
      <c r="AH608" t="s">
        <v>1970</v>
      </c>
      <c r="AI608" t="s">
        <v>1411</v>
      </c>
      <c r="AJ608" s="4" t="str">
        <f>"45241"</f>
        <v>45241</v>
      </c>
      <c r="AK608" t="s">
        <v>120</v>
      </c>
      <c r="AM608" s="5">
        <v>18005700213</v>
      </c>
      <c r="AN608">
        <v>1013</v>
      </c>
      <c r="AO608" t="s">
        <v>3369</v>
      </c>
      <c r="AP608" t="s">
        <v>256</v>
      </c>
      <c r="AQ608" t="s">
        <v>1468</v>
      </c>
      <c r="AR608" t="s">
        <v>1469</v>
      </c>
      <c r="AS608" t="s">
        <v>1470</v>
      </c>
      <c r="AT608" t="s">
        <v>1471</v>
      </c>
      <c r="AU608" t="s">
        <v>1472</v>
      </c>
      <c r="AV608" t="s">
        <v>1473</v>
      </c>
      <c r="AW608" t="s">
        <v>479</v>
      </c>
      <c r="AX608" s="4" t="str">
        <f>"22949"</f>
        <v>22949</v>
      </c>
      <c r="AY608" t="s">
        <v>120</v>
      </c>
      <c r="BA608" s="5">
        <v>14342634300</v>
      </c>
      <c r="BC608" t="s">
        <v>1664</v>
      </c>
      <c r="BD608" t="s">
        <v>481</v>
      </c>
      <c r="BG608" t="s">
        <v>1411</v>
      </c>
      <c r="BH608" s="1">
        <v>44867.833333333336</v>
      </c>
      <c r="BI608">
        <v>40</v>
      </c>
      <c r="BJ608">
        <v>0</v>
      </c>
      <c r="BK608">
        <v>8</v>
      </c>
      <c r="BL608">
        <v>8</v>
      </c>
      <c r="BM608">
        <v>8</v>
      </c>
      <c r="BN608">
        <v>8</v>
      </c>
      <c r="BO608">
        <v>8</v>
      </c>
      <c r="BP608">
        <v>0</v>
      </c>
      <c r="BQ608" t="str">
        <f>"7:00 AM"</f>
        <v>7:00 AM</v>
      </c>
      <c r="BR608" t="str">
        <f>"3:30 PM"</f>
        <v>3:30 PM</v>
      </c>
      <c r="BS608" t="s">
        <v>133</v>
      </c>
      <c r="BT608">
        <v>0</v>
      </c>
      <c r="BU608">
        <v>0</v>
      </c>
      <c r="BV608" t="s">
        <v>134</v>
      </c>
      <c r="BX608" s="2" t="s">
        <v>3370</v>
      </c>
      <c r="BY608" t="s">
        <v>3371</v>
      </c>
      <c r="CA608" t="s">
        <v>860</v>
      </c>
      <c r="CB608" t="s">
        <v>1411</v>
      </c>
      <c r="CC608" s="4" t="str">
        <f>"45439"</f>
        <v>45439</v>
      </c>
      <c r="CD608" t="s">
        <v>2007</v>
      </c>
      <c r="CE608" t="s">
        <v>2008</v>
      </c>
      <c r="CF608" s="6">
        <v>16.8</v>
      </c>
      <c r="CH608" s="6">
        <v>25.2</v>
      </c>
      <c r="CJ608" t="s">
        <v>137</v>
      </c>
      <c r="CK608" t="s">
        <v>487</v>
      </c>
      <c r="CL608" t="s">
        <v>3372</v>
      </c>
      <c r="CO608" t="s">
        <v>138</v>
      </c>
      <c r="CP608" t="s">
        <v>114</v>
      </c>
      <c r="CQ608" t="s">
        <v>134</v>
      </c>
      <c r="CR608" t="s">
        <v>114</v>
      </c>
      <c r="CS608" t="s">
        <v>114</v>
      </c>
      <c r="CT608" t="s">
        <v>114</v>
      </c>
      <c r="CU608" t="s">
        <v>114</v>
      </c>
      <c r="CV608" t="s">
        <v>3373</v>
      </c>
      <c r="CW608" s="5" t="str">
        <f>"N/A"</f>
        <v>N/A</v>
      </c>
      <c r="CX608" t="s">
        <v>3369</v>
      </c>
      <c r="CY608" t="s">
        <v>1657</v>
      </c>
      <c r="CZ608" t="s">
        <v>139</v>
      </c>
      <c r="DA608" t="s">
        <v>134</v>
      </c>
      <c r="DB608" t="s">
        <v>114</v>
      </c>
      <c r="DC608" t="s">
        <v>114</v>
      </c>
      <c r="DD608" t="s">
        <v>134</v>
      </c>
      <c r="DE608" t="s">
        <v>1669</v>
      </c>
      <c r="DF608" t="s">
        <v>1670</v>
      </c>
      <c r="DH608" t="s">
        <v>481</v>
      </c>
      <c r="DI608" t="s">
        <v>1664</v>
      </c>
    </row>
    <row r="609" spans="1:108" ht="15" customHeight="1" x14ac:dyDescent="0.25">
      <c r="A609" t="s">
        <v>7466</v>
      </c>
      <c r="B609" t="s">
        <v>165</v>
      </c>
      <c r="C609" s="1">
        <v>44868.693871412041</v>
      </c>
      <c r="D609" s="1">
        <v>44894</v>
      </c>
      <c r="E609" t="s">
        <v>134</v>
      </c>
      <c r="F609" t="s">
        <v>335</v>
      </c>
      <c r="G609" t="str">
        <f>"37-3011.00"</f>
        <v>37-3011.00</v>
      </c>
      <c r="H609" t="s">
        <v>335</v>
      </c>
      <c r="I609">
        <v>20</v>
      </c>
      <c r="J609">
        <v>20</v>
      </c>
      <c r="K609" s="1">
        <v>44958</v>
      </c>
      <c r="L609" s="1">
        <v>45260</v>
      </c>
      <c r="M609" s="1">
        <v>44958</v>
      </c>
      <c r="N609" s="1">
        <v>45260</v>
      </c>
      <c r="O609" t="s">
        <v>117</v>
      </c>
      <c r="P609" t="s">
        <v>7467</v>
      </c>
      <c r="R609" t="s">
        <v>7468</v>
      </c>
      <c r="S609" t="s">
        <v>7469</v>
      </c>
      <c r="T609" t="s">
        <v>6000</v>
      </c>
      <c r="U609" t="s">
        <v>214</v>
      </c>
      <c r="V609" s="4" t="str">
        <f>"70435"</f>
        <v>70435</v>
      </c>
      <c r="W609" t="s">
        <v>120</v>
      </c>
      <c r="Y609" s="5">
        <v>19853277757</v>
      </c>
      <c r="AA609">
        <v>5617</v>
      </c>
      <c r="AB609" t="s">
        <v>7470</v>
      </c>
      <c r="AC609" t="s">
        <v>1659</v>
      </c>
      <c r="AE609" t="s">
        <v>285</v>
      </c>
      <c r="AF609" t="s">
        <v>7471</v>
      </c>
      <c r="AG609" t="s">
        <v>7469</v>
      </c>
      <c r="AH609" t="s">
        <v>6000</v>
      </c>
      <c r="AI609" t="s">
        <v>214</v>
      </c>
      <c r="AJ609" s="4" t="str">
        <f>"70435"</f>
        <v>70435</v>
      </c>
      <c r="AK609" t="s">
        <v>120</v>
      </c>
      <c r="AM609" s="5">
        <v>19853277757</v>
      </c>
      <c r="AO609" t="s">
        <v>7472</v>
      </c>
      <c r="AP609" t="s">
        <v>256</v>
      </c>
      <c r="AQ609" t="s">
        <v>1615</v>
      </c>
      <c r="AR609" t="s">
        <v>1616</v>
      </c>
      <c r="AT609" t="s">
        <v>1617</v>
      </c>
      <c r="AV609" t="s">
        <v>1618</v>
      </c>
      <c r="AW609" t="s">
        <v>444</v>
      </c>
      <c r="AX609" s="4" t="str">
        <f>"93446"</f>
        <v>93446</v>
      </c>
      <c r="AY609" t="s">
        <v>120</v>
      </c>
      <c r="AZ609" t="s">
        <v>1619</v>
      </c>
      <c r="BA609" s="5">
        <v>13217042589</v>
      </c>
      <c r="BC609" t="s">
        <v>1620</v>
      </c>
      <c r="BD609" t="s">
        <v>1621</v>
      </c>
      <c r="BG609" t="s">
        <v>214</v>
      </c>
      <c r="BH609" s="1">
        <v>44867.833333333336</v>
      </c>
      <c r="BI609">
        <v>50</v>
      </c>
      <c r="BJ609">
        <v>0</v>
      </c>
      <c r="BK609">
        <v>10</v>
      </c>
      <c r="BL609">
        <v>10</v>
      </c>
      <c r="BM609">
        <v>10</v>
      </c>
      <c r="BN609">
        <v>10</v>
      </c>
      <c r="BO609">
        <v>10</v>
      </c>
      <c r="BP609">
        <v>0</v>
      </c>
      <c r="BQ609" t="str">
        <f>"6:45 AM"</f>
        <v>6:45 AM</v>
      </c>
      <c r="BR609" t="str">
        <f>"4:45 PM"</f>
        <v>4:45 PM</v>
      </c>
      <c r="BS609" t="s">
        <v>133</v>
      </c>
      <c r="BT609">
        <v>0</v>
      </c>
      <c r="BU609">
        <v>0</v>
      </c>
      <c r="BV609" t="s">
        <v>134</v>
      </c>
      <c r="BX609" s="2" t="s">
        <v>7473</v>
      </c>
      <c r="BY609" t="s">
        <v>7474</v>
      </c>
      <c r="CA609" t="s">
        <v>7475</v>
      </c>
      <c r="CB609" t="s">
        <v>214</v>
      </c>
      <c r="CC609" s="4" t="str">
        <f>"70435"</f>
        <v>70435</v>
      </c>
      <c r="CD609" t="s">
        <v>4589</v>
      </c>
      <c r="CE609" t="s">
        <v>2289</v>
      </c>
      <c r="CF609" s="6">
        <v>14.84</v>
      </c>
      <c r="CG609" s="6">
        <v>14.84</v>
      </c>
      <c r="CH609" s="6">
        <v>22.26</v>
      </c>
      <c r="CI609" s="6">
        <v>22.26</v>
      </c>
      <c r="CJ609" t="s">
        <v>137</v>
      </c>
      <c r="CK609" t="s">
        <v>1623</v>
      </c>
      <c r="CL609" t="s">
        <v>7476</v>
      </c>
      <c r="CO609" t="s">
        <v>138</v>
      </c>
      <c r="CP609" t="s">
        <v>114</v>
      </c>
      <c r="CQ609" t="s">
        <v>114</v>
      </c>
      <c r="CR609" t="s">
        <v>114</v>
      </c>
      <c r="CS609" t="s">
        <v>114</v>
      </c>
      <c r="CT609" t="s">
        <v>114</v>
      </c>
      <c r="CU609" t="s">
        <v>114</v>
      </c>
      <c r="CV609" t="s">
        <v>7477</v>
      </c>
      <c r="CW609" s="5" t="str">
        <f>"+19853277757"</f>
        <v>+19853277757</v>
      </c>
      <c r="CX609" t="s">
        <v>138</v>
      </c>
      <c r="CY609" t="s">
        <v>7478</v>
      </c>
      <c r="CZ609" t="s">
        <v>139</v>
      </c>
      <c r="DA609" t="s">
        <v>134</v>
      </c>
      <c r="DB609" t="s">
        <v>134</v>
      </c>
      <c r="DC609" t="s">
        <v>114</v>
      </c>
      <c r="DD609" t="s">
        <v>134</v>
      </c>
    </row>
    <row r="610" spans="1:108" ht="15" customHeight="1" x14ac:dyDescent="0.25">
      <c r="A610" t="s">
        <v>12982</v>
      </c>
      <c r="B610" t="s">
        <v>165</v>
      </c>
      <c r="C610" s="1">
        <v>44868.645562500002</v>
      </c>
      <c r="D610" s="1">
        <v>44894</v>
      </c>
      <c r="E610" t="s">
        <v>134</v>
      </c>
      <c r="F610" t="s">
        <v>3712</v>
      </c>
      <c r="G610" t="str">
        <f>"51-9198.00"</f>
        <v>51-9198.00</v>
      </c>
      <c r="H610" t="s">
        <v>277</v>
      </c>
      <c r="I610">
        <v>5</v>
      </c>
      <c r="J610">
        <v>5</v>
      </c>
      <c r="K610" s="1">
        <v>44958</v>
      </c>
      <c r="L610" s="1">
        <v>45260</v>
      </c>
      <c r="M610" s="1">
        <v>44958</v>
      </c>
      <c r="N610" s="1">
        <v>45260</v>
      </c>
      <c r="O610" t="s">
        <v>117</v>
      </c>
      <c r="P610" t="s">
        <v>4000</v>
      </c>
      <c r="R610" t="s">
        <v>4001</v>
      </c>
      <c r="T610" t="s">
        <v>4002</v>
      </c>
      <c r="U610" t="s">
        <v>349</v>
      </c>
      <c r="V610" s="4" t="str">
        <f>"83530"</f>
        <v>83530</v>
      </c>
      <c r="W610" t="s">
        <v>120</v>
      </c>
      <c r="Y610" s="5">
        <v>12088392417</v>
      </c>
      <c r="AA610">
        <v>11531</v>
      </c>
      <c r="AB610" t="s">
        <v>4003</v>
      </c>
      <c r="AC610" t="s">
        <v>4004</v>
      </c>
      <c r="AE610" t="s">
        <v>342</v>
      </c>
      <c r="AF610" t="s">
        <v>4001</v>
      </c>
      <c r="AH610" t="s">
        <v>4002</v>
      </c>
      <c r="AI610" t="s">
        <v>349</v>
      </c>
      <c r="AJ610" s="4" t="str">
        <f>"83530"</f>
        <v>83530</v>
      </c>
      <c r="AK610" t="s">
        <v>120</v>
      </c>
      <c r="AM610" s="5">
        <v>12088392417</v>
      </c>
      <c r="AO610" t="s">
        <v>4005</v>
      </c>
      <c r="AP610" t="s">
        <v>256</v>
      </c>
      <c r="AQ610" t="s">
        <v>1511</v>
      </c>
      <c r="AR610" t="s">
        <v>1512</v>
      </c>
      <c r="AS610" t="s">
        <v>138</v>
      </c>
      <c r="AT610" t="s">
        <v>1422</v>
      </c>
      <c r="AU610" t="s">
        <v>347</v>
      </c>
      <c r="AV610" t="s">
        <v>828</v>
      </c>
      <c r="AW610" t="s">
        <v>349</v>
      </c>
      <c r="AX610" s="4" t="str">
        <f>"83814"</f>
        <v>83814</v>
      </c>
      <c r="AY610" t="s">
        <v>120</v>
      </c>
      <c r="BA610" s="5">
        <v>12087772654</v>
      </c>
      <c r="BC610" t="s">
        <v>1513</v>
      </c>
      <c r="BD610" t="s">
        <v>351</v>
      </c>
      <c r="BG610" t="s">
        <v>349</v>
      </c>
      <c r="BH610" s="1">
        <v>44865.833333333336</v>
      </c>
      <c r="BI610">
        <v>40</v>
      </c>
      <c r="BJ610">
        <v>0</v>
      </c>
      <c r="BK610">
        <v>8</v>
      </c>
      <c r="BL610">
        <v>8</v>
      </c>
      <c r="BM610">
        <v>8</v>
      </c>
      <c r="BN610">
        <v>8</v>
      </c>
      <c r="BO610">
        <v>8</v>
      </c>
      <c r="BP610">
        <v>0</v>
      </c>
      <c r="BQ610" t="str">
        <f>"6:00 AM"</f>
        <v>6:00 AM</v>
      </c>
      <c r="BR610" t="str">
        <f>"2:00 PM"</f>
        <v>2:00 PM</v>
      </c>
      <c r="BS610" t="s">
        <v>133</v>
      </c>
      <c r="BT610">
        <v>0</v>
      </c>
      <c r="BU610">
        <v>0</v>
      </c>
      <c r="BV610" t="s">
        <v>134</v>
      </c>
      <c r="BX610" s="2" t="s">
        <v>10090</v>
      </c>
      <c r="BY610" t="s">
        <v>4006</v>
      </c>
      <c r="CA610" t="s">
        <v>4002</v>
      </c>
      <c r="CB610" t="s">
        <v>349</v>
      </c>
      <c r="CC610" s="4" t="str">
        <f>"83530"</f>
        <v>83530</v>
      </c>
      <c r="CD610" t="s">
        <v>4007</v>
      </c>
      <c r="CE610" t="s">
        <v>4008</v>
      </c>
      <c r="CF610" s="6">
        <v>15.49</v>
      </c>
      <c r="CG610" s="6">
        <v>20</v>
      </c>
      <c r="CH610" s="6">
        <v>23.24</v>
      </c>
      <c r="CI610" s="6">
        <v>30</v>
      </c>
      <c r="CJ610" t="s">
        <v>137</v>
      </c>
      <c r="CK610" t="s">
        <v>1894</v>
      </c>
      <c r="CL610" t="s">
        <v>12983</v>
      </c>
      <c r="CO610" t="s">
        <v>138</v>
      </c>
      <c r="CP610" t="s">
        <v>134</v>
      </c>
      <c r="CQ610" t="s">
        <v>134</v>
      </c>
      <c r="CR610" t="s">
        <v>114</v>
      </c>
      <c r="CS610" t="s">
        <v>114</v>
      </c>
      <c r="CT610" t="s">
        <v>114</v>
      </c>
      <c r="CU610" t="s">
        <v>114</v>
      </c>
      <c r="CV610" t="s">
        <v>358</v>
      </c>
      <c r="CW610" s="5" t="str">
        <f>"+12085073243"</f>
        <v>+12085073243</v>
      </c>
      <c r="CX610" t="s">
        <v>4009</v>
      </c>
      <c r="CY610" t="s">
        <v>138</v>
      </c>
      <c r="CZ610" t="s">
        <v>139</v>
      </c>
      <c r="DA610" t="s">
        <v>134</v>
      </c>
      <c r="DB610" t="s">
        <v>114</v>
      </c>
      <c r="DC610" t="s">
        <v>114</v>
      </c>
      <c r="DD610" t="s">
        <v>134</v>
      </c>
    </row>
    <row r="611" spans="1:108" ht="15" customHeight="1" x14ac:dyDescent="0.25">
      <c r="A611" t="s">
        <v>7479</v>
      </c>
      <c r="B611" t="s">
        <v>165</v>
      </c>
      <c r="C611" s="1">
        <v>44868.575238078702</v>
      </c>
      <c r="D611" s="1">
        <v>44894</v>
      </c>
      <c r="E611" t="s">
        <v>134</v>
      </c>
      <c r="F611" t="s">
        <v>1662</v>
      </c>
      <c r="G611" t="str">
        <f>"37-3011.00"</f>
        <v>37-3011.00</v>
      </c>
      <c r="H611" t="s">
        <v>335</v>
      </c>
      <c r="I611">
        <v>10</v>
      </c>
      <c r="J611">
        <v>10</v>
      </c>
      <c r="K611" s="1">
        <v>44958</v>
      </c>
      <c r="L611" s="1">
        <v>45230</v>
      </c>
      <c r="M611" s="1">
        <v>44958</v>
      </c>
      <c r="N611" s="1">
        <v>45230</v>
      </c>
      <c r="O611" t="s">
        <v>117</v>
      </c>
      <c r="P611" t="s">
        <v>7480</v>
      </c>
      <c r="R611" t="s">
        <v>7481</v>
      </c>
      <c r="T611" t="s">
        <v>7482</v>
      </c>
      <c r="U611" t="s">
        <v>214</v>
      </c>
      <c r="V611" s="4" t="str">
        <f>"70759"</f>
        <v>70759</v>
      </c>
      <c r="W611" t="s">
        <v>120</v>
      </c>
      <c r="Y611" s="5">
        <v>12257186193</v>
      </c>
      <c r="AA611">
        <v>561730</v>
      </c>
      <c r="AB611" t="s">
        <v>7483</v>
      </c>
      <c r="AC611" t="s">
        <v>4552</v>
      </c>
      <c r="AD611" t="s">
        <v>1857</v>
      </c>
      <c r="AE611" t="s">
        <v>424</v>
      </c>
      <c r="AF611" t="s">
        <v>7481</v>
      </c>
      <c r="AH611" t="s">
        <v>7482</v>
      </c>
      <c r="AI611" t="s">
        <v>214</v>
      </c>
      <c r="AJ611" s="4" t="str">
        <f>"70759"</f>
        <v>70759</v>
      </c>
      <c r="AK611" t="s">
        <v>120</v>
      </c>
      <c r="AM611" s="5">
        <v>12257180246</v>
      </c>
      <c r="AO611" t="s">
        <v>7484</v>
      </c>
      <c r="AP611" t="s">
        <v>256</v>
      </c>
      <c r="AQ611" t="s">
        <v>257</v>
      </c>
      <c r="AR611" t="s">
        <v>258</v>
      </c>
      <c r="AS611" t="s">
        <v>259</v>
      </c>
      <c r="AT611" t="s">
        <v>260</v>
      </c>
      <c r="AU611" t="s">
        <v>2246</v>
      </c>
      <c r="AV611" t="s">
        <v>262</v>
      </c>
      <c r="AW611" t="s">
        <v>214</v>
      </c>
      <c r="AX611" s="4" t="str">
        <f>"70754"</f>
        <v>70754</v>
      </c>
      <c r="AY611" t="s">
        <v>120</v>
      </c>
      <c r="AZ611" t="s">
        <v>263</v>
      </c>
      <c r="BA611" s="5">
        <v>12256863033</v>
      </c>
      <c r="BC611" t="s">
        <v>264</v>
      </c>
      <c r="BD611" t="s">
        <v>265</v>
      </c>
      <c r="BG611" t="s">
        <v>214</v>
      </c>
      <c r="BH611" s="1">
        <v>44867.833333333336</v>
      </c>
      <c r="BI611">
        <v>35</v>
      </c>
      <c r="BJ611">
        <v>0</v>
      </c>
      <c r="BK611">
        <v>6</v>
      </c>
      <c r="BL611">
        <v>6</v>
      </c>
      <c r="BM611">
        <v>6</v>
      </c>
      <c r="BN611">
        <v>6</v>
      </c>
      <c r="BO611">
        <v>6</v>
      </c>
      <c r="BP611">
        <v>5</v>
      </c>
      <c r="BQ611" t="str">
        <f>"7:00 AM"</f>
        <v>7:00 AM</v>
      </c>
      <c r="BR611" t="str">
        <f>"4:00 PM"</f>
        <v>4:00 PM</v>
      </c>
      <c r="BS611" t="s">
        <v>133</v>
      </c>
      <c r="BT611">
        <v>0</v>
      </c>
      <c r="BU611">
        <v>0</v>
      </c>
      <c r="BV611" t="s">
        <v>134</v>
      </c>
      <c r="BX611" s="2" t="s">
        <v>7485</v>
      </c>
      <c r="BY611" t="s">
        <v>7481</v>
      </c>
      <c r="CA611" t="s">
        <v>7486</v>
      </c>
      <c r="CB611" t="s">
        <v>214</v>
      </c>
      <c r="CC611" s="4" t="str">
        <f>"70759"</f>
        <v>70759</v>
      </c>
      <c r="CD611" t="s">
        <v>7487</v>
      </c>
      <c r="CE611" t="s">
        <v>737</v>
      </c>
      <c r="CF611" s="6">
        <v>14.87</v>
      </c>
      <c r="CH611" s="6">
        <v>22.31</v>
      </c>
      <c r="CJ611" t="s">
        <v>137</v>
      </c>
      <c r="CK611" t="s">
        <v>271</v>
      </c>
      <c r="CL611" t="s">
        <v>7488</v>
      </c>
      <c r="CO611" t="s">
        <v>138</v>
      </c>
      <c r="CP611" t="s">
        <v>114</v>
      </c>
      <c r="CQ611" t="s">
        <v>114</v>
      </c>
      <c r="CR611" t="s">
        <v>114</v>
      </c>
      <c r="CS611" t="s">
        <v>114</v>
      </c>
      <c r="CT611" t="s">
        <v>114</v>
      </c>
      <c r="CU611" t="s">
        <v>114</v>
      </c>
      <c r="CV611" s="2" t="s">
        <v>7489</v>
      </c>
      <c r="CW611" s="5" t="str">
        <f>"+12257180246"</f>
        <v>+12257180246</v>
      </c>
      <c r="CX611" t="s">
        <v>7484</v>
      </c>
      <c r="CY611" t="s">
        <v>274</v>
      </c>
      <c r="CZ611" t="s">
        <v>139</v>
      </c>
      <c r="DA611" t="s">
        <v>134</v>
      </c>
      <c r="DB611" t="s">
        <v>134</v>
      </c>
      <c r="DC611" t="s">
        <v>114</v>
      </c>
      <c r="DD611" t="s">
        <v>134</v>
      </c>
    </row>
    <row r="612" spans="1:108" ht="15" customHeight="1" x14ac:dyDescent="0.25">
      <c r="A612" t="s">
        <v>16440</v>
      </c>
      <c r="B612" t="s">
        <v>165</v>
      </c>
      <c r="C612" s="1">
        <v>44868.520488078706</v>
      </c>
      <c r="D612" s="1">
        <v>44894</v>
      </c>
      <c r="E612" t="s">
        <v>134</v>
      </c>
      <c r="F612" t="s">
        <v>334</v>
      </c>
      <c r="G612" t="str">
        <f>"37-3011.00"</f>
        <v>37-3011.00</v>
      </c>
      <c r="H612" t="s">
        <v>335</v>
      </c>
      <c r="I612">
        <v>20</v>
      </c>
      <c r="J612">
        <v>20</v>
      </c>
      <c r="K612" s="1">
        <v>44958</v>
      </c>
      <c r="L612" s="1">
        <v>45260</v>
      </c>
      <c r="M612" s="1">
        <v>44958</v>
      </c>
      <c r="N612" s="1">
        <v>45260</v>
      </c>
      <c r="O612" t="s">
        <v>199</v>
      </c>
      <c r="P612" t="s">
        <v>5216</v>
      </c>
      <c r="R612" t="s">
        <v>5217</v>
      </c>
      <c r="T612" t="s">
        <v>2341</v>
      </c>
      <c r="U612" t="s">
        <v>697</v>
      </c>
      <c r="V612" s="4" t="str">
        <f>"64146"</f>
        <v>64146</v>
      </c>
      <c r="W612" t="s">
        <v>120</v>
      </c>
      <c r="Y612" s="5">
        <v>18167880808</v>
      </c>
      <c r="AA612">
        <v>56173</v>
      </c>
      <c r="AB612" t="s">
        <v>1578</v>
      </c>
      <c r="AC612" t="s">
        <v>975</v>
      </c>
      <c r="AE612" t="s">
        <v>424</v>
      </c>
      <c r="AF612" t="s">
        <v>5217</v>
      </c>
      <c r="AH612" t="s">
        <v>2341</v>
      </c>
      <c r="AI612" t="s">
        <v>697</v>
      </c>
      <c r="AJ612" s="4" t="str">
        <f>"64146"</f>
        <v>64146</v>
      </c>
      <c r="AK612" t="s">
        <v>120</v>
      </c>
      <c r="AM612" s="5">
        <v>18167880808</v>
      </c>
      <c r="AO612" t="s">
        <v>5218</v>
      </c>
      <c r="AP612" t="s">
        <v>256</v>
      </c>
      <c r="AQ612" t="s">
        <v>3181</v>
      </c>
      <c r="AR612" t="s">
        <v>3182</v>
      </c>
      <c r="AT612" t="s">
        <v>346</v>
      </c>
      <c r="AU612" t="s">
        <v>347</v>
      </c>
      <c r="AV612" t="s">
        <v>828</v>
      </c>
      <c r="AW612" t="s">
        <v>349</v>
      </c>
      <c r="AX612" s="4" t="str">
        <f>"83814"</f>
        <v>83814</v>
      </c>
      <c r="AY612" t="s">
        <v>120</v>
      </c>
      <c r="BA612" s="5">
        <v>12087772654</v>
      </c>
      <c r="BC612" t="s">
        <v>3183</v>
      </c>
      <c r="BD612" t="s">
        <v>351</v>
      </c>
      <c r="BG612" t="s">
        <v>697</v>
      </c>
      <c r="BH612" s="1">
        <v>44851.833333333336</v>
      </c>
      <c r="BI612">
        <v>40</v>
      </c>
      <c r="BJ612">
        <v>0</v>
      </c>
      <c r="BK612">
        <v>8</v>
      </c>
      <c r="BL612">
        <v>8</v>
      </c>
      <c r="BM612">
        <v>8</v>
      </c>
      <c r="BN612">
        <v>8</v>
      </c>
      <c r="BO612">
        <v>8</v>
      </c>
      <c r="BP612">
        <v>0</v>
      </c>
      <c r="BQ612" t="str">
        <f>"8:00 AM"</f>
        <v>8:00 AM</v>
      </c>
      <c r="BR612" t="str">
        <f>"5:00 PM"</f>
        <v>5:00 PM</v>
      </c>
      <c r="BS612" t="s">
        <v>133</v>
      </c>
      <c r="BT612">
        <v>0</v>
      </c>
      <c r="BU612">
        <v>0</v>
      </c>
      <c r="BV612" t="s">
        <v>134</v>
      </c>
      <c r="BX612" s="2" t="s">
        <v>1836</v>
      </c>
      <c r="BY612" t="s">
        <v>5219</v>
      </c>
      <c r="CA612" t="s">
        <v>2341</v>
      </c>
      <c r="CB612" t="s">
        <v>697</v>
      </c>
      <c r="CC612" s="4" t="str">
        <f>"64146"</f>
        <v>64146</v>
      </c>
      <c r="CD612" t="s">
        <v>1116</v>
      </c>
      <c r="CE612" t="s">
        <v>1290</v>
      </c>
      <c r="CF612" s="6">
        <v>16.920000000000002</v>
      </c>
      <c r="CG612" s="6">
        <v>20</v>
      </c>
      <c r="CH612" s="6">
        <v>25.38</v>
      </c>
      <c r="CI612" s="6">
        <v>30</v>
      </c>
      <c r="CJ612" t="s">
        <v>137</v>
      </c>
      <c r="CK612" t="s">
        <v>356</v>
      </c>
      <c r="CL612" t="s">
        <v>5220</v>
      </c>
      <c r="CO612" t="s">
        <v>138</v>
      </c>
      <c r="CP612" t="s">
        <v>114</v>
      </c>
      <c r="CQ612" t="s">
        <v>114</v>
      </c>
      <c r="CR612" t="s">
        <v>114</v>
      </c>
      <c r="CS612" t="s">
        <v>114</v>
      </c>
      <c r="CT612" t="s">
        <v>114</v>
      </c>
      <c r="CU612" t="s">
        <v>114</v>
      </c>
      <c r="CV612" t="s">
        <v>16432</v>
      </c>
      <c r="CW612" s="5" t="str">
        <f>"+18162009757"</f>
        <v>+18162009757</v>
      </c>
      <c r="CX612" t="s">
        <v>5218</v>
      </c>
      <c r="CY612" t="s">
        <v>138</v>
      </c>
      <c r="CZ612" t="s">
        <v>139</v>
      </c>
      <c r="DA612" t="s">
        <v>134</v>
      </c>
      <c r="DB612" t="s">
        <v>134</v>
      </c>
      <c r="DC612" t="s">
        <v>114</v>
      </c>
      <c r="DD612" t="s">
        <v>134</v>
      </c>
    </row>
    <row r="613" spans="1:108" ht="15" customHeight="1" x14ac:dyDescent="0.25">
      <c r="A613" t="s">
        <v>8570</v>
      </c>
      <c r="B613" t="s">
        <v>165</v>
      </c>
      <c r="C613" s="1">
        <v>44868.481712152781</v>
      </c>
      <c r="D613" s="1">
        <v>44894</v>
      </c>
      <c r="E613" t="s">
        <v>134</v>
      </c>
      <c r="F613" t="s">
        <v>334</v>
      </c>
      <c r="G613" t="str">
        <f>"37-3011.00"</f>
        <v>37-3011.00</v>
      </c>
      <c r="H613" t="s">
        <v>335</v>
      </c>
      <c r="I613">
        <v>20</v>
      </c>
      <c r="J613">
        <v>20</v>
      </c>
      <c r="K613" s="1">
        <v>44958</v>
      </c>
      <c r="L613" s="1">
        <v>45252</v>
      </c>
      <c r="M613" s="1">
        <v>44958</v>
      </c>
      <c r="N613" s="1">
        <v>45252</v>
      </c>
      <c r="O613" t="s">
        <v>117</v>
      </c>
      <c r="P613" t="s">
        <v>8571</v>
      </c>
      <c r="R613" t="s">
        <v>8572</v>
      </c>
      <c r="S613" t="s">
        <v>4310</v>
      </c>
      <c r="T613" t="s">
        <v>2831</v>
      </c>
      <c r="U613" t="s">
        <v>479</v>
      </c>
      <c r="V613" s="4" t="str">
        <f>"22003"</f>
        <v>22003</v>
      </c>
      <c r="W613" t="s">
        <v>120</v>
      </c>
      <c r="X613" t="s">
        <v>138</v>
      </c>
      <c r="Y613" s="5">
        <v>17036420146</v>
      </c>
      <c r="AA613">
        <v>561730</v>
      </c>
      <c r="AB613" t="s">
        <v>8573</v>
      </c>
      <c r="AC613" t="s">
        <v>1539</v>
      </c>
      <c r="AD613" t="s">
        <v>259</v>
      </c>
      <c r="AE613" t="s">
        <v>1831</v>
      </c>
      <c r="AF613" t="s">
        <v>8572</v>
      </c>
      <c r="AG613" t="s">
        <v>4310</v>
      </c>
      <c r="AH613" t="s">
        <v>2831</v>
      </c>
      <c r="AI613" t="s">
        <v>479</v>
      </c>
      <c r="AJ613" s="4" t="str">
        <f>"22003"</f>
        <v>22003</v>
      </c>
      <c r="AK613" t="s">
        <v>120</v>
      </c>
      <c r="AM613" s="5">
        <v>17036420146</v>
      </c>
      <c r="AO613" t="s">
        <v>4311</v>
      </c>
      <c r="AP613" t="s">
        <v>256</v>
      </c>
      <c r="AQ613" t="s">
        <v>4312</v>
      </c>
      <c r="AR613" t="s">
        <v>4313</v>
      </c>
      <c r="AS613" t="s">
        <v>4044</v>
      </c>
      <c r="AT613" t="s">
        <v>1284</v>
      </c>
      <c r="AU613" t="s">
        <v>138</v>
      </c>
      <c r="AV613" t="s">
        <v>1285</v>
      </c>
      <c r="AW613" t="s">
        <v>232</v>
      </c>
      <c r="AX613" s="4" t="str">
        <f>"77414"</f>
        <v>77414</v>
      </c>
      <c r="AY613" t="s">
        <v>120</v>
      </c>
      <c r="BA613" s="5">
        <v>19793187277</v>
      </c>
      <c r="BC613" t="s">
        <v>4314</v>
      </c>
      <c r="BD613" t="s">
        <v>1287</v>
      </c>
      <c r="BG613" t="s">
        <v>339</v>
      </c>
      <c r="BH613" s="1">
        <v>44867.833333333336</v>
      </c>
      <c r="BI613">
        <v>40</v>
      </c>
      <c r="BJ613">
        <v>0</v>
      </c>
      <c r="BK613">
        <v>8</v>
      </c>
      <c r="BL613">
        <v>8</v>
      </c>
      <c r="BM613">
        <v>8</v>
      </c>
      <c r="BN613">
        <v>8</v>
      </c>
      <c r="BO613">
        <v>8</v>
      </c>
      <c r="BP613">
        <v>0</v>
      </c>
      <c r="BQ613" t="str">
        <f>"7:00 AM"</f>
        <v>7:00 AM</v>
      </c>
      <c r="BR613" t="str">
        <f>"4:00 PM"</f>
        <v>4:00 PM</v>
      </c>
      <c r="BS613" t="s">
        <v>133</v>
      </c>
      <c r="BT613">
        <v>0</v>
      </c>
      <c r="BU613">
        <v>0</v>
      </c>
      <c r="BV613" t="s">
        <v>134</v>
      </c>
      <c r="BX613" s="2" t="s">
        <v>8574</v>
      </c>
      <c r="BY613" t="s">
        <v>8575</v>
      </c>
      <c r="BZ613" t="s">
        <v>138</v>
      </c>
      <c r="CA613" t="s">
        <v>8576</v>
      </c>
      <c r="CB613" t="s">
        <v>339</v>
      </c>
      <c r="CC613" s="4" t="str">
        <f>"20833"</f>
        <v>20833</v>
      </c>
      <c r="CD613" t="s">
        <v>2007</v>
      </c>
      <c r="CE613" t="s">
        <v>355</v>
      </c>
      <c r="CF613" s="6">
        <v>18.36</v>
      </c>
      <c r="CG613" s="6">
        <v>18.5</v>
      </c>
      <c r="CH613" s="6">
        <v>27.54</v>
      </c>
      <c r="CI613" s="6">
        <v>27.75</v>
      </c>
      <c r="CJ613" t="s">
        <v>137</v>
      </c>
      <c r="CK613" t="s">
        <v>4317</v>
      </c>
      <c r="CL613" t="s">
        <v>8577</v>
      </c>
      <c r="CO613" t="s">
        <v>138</v>
      </c>
      <c r="CP613" t="s">
        <v>114</v>
      </c>
      <c r="CQ613" t="s">
        <v>114</v>
      </c>
      <c r="CR613" t="s">
        <v>114</v>
      </c>
      <c r="CS613" t="s">
        <v>114</v>
      </c>
      <c r="CT613" t="s">
        <v>114</v>
      </c>
      <c r="CU613" t="s">
        <v>114</v>
      </c>
      <c r="CV613" t="s">
        <v>8578</v>
      </c>
      <c r="CW613" s="5" t="str">
        <f>"+13019240110"</f>
        <v>+13019240110</v>
      </c>
      <c r="CX613" t="s">
        <v>8579</v>
      </c>
      <c r="CY613" t="s">
        <v>138</v>
      </c>
      <c r="CZ613" t="s">
        <v>139</v>
      </c>
      <c r="DA613" t="s">
        <v>134</v>
      </c>
      <c r="DB613" t="s">
        <v>134</v>
      </c>
      <c r="DC613" t="s">
        <v>114</v>
      </c>
      <c r="DD613" t="s">
        <v>134</v>
      </c>
    </row>
    <row r="614" spans="1:108" ht="15" customHeight="1" x14ac:dyDescent="0.25">
      <c r="A614" t="s">
        <v>243</v>
      </c>
      <c r="B614" t="s">
        <v>165</v>
      </c>
      <c r="C614" s="1">
        <v>44868.375086342596</v>
      </c>
      <c r="D614" s="1">
        <v>44894</v>
      </c>
      <c r="E614" t="s">
        <v>134</v>
      </c>
      <c r="F614" t="s">
        <v>244</v>
      </c>
      <c r="G614" t="str">
        <f>"53-7062.00"</f>
        <v>53-7062.00</v>
      </c>
      <c r="H614" t="s">
        <v>245</v>
      </c>
      <c r="I614">
        <v>4</v>
      </c>
      <c r="J614">
        <v>4</v>
      </c>
      <c r="K614" s="1">
        <v>44958</v>
      </c>
      <c r="L614" s="1">
        <v>45245</v>
      </c>
      <c r="M614" s="1">
        <v>44958</v>
      </c>
      <c r="N614" s="1">
        <v>45245</v>
      </c>
      <c r="O614" t="s">
        <v>117</v>
      </c>
      <c r="P614" t="s">
        <v>246</v>
      </c>
      <c r="R614" t="s">
        <v>247</v>
      </c>
      <c r="S614" t="s">
        <v>248</v>
      </c>
      <c r="T614" t="s">
        <v>249</v>
      </c>
      <c r="U614" t="s">
        <v>214</v>
      </c>
      <c r="V614" s="4" t="str">
        <f>"71334"</f>
        <v>71334</v>
      </c>
      <c r="W614" t="s">
        <v>120</v>
      </c>
      <c r="Y614" s="5">
        <v>13183364292</v>
      </c>
      <c r="AA614">
        <v>44422</v>
      </c>
      <c r="AB614" t="s">
        <v>250</v>
      </c>
      <c r="AC614" t="s">
        <v>251</v>
      </c>
      <c r="AD614" t="s">
        <v>177</v>
      </c>
      <c r="AE614" t="s">
        <v>252</v>
      </c>
      <c r="AF614" t="s">
        <v>253</v>
      </c>
      <c r="AH614" t="s">
        <v>254</v>
      </c>
      <c r="AI614" t="s">
        <v>214</v>
      </c>
      <c r="AJ614" s="4" t="str">
        <f>"71334"</f>
        <v>71334</v>
      </c>
      <c r="AK614" t="s">
        <v>120</v>
      </c>
      <c r="AM614" s="5">
        <v>13183364292</v>
      </c>
      <c r="AO614" t="s">
        <v>255</v>
      </c>
      <c r="AP614" t="s">
        <v>256</v>
      </c>
      <c r="AQ614" t="s">
        <v>257</v>
      </c>
      <c r="AR614" t="s">
        <v>258</v>
      </c>
      <c r="AS614" t="s">
        <v>259</v>
      </c>
      <c r="AT614" t="s">
        <v>260</v>
      </c>
      <c r="AU614" t="s">
        <v>261</v>
      </c>
      <c r="AV614" t="s">
        <v>262</v>
      </c>
      <c r="AW614" t="s">
        <v>214</v>
      </c>
      <c r="AX614" s="4" t="str">
        <f>"70754"</f>
        <v>70754</v>
      </c>
      <c r="AY614" t="s">
        <v>120</v>
      </c>
      <c r="AZ614" t="s">
        <v>263</v>
      </c>
      <c r="BA614" s="5">
        <v>12256863033</v>
      </c>
      <c r="BC614" t="s">
        <v>264</v>
      </c>
      <c r="BD614" t="s">
        <v>265</v>
      </c>
      <c r="BG614" t="s">
        <v>214</v>
      </c>
      <c r="BH614" s="1">
        <v>44867.833333333336</v>
      </c>
      <c r="BI614">
        <v>35</v>
      </c>
      <c r="BJ614">
        <v>0</v>
      </c>
      <c r="BK614">
        <v>6</v>
      </c>
      <c r="BL614">
        <v>6</v>
      </c>
      <c r="BM614">
        <v>6</v>
      </c>
      <c r="BN614">
        <v>6</v>
      </c>
      <c r="BO614">
        <v>6</v>
      </c>
      <c r="BP614">
        <v>5</v>
      </c>
      <c r="BQ614" t="str">
        <f>"7:00 AM"</f>
        <v>7:00 AM</v>
      </c>
      <c r="BR614" t="str">
        <f>"4:00 PM"</f>
        <v>4:00 PM</v>
      </c>
      <c r="BS614" t="s">
        <v>133</v>
      </c>
      <c r="BT614">
        <v>0</v>
      </c>
      <c r="BU614">
        <v>3</v>
      </c>
      <c r="BV614" t="s">
        <v>134</v>
      </c>
      <c r="BX614" s="2" t="s">
        <v>266</v>
      </c>
      <c r="BY614" t="s">
        <v>267</v>
      </c>
      <c r="BZ614" t="s">
        <v>268</v>
      </c>
      <c r="CA614" t="s">
        <v>249</v>
      </c>
      <c r="CB614" t="s">
        <v>214</v>
      </c>
      <c r="CC614" s="4" t="str">
        <f>"71373"</f>
        <v>71373</v>
      </c>
      <c r="CD614" t="s">
        <v>269</v>
      </c>
      <c r="CE614" t="s">
        <v>270</v>
      </c>
      <c r="CF614" s="6">
        <v>16.22</v>
      </c>
      <c r="CH614" s="6">
        <v>24.33</v>
      </c>
      <c r="CJ614" t="s">
        <v>137</v>
      </c>
      <c r="CK614" t="s">
        <v>271</v>
      </c>
      <c r="CL614" t="s">
        <v>272</v>
      </c>
      <c r="CO614" t="s">
        <v>138</v>
      </c>
      <c r="CP614" t="s">
        <v>114</v>
      </c>
      <c r="CQ614" t="s">
        <v>114</v>
      </c>
      <c r="CR614" t="s">
        <v>114</v>
      </c>
      <c r="CS614" t="s">
        <v>114</v>
      </c>
      <c r="CT614" t="s">
        <v>114</v>
      </c>
      <c r="CU614" t="s">
        <v>114</v>
      </c>
      <c r="CV614" s="2" t="s">
        <v>273</v>
      </c>
      <c r="CW614" s="5" t="str">
        <f>"+13183364292"</f>
        <v>+13183364292</v>
      </c>
      <c r="CX614" t="s">
        <v>255</v>
      </c>
      <c r="CY614" t="s">
        <v>274</v>
      </c>
      <c r="CZ614" t="s">
        <v>139</v>
      </c>
      <c r="DA614" t="s">
        <v>134</v>
      </c>
      <c r="DB614" t="s">
        <v>134</v>
      </c>
      <c r="DC614" t="s">
        <v>114</v>
      </c>
      <c r="DD614" t="s">
        <v>134</v>
      </c>
    </row>
    <row r="615" spans="1:108" ht="15" customHeight="1" x14ac:dyDescent="0.25">
      <c r="A615" t="s">
        <v>13673</v>
      </c>
      <c r="B615" t="s">
        <v>165</v>
      </c>
      <c r="C615" s="1">
        <v>44868.368777430558</v>
      </c>
      <c r="D615" s="1">
        <v>44894</v>
      </c>
      <c r="E615" t="s">
        <v>134</v>
      </c>
      <c r="F615" t="s">
        <v>13674</v>
      </c>
      <c r="G615" t="str">
        <f>"53-7062.00"</f>
        <v>53-7062.00</v>
      </c>
      <c r="H615" t="s">
        <v>245</v>
      </c>
      <c r="I615">
        <v>4</v>
      </c>
      <c r="J615">
        <v>4</v>
      </c>
      <c r="K615" s="1">
        <v>44958</v>
      </c>
      <c r="L615" s="1">
        <v>45245</v>
      </c>
      <c r="M615" s="1">
        <v>44958</v>
      </c>
      <c r="N615" s="1">
        <v>45245</v>
      </c>
      <c r="O615" t="s">
        <v>117</v>
      </c>
      <c r="P615" t="s">
        <v>13675</v>
      </c>
      <c r="R615" t="s">
        <v>13676</v>
      </c>
      <c r="T615" t="s">
        <v>13677</v>
      </c>
      <c r="U615" t="s">
        <v>394</v>
      </c>
      <c r="V615" s="4" t="str">
        <f>"29829"</f>
        <v>29829</v>
      </c>
      <c r="W615" t="s">
        <v>120</v>
      </c>
      <c r="Y615" s="5">
        <v>18036495402</v>
      </c>
      <c r="AA615">
        <v>53228</v>
      </c>
      <c r="AB615" t="s">
        <v>8102</v>
      </c>
      <c r="AC615" t="s">
        <v>750</v>
      </c>
      <c r="AE615" t="s">
        <v>342</v>
      </c>
      <c r="AF615" t="s">
        <v>13676</v>
      </c>
      <c r="AH615" t="s">
        <v>13677</v>
      </c>
      <c r="AI615" t="s">
        <v>394</v>
      </c>
      <c r="AJ615" s="4" t="str">
        <f>"29829"</f>
        <v>29829</v>
      </c>
      <c r="AK615" t="s">
        <v>120</v>
      </c>
      <c r="AM615" s="5">
        <v>18036458243</v>
      </c>
      <c r="AO615" t="s">
        <v>13678</v>
      </c>
      <c r="AP615" t="s">
        <v>256</v>
      </c>
      <c r="AQ615" t="s">
        <v>535</v>
      </c>
      <c r="AR615" t="s">
        <v>536</v>
      </c>
      <c r="AS615" t="s">
        <v>537</v>
      </c>
      <c r="AT615" t="s">
        <v>538</v>
      </c>
      <c r="AU615" t="s">
        <v>539</v>
      </c>
      <c r="AV615" t="s">
        <v>540</v>
      </c>
      <c r="AW615" t="s">
        <v>232</v>
      </c>
      <c r="AX615" s="4" t="str">
        <f>"78550"</f>
        <v>78550</v>
      </c>
      <c r="AY615" t="s">
        <v>120</v>
      </c>
      <c r="BA615" s="5">
        <v>19564408720</v>
      </c>
      <c r="BB615">
        <v>0</v>
      </c>
      <c r="BC615" t="s">
        <v>563</v>
      </c>
      <c r="BD615" t="s">
        <v>543</v>
      </c>
      <c r="BG615" t="s">
        <v>394</v>
      </c>
      <c r="BH615" s="1">
        <v>44867.833333333336</v>
      </c>
      <c r="BI615">
        <v>40</v>
      </c>
      <c r="BJ615">
        <v>0</v>
      </c>
      <c r="BK615">
        <v>8</v>
      </c>
      <c r="BL615">
        <v>8</v>
      </c>
      <c r="BM615">
        <v>8</v>
      </c>
      <c r="BN615">
        <v>8</v>
      </c>
      <c r="BO615">
        <v>8</v>
      </c>
      <c r="BP615">
        <v>0</v>
      </c>
      <c r="BQ615" t="str">
        <f>"8:00 AM"</f>
        <v>8:00 AM</v>
      </c>
      <c r="BR615" t="str">
        <f>"5:00 PM"</f>
        <v>5:00 PM</v>
      </c>
      <c r="BS615" t="s">
        <v>133</v>
      </c>
      <c r="BT615">
        <v>0</v>
      </c>
      <c r="BU615">
        <v>0</v>
      </c>
      <c r="BV615" t="s">
        <v>134</v>
      </c>
      <c r="BX615" s="2" t="s">
        <v>13679</v>
      </c>
      <c r="BY615" t="s">
        <v>13676</v>
      </c>
      <c r="CA615" t="s">
        <v>13677</v>
      </c>
      <c r="CB615" t="s">
        <v>394</v>
      </c>
      <c r="CC615" s="4" t="str">
        <f>"29829"</f>
        <v>29829</v>
      </c>
      <c r="CD615" t="s">
        <v>9024</v>
      </c>
      <c r="CE615" t="s">
        <v>4099</v>
      </c>
      <c r="CF615" s="6">
        <v>16.739999999999998</v>
      </c>
      <c r="CG615" s="6">
        <v>16.739999999999998</v>
      </c>
      <c r="CH615" s="6">
        <v>25.11</v>
      </c>
      <c r="CI615" s="6">
        <v>25.11</v>
      </c>
      <c r="CJ615" t="s">
        <v>137</v>
      </c>
      <c r="CK615" t="s">
        <v>13680</v>
      </c>
      <c r="CL615" t="s">
        <v>13681</v>
      </c>
      <c r="CO615" t="s">
        <v>138</v>
      </c>
      <c r="CP615" t="s">
        <v>114</v>
      </c>
      <c r="CQ615" t="s">
        <v>114</v>
      </c>
      <c r="CR615" t="s">
        <v>114</v>
      </c>
      <c r="CS615" t="s">
        <v>114</v>
      </c>
      <c r="CT615" t="s">
        <v>114</v>
      </c>
      <c r="CU615" t="s">
        <v>114</v>
      </c>
      <c r="CV615" s="2" t="s">
        <v>13682</v>
      </c>
      <c r="CW615" s="5" t="str">
        <f>"+18036495402"</f>
        <v>+18036495402</v>
      </c>
      <c r="CX615" t="s">
        <v>13678</v>
      </c>
      <c r="CY615" t="s">
        <v>138</v>
      </c>
      <c r="CZ615" t="s">
        <v>139</v>
      </c>
      <c r="DA615" t="s">
        <v>134</v>
      </c>
      <c r="DB615" t="s">
        <v>114</v>
      </c>
      <c r="DC615" t="s">
        <v>114</v>
      </c>
      <c r="DD615" t="s">
        <v>134</v>
      </c>
    </row>
    <row r="616" spans="1:108" ht="15" customHeight="1" x14ac:dyDescent="0.25">
      <c r="A616" t="s">
        <v>15158</v>
      </c>
      <c r="B616" t="s">
        <v>165</v>
      </c>
      <c r="C616" s="1">
        <v>44868.364595601852</v>
      </c>
      <c r="D616" s="1">
        <v>44894</v>
      </c>
      <c r="E616" t="s">
        <v>134</v>
      </c>
      <c r="F616" t="s">
        <v>7356</v>
      </c>
      <c r="G616" t="str">
        <f>"45-2092.00"</f>
        <v>45-2092.00</v>
      </c>
      <c r="H616" t="s">
        <v>3089</v>
      </c>
      <c r="I616">
        <v>15</v>
      </c>
      <c r="J616">
        <v>15</v>
      </c>
      <c r="K616" s="1">
        <v>44958</v>
      </c>
      <c r="L616" s="1">
        <v>45260</v>
      </c>
      <c r="M616" s="1">
        <v>44958</v>
      </c>
      <c r="N616" s="1">
        <v>45260</v>
      </c>
      <c r="O616" t="s">
        <v>117</v>
      </c>
      <c r="P616" t="s">
        <v>15159</v>
      </c>
      <c r="R616" t="s">
        <v>15160</v>
      </c>
      <c r="T616" t="s">
        <v>15161</v>
      </c>
      <c r="U616" t="s">
        <v>848</v>
      </c>
      <c r="V616" s="4" t="str">
        <f>"11977"</f>
        <v>11977</v>
      </c>
      <c r="W616" t="s">
        <v>120</v>
      </c>
      <c r="Y616" s="5">
        <v>16312883458</v>
      </c>
      <c r="AA616">
        <v>42493</v>
      </c>
      <c r="AB616" t="s">
        <v>15162</v>
      </c>
      <c r="AC616" t="s">
        <v>536</v>
      </c>
      <c r="AE616" t="s">
        <v>1567</v>
      </c>
      <c r="AF616" t="s">
        <v>15160</v>
      </c>
      <c r="AH616" t="s">
        <v>15161</v>
      </c>
      <c r="AI616" t="s">
        <v>848</v>
      </c>
      <c r="AJ616" s="4" t="str">
        <f>"11977"</f>
        <v>11977</v>
      </c>
      <c r="AK616" t="s">
        <v>120</v>
      </c>
      <c r="AM616" s="5">
        <v>16312883458</v>
      </c>
      <c r="AO616" t="s">
        <v>138</v>
      </c>
      <c r="AP616" t="s">
        <v>256</v>
      </c>
      <c r="AQ616" t="s">
        <v>1393</v>
      </c>
      <c r="AR616" t="s">
        <v>1394</v>
      </c>
      <c r="AT616" t="s">
        <v>1395</v>
      </c>
      <c r="AV616" t="s">
        <v>1396</v>
      </c>
      <c r="AW616" t="s">
        <v>154</v>
      </c>
      <c r="AX616" s="4" t="str">
        <f>"34957"</f>
        <v>34957</v>
      </c>
      <c r="AY616" t="s">
        <v>120</v>
      </c>
      <c r="BA616" s="5">
        <v>17723344829</v>
      </c>
      <c r="BC616" t="s">
        <v>1397</v>
      </c>
      <c r="BD616" t="s">
        <v>1398</v>
      </c>
      <c r="BG616" t="s">
        <v>848</v>
      </c>
      <c r="BH616" s="1">
        <v>44859.833333333336</v>
      </c>
      <c r="BI616">
        <v>40</v>
      </c>
      <c r="BJ616">
        <v>0</v>
      </c>
      <c r="BK616">
        <v>8</v>
      </c>
      <c r="BL616">
        <v>8</v>
      </c>
      <c r="BM616">
        <v>8</v>
      </c>
      <c r="BN616">
        <v>8</v>
      </c>
      <c r="BO616">
        <v>8</v>
      </c>
      <c r="BP616">
        <v>0</v>
      </c>
      <c r="BQ616" t="str">
        <f>"7:00 AM"</f>
        <v>7:00 AM</v>
      </c>
      <c r="BR616" t="str">
        <f>"3:30 PM"</f>
        <v>3:30 PM</v>
      </c>
      <c r="BS616" t="s">
        <v>133</v>
      </c>
      <c r="BT616">
        <v>0</v>
      </c>
      <c r="BU616">
        <v>3</v>
      </c>
      <c r="BV616" t="s">
        <v>134</v>
      </c>
      <c r="BX616" t="s">
        <v>138</v>
      </c>
      <c r="BY616" t="s">
        <v>15160</v>
      </c>
      <c r="CA616" t="s">
        <v>15161</v>
      </c>
      <c r="CB616" t="s">
        <v>848</v>
      </c>
      <c r="CC616" s="4" t="str">
        <f>"11977"</f>
        <v>11977</v>
      </c>
      <c r="CD616" t="s">
        <v>1227</v>
      </c>
      <c r="CE616" t="s">
        <v>1009</v>
      </c>
      <c r="CF616" s="6">
        <v>16.48</v>
      </c>
      <c r="CG616" s="6">
        <v>16.48</v>
      </c>
      <c r="CH616" s="6">
        <v>24.72</v>
      </c>
      <c r="CI616" s="6">
        <v>24.72</v>
      </c>
      <c r="CJ616" t="s">
        <v>137</v>
      </c>
      <c r="CL616" t="s">
        <v>15163</v>
      </c>
      <c r="CO616" t="s">
        <v>138</v>
      </c>
      <c r="CP616" t="s">
        <v>134</v>
      </c>
      <c r="CQ616" t="s">
        <v>134</v>
      </c>
      <c r="CR616" t="s">
        <v>114</v>
      </c>
      <c r="CS616" t="s">
        <v>134</v>
      </c>
      <c r="CT616" t="s">
        <v>114</v>
      </c>
      <c r="CU616" t="s">
        <v>134</v>
      </c>
      <c r="CV616" t="s">
        <v>138</v>
      </c>
      <c r="CW616" s="5" t="str">
        <f>"+16312883458"</f>
        <v>+16312883458</v>
      </c>
      <c r="CX616" t="s">
        <v>138</v>
      </c>
      <c r="CY616" t="s">
        <v>15164</v>
      </c>
      <c r="CZ616" t="s">
        <v>139</v>
      </c>
      <c r="DA616" t="s">
        <v>134</v>
      </c>
      <c r="DB616" t="s">
        <v>134</v>
      </c>
      <c r="DC616" t="s">
        <v>114</v>
      </c>
      <c r="DD616" t="s">
        <v>134</v>
      </c>
    </row>
    <row r="617" spans="1:108" ht="15" customHeight="1" x14ac:dyDescent="0.25">
      <c r="A617" t="s">
        <v>11316</v>
      </c>
      <c r="B617" t="s">
        <v>165</v>
      </c>
      <c r="C617" s="1">
        <v>44868.348115972221</v>
      </c>
      <c r="D617" s="1">
        <v>44894</v>
      </c>
      <c r="E617" t="s">
        <v>134</v>
      </c>
      <c r="F617" t="s">
        <v>571</v>
      </c>
      <c r="G617" t="str">
        <f>"35-3023.00"</f>
        <v>35-3023.00</v>
      </c>
      <c r="H617" t="s">
        <v>555</v>
      </c>
      <c r="I617">
        <v>10</v>
      </c>
      <c r="J617">
        <v>10</v>
      </c>
      <c r="K617" s="1">
        <v>44958</v>
      </c>
      <c r="L617" s="1">
        <v>45243</v>
      </c>
      <c r="M617" s="1">
        <v>44958</v>
      </c>
      <c r="N617" s="1">
        <v>45243</v>
      </c>
      <c r="O617" t="s">
        <v>199</v>
      </c>
      <c r="P617" t="s">
        <v>11317</v>
      </c>
      <c r="R617" t="s">
        <v>11318</v>
      </c>
      <c r="T617" t="s">
        <v>6000</v>
      </c>
      <c r="U617" t="s">
        <v>479</v>
      </c>
      <c r="V617" s="4" t="str">
        <f>"24426"</f>
        <v>24426</v>
      </c>
      <c r="W617" t="s">
        <v>120</v>
      </c>
      <c r="Y617" s="5">
        <v>15409654553</v>
      </c>
      <c r="AA617">
        <v>7139</v>
      </c>
      <c r="AB617" t="s">
        <v>5695</v>
      </c>
      <c r="AC617" t="s">
        <v>1676</v>
      </c>
      <c r="AE617" t="s">
        <v>424</v>
      </c>
      <c r="AF617" t="s">
        <v>11318</v>
      </c>
      <c r="AH617" t="s">
        <v>6000</v>
      </c>
      <c r="AI617" t="s">
        <v>479</v>
      </c>
      <c r="AJ617" s="4" t="str">
        <f>"24426"</f>
        <v>24426</v>
      </c>
      <c r="AK617" t="s">
        <v>120</v>
      </c>
      <c r="AM617" s="5">
        <v>15409697276</v>
      </c>
      <c r="AO617" t="s">
        <v>11319</v>
      </c>
      <c r="AP617" t="s">
        <v>256</v>
      </c>
      <c r="AQ617" t="s">
        <v>535</v>
      </c>
      <c r="AR617" t="s">
        <v>536</v>
      </c>
      <c r="AS617" t="s">
        <v>537</v>
      </c>
      <c r="AT617" t="s">
        <v>538</v>
      </c>
      <c r="AU617" t="s">
        <v>539</v>
      </c>
      <c r="AV617" t="s">
        <v>540</v>
      </c>
      <c r="AW617" t="s">
        <v>232</v>
      </c>
      <c r="AX617" s="4" t="str">
        <f>"78550"</f>
        <v>78550</v>
      </c>
      <c r="AY617" t="s">
        <v>120</v>
      </c>
      <c r="BA617" s="5">
        <v>19564408720</v>
      </c>
      <c r="BB617">
        <v>0</v>
      </c>
      <c r="BC617" t="s">
        <v>1022</v>
      </c>
      <c r="BD617" t="s">
        <v>543</v>
      </c>
      <c r="BG617" t="s">
        <v>479</v>
      </c>
      <c r="BH617" s="1">
        <v>44867.833333333336</v>
      </c>
      <c r="BI617">
        <v>40</v>
      </c>
      <c r="BJ617">
        <v>8</v>
      </c>
      <c r="BK617">
        <v>0</v>
      </c>
      <c r="BL617">
        <v>0</v>
      </c>
      <c r="BM617">
        <v>8</v>
      </c>
      <c r="BN617">
        <v>8</v>
      </c>
      <c r="BO617">
        <v>8</v>
      </c>
      <c r="BP617">
        <v>8</v>
      </c>
      <c r="BQ617" t="str">
        <f>"1:00 PM"</f>
        <v>1:00 PM</v>
      </c>
      <c r="BR617" t="str">
        <f>"10:00 PM"</f>
        <v>10:00 PM</v>
      </c>
      <c r="BS617" t="s">
        <v>133</v>
      </c>
      <c r="BT617">
        <v>0</v>
      </c>
      <c r="BU617">
        <v>0</v>
      </c>
      <c r="BV617" t="s">
        <v>134</v>
      </c>
      <c r="BX617" s="2" t="s">
        <v>579</v>
      </c>
      <c r="BY617" t="s">
        <v>11318</v>
      </c>
      <c r="CA617" t="s">
        <v>6000</v>
      </c>
      <c r="CB617" t="s">
        <v>479</v>
      </c>
      <c r="CC617" s="4" t="str">
        <f>"24426"</f>
        <v>24426</v>
      </c>
      <c r="CD617" t="s">
        <v>5558</v>
      </c>
      <c r="CE617" t="s">
        <v>4380</v>
      </c>
      <c r="CF617" s="6">
        <v>9.9600000000000009</v>
      </c>
      <c r="CG617" s="6">
        <v>13.99</v>
      </c>
      <c r="CJ617" t="s">
        <v>137</v>
      </c>
      <c r="CK617" t="s">
        <v>549</v>
      </c>
      <c r="CL617" t="s">
        <v>11320</v>
      </c>
      <c r="CO617" t="s">
        <v>138</v>
      </c>
      <c r="CP617" t="s">
        <v>114</v>
      </c>
      <c r="CQ617" t="s">
        <v>114</v>
      </c>
      <c r="CR617" t="s">
        <v>134</v>
      </c>
      <c r="CS617" t="s">
        <v>114</v>
      </c>
      <c r="CT617" t="s">
        <v>114</v>
      </c>
      <c r="CU617" t="s">
        <v>114</v>
      </c>
      <c r="CV617" t="s">
        <v>1360</v>
      </c>
      <c r="CW617" s="5" t="str">
        <f>"+15409654553"</f>
        <v>+15409654553</v>
      </c>
      <c r="CX617" t="s">
        <v>11319</v>
      </c>
      <c r="CY617" t="s">
        <v>138</v>
      </c>
      <c r="CZ617" t="s">
        <v>139</v>
      </c>
      <c r="DA617" t="s">
        <v>134</v>
      </c>
      <c r="DB617" t="s">
        <v>114</v>
      </c>
      <c r="DC617" t="s">
        <v>114</v>
      </c>
      <c r="DD617" t="s">
        <v>134</v>
      </c>
    </row>
    <row r="618" spans="1:108" ht="15" customHeight="1" x14ac:dyDescent="0.25">
      <c r="A618" t="s">
        <v>16433</v>
      </c>
      <c r="B618" t="s">
        <v>165</v>
      </c>
      <c r="C618" s="1">
        <v>44868.331710648148</v>
      </c>
      <c r="D618" s="1">
        <v>44894</v>
      </c>
      <c r="E618" t="s">
        <v>134</v>
      </c>
      <c r="F618" t="s">
        <v>1296</v>
      </c>
      <c r="G618" t="str">
        <f t="shared" ref="G618:G626" si="44">"37-3011.00"</f>
        <v>37-3011.00</v>
      </c>
      <c r="H618" t="s">
        <v>335</v>
      </c>
      <c r="I618">
        <v>34</v>
      </c>
      <c r="J618">
        <v>34</v>
      </c>
      <c r="K618" s="1">
        <v>44958</v>
      </c>
      <c r="L618" s="1">
        <v>45260</v>
      </c>
      <c r="M618" s="1">
        <v>44958</v>
      </c>
      <c r="N618" s="1">
        <v>45260</v>
      </c>
      <c r="O618" t="s">
        <v>117</v>
      </c>
      <c r="P618" t="s">
        <v>16434</v>
      </c>
      <c r="R618" t="s">
        <v>13000</v>
      </c>
      <c r="T618" t="s">
        <v>7904</v>
      </c>
      <c r="U618" t="s">
        <v>479</v>
      </c>
      <c r="V618" s="4" t="str">
        <f>"23059"</f>
        <v>23059</v>
      </c>
      <c r="W618" t="s">
        <v>120</v>
      </c>
      <c r="Y618" s="5">
        <v>18045503500</v>
      </c>
      <c r="AA618">
        <v>56173</v>
      </c>
      <c r="AB618" t="s">
        <v>2578</v>
      </c>
      <c r="AC618" t="s">
        <v>4062</v>
      </c>
      <c r="AD618" t="s">
        <v>1685</v>
      </c>
      <c r="AE618" t="s">
        <v>12453</v>
      </c>
      <c r="AF618" t="s">
        <v>16435</v>
      </c>
      <c r="AH618" t="s">
        <v>7904</v>
      </c>
      <c r="AI618" t="s">
        <v>479</v>
      </c>
      <c r="AJ618" s="4" t="str">
        <f>"23059"</f>
        <v>23059</v>
      </c>
      <c r="AK618" t="s">
        <v>120</v>
      </c>
      <c r="AM618" s="5">
        <v>18045503500</v>
      </c>
      <c r="AO618" t="s">
        <v>12456</v>
      </c>
      <c r="AP618" t="s">
        <v>256</v>
      </c>
      <c r="AQ618" t="s">
        <v>1731</v>
      </c>
      <c r="AR618" t="s">
        <v>1732</v>
      </c>
      <c r="AS618" t="s">
        <v>1733</v>
      </c>
      <c r="AT618" t="s">
        <v>1734</v>
      </c>
      <c r="AU618" t="s">
        <v>1735</v>
      </c>
      <c r="AV618" t="s">
        <v>1736</v>
      </c>
      <c r="AW618" t="s">
        <v>479</v>
      </c>
      <c r="AX618" s="4" t="str">
        <f>"24521"</f>
        <v>24521</v>
      </c>
      <c r="AY618" t="s">
        <v>120</v>
      </c>
      <c r="BA618" s="5">
        <v>14349460035</v>
      </c>
      <c r="BB618">
        <v>11</v>
      </c>
      <c r="BC618" t="s">
        <v>1737</v>
      </c>
      <c r="BD618" t="s">
        <v>1738</v>
      </c>
      <c r="BG618" t="s">
        <v>479</v>
      </c>
      <c r="BH618" s="1">
        <v>44867.833333333336</v>
      </c>
      <c r="BI618">
        <v>35</v>
      </c>
      <c r="BJ618">
        <v>0</v>
      </c>
      <c r="BK618">
        <v>7</v>
      </c>
      <c r="BL618">
        <v>7</v>
      </c>
      <c r="BM618">
        <v>7</v>
      </c>
      <c r="BN618">
        <v>7</v>
      </c>
      <c r="BO618">
        <v>7</v>
      </c>
      <c r="BP618">
        <v>0</v>
      </c>
      <c r="BQ618" t="str">
        <f>"7:00 AM"</f>
        <v>7:00 AM</v>
      </c>
      <c r="BR618" t="str">
        <f>"4:00 PM"</f>
        <v>4:00 PM</v>
      </c>
      <c r="BS618" t="s">
        <v>133</v>
      </c>
      <c r="BT618">
        <v>0</v>
      </c>
      <c r="BU618">
        <v>3</v>
      </c>
      <c r="BV618" t="s">
        <v>134</v>
      </c>
      <c r="BX618" s="2" t="s">
        <v>16436</v>
      </c>
      <c r="BY618" t="s">
        <v>13000</v>
      </c>
      <c r="CA618" t="s">
        <v>7904</v>
      </c>
      <c r="CB618" t="s">
        <v>479</v>
      </c>
      <c r="CC618" s="4" t="str">
        <f>"23059"</f>
        <v>23059</v>
      </c>
      <c r="CD618" t="s">
        <v>5889</v>
      </c>
      <c r="CE618" t="s">
        <v>1863</v>
      </c>
      <c r="CF618" s="6">
        <v>15</v>
      </c>
      <c r="CG618" s="6">
        <v>15</v>
      </c>
      <c r="CH618" s="6">
        <v>22.5</v>
      </c>
      <c r="CI618" s="6">
        <v>22.5</v>
      </c>
      <c r="CJ618" t="s">
        <v>137</v>
      </c>
      <c r="CK618" t="s">
        <v>16437</v>
      </c>
      <c r="CL618" t="s">
        <v>16438</v>
      </c>
      <c r="CO618" t="s">
        <v>138</v>
      </c>
      <c r="CP618" t="s">
        <v>114</v>
      </c>
      <c r="CQ618" t="s">
        <v>114</v>
      </c>
      <c r="CR618" t="s">
        <v>114</v>
      </c>
      <c r="CS618" t="s">
        <v>134</v>
      </c>
      <c r="CT618" t="s">
        <v>114</v>
      </c>
      <c r="CU618" t="s">
        <v>114</v>
      </c>
      <c r="CV618" t="s">
        <v>16439</v>
      </c>
      <c r="CW618" s="5" t="str">
        <f>"N/A"</f>
        <v>N/A</v>
      </c>
      <c r="CX618" t="s">
        <v>13004</v>
      </c>
      <c r="CY618" t="s">
        <v>13005</v>
      </c>
      <c r="CZ618" t="s">
        <v>139</v>
      </c>
      <c r="DA618" t="s">
        <v>134</v>
      </c>
      <c r="DB618" t="s">
        <v>114</v>
      </c>
      <c r="DC618" t="s">
        <v>114</v>
      </c>
      <c r="DD618" t="s">
        <v>134</v>
      </c>
    </row>
    <row r="619" spans="1:108" ht="15" customHeight="1" x14ac:dyDescent="0.25">
      <c r="A619" t="s">
        <v>15756</v>
      </c>
      <c r="B619" t="s">
        <v>165</v>
      </c>
      <c r="C619" s="1">
        <v>44868.303339699072</v>
      </c>
      <c r="D619" s="1">
        <v>44894</v>
      </c>
      <c r="E619" t="s">
        <v>134</v>
      </c>
      <c r="F619" t="s">
        <v>334</v>
      </c>
      <c r="G619" t="str">
        <f t="shared" si="44"/>
        <v>37-3011.00</v>
      </c>
      <c r="H619" t="s">
        <v>335</v>
      </c>
      <c r="I619">
        <v>80</v>
      </c>
      <c r="J619">
        <v>80</v>
      </c>
      <c r="K619" s="1">
        <v>44958</v>
      </c>
      <c r="L619" s="1">
        <v>45260</v>
      </c>
      <c r="M619" s="1">
        <v>44958</v>
      </c>
      <c r="N619" s="1">
        <v>45260</v>
      </c>
      <c r="O619" t="s">
        <v>199</v>
      </c>
      <c r="P619" t="s">
        <v>15757</v>
      </c>
      <c r="R619" t="s">
        <v>15758</v>
      </c>
      <c r="T619" t="s">
        <v>1629</v>
      </c>
      <c r="U619" t="s">
        <v>697</v>
      </c>
      <c r="V619" s="4" t="str">
        <f>"63103"</f>
        <v>63103</v>
      </c>
      <c r="W619" t="s">
        <v>120</v>
      </c>
      <c r="Y619" s="5">
        <v>13147765296</v>
      </c>
      <c r="AA619">
        <v>56173</v>
      </c>
      <c r="AB619" t="s">
        <v>15759</v>
      </c>
      <c r="AC619" t="s">
        <v>370</v>
      </c>
      <c r="AE619" t="s">
        <v>342</v>
      </c>
      <c r="AF619" t="s">
        <v>15758</v>
      </c>
      <c r="AH619" t="s">
        <v>1629</v>
      </c>
      <c r="AI619" t="s">
        <v>697</v>
      </c>
      <c r="AJ619" s="4" t="str">
        <f>"63103"</f>
        <v>63103</v>
      </c>
      <c r="AK619" t="s">
        <v>120</v>
      </c>
      <c r="AM619" s="5">
        <v>13147765296</v>
      </c>
      <c r="AO619" t="s">
        <v>15760</v>
      </c>
      <c r="AP619" t="s">
        <v>256</v>
      </c>
      <c r="AQ619" t="s">
        <v>2115</v>
      </c>
      <c r="AR619" t="s">
        <v>2116</v>
      </c>
      <c r="AT619" t="s">
        <v>1930</v>
      </c>
      <c r="AU619" t="s">
        <v>1931</v>
      </c>
      <c r="AV619" t="s">
        <v>1932</v>
      </c>
      <c r="AW619" t="s">
        <v>349</v>
      </c>
      <c r="AX619" s="4" t="str">
        <f t="shared" ref="AX619:AX626" si="45">"83814"</f>
        <v>83814</v>
      </c>
      <c r="AY619" t="s">
        <v>120</v>
      </c>
      <c r="BA619" s="5">
        <v>12087772654</v>
      </c>
      <c r="BC619" t="s">
        <v>2117</v>
      </c>
      <c r="BD619" t="s">
        <v>351</v>
      </c>
      <c r="BG619" t="s">
        <v>697</v>
      </c>
      <c r="BH619" s="1">
        <v>44850.833333333336</v>
      </c>
      <c r="BI619">
        <v>40</v>
      </c>
      <c r="BJ619">
        <v>0</v>
      </c>
      <c r="BK619">
        <v>8</v>
      </c>
      <c r="BL619">
        <v>8</v>
      </c>
      <c r="BM619">
        <v>8</v>
      </c>
      <c r="BN619">
        <v>8</v>
      </c>
      <c r="BO619">
        <v>8</v>
      </c>
      <c r="BP619">
        <v>0</v>
      </c>
      <c r="BQ619" t="str">
        <f>"7:00 AM"</f>
        <v>7:00 AM</v>
      </c>
      <c r="BR619" t="str">
        <f>"4:00 PM"</f>
        <v>4:00 PM</v>
      </c>
      <c r="BS619" t="s">
        <v>133</v>
      </c>
      <c r="BT619">
        <v>0</v>
      </c>
      <c r="BU619">
        <v>0</v>
      </c>
      <c r="BV619" t="s">
        <v>134</v>
      </c>
      <c r="BX619" s="2" t="s">
        <v>352</v>
      </c>
      <c r="BY619" t="s">
        <v>15761</v>
      </c>
      <c r="CA619" t="s">
        <v>1629</v>
      </c>
      <c r="CB619" t="s">
        <v>697</v>
      </c>
      <c r="CC619" s="4" t="str">
        <f>"63103"</f>
        <v>63103</v>
      </c>
      <c r="CD619" t="s">
        <v>712</v>
      </c>
      <c r="CE619" t="s">
        <v>713</v>
      </c>
      <c r="CF619" s="6">
        <v>16.96</v>
      </c>
      <c r="CG619" s="6">
        <v>25</v>
      </c>
      <c r="CH619" s="6">
        <v>25.44</v>
      </c>
      <c r="CI619" s="6">
        <v>37.5</v>
      </c>
      <c r="CJ619" t="s">
        <v>137</v>
      </c>
      <c r="CK619" t="s">
        <v>356</v>
      </c>
      <c r="CL619" t="s">
        <v>15762</v>
      </c>
      <c r="CO619" t="s">
        <v>138</v>
      </c>
      <c r="CP619" t="s">
        <v>114</v>
      </c>
      <c r="CQ619" t="s">
        <v>114</v>
      </c>
      <c r="CR619" t="s">
        <v>114</v>
      </c>
      <c r="CS619" t="s">
        <v>114</v>
      </c>
      <c r="CT619" t="s">
        <v>114</v>
      </c>
      <c r="CU619" t="s">
        <v>134</v>
      </c>
      <c r="CV619" t="s">
        <v>358</v>
      </c>
      <c r="CW619" s="5" t="str">
        <f>"+13147765296"</f>
        <v>+13147765296</v>
      </c>
      <c r="CX619" t="s">
        <v>15760</v>
      </c>
      <c r="CY619" t="s">
        <v>138</v>
      </c>
      <c r="CZ619" t="s">
        <v>139</v>
      </c>
      <c r="DA619" t="s">
        <v>134</v>
      </c>
      <c r="DB619" t="s">
        <v>134</v>
      </c>
      <c r="DC619" t="s">
        <v>114</v>
      </c>
      <c r="DD619" t="s">
        <v>134</v>
      </c>
    </row>
    <row r="620" spans="1:108" ht="15" customHeight="1" x14ac:dyDescent="0.25">
      <c r="A620" t="s">
        <v>5085</v>
      </c>
      <c r="B620" t="s">
        <v>165</v>
      </c>
      <c r="C620" s="1">
        <v>44868.299267129631</v>
      </c>
      <c r="D620" s="1">
        <v>44894</v>
      </c>
      <c r="E620" t="s">
        <v>134</v>
      </c>
      <c r="F620" t="s">
        <v>334</v>
      </c>
      <c r="G620" t="str">
        <f t="shared" si="44"/>
        <v>37-3011.00</v>
      </c>
      <c r="H620" t="s">
        <v>335</v>
      </c>
      <c r="I620">
        <v>40</v>
      </c>
      <c r="J620">
        <v>40</v>
      </c>
      <c r="K620" s="1">
        <v>44958</v>
      </c>
      <c r="L620" s="1">
        <v>45260</v>
      </c>
      <c r="M620" s="1">
        <v>44958</v>
      </c>
      <c r="N620" s="1">
        <v>45260</v>
      </c>
      <c r="O620" t="s">
        <v>117</v>
      </c>
      <c r="P620" t="s">
        <v>5086</v>
      </c>
      <c r="R620" t="s">
        <v>5087</v>
      </c>
      <c r="T620" t="s">
        <v>2252</v>
      </c>
      <c r="U620" t="s">
        <v>214</v>
      </c>
      <c r="V620" s="4" t="str">
        <f>"70816"</f>
        <v>70816</v>
      </c>
      <c r="W620" t="s">
        <v>120</v>
      </c>
      <c r="Y620" s="5">
        <v>12252468230</v>
      </c>
      <c r="AA620">
        <v>56173</v>
      </c>
      <c r="AB620" t="s">
        <v>4256</v>
      </c>
      <c r="AC620" t="s">
        <v>146</v>
      </c>
      <c r="AE620" t="s">
        <v>5088</v>
      </c>
      <c r="AF620" t="s">
        <v>5087</v>
      </c>
      <c r="AH620" t="s">
        <v>2252</v>
      </c>
      <c r="AI620" t="s">
        <v>214</v>
      </c>
      <c r="AJ620" s="4" t="str">
        <f>"70816"</f>
        <v>70816</v>
      </c>
      <c r="AK620" t="s">
        <v>120</v>
      </c>
      <c r="AM620" s="5">
        <v>12252468230</v>
      </c>
      <c r="AO620" t="s">
        <v>5089</v>
      </c>
      <c r="AP620" t="s">
        <v>256</v>
      </c>
      <c r="AQ620" t="s">
        <v>2115</v>
      </c>
      <c r="AR620" t="s">
        <v>2116</v>
      </c>
      <c r="AT620" t="s">
        <v>1930</v>
      </c>
      <c r="AU620" t="s">
        <v>1931</v>
      </c>
      <c r="AV620" t="s">
        <v>1932</v>
      </c>
      <c r="AW620" t="s">
        <v>349</v>
      </c>
      <c r="AX620" s="4" t="str">
        <f t="shared" si="45"/>
        <v>83814</v>
      </c>
      <c r="AY620" t="s">
        <v>120</v>
      </c>
      <c r="BA620" s="5">
        <v>12087772654</v>
      </c>
      <c r="BC620" t="s">
        <v>2117</v>
      </c>
      <c r="BD620" t="s">
        <v>351</v>
      </c>
      <c r="BG620" t="s">
        <v>214</v>
      </c>
      <c r="BH620" s="1">
        <v>44850.833333333336</v>
      </c>
      <c r="BI620">
        <v>40</v>
      </c>
      <c r="BJ620">
        <v>0</v>
      </c>
      <c r="BK620">
        <v>8</v>
      </c>
      <c r="BL620">
        <v>8</v>
      </c>
      <c r="BM620">
        <v>8</v>
      </c>
      <c r="BN620">
        <v>8</v>
      </c>
      <c r="BO620">
        <v>8</v>
      </c>
      <c r="BP620">
        <v>0</v>
      </c>
      <c r="BQ620" t="str">
        <f>"7:00 AM"</f>
        <v>7:00 AM</v>
      </c>
      <c r="BR620" t="str">
        <f>"4:00 PM"</f>
        <v>4:00 PM</v>
      </c>
      <c r="BS620" t="s">
        <v>133</v>
      </c>
      <c r="BT620">
        <v>0</v>
      </c>
      <c r="BU620">
        <v>0</v>
      </c>
      <c r="BV620" t="s">
        <v>134</v>
      </c>
      <c r="BX620" s="2" t="s">
        <v>352</v>
      </c>
      <c r="BY620" t="s">
        <v>5090</v>
      </c>
      <c r="CA620" t="s">
        <v>2254</v>
      </c>
      <c r="CB620" t="s">
        <v>214</v>
      </c>
      <c r="CC620" s="4" t="str">
        <f>"70816"</f>
        <v>70816</v>
      </c>
      <c r="CD620" t="s">
        <v>2247</v>
      </c>
      <c r="CE620" t="s">
        <v>737</v>
      </c>
      <c r="CF620" s="6">
        <v>14.87</v>
      </c>
      <c r="CG620" s="6">
        <v>16.5</v>
      </c>
      <c r="CH620" s="6">
        <v>22.31</v>
      </c>
      <c r="CI620" s="6">
        <v>24.75</v>
      </c>
      <c r="CJ620" t="s">
        <v>137</v>
      </c>
      <c r="CK620" t="s">
        <v>356</v>
      </c>
      <c r="CL620" t="s">
        <v>5091</v>
      </c>
      <c r="CO620" t="s">
        <v>138</v>
      </c>
      <c r="CP620" t="s">
        <v>114</v>
      </c>
      <c r="CQ620" t="s">
        <v>114</v>
      </c>
      <c r="CR620" t="s">
        <v>114</v>
      </c>
      <c r="CS620" t="s">
        <v>114</v>
      </c>
      <c r="CT620" t="s">
        <v>114</v>
      </c>
      <c r="CU620" t="s">
        <v>134</v>
      </c>
      <c r="CV620" t="s">
        <v>358</v>
      </c>
      <c r="CW620" s="5" t="str">
        <f>"+12252468230"</f>
        <v>+12252468230</v>
      </c>
      <c r="CX620" t="s">
        <v>5089</v>
      </c>
      <c r="CY620" t="s">
        <v>138</v>
      </c>
      <c r="CZ620" t="s">
        <v>139</v>
      </c>
      <c r="DA620" t="s">
        <v>134</v>
      </c>
      <c r="DB620" t="s">
        <v>134</v>
      </c>
      <c r="DC620" t="s">
        <v>114</v>
      </c>
      <c r="DD620" t="s">
        <v>134</v>
      </c>
    </row>
    <row r="621" spans="1:108" ht="15" customHeight="1" x14ac:dyDescent="0.25">
      <c r="A621" t="s">
        <v>13723</v>
      </c>
      <c r="B621" t="s">
        <v>165</v>
      </c>
      <c r="C621" s="1">
        <v>44868.006524652781</v>
      </c>
      <c r="D621" s="1">
        <v>44894</v>
      </c>
      <c r="E621" t="s">
        <v>134</v>
      </c>
      <c r="F621" t="s">
        <v>334</v>
      </c>
      <c r="G621" t="str">
        <f t="shared" si="44"/>
        <v>37-3011.00</v>
      </c>
      <c r="H621" t="s">
        <v>335</v>
      </c>
      <c r="I621">
        <v>35</v>
      </c>
      <c r="J621">
        <v>35</v>
      </c>
      <c r="K621" s="1">
        <v>44958</v>
      </c>
      <c r="L621" s="1">
        <v>45260</v>
      </c>
      <c r="M621" s="1">
        <v>44958</v>
      </c>
      <c r="N621" s="1">
        <v>45260</v>
      </c>
      <c r="O621" t="s">
        <v>117</v>
      </c>
      <c r="P621" t="s">
        <v>13724</v>
      </c>
      <c r="R621" t="s">
        <v>13725</v>
      </c>
      <c r="T621" t="s">
        <v>5878</v>
      </c>
      <c r="U621" t="s">
        <v>232</v>
      </c>
      <c r="V621" s="4" t="str">
        <f>"79124"</f>
        <v>79124</v>
      </c>
      <c r="W621" t="s">
        <v>120</v>
      </c>
      <c r="Y621" s="5">
        <v>18063734591</v>
      </c>
      <c r="AA621">
        <v>56173</v>
      </c>
      <c r="AB621" t="s">
        <v>7198</v>
      </c>
      <c r="AC621" t="s">
        <v>12558</v>
      </c>
      <c r="AE621" t="s">
        <v>342</v>
      </c>
      <c r="AF621" t="s">
        <v>13725</v>
      </c>
      <c r="AH621" t="s">
        <v>5878</v>
      </c>
      <c r="AI621" t="s">
        <v>232</v>
      </c>
      <c r="AJ621" s="4" t="str">
        <f>"79124"</f>
        <v>79124</v>
      </c>
      <c r="AK621" t="s">
        <v>120</v>
      </c>
      <c r="AM621" s="5">
        <v>18063734591</v>
      </c>
      <c r="AO621" t="s">
        <v>138</v>
      </c>
      <c r="AP621" t="s">
        <v>256</v>
      </c>
      <c r="AQ621" t="s">
        <v>3181</v>
      </c>
      <c r="AR621" t="s">
        <v>3182</v>
      </c>
      <c r="AT621" t="s">
        <v>346</v>
      </c>
      <c r="AU621" t="s">
        <v>347</v>
      </c>
      <c r="AV621" t="s">
        <v>828</v>
      </c>
      <c r="AW621" t="s">
        <v>349</v>
      </c>
      <c r="AX621" s="4" t="str">
        <f t="shared" si="45"/>
        <v>83814</v>
      </c>
      <c r="AY621" t="s">
        <v>120</v>
      </c>
      <c r="BA621" s="5">
        <v>12087772654</v>
      </c>
      <c r="BC621" t="s">
        <v>3183</v>
      </c>
      <c r="BD621" t="s">
        <v>351</v>
      </c>
      <c r="BG621" t="s">
        <v>232</v>
      </c>
      <c r="BH621" s="1">
        <v>44852.833333333336</v>
      </c>
      <c r="BI621">
        <v>40</v>
      </c>
      <c r="BJ621">
        <v>0</v>
      </c>
      <c r="BK621">
        <v>8</v>
      </c>
      <c r="BL621">
        <v>8</v>
      </c>
      <c r="BM621">
        <v>8</v>
      </c>
      <c r="BN621">
        <v>8</v>
      </c>
      <c r="BO621">
        <v>8</v>
      </c>
      <c r="BP621">
        <v>0</v>
      </c>
      <c r="BQ621" t="str">
        <f>"7:00 AM"</f>
        <v>7:00 AM</v>
      </c>
      <c r="BR621" t="str">
        <f>"4:00 PM"</f>
        <v>4:00 PM</v>
      </c>
      <c r="BS621" t="s">
        <v>133</v>
      </c>
      <c r="BT621">
        <v>0</v>
      </c>
      <c r="BU621">
        <v>0</v>
      </c>
      <c r="BV621" t="s">
        <v>134</v>
      </c>
      <c r="BX621" s="2" t="s">
        <v>352</v>
      </c>
      <c r="BY621" t="s">
        <v>13726</v>
      </c>
      <c r="CA621" t="s">
        <v>5878</v>
      </c>
      <c r="CB621" t="s">
        <v>232</v>
      </c>
      <c r="CC621" s="4" t="str">
        <f>"79124"</f>
        <v>79124</v>
      </c>
      <c r="CD621" t="s">
        <v>13727</v>
      </c>
      <c r="CE621" t="s">
        <v>5884</v>
      </c>
      <c r="CF621" s="6">
        <v>14.68</v>
      </c>
      <c r="CG621" s="6">
        <v>16.5</v>
      </c>
      <c r="CH621" s="6">
        <v>22.02</v>
      </c>
      <c r="CI621" s="6">
        <v>24.75</v>
      </c>
      <c r="CJ621" t="s">
        <v>137</v>
      </c>
      <c r="CK621" t="s">
        <v>356</v>
      </c>
      <c r="CL621" t="s">
        <v>13728</v>
      </c>
      <c r="CO621" t="s">
        <v>138</v>
      </c>
      <c r="CP621" t="s">
        <v>114</v>
      </c>
      <c r="CQ621" t="s">
        <v>114</v>
      </c>
      <c r="CR621" t="s">
        <v>114</v>
      </c>
      <c r="CS621" t="s">
        <v>114</v>
      </c>
      <c r="CT621" t="s">
        <v>114</v>
      </c>
      <c r="CU621" t="s">
        <v>114</v>
      </c>
      <c r="CV621" t="s">
        <v>13729</v>
      </c>
      <c r="CW621" s="5" t="str">
        <f>"+18063734591"</f>
        <v>+18063734591</v>
      </c>
      <c r="CX621" t="s">
        <v>13730</v>
      </c>
      <c r="CY621" t="s">
        <v>138</v>
      </c>
      <c r="CZ621" t="s">
        <v>139</v>
      </c>
      <c r="DA621" t="s">
        <v>134</v>
      </c>
      <c r="DB621" t="s">
        <v>134</v>
      </c>
      <c r="DC621" t="s">
        <v>114</v>
      </c>
      <c r="DD621" t="s">
        <v>134</v>
      </c>
    </row>
    <row r="622" spans="1:108" ht="15" customHeight="1" x14ac:dyDescent="0.25">
      <c r="A622" t="s">
        <v>10381</v>
      </c>
      <c r="B622" t="s">
        <v>165</v>
      </c>
      <c r="C622" s="1">
        <v>44868.005323032405</v>
      </c>
      <c r="D622" s="1">
        <v>44894</v>
      </c>
      <c r="E622" t="s">
        <v>134</v>
      </c>
      <c r="F622" t="s">
        <v>334</v>
      </c>
      <c r="G622" t="str">
        <f t="shared" si="44"/>
        <v>37-3011.00</v>
      </c>
      <c r="H622" t="s">
        <v>335</v>
      </c>
      <c r="I622">
        <v>18</v>
      </c>
      <c r="J622">
        <v>18</v>
      </c>
      <c r="K622" s="1">
        <v>44958</v>
      </c>
      <c r="L622" s="1">
        <v>45260</v>
      </c>
      <c r="M622" s="1">
        <v>44958</v>
      </c>
      <c r="N622" s="1">
        <v>45260</v>
      </c>
      <c r="O622" t="s">
        <v>199</v>
      </c>
      <c r="P622" t="s">
        <v>10382</v>
      </c>
      <c r="R622" t="s">
        <v>10383</v>
      </c>
      <c r="T622" t="s">
        <v>4480</v>
      </c>
      <c r="U622" t="s">
        <v>697</v>
      </c>
      <c r="V622" s="4" t="str">
        <f>"65202"</f>
        <v>65202</v>
      </c>
      <c r="W622" t="s">
        <v>120</v>
      </c>
      <c r="Y622" s="5">
        <v>15732568873</v>
      </c>
      <c r="AA622">
        <v>56173</v>
      </c>
      <c r="AB622" t="s">
        <v>10384</v>
      </c>
      <c r="AC622" t="s">
        <v>10385</v>
      </c>
      <c r="AD622" t="s">
        <v>10386</v>
      </c>
      <c r="AE622" t="s">
        <v>424</v>
      </c>
      <c r="AF622" t="s">
        <v>10383</v>
      </c>
      <c r="AH622" t="s">
        <v>4480</v>
      </c>
      <c r="AI622" t="s">
        <v>697</v>
      </c>
      <c r="AJ622" s="4" t="str">
        <f>"65202"</f>
        <v>65202</v>
      </c>
      <c r="AK622" t="s">
        <v>120</v>
      </c>
      <c r="AM622" s="5">
        <v>15732568873</v>
      </c>
      <c r="AO622" t="s">
        <v>10387</v>
      </c>
      <c r="AP622" t="s">
        <v>256</v>
      </c>
      <c r="AQ622" t="s">
        <v>3181</v>
      </c>
      <c r="AR622" t="s">
        <v>3182</v>
      </c>
      <c r="AT622" t="s">
        <v>346</v>
      </c>
      <c r="AU622" t="s">
        <v>347</v>
      </c>
      <c r="AV622" t="s">
        <v>828</v>
      </c>
      <c r="AW622" t="s">
        <v>349</v>
      </c>
      <c r="AX622" s="4" t="str">
        <f t="shared" si="45"/>
        <v>83814</v>
      </c>
      <c r="AY622" t="s">
        <v>120</v>
      </c>
      <c r="BA622" s="5">
        <v>12087772654</v>
      </c>
      <c r="BC622" t="s">
        <v>3183</v>
      </c>
      <c r="BD622" t="s">
        <v>351</v>
      </c>
      <c r="BG622" t="s">
        <v>697</v>
      </c>
      <c r="BH622" s="1">
        <v>44852.833333333336</v>
      </c>
      <c r="BI622">
        <v>40</v>
      </c>
      <c r="BJ622">
        <v>0</v>
      </c>
      <c r="BK622">
        <v>8</v>
      </c>
      <c r="BL622">
        <v>8</v>
      </c>
      <c r="BM622">
        <v>8</v>
      </c>
      <c r="BN622">
        <v>8</v>
      </c>
      <c r="BO622">
        <v>8</v>
      </c>
      <c r="BP622">
        <v>0</v>
      </c>
      <c r="BQ622" t="str">
        <f>"8:00 AM"</f>
        <v>8:00 AM</v>
      </c>
      <c r="BR622" t="str">
        <f>"5:00 PM"</f>
        <v>5:00 PM</v>
      </c>
      <c r="BS622" t="s">
        <v>133</v>
      </c>
      <c r="BT622">
        <v>0</v>
      </c>
      <c r="BU622">
        <v>0</v>
      </c>
      <c r="BV622" t="s">
        <v>134</v>
      </c>
      <c r="BX622" s="2" t="s">
        <v>352</v>
      </c>
      <c r="BY622" t="s">
        <v>10388</v>
      </c>
      <c r="CA622" t="s">
        <v>4480</v>
      </c>
      <c r="CB622" t="s">
        <v>697</v>
      </c>
      <c r="CC622" s="4" t="str">
        <f>"65202"</f>
        <v>65202</v>
      </c>
      <c r="CD622" t="s">
        <v>3822</v>
      </c>
      <c r="CE622" t="s">
        <v>4250</v>
      </c>
      <c r="CF622" s="6">
        <v>14.37</v>
      </c>
      <c r="CG622" s="6">
        <v>15</v>
      </c>
      <c r="CH622" s="6">
        <v>21.56</v>
      </c>
      <c r="CI622" s="6">
        <v>22.5</v>
      </c>
      <c r="CJ622" t="s">
        <v>137</v>
      </c>
      <c r="CK622" t="s">
        <v>356</v>
      </c>
      <c r="CL622" t="s">
        <v>10389</v>
      </c>
      <c r="CO622" t="s">
        <v>138</v>
      </c>
      <c r="CP622" t="s">
        <v>114</v>
      </c>
      <c r="CQ622" t="s">
        <v>114</v>
      </c>
      <c r="CR622" t="s">
        <v>114</v>
      </c>
      <c r="CS622" t="s">
        <v>114</v>
      </c>
      <c r="CT622" t="s">
        <v>114</v>
      </c>
      <c r="CU622" t="s">
        <v>114</v>
      </c>
      <c r="CV622" s="2" t="s">
        <v>10390</v>
      </c>
      <c r="CW622" s="5" t="str">
        <f>"+15732568873"</f>
        <v>+15732568873</v>
      </c>
      <c r="CX622" t="s">
        <v>10387</v>
      </c>
      <c r="CY622" t="s">
        <v>138</v>
      </c>
      <c r="CZ622" t="s">
        <v>139</v>
      </c>
      <c r="DA622" t="s">
        <v>134</v>
      </c>
      <c r="DB622" t="s">
        <v>134</v>
      </c>
      <c r="DC622" t="s">
        <v>114</v>
      </c>
      <c r="DD622" t="s">
        <v>134</v>
      </c>
    </row>
    <row r="623" spans="1:108" ht="15" customHeight="1" x14ac:dyDescent="0.25">
      <c r="A623" t="s">
        <v>14404</v>
      </c>
      <c r="B623" t="s">
        <v>165</v>
      </c>
      <c r="C623" s="1">
        <v>44868.002421643519</v>
      </c>
      <c r="D623" s="1">
        <v>44894</v>
      </c>
      <c r="E623" t="s">
        <v>134</v>
      </c>
      <c r="F623" t="s">
        <v>334</v>
      </c>
      <c r="G623" t="str">
        <f t="shared" si="44"/>
        <v>37-3011.00</v>
      </c>
      <c r="H623" t="s">
        <v>335</v>
      </c>
      <c r="I623">
        <v>8</v>
      </c>
      <c r="J623">
        <v>8</v>
      </c>
      <c r="K623" s="1">
        <v>44958</v>
      </c>
      <c r="L623" s="1">
        <v>45260</v>
      </c>
      <c r="M623" s="1">
        <v>44958</v>
      </c>
      <c r="N623" s="1">
        <v>45260</v>
      </c>
      <c r="O623" t="s">
        <v>117</v>
      </c>
      <c r="P623" t="s">
        <v>14405</v>
      </c>
      <c r="R623" t="s">
        <v>14406</v>
      </c>
      <c r="T623" t="s">
        <v>4176</v>
      </c>
      <c r="U623" t="s">
        <v>214</v>
      </c>
      <c r="V623" s="4" t="str">
        <f>"70605"</f>
        <v>70605</v>
      </c>
      <c r="W623" t="s">
        <v>120</v>
      </c>
      <c r="Y623" s="5">
        <v>13374775511</v>
      </c>
      <c r="AA623">
        <v>71391</v>
      </c>
      <c r="AB623" t="s">
        <v>14407</v>
      </c>
      <c r="AC623" t="s">
        <v>1705</v>
      </c>
      <c r="AE623" t="s">
        <v>4346</v>
      </c>
      <c r="AF623" t="s">
        <v>14406</v>
      </c>
      <c r="AH623" t="s">
        <v>4176</v>
      </c>
      <c r="AI623" t="s">
        <v>214</v>
      </c>
      <c r="AJ623" s="4" t="str">
        <f>"70605"</f>
        <v>70605</v>
      </c>
      <c r="AK623" t="s">
        <v>120</v>
      </c>
      <c r="AM623" s="5">
        <v>13374775511</v>
      </c>
      <c r="AO623" t="s">
        <v>14408</v>
      </c>
      <c r="AP623" t="s">
        <v>256</v>
      </c>
      <c r="AQ623" t="s">
        <v>344</v>
      </c>
      <c r="AR623" t="s">
        <v>345</v>
      </c>
      <c r="AT623" t="s">
        <v>346</v>
      </c>
      <c r="AU623" t="s">
        <v>347</v>
      </c>
      <c r="AV623" t="s">
        <v>348</v>
      </c>
      <c r="AW623" t="s">
        <v>349</v>
      </c>
      <c r="AX623" s="4" t="str">
        <f t="shared" si="45"/>
        <v>83814</v>
      </c>
      <c r="AY623" t="s">
        <v>120</v>
      </c>
      <c r="BA623" s="5">
        <v>12087772654</v>
      </c>
      <c r="BC623" t="s">
        <v>350</v>
      </c>
      <c r="BD623" t="s">
        <v>351</v>
      </c>
      <c r="BG623" t="s">
        <v>214</v>
      </c>
      <c r="BH623" s="1">
        <v>44853.833333333336</v>
      </c>
      <c r="BI623">
        <v>40</v>
      </c>
      <c r="BJ623">
        <v>0</v>
      </c>
      <c r="BK623">
        <v>8</v>
      </c>
      <c r="BL623">
        <v>8</v>
      </c>
      <c r="BM623">
        <v>8</v>
      </c>
      <c r="BN623">
        <v>8</v>
      </c>
      <c r="BO623">
        <v>8</v>
      </c>
      <c r="BP623">
        <v>0</v>
      </c>
      <c r="BQ623" t="str">
        <f>"6:00 AM"</f>
        <v>6:00 AM</v>
      </c>
      <c r="BR623" t="str">
        <f>"2:30 AM"</f>
        <v>2:30 AM</v>
      </c>
      <c r="BS623" t="s">
        <v>133</v>
      </c>
      <c r="BT623">
        <v>0</v>
      </c>
      <c r="BU623">
        <v>0</v>
      </c>
      <c r="BV623" t="s">
        <v>134</v>
      </c>
      <c r="BX623" s="2" t="s">
        <v>7050</v>
      </c>
      <c r="BY623" t="s">
        <v>14409</v>
      </c>
      <c r="CA623" t="s">
        <v>4176</v>
      </c>
      <c r="CB623" t="s">
        <v>214</v>
      </c>
      <c r="CC623" s="4" t="str">
        <f>"70605"</f>
        <v>70605</v>
      </c>
      <c r="CD623" t="s">
        <v>6942</v>
      </c>
      <c r="CE623" t="s">
        <v>6943</v>
      </c>
      <c r="CF623" s="6">
        <v>14.19</v>
      </c>
      <c r="CH623" s="6">
        <v>21.29</v>
      </c>
      <c r="CJ623" t="s">
        <v>137</v>
      </c>
      <c r="CL623" t="s">
        <v>14410</v>
      </c>
      <c r="CO623" t="s">
        <v>138</v>
      </c>
      <c r="CP623" t="s">
        <v>134</v>
      </c>
      <c r="CQ623" t="s">
        <v>134</v>
      </c>
      <c r="CR623" t="s">
        <v>114</v>
      </c>
      <c r="CS623" t="s">
        <v>114</v>
      </c>
      <c r="CT623" t="s">
        <v>114</v>
      </c>
      <c r="CU623" t="s">
        <v>114</v>
      </c>
      <c r="CV623" t="s">
        <v>14411</v>
      </c>
      <c r="CW623" s="5" t="str">
        <f>"+13374775511"</f>
        <v>+13374775511</v>
      </c>
      <c r="CX623" t="s">
        <v>14408</v>
      </c>
      <c r="CY623" t="s">
        <v>138</v>
      </c>
      <c r="CZ623" t="s">
        <v>139</v>
      </c>
      <c r="DA623" t="s">
        <v>134</v>
      </c>
      <c r="DB623" t="s">
        <v>134</v>
      </c>
      <c r="DC623" t="s">
        <v>114</v>
      </c>
      <c r="DD623" t="s">
        <v>134</v>
      </c>
    </row>
    <row r="624" spans="1:108" ht="15" customHeight="1" x14ac:dyDescent="0.25">
      <c r="A624" t="s">
        <v>15170</v>
      </c>
      <c r="B624" t="s">
        <v>165</v>
      </c>
      <c r="C624" s="1">
        <v>44868.00093761574</v>
      </c>
      <c r="D624" s="1">
        <v>44894</v>
      </c>
      <c r="E624" t="s">
        <v>134</v>
      </c>
      <c r="F624" t="s">
        <v>1658</v>
      </c>
      <c r="G624" t="str">
        <f t="shared" si="44"/>
        <v>37-3011.00</v>
      </c>
      <c r="H624" t="s">
        <v>335</v>
      </c>
      <c r="I624">
        <v>10</v>
      </c>
      <c r="J624">
        <v>10</v>
      </c>
      <c r="K624" s="1">
        <v>44958</v>
      </c>
      <c r="L624" s="1">
        <v>45260</v>
      </c>
      <c r="M624" s="1">
        <v>44958</v>
      </c>
      <c r="N624" s="1">
        <v>45260</v>
      </c>
      <c r="O624" t="s">
        <v>117</v>
      </c>
      <c r="P624" t="s">
        <v>1921</v>
      </c>
      <c r="R624" t="s">
        <v>1922</v>
      </c>
      <c r="T624" t="s">
        <v>1923</v>
      </c>
      <c r="U624" t="s">
        <v>339</v>
      </c>
      <c r="V624" s="4" t="str">
        <f>"20882"</f>
        <v>20882</v>
      </c>
      <c r="W624" t="s">
        <v>120</v>
      </c>
      <c r="Y624" s="5">
        <v>13014820300</v>
      </c>
      <c r="AA624">
        <v>56173</v>
      </c>
      <c r="AB624" t="s">
        <v>1924</v>
      </c>
      <c r="AC624" t="s">
        <v>1925</v>
      </c>
      <c r="AD624" t="s">
        <v>138</v>
      </c>
      <c r="AE624" t="s">
        <v>1926</v>
      </c>
      <c r="AF624" t="s">
        <v>1922</v>
      </c>
      <c r="AH624" t="s">
        <v>1923</v>
      </c>
      <c r="AI624" t="s">
        <v>339</v>
      </c>
      <c r="AJ624" s="4" t="str">
        <f>"20882"</f>
        <v>20882</v>
      </c>
      <c r="AK624" t="s">
        <v>120</v>
      </c>
      <c r="AM624" s="5">
        <v>13014820300</v>
      </c>
      <c r="AO624" t="s">
        <v>1927</v>
      </c>
      <c r="AP624" t="s">
        <v>256</v>
      </c>
      <c r="AQ624" t="s">
        <v>1928</v>
      </c>
      <c r="AR624" t="s">
        <v>1929</v>
      </c>
      <c r="AS624" t="s">
        <v>1685</v>
      </c>
      <c r="AT624" t="s">
        <v>1930</v>
      </c>
      <c r="AU624" t="s">
        <v>1931</v>
      </c>
      <c r="AV624" t="s">
        <v>1932</v>
      </c>
      <c r="AW624" t="s">
        <v>349</v>
      </c>
      <c r="AX624" s="4" t="str">
        <f t="shared" si="45"/>
        <v>83814</v>
      </c>
      <c r="AY624" t="s">
        <v>120</v>
      </c>
      <c r="BA624" s="5">
        <v>12087772654</v>
      </c>
      <c r="BC624" t="s">
        <v>1933</v>
      </c>
      <c r="BD624" t="s">
        <v>351</v>
      </c>
      <c r="BG624" t="s">
        <v>657</v>
      </c>
      <c r="BH624" s="1">
        <v>44858.833333333336</v>
      </c>
      <c r="BI624">
        <v>40</v>
      </c>
      <c r="BJ624">
        <v>0</v>
      </c>
      <c r="BK624">
        <v>8</v>
      </c>
      <c r="BL624">
        <v>8</v>
      </c>
      <c r="BM624">
        <v>8</v>
      </c>
      <c r="BN624">
        <v>8</v>
      </c>
      <c r="BO624">
        <v>8</v>
      </c>
      <c r="BP624">
        <v>0</v>
      </c>
      <c r="BQ624" t="str">
        <f>"6:30 AM"</f>
        <v>6:30 AM</v>
      </c>
      <c r="BR624" t="str">
        <f>"3:30 PM"</f>
        <v>3:30 PM</v>
      </c>
      <c r="BS624" t="s">
        <v>133</v>
      </c>
      <c r="BT624">
        <v>0</v>
      </c>
      <c r="BU624">
        <v>0</v>
      </c>
      <c r="BV624" t="s">
        <v>134</v>
      </c>
      <c r="BX624" s="2" t="s">
        <v>1934</v>
      </c>
      <c r="BY624" t="s">
        <v>15171</v>
      </c>
      <c r="CA624" t="s">
        <v>15172</v>
      </c>
      <c r="CB624" t="s">
        <v>657</v>
      </c>
      <c r="CC624" s="4" t="str">
        <f>"37189"</f>
        <v>37189</v>
      </c>
      <c r="CD624" t="s">
        <v>1666</v>
      </c>
      <c r="CE624" t="s">
        <v>1667</v>
      </c>
      <c r="CF624" s="6">
        <v>16.04</v>
      </c>
      <c r="CG624" s="6">
        <v>18</v>
      </c>
      <c r="CH624" s="6">
        <v>24.06</v>
      </c>
      <c r="CI624" s="6">
        <v>27</v>
      </c>
      <c r="CJ624" t="s">
        <v>137</v>
      </c>
      <c r="CK624" t="s">
        <v>356</v>
      </c>
      <c r="CL624" t="s">
        <v>15173</v>
      </c>
      <c r="CO624" t="s">
        <v>138</v>
      </c>
      <c r="CP624" t="s">
        <v>114</v>
      </c>
      <c r="CQ624" t="s">
        <v>114</v>
      </c>
      <c r="CR624" t="s">
        <v>114</v>
      </c>
      <c r="CS624" t="s">
        <v>114</v>
      </c>
      <c r="CT624" t="s">
        <v>114</v>
      </c>
      <c r="CU624" t="s">
        <v>114</v>
      </c>
      <c r="CV624" s="2" t="s">
        <v>15174</v>
      </c>
      <c r="CW624" s="5" t="str">
        <f>"+18054586423"</f>
        <v>+18054586423</v>
      </c>
      <c r="CX624" t="s">
        <v>15175</v>
      </c>
      <c r="CY624" t="s">
        <v>138</v>
      </c>
      <c r="CZ624" t="s">
        <v>139</v>
      </c>
      <c r="DA624" t="s">
        <v>134</v>
      </c>
      <c r="DB624" t="s">
        <v>114</v>
      </c>
      <c r="DC624" t="s">
        <v>114</v>
      </c>
      <c r="DD624" t="s">
        <v>134</v>
      </c>
    </row>
    <row r="625" spans="1:108" ht="15" customHeight="1" x14ac:dyDescent="0.25">
      <c r="A625" t="s">
        <v>10365</v>
      </c>
      <c r="B625" t="s">
        <v>165</v>
      </c>
      <c r="C625" s="1">
        <v>44868.000832523147</v>
      </c>
      <c r="D625" s="1">
        <v>44894</v>
      </c>
      <c r="E625" t="s">
        <v>134</v>
      </c>
      <c r="F625" t="s">
        <v>5054</v>
      </c>
      <c r="G625" t="str">
        <f t="shared" si="44"/>
        <v>37-3011.00</v>
      </c>
      <c r="H625" t="s">
        <v>335</v>
      </c>
      <c r="I625">
        <v>28</v>
      </c>
      <c r="J625">
        <v>28</v>
      </c>
      <c r="K625" s="1">
        <v>44958</v>
      </c>
      <c r="L625" s="1">
        <v>45260</v>
      </c>
      <c r="M625" s="1">
        <v>44958</v>
      </c>
      <c r="N625" s="1">
        <v>45260</v>
      </c>
      <c r="O625" t="s">
        <v>117</v>
      </c>
      <c r="P625" t="s">
        <v>1921</v>
      </c>
      <c r="R625" t="s">
        <v>1922</v>
      </c>
      <c r="T625" t="s">
        <v>1923</v>
      </c>
      <c r="U625" t="s">
        <v>339</v>
      </c>
      <c r="V625" s="4" t="str">
        <f>"20882"</f>
        <v>20882</v>
      </c>
      <c r="W625" t="s">
        <v>120</v>
      </c>
      <c r="Y625" s="5">
        <v>13014820300</v>
      </c>
      <c r="AA625">
        <v>56173</v>
      </c>
      <c r="AB625" t="s">
        <v>1924</v>
      </c>
      <c r="AC625" t="s">
        <v>1925</v>
      </c>
      <c r="AD625" t="s">
        <v>138</v>
      </c>
      <c r="AE625" t="s">
        <v>1926</v>
      </c>
      <c r="AF625" t="s">
        <v>1922</v>
      </c>
      <c r="AH625" t="s">
        <v>1923</v>
      </c>
      <c r="AI625" t="s">
        <v>339</v>
      </c>
      <c r="AJ625" s="4" t="str">
        <f>"20882"</f>
        <v>20882</v>
      </c>
      <c r="AK625" t="s">
        <v>120</v>
      </c>
      <c r="AM625" s="5">
        <v>13014820300</v>
      </c>
      <c r="AO625" t="s">
        <v>1927</v>
      </c>
      <c r="AP625" t="s">
        <v>256</v>
      </c>
      <c r="AQ625" t="s">
        <v>1928</v>
      </c>
      <c r="AR625" t="s">
        <v>1929</v>
      </c>
      <c r="AS625" t="s">
        <v>1685</v>
      </c>
      <c r="AT625" t="s">
        <v>1930</v>
      </c>
      <c r="AU625" t="s">
        <v>1931</v>
      </c>
      <c r="AV625" t="s">
        <v>1932</v>
      </c>
      <c r="AW625" t="s">
        <v>349</v>
      </c>
      <c r="AX625" s="4" t="str">
        <f t="shared" si="45"/>
        <v>83814</v>
      </c>
      <c r="AY625" t="s">
        <v>120</v>
      </c>
      <c r="BA625" s="5">
        <v>12087772654</v>
      </c>
      <c r="BC625" t="s">
        <v>1933</v>
      </c>
      <c r="BD625" t="s">
        <v>351</v>
      </c>
      <c r="BG625" t="s">
        <v>129</v>
      </c>
      <c r="BH625" s="1">
        <v>44858.833333333336</v>
      </c>
      <c r="BI625">
        <v>40</v>
      </c>
      <c r="BJ625">
        <v>0</v>
      </c>
      <c r="BK625">
        <v>8</v>
      </c>
      <c r="BL625">
        <v>8</v>
      </c>
      <c r="BM625">
        <v>8</v>
      </c>
      <c r="BN625">
        <v>8</v>
      </c>
      <c r="BO625">
        <v>8</v>
      </c>
      <c r="BP625">
        <v>0</v>
      </c>
      <c r="BQ625" t="str">
        <f>"6:30 AM"</f>
        <v>6:30 AM</v>
      </c>
      <c r="BR625" t="str">
        <f>"3:30 PM"</f>
        <v>3:30 PM</v>
      </c>
      <c r="BS625" t="s">
        <v>133</v>
      </c>
      <c r="BT625">
        <v>0</v>
      </c>
      <c r="BU625">
        <v>0</v>
      </c>
      <c r="BV625" t="s">
        <v>134</v>
      </c>
      <c r="BX625" s="2" t="s">
        <v>1934</v>
      </c>
      <c r="BY625" t="s">
        <v>10366</v>
      </c>
      <c r="CA625" t="s">
        <v>10144</v>
      </c>
      <c r="CB625" t="s">
        <v>129</v>
      </c>
      <c r="CC625" s="4" t="str">
        <f>"30126"</f>
        <v>30126</v>
      </c>
      <c r="CD625" t="s">
        <v>1540</v>
      </c>
      <c r="CE625" t="s">
        <v>908</v>
      </c>
      <c r="CF625" s="6">
        <v>16.45</v>
      </c>
      <c r="CG625" s="6">
        <v>18</v>
      </c>
      <c r="CH625" s="6">
        <v>24.68</v>
      </c>
      <c r="CI625" s="6">
        <v>27</v>
      </c>
      <c r="CJ625" t="s">
        <v>137</v>
      </c>
      <c r="CK625" t="s">
        <v>356</v>
      </c>
      <c r="CL625" t="s">
        <v>10367</v>
      </c>
      <c r="CO625" t="s">
        <v>138</v>
      </c>
      <c r="CP625" t="s">
        <v>114</v>
      </c>
      <c r="CQ625" t="s">
        <v>114</v>
      </c>
      <c r="CR625" t="s">
        <v>114</v>
      </c>
      <c r="CS625" t="s">
        <v>114</v>
      </c>
      <c r="CT625" t="s">
        <v>114</v>
      </c>
      <c r="CU625" t="s">
        <v>114</v>
      </c>
      <c r="CV625" s="2" t="s">
        <v>10368</v>
      </c>
      <c r="CW625" s="5" t="str">
        <f>"+17709319900"</f>
        <v>+17709319900</v>
      </c>
      <c r="CX625" t="s">
        <v>10369</v>
      </c>
      <c r="CY625" t="s">
        <v>138</v>
      </c>
      <c r="CZ625" t="s">
        <v>139</v>
      </c>
      <c r="DA625" t="s">
        <v>134</v>
      </c>
      <c r="DB625" t="s">
        <v>114</v>
      </c>
      <c r="DC625" t="s">
        <v>114</v>
      </c>
      <c r="DD625" t="s">
        <v>134</v>
      </c>
    </row>
    <row r="626" spans="1:108" ht="15" customHeight="1" x14ac:dyDescent="0.25">
      <c r="A626" t="s">
        <v>12035</v>
      </c>
      <c r="B626" t="s">
        <v>165</v>
      </c>
      <c r="C626" s="1">
        <v>44868.000385300926</v>
      </c>
      <c r="D626" s="1">
        <v>44894</v>
      </c>
      <c r="E626" t="s">
        <v>134</v>
      </c>
      <c r="F626" t="s">
        <v>5618</v>
      </c>
      <c r="G626" t="str">
        <f t="shared" si="44"/>
        <v>37-3011.00</v>
      </c>
      <c r="H626" t="s">
        <v>335</v>
      </c>
      <c r="I626">
        <v>18</v>
      </c>
      <c r="J626">
        <v>18</v>
      </c>
      <c r="K626" s="1">
        <v>44958</v>
      </c>
      <c r="L626" s="1">
        <v>45261</v>
      </c>
      <c r="M626" s="1">
        <v>44958</v>
      </c>
      <c r="N626" s="1">
        <v>45261</v>
      </c>
      <c r="O626" t="s">
        <v>117</v>
      </c>
      <c r="P626" t="s">
        <v>5619</v>
      </c>
      <c r="R626" t="s">
        <v>5620</v>
      </c>
      <c r="T626" t="s">
        <v>5621</v>
      </c>
      <c r="U626" t="s">
        <v>848</v>
      </c>
      <c r="V626" s="4" t="str">
        <f>"10523"</f>
        <v>10523</v>
      </c>
      <c r="W626" t="s">
        <v>120</v>
      </c>
      <c r="Y626" s="5">
        <v>19143475151</v>
      </c>
      <c r="AA626">
        <v>22131</v>
      </c>
      <c r="AB626" t="s">
        <v>5622</v>
      </c>
      <c r="AC626" t="s">
        <v>626</v>
      </c>
      <c r="AD626" t="s">
        <v>138</v>
      </c>
      <c r="AE626" t="s">
        <v>342</v>
      </c>
      <c r="AF626" t="s">
        <v>5620</v>
      </c>
      <c r="AH626" t="s">
        <v>5621</v>
      </c>
      <c r="AI626" t="s">
        <v>848</v>
      </c>
      <c r="AJ626" s="4" t="str">
        <f>"10523"</f>
        <v>10523</v>
      </c>
      <c r="AK626" t="s">
        <v>120</v>
      </c>
      <c r="AM626" s="5">
        <v>19143475151</v>
      </c>
      <c r="AO626" t="s">
        <v>12036</v>
      </c>
      <c r="AP626" t="s">
        <v>256</v>
      </c>
      <c r="AQ626" t="s">
        <v>1928</v>
      </c>
      <c r="AR626" t="s">
        <v>1929</v>
      </c>
      <c r="AS626" t="s">
        <v>1685</v>
      </c>
      <c r="AT626" t="s">
        <v>1930</v>
      </c>
      <c r="AU626" t="s">
        <v>1931</v>
      </c>
      <c r="AV626" t="s">
        <v>1932</v>
      </c>
      <c r="AW626" t="s">
        <v>349</v>
      </c>
      <c r="AX626" s="4" t="str">
        <f t="shared" si="45"/>
        <v>83814</v>
      </c>
      <c r="AY626" t="s">
        <v>120</v>
      </c>
      <c r="BA626" s="5">
        <v>12087772654</v>
      </c>
      <c r="BC626" t="s">
        <v>1933</v>
      </c>
      <c r="BD626" t="s">
        <v>351</v>
      </c>
      <c r="BG626" t="s">
        <v>848</v>
      </c>
      <c r="BH626" s="1">
        <v>44860.833333333336</v>
      </c>
      <c r="BI626">
        <v>40</v>
      </c>
      <c r="BJ626">
        <v>0</v>
      </c>
      <c r="BK626">
        <v>8</v>
      </c>
      <c r="BL626">
        <v>8</v>
      </c>
      <c r="BM626">
        <v>8</v>
      </c>
      <c r="BN626">
        <v>8</v>
      </c>
      <c r="BO626">
        <v>8</v>
      </c>
      <c r="BP626">
        <v>0</v>
      </c>
      <c r="BQ626" t="str">
        <f>"7:30 AM"</f>
        <v>7:30 AM</v>
      </c>
      <c r="BR626" t="str">
        <f>"5:30 PM"</f>
        <v>5:30 PM</v>
      </c>
      <c r="BS626" t="s">
        <v>133</v>
      </c>
      <c r="BT626">
        <v>0</v>
      </c>
      <c r="BU626">
        <v>0</v>
      </c>
      <c r="BV626" t="s">
        <v>134</v>
      </c>
      <c r="BX626" s="2" t="s">
        <v>5624</v>
      </c>
      <c r="BY626" t="s">
        <v>9167</v>
      </c>
      <c r="CA626" t="s">
        <v>5621</v>
      </c>
      <c r="CB626" t="s">
        <v>848</v>
      </c>
      <c r="CC626" s="4" t="str">
        <f>"10523"</f>
        <v>10523</v>
      </c>
      <c r="CD626" t="s">
        <v>2303</v>
      </c>
      <c r="CE626" t="s">
        <v>1009</v>
      </c>
      <c r="CF626" s="6">
        <v>19.940000000000001</v>
      </c>
      <c r="CG626" s="6">
        <v>37.5</v>
      </c>
      <c r="CH626" s="6">
        <v>29.91</v>
      </c>
      <c r="CI626" s="6">
        <v>56.25</v>
      </c>
      <c r="CJ626" t="s">
        <v>137</v>
      </c>
      <c r="CK626" t="s">
        <v>356</v>
      </c>
      <c r="CL626" t="s">
        <v>9168</v>
      </c>
      <c r="CO626" t="s">
        <v>138</v>
      </c>
      <c r="CP626" t="s">
        <v>114</v>
      </c>
      <c r="CQ626" t="s">
        <v>114</v>
      </c>
      <c r="CR626" t="s">
        <v>114</v>
      </c>
      <c r="CS626" t="s">
        <v>114</v>
      </c>
      <c r="CT626" t="s">
        <v>114</v>
      </c>
      <c r="CU626" t="s">
        <v>134</v>
      </c>
      <c r="CV626" t="s">
        <v>358</v>
      </c>
      <c r="CW626" s="5" t="str">
        <f>"+19143475151"</f>
        <v>+19143475151</v>
      </c>
      <c r="CX626" t="s">
        <v>5623</v>
      </c>
      <c r="CY626" t="s">
        <v>138</v>
      </c>
      <c r="CZ626" t="s">
        <v>139</v>
      </c>
      <c r="DA626" t="s">
        <v>134</v>
      </c>
      <c r="DB626" t="s">
        <v>114</v>
      </c>
      <c r="DC626" t="s">
        <v>114</v>
      </c>
      <c r="DD626" t="s">
        <v>134</v>
      </c>
    </row>
    <row r="627" spans="1:108" ht="15" customHeight="1" x14ac:dyDescent="0.25">
      <c r="A627" t="s">
        <v>15165</v>
      </c>
      <c r="B627" t="s">
        <v>165</v>
      </c>
      <c r="C627" s="1">
        <v>44866.981087731481</v>
      </c>
      <c r="D627" s="1">
        <v>44894</v>
      </c>
      <c r="E627" t="s">
        <v>134</v>
      </c>
      <c r="F627" t="s">
        <v>416</v>
      </c>
      <c r="G627" t="str">
        <f>"37-2011.00"</f>
        <v>37-2011.00</v>
      </c>
      <c r="H627" t="s">
        <v>672</v>
      </c>
      <c r="I627">
        <v>3</v>
      </c>
      <c r="J627">
        <v>3</v>
      </c>
      <c r="K627" s="1">
        <v>44941</v>
      </c>
      <c r="L627" s="1">
        <v>45031</v>
      </c>
      <c r="M627" s="1">
        <v>44941</v>
      </c>
      <c r="N627" s="1">
        <v>45031</v>
      </c>
      <c r="O627" t="s">
        <v>199</v>
      </c>
      <c r="P627" t="s">
        <v>4084</v>
      </c>
      <c r="R627" t="s">
        <v>4085</v>
      </c>
      <c r="T627" t="s">
        <v>4086</v>
      </c>
      <c r="U627" t="s">
        <v>2081</v>
      </c>
      <c r="V627" s="4" t="str">
        <f>"52627"</f>
        <v>52627</v>
      </c>
      <c r="W627" t="s">
        <v>120</v>
      </c>
      <c r="Y627" s="5">
        <v>13193725047</v>
      </c>
      <c r="AA627">
        <v>238110</v>
      </c>
      <c r="AB627" t="s">
        <v>4087</v>
      </c>
      <c r="AC627" t="s">
        <v>1676</v>
      </c>
      <c r="AE627" t="s">
        <v>342</v>
      </c>
      <c r="AF627" t="s">
        <v>4088</v>
      </c>
      <c r="AH627" t="s">
        <v>4086</v>
      </c>
      <c r="AI627" t="s">
        <v>2081</v>
      </c>
      <c r="AJ627" s="4" t="str">
        <f>"52627"</f>
        <v>52627</v>
      </c>
      <c r="AK627" t="s">
        <v>120</v>
      </c>
      <c r="AM627" s="5">
        <v>13193725047</v>
      </c>
      <c r="AO627" t="s">
        <v>4089</v>
      </c>
      <c r="AP627" t="s">
        <v>122</v>
      </c>
      <c r="AQ627" t="s">
        <v>4090</v>
      </c>
      <c r="AR627" t="s">
        <v>4091</v>
      </c>
      <c r="AS627" t="s">
        <v>1869</v>
      </c>
      <c r="AT627" t="s">
        <v>9501</v>
      </c>
      <c r="AU627" t="s">
        <v>4322</v>
      </c>
      <c r="AV627" t="s">
        <v>9502</v>
      </c>
      <c r="AW627" t="s">
        <v>2081</v>
      </c>
      <c r="AX627" s="4" t="str">
        <f>"50322"</f>
        <v>50322</v>
      </c>
      <c r="AY627" t="s">
        <v>120</v>
      </c>
      <c r="BA627" s="5">
        <v>15154124961</v>
      </c>
      <c r="BC627" t="s">
        <v>9503</v>
      </c>
      <c r="BD627" t="s">
        <v>9504</v>
      </c>
      <c r="BE627" t="s">
        <v>2081</v>
      </c>
      <c r="BF627" t="s">
        <v>4514</v>
      </c>
      <c r="BG627" t="s">
        <v>2081</v>
      </c>
      <c r="BH627" s="1">
        <v>44865.833333333336</v>
      </c>
      <c r="BI627">
        <v>40</v>
      </c>
      <c r="BJ627">
        <v>0</v>
      </c>
      <c r="BK627">
        <v>8</v>
      </c>
      <c r="BL627">
        <v>8</v>
      </c>
      <c r="BM627">
        <v>8</v>
      </c>
      <c r="BN627">
        <v>8</v>
      </c>
      <c r="BO627">
        <v>8</v>
      </c>
      <c r="BP627">
        <v>0</v>
      </c>
      <c r="BQ627" t="str">
        <f>"7:00 AM"</f>
        <v>7:00 AM</v>
      </c>
      <c r="BR627" t="str">
        <f>"3:30 PM"</f>
        <v>3:30 PM</v>
      </c>
      <c r="BS627" t="s">
        <v>133</v>
      </c>
      <c r="BT627">
        <v>0</v>
      </c>
      <c r="BU627">
        <v>0</v>
      </c>
      <c r="BV627" t="s">
        <v>134</v>
      </c>
      <c r="BX627" s="2" t="s">
        <v>15166</v>
      </c>
      <c r="BY627" t="s">
        <v>15167</v>
      </c>
      <c r="CA627" t="s">
        <v>4086</v>
      </c>
      <c r="CB627" t="s">
        <v>2081</v>
      </c>
      <c r="CC627" s="4" t="str">
        <f>"52627"</f>
        <v>52627</v>
      </c>
      <c r="CD627" t="s">
        <v>1505</v>
      </c>
      <c r="CE627" t="s">
        <v>2599</v>
      </c>
      <c r="CF627" s="6">
        <v>16.77</v>
      </c>
      <c r="CH627" s="6">
        <v>25.16</v>
      </c>
      <c r="CJ627" t="s">
        <v>137</v>
      </c>
      <c r="CK627" t="s">
        <v>15168</v>
      </c>
      <c r="CL627" t="s">
        <v>15169</v>
      </c>
      <c r="CO627" t="s">
        <v>138</v>
      </c>
      <c r="CP627" t="s">
        <v>114</v>
      </c>
      <c r="CQ627" t="s">
        <v>114</v>
      </c>
      <c r="CR627" t="s">
        <v>114</v>
      </c>
      <c r="CS627" t="s">
        <v>114</v>
      </c>
      <c r="CT627" t="s">
        <v>114</v>
      </c>
      <c r="CU627" t="s">
        <v>114</v>
      </c>
      <c r="CV627" t="s">
        <v>4092</v>
      </c>
      <c r="CW627" s="5" t="str">
        <f>"+13193725047"</f>
        <v>+13193725047</v>
      </c>
      <c r="CX627" t="s">
        <v>4089</v>
      </c>
      <c r="CY627" t="s">
        <v>138</v>
      </c>
      <c r="CZ627" t="s">
        <v>139</v>
      </c>
      <c r="DA627" t="s">
        <v>134</v>
      </c>
      <c r="DB627" t="s">
        <v>134</v>
      </c>
      <c r="DC627" t="s">
        <v>114</v>
      </c>
      <c r="DD627" t="s">
        <v>134</v>
      </c>
    </row>
    <row r="628" spans="1:108" ht="15" customHeight="1" x14ac:dyDescent="0.25">
      <c r="A628" t="s">
        <v>5071</v>
      </c>
      <c r="B628" t="s">
        <v>165</v>
      </c>
      <c r="C628" s="1">
        <v>44865.378920254632</v>
      </c>
      <c r="D628" s="1">
        <v>44894</v>
      </c>
      <c r="E628" t="s">
        <v>134</v>
      </c>
      <c r="F628" t="s">
        <v>334</v>
      </c>
      <c r="G628" t="str">
        <f>"37-3011.00"</f>
        <v>37-3011.00</v>
      </c>
      <c r="H628" t="s">
        <v>335</v>
      </c>
      <c r="I628">
        <v>4</v>
      </c>
      <c r="J628">
        <v>4</v>
      </c>
      <c r="K628" s="1">
        <v>44954</v>
      </c>
      <c r="L628" s="1">
        <v>45257</v>
      </c>
      <c r="M628" s="1">
        <v>44954</v>
      </c>
      <c r="N628" s="1">
        <v>45257</v>
      </c>
      <c r="O628" t="s">
        <v>199</v>
      </c>
      <c r="P628" t="s">
        <v>5072</v>
      </c>
      <c r="Q628" t="s">
        <v>5073</v>
      </c>
      <c r="R628" t="s">
        <v>5074</v>
      </c>
      <c r="T628" t="s">
        <v>5075</v>
      </c>
      <c r="U628" t="s">
        <v>1411</v>
      </c>
      <c r="V628" s="4" t="str">
        <f>"44256"</f>
        <v>44256</v>
      </c>
      <c r="W628" t="s">
        <v>120</v>
      </c>
      <c r="Y628" s="5">
        <v>13303500271</v>
      </c>
      <c r="AA628">
        <v>56173</v>
      </c>
      <c r="AB628" t="s">
        <v>5076</v>
      </c>
      <c r="AC628" t="s">
        <v>1469</v>
      </c>
      <c r="AD628" t="s">
        <v>1905</v>
      </c>
      <c r="AE628" t="s">
        <v>342</v>
      </c>
      <c r="AF628" t="s">
        <v>5077</v>
      </c>
      <c r="AG628" t="s">
        <v>5078</v>
      </c>
      <c r="AH628" t="s">
        <v>4041</v>
      </c>
      <c r="AI628" t="s">
        <v>1411</v>
      </c>
      <c r="AJ628" s="4" t="str">
        <f>"43162"</f>
        <v>43162</v>
      </c>
      <c r="AK628" t="s">
        <v>120</v>
      </c>
      <c r="AM628" s="5">
        <v>13303500271</v>
      </c>
      <c r="AO628" t="s">
        <v>5079</v>
      </c>
      <c r="AP628" t="s">
        <v>122</v>
      </c>
      <c r="AQ628" t="s">
        <v>1867</v>
      </c>
      <c r="AR628" t="s">
        <v>1868</v>
      </c>
      <c r="AS628" t="s">
        <v>1869</v>
      </c>
      <c r="AT628" t="s">
        <v>1870</v>
      </c>
      <c r="AU628" t="s">
        <v>1871</v>
      </c>
      <c r="AV628" t="s">
        <v>1872</v>
      </c>
      <c r="AW628" t="s">
        <v>1003</v>
      </c>
      <c r="AX628" s="4" t="str">
        <f>"08034"</f>
        <v>08034</v>
      </c>
      <c r="AY628" t="s">
        <v>120</v>
      </c>
      <c r="AZ628" t="s">
        <v>1873</v>
      </c>
      <c r="BA628" s="5">
        <v>18562819750</v>
      </c>
      <c r="BC628" t="s">
        <v>1874</v>
      </c>
      <c r="BD628" t="s">
        <v>1875</v>
      </c>
      <c r="BE628" t="s">
        <v>1003</v>
      </c>
      <c r="BF628" t="s">
        <v>5080</v>
      </c>
      <c r="BG628" t="s">
        <v>1411</v>
      </c>
      <c r="BH628" s="1">
        <v>44859.833333333336</v>
      </c>
      <c r="BI628">
        <v>40</v>
      </c>
      <c r="BJ628">
        <v>0</v>
      </c>
      <c r="BK628">
        <v>8</v>
      </c>
      <c r="BL628">
        <v>8</v>
      </c>
      <c r="BM628">
        <v>8</v>
      </c>
      <c r="BN628">
        <v>8</v>
      </c>
      <c r="BO628">
        <v>8</v>
      </c>
      <c r="BP628">
        <v>0</v>
      </c>
      <c r="BQ628" t="str">
        <f>"7:30 AM"</f>
        <v>7:30 AM</v>
      </c>
      <c r="BR628" t="str">
        <f>"4:00 PM"</f>
        <v>4:00 PM</v>
      </c>
      <c r="BS628" t="s">
        <v>133</v>
      </c>
      <c r="BT628">
        <v>0</v>
      </c>
      <c r="BU628">
        <v>0</v>
      </c>
      <c r="BV628" t="s">
        <v>134</v>
      </c>
      <c r="BX628" s="2" t="s">
        <v>5081</v>
      </c>
      <c r="BY628" t="s">
        <v>5082</v>
      </c>
      <c r="CA628" t="s">
        <v>4041</v>
      </c>
      <c r="CB628" t="s">
        <v>1411</v>
      </c>
      <c r="CC628" s="4" t="str">
        <f>"43162"</f>
        <v>43162</v>
      </c>
      <c r="CD628" t="s">
        <v>2258</v>
      </c>
      <c r="CE628" t="s">
        <v>2876</v>
      </c>
      <c r="CF628" s="6">
        <v>16.61</v>
      </c>
      <c r="CG628" s="6">
        <v>16.61</v>
      </c>
      <c r="CH628" s="6">
        <v>24.92</v>
      </c>
      <c r="CI628" s="6">
        <v>24.92</v>
      </c>
      <c r="CJ628" t="s">
        <v>137</v>
      </c>
      <c r="CK628" t="s">
        <v>2624</v>
      </c>
      <c r="CL628" t="s">
        <v>5083</v>
      </c>
      <c r="CO628" t="s">
        <v>138</v>
      </c>
      <c r="CP628" t="s">
        <v>114</v>
      </c>
      <c r="CQ628" t="s">
        <v>114</v>
      </c>
      <c r="CR628" t="s">
        <v>114</v>
      </c>
      <c r="CS628" t="s">
        <v>114</v>
      </c>
      <c r="CT628" t="s">
        <v>114</v>
      </c>
      <c r="CU628" t="s">
        <v>114</v>
      </c>
      <c r="CV628" t="s">
        <v>5084</v>
      </c>
      <c r="CW628" s="5" t="str">
        <f>"+13303500271"</f>
        <v>+13303500271</v>
      </c>
      <c r="CX628" t="s">
        <v>5079</v>
      </c>
      <c r="CY628" t="s">
        <v>138</v>
      </c>
      <c r="CZ628" t="s">
        <v>139</v>
      </c>
      <c r="DA628" t="s">
        <v>134</v>
      </c>
      <c r="DB628" t="s">
        <v>114</v>
      </c>
      <c r="DC628" t="s">
        <v>114</v>
      </c>
      <c r="DD628" t="s">
        <v>134</v>
      </c>
    </row>
    <row r="629" spans="1:108" ht="15" customHeight="1" x14ac:dyDescent="0.25">
      <c r="A629" t="s">
        <v>15151</v>
      </c>
      <c r="B629" t="s">
        <v>165</v>
      </c>
      <c r="C629" s="1">
        <v>44860.79669988426</v>
      </c>
      <c r="D629" s="1">
        <v>44894</v>
      </c>
      <c r="E629" t="s">
        <v>134</v>
      </c>
      <c r="F629" t="s">
        <v>1315</v>
      </c>
      <c r="G629" t="str">
        <f>"39-3091.00"</f>
        <v>39-3091.00</v>
      </c>
      <c r="H629" t="s">
        <v>362</v>
      </c>
      <c r="I629">
        <v>25</v>
      </c>
      <c r="J629">
        <v>25</v>
      </c>
      <c r="K629" s="1">
        <v>44935</v>
      </c>
      <c r="L629" s="1">
        <v>45230</v>
      </c>
      <c r="M629" s="1">
        <v>44935</v>
      </c>
      <c r="N629" s="1">
        <v>45230</v>
      </c>
      <c r="O629" t="s">
        <v>199</v>
      </c>
      <c r="P629" t="s">
        <v>15152</v>
      </c>
      <c r="Q629" t="s">
        <v>15153</v>
      </c>
      <c r="R629" t="s">
        <v>15154</v>
      </c>
      <c r="T629" t="s">
        <v>7252</v>
      </c>
      <c r="U629" t="s">
        <v>444</v>
      </c>
      <c r="V629" s="4" t="str">
        <f>"92647"</f>
        <v>92647</v>
      </c>
      <c r="W629" t="s">
        <v>120</v>
      </c>
      <c r="Y629" s="5">
        <v>17148940563</v>
      </c>
      <c r="Z629">
        <v>0</v>
      </c>
      <c r="AA629">
        <v>71119</v>
      </c>
      <c r="AB629" t="s">
        <v>7128</v>
      </c>
      <c r="AC629" t="s">
        <v>1705</v>
      </c>
      <c r="AE629" t="s">
        <v>424</v>
      </c>
      <c r="AF629" t="s">
        <v>15154</v>
      </c>
      <c r="AH629" t="s">
        <v>15155</v>
      </c>
      <c r="AI629" t="s">
        <v>444</v>
      </c>
      <c r="AJ629" s="4" t="str">
        <f>"92647"</f>
        <v>92647</v>
      </c>
      <c r="AK629" t="s">
        <v>120</v>
      </c>
      <c r="AM629" s="5">
        <v>17144033728</v>
      </c>
      <c r="AN629">
        <v>0</v>
      </c>
      <c r="AO629" t="s">
        <v>15156</v>
      </c>
      <c r="AP629" t="s">
        <v>256</v>
      </c>
      <c r="AQ629" t="s">
        <v>535</v>
      </c>
      <c r="AR629" t="s">
        <v>536</v>
      </c>
      <c r="AS629" t="s">
        <v>537</v>
      </c>
      <c r="AT629" t="s">
        <v>538</v>
      </c>
      <c r="AU629" t="s">
        <v>539</v>
      </c>
      <c r="AV629" t="s">
        <v>540</v>
      </c>
      <c r="AW629" t="s">
        <v>232</v>
      </c>
      <c r="AX629" s="4" t="str">
        <f>"78550"</f>
        <v>78550</v>
      </c>
      <c r="AY629" t="s">
        <v>120</v>
      </c>
      <c r="AZ629" t="s">
        <v>541</v>
      </c>
      <c r="BA629" s="5">
        <v>19564408720</v>
      </c>
      <c r="BB629">
        <v>0</v>
      </c>
      <c r="BC629" t="s">
        <v>542</v>
      </c>
      <c r="BD629" t="s">
        <v>543</v>
      </c>
      <c r="BG629" t="s">
        <v>444</v>
      </c>
      <c r="BH629" s="1">
        <v>44859.833333333336</v>
      </c>
      <c r="BI629">
        <v>40</v>
      </c>
      <c r="BJ629">
        <v>8</v>
      </c>
      <c r="BK629">
        <v>0</v>
      </c>
      <c r="BL629">
        <v>0</v>
      </c>
      <c r="BM629">
        <v>8</v>
      </c>
      <c r="BN629">
        <v>8</v>
      </c>
      <c r="BO629">
        <v>8</v>
      </c>
      <c r="BP629">
        <v>8</v>
      </c>
      <c r="BQ629" t="str">
        <f>"1:00 PM"</f>
        <v>1:00 PM</v>
      </c>
      <c r="BR629" t="str">
        <f>"10:00 PM"</f>
        <v>10:00 PM</v>
      </c>
      <c r="BS629" t="s">
        <v>133</v>
      </c>
      <c r="BT629">
        <v>0</v>
      </c>
      <c r="BU629">
        <v>0</v>
      </c>
      <c r="BV629" t="s">
        <v>134</v>
      </c>
      <c r="BX629" t="s">
        <v>3921</v>
      </c>
      <c r="BY629" t="s">
        <v>15154</v>
      </c>
      <c r="CA629" t="s">
        <v>7252</v>
      </c>
      <c r="CB629" t="s">
        <v>444</v>
      </c>
      <c r="CC629" s="4" t="str">
        <f>"92647"</f>
        <v>92647</v>
      </c>
      <c r="CD629" t="s">
        <v>2302</v>
      </c>
      <c r="CE629" t="s">
        <v>1767</v>
      </c>
      <c r="CF629" s="6">
        <v>12.99</v>
      </c>
      <c r="CG629" s="6">
        <v>15.5</v>
      </c>
      <c r="CH629" s="6">
        <v>0</v>
      </c>
      <c r="CI629" s="6">
        <v>0</v>
      </c>
      <c r="CJ629" t="s">
        <v>137</v>
      </c>
      <c r="CK629" t="s">
        <v>549</v>
      </c>
      <c r="CL629" t="s">
        <v>15157</v>
      </c>
      <c r="CO629" t="s">
        <v>138</v>
      </c>
      <c r="CP629" t="s">
        <v>114</v>
      </c>
      <c r="CQ629" t="s">
        <v>114</v>
      </c>
      <c r="CR629" t="s">
        <v>134</v>
      </c>
      <c r="CS629" t="s">
        <v>114</v>
      </c>
      <c r="CT629" t="s">
        <v>114</v>
      </c>
      <c r="CU629" t="s">
        <v>114</v>
      </c>
      <c r="CV629" t="s">
        <v>4912</v>
      </c>
      <c r="CW629" s="5" t="str">
        <f>"+17148940563"</f>
        <v>+17148940563</v>
      </c>
      <c r="CX629" t="s">
        <v>15156</v>
      </c>
      <c r="CY629" t="s">
        <v>138</v>
      </c>
      <c r="CZ629" t="s">
        <v>139</v>
      </c>
      <c r="DA629" t="s">
        <v>134</v>
      </c>
      <c r="DB629" t="s">
        <v>134</v>
      </c>
      <c r="DC629" t="s">
        <v>114</v>
      </c>
      <c r="DD629" t="s">
        <v>134</v>
      </c>
    </row>
    <row r="630" spans="1:108" ht="15" customHeight="1" x14ac:dyDescent="0.25">
      <c r="A630" t="s">
        <v>8580</v>
      </c>
      <c r="B630" t="s">
        <v>165</v>
      </c>
      <c r="C630" s="1">
        <v>44840.803668055552</v>
      </c>
      <c r="D630" s="1">
        <v>44894</v>
      </c>
      <c r="E630" t="s">
        <v>114</v>
      </c>
      <c r="F630" t="s">
        <v>416</v>
      </c>
      <c r="G630" t="str">
        <f>"37-2011.00"</f>
        <v>37-2011.00</v>
      </c>
      <c r="H630" t="s">
        <v>672</v>
      </c>
      <c r="I630">
        <v>15</v>
      </c>
      <c r="J630">
        <v>15</v>
      </c>
      <c r="K630" s="1">
        <v>44915</v>
      </c>
      <c r="L630" s="1">
        <v>45046</v>
      </c>
      <c r="M630" s="1">
        <v>44915</v>
      </c>
      <c r="N630" s="1">
        <v>45046</v>
      </c>
      <c r="O630" t="s">
        <v>199</v>
      </c>
      <c r="P630" t="s">
        <v>8581</v>
      </c>
      <c r="R630" t="s">
        <v>8582</v>
      </c>
      <c r="T630" t="s">
        <v>3477</v>
      </c>
      <c r="U630" t="s">
        <v>181</v>
      </c>
      <c r="V630" s="4" t="str">
        <f>"81637"</f>
        <v>81637</v>
      </c>
      <c r="W630" t="s">
        <v>120</v>
      </c>
      <c r="Y630" s="5">
        <v>19705245010</v>
      </c>
      <c r="AA630">
        <v>561730</v>
      </c>
      <c r="AB630" t="s">
        <v>4395</v>
      </c>
      <c r="AC630" t="s">
        <v>8583</v>
      </c>
      <c r="AE630" t="s">
        <v>977</v>
      </c>
      <c r="AF630" t="s">
        <v>8582</v>
      </c>
      <c r="AH630" t="s">
        <v>3477</v>
      </c>
      <c r="AI630" t="s">
        <v>181</v>
      </c>
      <c r="AJ630" s="4" t="str">
        <f>"81637"</f>
        <v>81637</v>
      </c>
      <c r="AK630" t="s">
        <v>120</v>
      </c>
      <c r="AM630" s="5">
        <v>19705245010</v>
      </c>
      <c r="AO630" t="s">
        <v>8584</v>
      </c>
      <c r="AP630" t="s">
        <v>122</v>
      </c>
      <c r="AQ630" t="s">
        <v>8585</v>
      </c>
      <c r="AR630" t="s">
        <v>1614</v>
      </c>
      <c r="AT630" t="s">
        <v>8586</v>
      </c>
      <c r="AV630" t="s">
        <v>4534</v>
      </c>
      <c r="AW630" t="s">
        <v>181</v>
      </c>
      <c r="AX630" s="4" t="str">
        <f>"81620"</f>
        <v>81620</v>
      </c>
      <c r="AY630" t="s">
        <v>120</v>
      </c>
      <c r="BA630" s="5">
        <v>19708457474</v>
      </c>
      <c r="BC630" t="s">
        <v>8587</v>
      </c>
      <c r="BD630" t="s">
        <v>8588</v>
      </c>
      <c r="BE630" t="s">
        <v>181</v>
      </c>
      <c r="BF630" t="s">
        <v>1134</v>
      </c>
      <c r="BG630" t="s">
        <v>181</v>
      </c>
      <c r="BH630" s="1">
        <v>44839.833333333336</v>
      </c>
      <c r="BI630">
        <v>35</v>
      </c>
      <c r="BJ630">
        <v>0</v>
      </c>
      <c r="BK630">
        <v>7</v>
      </c>
      <c r="BL630">
        <v>7</v>
      </c>
      <c r="BM630">
        <v>7</v>
      </c>
      <c r="BN630">
        <v>7</v>
      </c>
      <c r="BO630">
        <v>7</v>
      </c>
      <c r="BP630">
        <v>0</v>
      </c>
      <c r="BQ630" t="str">
        <f>"8:00 AM"</f>
        <v>8:00 AM</v>
      </c>
      <c r="BR630" t="str">
        <f>"4:00 PM"</f>
        <v>4:00 PM</v>
      </c>
      <c r="BS630" t="s">
        <v>133</v>
      </c>
      <c r="BT630">
        <v>0</v>
      </c>
      <c r="BU630">
        <v>0</v>
      </c>
      <c r="BV630" t="s">
        <v>134</v>
      </c>
      <c r="BX630" t="s">
        <v>133</v>
      </c>
      <c r="BY630" t="s">
        <v>8582</v>
      </c>
      <c r="CA630" t="s">
        <v>3477</v>
      </c>
      <c r="CB630" t="s">
        <v>181</v>
      </c>
      <c r="CC630" s="4" t="str">
        <f>"81620"</f>
        <v>81620</v>
      </c>
      <c r="CD630" t="s">
        <v>3483</v>
      </c>
      <c r="CE630" t="s">
        <v>1570</v>
      </c>
      <c r="CF630" s="6">
        <v>16.829999999999998</v>
      </c>
      <c r="CG630" s="6">
        <v>21</v>
      </c>
      <c r="CH630" s="6">
        <v>25.25</v>
      </c>
      <c r="CI630" s="6">
        <v>31.5</v>
      </c>
      <c r="CJ630" t="s">
        <v>137</v>
      </c>
      <c r="CL630" t="s">
        <v>8589</v>
      </c>
      <c r="CO630" t="s">
        <v>138</v>
      </c>
      <c r="CP630" t="s">
        <v>114</v>
      </c>
      <c r="CQ630" t="s">
        <v>114</v>
      </c>
      <c r="CR630" t="s">
        <v>114</v>
      </c>
      <c r="CS630" t="s">
        <v>114</v>
      </c>
      <c r="CT630" t="s">
        <v>114</v>
      </c>
      <c r="CU630" t="s">
        <v>114</v>
      </c>
      <c r="CV630" t="s">
        <v>8590</v>
      </c>
      <c r="CW630" s="5" t="str">
        <f>"+19705245010"</f>
        <v>+19705245010</v>
      </c>
      <c r="CX630" t="s">
        <v>8591</v>
      </c>
      <c r="CY630" t="s">
        <v>138</v>
      </c>
      <c r="CZ630" t="s">
        <v>139</v>
      </c>
      <c r="DA630" t="s">
        <v>134</v>
      </c>
      <c r="DB630" t="s">
        <v>134</v>
      </c>
      <c r="DC630" t="s">
        <v>114</v>
      </c>
      <c r="DD630" t="s">
        <v>134</v>
      </c>
    </row>
    <row r="631" spans="1:108" ht="15" customHeight="1" x14ac:dyDescent="0.25">
      <c r="A631" t="s">
        <v>15131</v>
      </c>
      <c r="B631" t="s">
        <v>165</v>
      </c>
      <c r="C631" s="1">
        <v>44836.812666782411</v>
      </c>
      <c r="D631" s="1">
        <v>44894</v>
      </c>
      <c r="E631" t="s">
        <v>134</v>
      </c>
      <c r="F631" t="s">
        <v>10542</v>
      </c>
      <c r="G631" t="str">
        <f>"51-3022.00"</f>
        <v>51-3022.00</v>
      </c>
      <c r="H631" t="s">
        <v>817</v>
      </c>
      <c r="I631">
        <v>60</v>
      </c>
      <c r="J631">
        <v>60</v>
      </c>
      <c r="K631" s="1">
        <v>44911</v>
      </c>
      <c r="L631" s="1">
        <v>45214</v>
      </c>
      <c r="M631" s="1">
        <v>44911</v>
      </c>
      <c r="N631" s="1">
        <v>45214</v>
      </c>
      <c r="O631" t="s">
        <v>117</v>
      </c>
      <c r="P631" t="s">
        <v>15132</v>
      </c>
      <c r="Q631" t="s">
        <v>15133</v>
      </c>
      <c r="R631" t="s">
        <v>15134</v>
      </c>
      <c r="T631" t="s">
        <v>10103</v>
      </c>
      <c r="U631" t="s">
        <v>129</v>
      </c>
      <c r="V631" s="4" t="str">
        <f>"30043"</f>
        <v>30043</v>
      </c>
      <c r="W631" t="s">
        <v>120</v>
      </c>
      <c r="Y631" s="5">
        <v>14048790970</v>
      </c>
      <c r="AA631">
        <v>333241</v>
      </c>
      <c r="AB631" t="s">
        <v>15135</v>
      </c>
      <c r="AC631" t="s">
        <v>15136</v>
      </c>
      <c r="AE631" t="s">
        <v>1710</v>
      </c>
      <c r="AF631" t="s">
        <v>15134</v>
      </c>
      <c r="AH631" t="s">
        <v>10103</v>
      </c>
      <c r="AI631" t="s">
        <v>129</v>
      </c>
      <c r="AJ631" s="4" t="str">
        <f>"30043"</f>
        <v>30043</v>
      </c>
      <c r="AK631" t="s">
        <v>120</v>
      </c>
      <c r="AM631" s="5">
        <v>14048790970</v>
      </c>
      <c r="AO631" t="s">
        <v>15137</v>
      </c>
      <c r="AX631" s="4" t="str">
        <f>""</f>
        <v/>
      </c>
      <c r="BG631" t="s">
        <v>129</v>
      </c>
      <c r="BH631" s="1">
        <v>44835.833333333336</v>
      </c>
      <c r="BI631">
        <v>56</v>
      </c>
      <c r="BJ631">
        <v>8</v>
      </c>
      <c r="BK631">
        <v>8</v>
      </c>
      <c r="BL631">
        <v>8</v>
      </c>
      <c r="BM631">
        <v>8</v>
      </c>
      <c r="BN631">
        <v>8</v>
      </c>
      <c r="BO631">
        <v>8</v>
      </c>
      <c r="BP631">
        <v>8</v>
      </c>
      <c r="BQ631" t="str">
        <f>"4:00 PM"</f>
        <v>4:00 PM</v>
      </c>
      <c r="BR631" t="str">
        <f>"12:00 AM"</f>
        <v>12:00 AM</v>
      </c>
      <c r="BS631" t="s">
        <v>133</v>
      </c>
      <c r="BT631">
        <v>0</v>
      </c>
      <c r="BU631">
        <v>0</v>
      </c>
      <c r="BV631" t="s">
        <v>134</v>
      </c>
      <c r="BX631" t="s">
        <v>15138</v>
      </c>
      <c r="BY631" t="s">
        <v>15139</v>
      </c>
      <c r="CA631" t="s">
        <v>15140</v>
      </c>
      <c r="CB631" t="s">
        <v>129</v>
      </c>
      <c r="CC631" s="4" t="str">
        <f>"30517"</f>
        <v>30517</v>
      </c>
      <c r="CD631" t="s">
        <v>1116</v>
      </c>
      <c r="CE631" t="s">
        <v>4108</v>
      </c>
      <c r="CF631" s="6">
        <v>13.24</v>
      </c>
      <c r="CG631" s="6">
        <v>13.24</v>
      </c>
      <c r="CH631" s="6">
        <v>19.86</v>
      </c>
      <c r="CI631" s="6">
        <v>19.86</v>
      </c>
      <c r="CJ631" t="s">
        <v>137</v>
      </c>
      <c r="CK631" t="s">
        <v>15141</v>
      </c>
      <c r="CL631" t="s">
        <v>15142</v>
      </c>
      <c r="CO631" t="s">
        <v>138</v>
      </c>
      <c r="CP631" t="s">
        <v>134</v>
      </c>
      <c r="CQ631" t="s">
        <v>134</v>
      </c>
      <c r="CR631" t="s">
        <v>114</v>
      </c>
      <c r="CS631" t="s">
        <v>134</v>
      </c>
      <c r="CT631" t="s">
        <v>114</v>
      </c>
      <c r="CU631" t="s">
        <v>134</v>
      </c>
      <c r="CV631" t="s">
        <v>10551</v>
      </c>
      <c r="CW631" s="5" t="str">
        <f>"N/A"</f>
        <v>N/A</v>
      </c>
      <c r="CX631" t="s">
        <v>15137</v>
      </c>
      <c r="CY631" t="s">
        <v>6440</v>
      </c>
      <c r="CZ631" t="s">
        <v>139</v>
      </c>
      <c r="DA631" t="s">
        <v>134</v>
      </c>
      <c r="DB631" t="s">
        <v>134</v>
      </c>
      <c r="DC631" t="s">
        <v>114</v>
      </c>
      <c r="DD631" t="s">
        <v>134</v>
      </c>
    </row>
    <row r="632" spans="1:108" ht="15" customHeight="1" x14ac:dyDescent="0.25">
      <c r="A632" t="s">
        <v>14412</v>
      </c>
      <c r="B632" t="s">
        <v>165</v>
      </c>
      <c r="C632" s="1">
        <v>44868.615328356478</v>
      </c>
      <c r="D632" s="1">
        <v>44893</v>
      </c>
      <c r="E632" t="s">
        <v>134</v>
      </c>
      <c r="F632" t="s">
        <v>116</v>
      </c>
      <c r="G632" t="str">
        <f>"37-2012.00"</f>
        <v>37-2012.00</v>
      </c>
      <c r="H632" t="s">
        <v>116</v>
      </c>
      <c r="I632">
        <v>8</v>
      </c>
      <c r="J632">
        <v>8</v>
      </c>
      <c r="K632" s="1">
        <v>44958</v>
      </c>
      <c r="L632" s="1">
        <v>45260</v>
      </c>
      <c r="M632" s="1">
        <v>44958</v>
      </c>
      <c r="N632" s="1">
        <v>45260</v>
      </c>
      <c r="O632" t="s">
        <v>117</v>
      </c>
      <c r="P632" t="s">
        <v>14413</v>
      </c>
      <c r="Q632" t="s">
        <v>7867</v>
      </c>
      <c r="R632" t="s">
        <v>14414</v>
      </c>
      <c r="S632" t="s">
        <v>10234</v>
      </c>
      <c r="T632" t="s">
        <v>2255</v>
      </c>
      <c r="U632" t="s">
        <v>1750</v>
      </c>
      <c r="V632" s="4" t="str">
        <f>"67801"</f>
        <v>67801</v>
      </c>
      <c r="W632" t="s">
        <v>120</v>
      </c>
      <c r="Y632" s="5">
        <v>13084405810</v>
      </c>
      <c r="AA632">
        <v>721110</v>
      </c>
      <c r="AB632" t="s">
        <v>10233</v>
      </c>
      <c r="AC632" t="s">
        <v>5235</v>
      </c>
      <c r="AE632" t="s">
        <v>1526</v>
      </c>
      <c r="AF632" t="s">
        <v>14414</v>
      </c>
      <c r="AG632" t="s">
        <v>10234</v>
      </c>
      <c r="AH632" t="s">
        <v>2255</v>
      </c>
      <c r="AI632" t="s">
        <v>1750</v>
      </c>
      <c r="AJ632" s="4" t="str">
        <f>"68701"</f>
        <v>68701</v>
      </c>
      <c r="AK632" t="s">
        <v>120</v>
      </c>
      <c r="AM632" s="5">
        <v>13084405810</v>
      </c>
      <c r="AO632" t="s">
        <v>1574</v>
      </c>
      <c r="AP632" t="s">
        <v>256</v>
      </c>
      <c r="AQ632" t="s">
        <v>2145</v>
      </c>
      <c r="AR632" t="s">
        <v>1965</v>
      </c>
      <c r="AT632" t="s">
        <v>14415</v>
      </c>
      <c r="AV632" t="s">
        <v>1945</v>
      </c>
      <c r="AW632" t="s">
        <v>631</v>
      </c>
      <c r="AX632" s="4" t="str">
        <f>"74132"</f>
        <v>74132</v>
      </c>
      <c r="AY632" t="s">
        <v>120</v>
      </c>
      <c r="AZ632" t="s">
        <v>5588</v>
      </c>
      <c r="BA632" s="5">
        <v>19189065212</v>
      </c>
      <c r="BC632" t="s">
        <v>5589</v>
      </c>
      <c r="BD632" t="s">
        <v>1947</v>
      </c>
      <c r="BG632" t="s">
        <v>1750</v>
      </c>
      <c r="BH632" s="1">
        <v>44867.833333333336</v>
      </c>
      <c r="BI632">
        <v>40</v>
      </c>
      <c r="BJ632">
        <v>0</v>
      </c>
      <c r="BK632">
        <v>8</v>
      </c>
      <c r="BL632">
        <v>8</v>
      </c>
      <c r="BM632">
        <v>8</v>
      </c>
      <c r="BN632">
        <v>8</v>
      </c>
      <c r="BO632">
        <v>8</v>
      </c>
      <c r="BP632">
        <v>0</v>
      </c>
      <c r="BQ632" t="str">
        <f>"9:00 AM"</f>
        <v>9:00 AM</v>
      </c>
      <c r="BR632" t="str">
        <f t="shared" ref="BR632:BR638" si="46">"5:00 PM"</f>
        <v>5:00 PM</v>
      </c>
      <c r="BS632" t="s">
        <v>133</v>
      </c>
      <c r="BT632">
        <v>0</v>
      </c>
      <c r="BU632">
        <v>0</v>
      </c>
      <c r="BV632" t="s">
        <v>134</v>
      </c>
      <c r="BX632" s="2" t="s">
        <v>14416</v>
      </c>
      <c r="BY632" t="s">
        <v>14417</v>
      </c>
      <c r="CA632" t="s">
        <v>2255</v>
      </c>
      <c r="CB632" t="s">
        <v>1750</v>
      </c>
      <c r="CC632" s="4" t="str">
        <f>"68701"</f>
        <v>68701</v>
      </c>
      <c r="CD632" t="s">
        <v>2258</v>
      </c>
      <c r="CE632" t="s">
        <v>2259</v>
      </c>
      <c r="CF632" s="6">
        <v>13.21</v>
      </c>
      <c r="CG632" s="6">
        <v>13.21</v>
      </c>
      <c r="CH632" s="6">
        <v>19.82</v>
      </c>
      <c r="CI632" s="6">
        <v>19.82</v>
      </c>
      <c r="CJ632" t="s">
        <v>137</v>
      </c>
      <c r="CK632" t="s">
        <v>14418</v>
      </c>
      <c r="CL632" t="s">
        <v>14419</v>
      </c>
      <c r="CO632" t="s">
        <v>138</v>
      </c>
      <c r="CP632" t="s">
        <v>134</v>
      </c>
      <c r="CQ632" t="s">
        <v>134</v>
      </c>
      <c r="CR632" t="s">
        <v>114</v>
      </c>
      <c r="CS632" t="s">
        <v>114</v>
      </c>
      <c r="CT632" t="s">
        <v>114</v>
      </c>
      <c r="CU632" t="s">
        <v>114</v>
      </c>
      <c r="CV632" s="2" t="s">
        <v>14420</v>
      </c>
      <c r="CW632" s="5" t="str">
        <f>"+13084405810"</f>
        <v>+13084405810</v>
      </c>
      <c r="CX632" t="s">
        <v>138</v>
      </c>
      <c r="CY632" t="s">
        <v>8131</v>
      </c>
      <c r="CZ632" t="s">
        <v>139</v>
      </c>
      <c r="DA632" t="s">
        <v>134</v>
      </c>
      <c r="DB632" t="s">
        <v>114</v>
      </c>
      <c r="DC632" t="s">
        <v>114</v>
      </c>
      <c r="DD632" t="s">
        <v>134</v>
      </c>
    </row>
    <row r="633" spans="1:108" ht="15" customHeight="1" x14ac:dyDescent="0.25">
      <c r="A633" t="s">
        <v>15192</v>
      </c>
      <c r="B633" t="s">
        <v>165</v>
      </c>
      <c r="C633" s="1">
        <v>44868.432491087966</v>
      </c>
      <c r="D633" s="1">
        <v>44893</v>
      </c>
      <c r="E633" t="s">
        <v>134</v>
      </c>
      <c r="F633" t="s">
        <v>334</v>
      </c>
      <c r="G633" t="str">
        <f t="shared" ref="G633:G639" si="47">"37-3011.00"</f>
        <v>37-3011.00</v>
      </c>
      <c r="H633" t="s">
        <v>335</v>
      </c>
      <c r="I633">
        <v>21</v>
      </c>
      <c r="J633">
        <v>21</v>
      </c>
      <c r="K633" s="1">
        <v>44958</v>
      </c>
      <c r="L633" s="1">
        <v>45231</v>
      </c>
      <c r="M633" s="1">
        <v>44958</v>
      </c>
      <c r="N633" s="1">
        <v>45231</v>
      </c>
      <c r="O633" t="s">
        <v>199</v>
      </c>
      <c r="P633" t="s">
        <v>15193</v>
      </c>
      <c r="R633" t="s">
        <v>15194</v>
      </c>
      <c r="T633" t="s">
        <v>7202</v>
      </c>
      <c r="U633" t="s">
        <v>697</v>
      </c>
      <c r="V633" s="4" t="str">
        <f>"63021"</f>
        <v>63021</v>
      </c>
      <c r="W633" t="s">
        <v>120</v>
      </c>
      <c r="Y633" s="5">
        <v>16368876155</v>
      </c>
      <c r="AA633">
        <v>56173</v>
      </c>
      <c r="AB633" t="s">
        <v>15195</v>
      </c>
      <c r="AC633" t="s">
        <v>15196</v>
      </c>
      <c r="AE633" t="s">
        <v>2623</v>
      </c>
      <c r="AF633" t="s">
        <v>15197</v>
      </c>
      <c r="AH633" t="s">
        <v>7202</v>
      </c>
      <c r="AI633" t="s">
        <v>697</v>
      </c>
      <c r="AJ633" s="4" t="str">
        <f>"63021"</f>
        <v>63021</v>
      </c>
      <c r="AK633" t="s">
        <v>120</v>
      </c>
      <c r="AM633" s="5">
        <v>16368876155</v>
      </c>
      <c r="AO633" t="s">
        <v>15198</v>
      </c>
      <c r="AP633" t="s">
        <v>256</v>
      </c>
      <c r="AQ633" t="s">
        <v>885</v>
      </c>
      <c r="AR633" t="s">
        <v>886</v>
      </c>
      <c r="AT633" t="s">
        <v>887</v>
      </c>
      <c r="AV633" t="s">
        <v>888</v>
      </c>
      <c r="AW633" t="s">
        <v>232</v>
      </c>
      <c r="AX633" s="4" t="str">
        <f>"75098"</f>
        <v>75098</v>
      </c>
      <c r="AY633" t="s">
        <v>120</v>
      </c>
      <c r="BA633" s="5">
        <v>19724424244</v>
      </c>
      <c r="BC633" t="s">
        <v>889</v>
      </c>
      <c r="BD633" t="s">
        <v>1264</v>
      </c>
      <c r="BG633" t="s">
        <v>697</v>
      </c>
      <c r="BH633" s="1">
        <v>44867.833333333336</v>
      </c>
      <c r="BI633">
        <v>40</v>
      </c>
      <c r="BJ633">
        <v>0</v>
      </c>
      <c r="BK633">
        <v>8</v>
      </c>
      <c r="BL633">
        <v>8</v>
      </c>
      <c r="BM633">
        <v>8</v>
      </c>
      <c r="BN633">
        <v>8</v>
      </c>
      <c r="BO633">
        <v>8</v>
      </c>
      <c r="BP633">
        <v>0</v>
      </c>
      <c r="BQ633" t="str">
        <f>"7:00 AM"</f>
        <v>7:00 AM</v>
      </c>
      <c r="BR633" t="str">
        <f t="shared" si="46"/>
        <v>5:00 PM</v>
      </c>
      <c r="BS633" t="s">
        <v>133</v>
      </c>
      <c r="BT633">
        <v>0</v>
      </c>
      <c r="BU633">
        <v>0</v>
      </c>
      <c r="BV633" t="s">
        <v>134</v>
      </c>
      <c r="BX633" t="s">
        <v>219</v>
      </c>
      <c r="BY633" t="s">
        <v>15194</v>
      </c>
      <c r="CA633" t="s">
        <v>7202</v>
      </c>
      <c r="CB633" t="s">
        <v>697</v>
      </c>
      <c r="CC633" s="4" t="str">
        <f>"63021"</f>
        <v>63021</v>
      </c>
      <c r="CD633" t="s">
        <v>712</v>
      </c>
      <c r="CE633" t="s">
        <v>713</v>
      </c>
      <c r="CF633" s="6">
        <v>16.96</v>
      </c>
      <c r="CG633" s="6">
        <v>18</v>
      </c>
      <c r="CH633" s="6">
        <v>25.44</v>
      </c>
      <c r="CI633" s="6">
        <v>26.48</v>
      </c>
      <c r="CJ633" t="s">
        <v>137</v>
      </c>
      <c r="CL633" t="s">
        <v>15199</v>
      </c>
      <c r="CO633" t="s">
        <v>138</v>
      </c>
      <c r="CP633" t="s">
        <v>114</v>
      </c>
      <c r="CQ633" t="s">
        <v>114</v>
      </c>
      <c r="CR633" t="s">
        <v>114</v>
      </c>
      <c r="CS633" t="s">
        <v>114</v>
      </c>
      <c r="CT633" t="s">
        <v>114</v>
      </c>
      <c r="CU633" t="s">
        <v>114</v>
      </c>
      <c r="CV633" t="s">
        <v>219</v>
      </c>
      <c r="CW633" s="5" t="str">
        <f>"+16368876155"</f>
        <v>+16368876155</v>
      </c>
      <c r="CX633" t="s">
        <v>138</v>
      </c>
      <c r="CY633" t="s">
        <v>2040</v>
      </c>
      <c r="CZ633" t="s">
        <v>139</v>
      </c>
      <c r="DA633" t="s">
        <v>134</v>
      </c>
      <c r="DB633" t="s">
        <v>134</v>
      </c>
      <c r="DC633" t="s">
        <v>114</v>
      </c>
      <c r="DD633" t="s">
        <v>134</v>
      </c>
    </row>
    <row r="634" spans="1:108" ht="15" customHeight="1" x14ac:dyDescent="0.25">
      <c r="A634" t="s">
        <v>7456</v>
      </c>
      <c r="B634" t="s">
        <v>165</v>
      </c>
      <c r="C634" s="1">
        <v>44868.056095486114</v>
      </c>
      <c r="D634" s="1">
        <v>44893</v>
      </c>
      <c r="E634" t="s">
        <v>134</v>
      </c>
      <c r="F634" t="s">
        <v>334</v>
      </c>
      <c r="G634" t="str">
        <f t="shared" si="47"/>
        <v>37-3011.00</v>
      </c>
      <c r="H634" t="s">
        <v>335</v>
      </c>
      <c r="I634">
        <v>12</v>
      </c>
      <c r="J634">
        <v>12</v>
      </c>
      <c r="K634" s="1">
        <v>44958</v>
      </c>
      <c r="L634" s="1">
        <v>45260</v>
      </c>
      <c r="M634" s="1">
        <v>44958</v>
      </c>
      <c r="N634" s="1">
        <v>45260</v>
      </c>
      <c r="O634" t="s">
        <v>117</v>
      </c>
      <c r="P634" t="s">
        <v>7457</v>
      </c>
      <c r="Q634" t="s">
        <v>4888</v>
      </c>
      <c r="R634" t="s">
        <v>7458</v>
      </c>
      <c r="T634" t="s">
        <v>7459</v>
      </c>
      <c r="U634" t="s">
        <v>232</v>
      </c>
      <c r="V634" s="4" t="str">
        <f>"79407"</f>
        <v>79407</v>
      </c>
      <c r="W634" t="s">
        <v>120</v>
      </c>
      <c r="Y634" s="5">
        <v>18066080660</v>
      </c>
      <c r="AA634">
        <v>56173</v>
      </c>
      <c r="AB634" t="s">
        <v>4890</v>
      </c>
      <c r="AC634" t="s">
        <v>4891</v>
      </c>
      <c r="AE634" t="s">
        <v>1407</v>
      </c>
      <c r="AF634" t="s">
        <v>7458</v>
      </c>
      <c r="AH634" t="s">
        <v>7459</v>
      </c>
      <c r="AI634" t="s">
        <v>232</v>
      </c>
      <c r="AJ634" s="4" t="str">
        <f>"79407"</f>
        <v>79407</v>
      </c>
      <c r="AK634" t="s">
        <v>120</v>
      </c>
      <c r="AM634" s="5">
        <v>18066080660</v>
      </c>
      <c r="AO634" t="s">
        <v>4892</v>
      </c>
      <c r="AP634" t="s">
        <v>256</v>
      </c>
      <c r="AQ634" t="s">
        <v>344</v>
      </c>
      <c r="AR634" t="s">
        <v>345</v>
      </c>
      <c r="AT634" t="s">
        <v>346</v>
      </c>
      <c r="AU634" t="s">
        <v>347</v>
      </c>
      <c r="AV634" t="s">
        <v>348</v>
      </c>
      <c r="AW634" t="s">
        <v>349</v>
      </c>
      <c r="AX634" s="4" t="str">
        <f>"83814"</f>
        <v>83814</v>
      </c>
      <c r="AY634" t="s">
        <v>120</v>
      </c>
      <c r="BA634" s="5">
        <v>12087772654</v>
      </c>
      <c r="BC634" t="s">
        <v>350</v>
      </c>
      <c r="BD634" t="s">
        <v>351</v>
      </c>
      <c r="BG634" t="s">
        <v>232</v>
      </c>
      <c r="BH634" s="1">
        <v>44853.833333333336</v>
      </c>
      <c r="BI634">
        <v>40</v>
      </c>
      <c r="BJ634">
        <v>0</v>
      </c>
      <c r="BK634">
        <v>8</v>
      </c>
      <c r="BL634">
        <v>8</v>
      </c>
      <c r="BM634">
        <v>8</v>
      </c>
      <c r="BN634">
        <v>8</v>
      </c>
      <c r="BO634">
        <v>8</v>
      </c>
      <c r="BP634">
        <v>0</v>
      </c>
      <c r="BQ634" t="str">
        <f>"8:00 AM"</f>
        <v>8:00 AM</v>
      </c>
      <c r="BR634" t="str">
        <f t="shared" si="46"/>
        <v>5:00 PM</v>
      </c>
      <c r="BS634" t="s">
        <v>133</v>
      </c>
      <c r="BT634">
        <v>0</v>
      </c>
      <c r="BU634">
        <v>0</v>
      </c>
      <c r="BV634" t="s">
        <v>134</v>
      </c>
      <c r="BX634" s="2" t="s">
        <v>1836</v>
      </c>
      <c r="BY634" t="s">
        <v>7460</v>
      </c>
      <c r="CA634" t="s">
        <v>7459</v>
      </c>
      <c r="CB634" t="s">
        <v>232</v>
      </c>
      <c r="CC634" s="4" t="str">
        <f>"79407"</f>
        <v>79407</v>
      </c>
      <c r="CD634" t="s">
        <v>7461</v>
      </c>
      <c r="CE634" t="s">
        <v>7462</v>
      </c>
      <c r="CF634" s="6">
        <v>14.74</v>
      </c>
      <c r="CG634" s="6">
        <v>15.64</v>
      </c>
      <c r="CH634" s="6">
        <v>22.11</v>
      </c>
      <c r="CI634" s="6">
        <v>23.46</v>
      </c>
      <c r="CJ634" t="s">
        <v>137</v>
      </c>
      <c r="CK634" t="s">
        <v>356</v>
      </c>
      <c r="CL634" t="s">
        <v>7463</v>
      </c>
      <c r="CO634" t="s">
        <v>138</v>
      </c>
      <c r="CP634" t="s">
        <v>114</v>
      </c>
      <c r="CQ634" t="s">
        <v>114</v>
      </c>
      <c r="CR634" t="s">
        <v>114</v>
      </c>
      <c r="CS634" t="s">
        <v>114</v>
      </c>
      <c r="CT634" t="s">
        <v>114</v>
      </c>
      <c r="CU634" t="s">
        <v>114</v>
      </c>
      <c r="CV634" s="2" t="s">
        <v>7464</v>
      </c>
      <c r="CW634" s="5" t="str">
        <f>"+19727071589"</f>
        <v>+19727071589</v>
      </c>
      <c r="CX634" t="s">
        <v>7465</v>
      </c>
      <c r="CY634" t="s">
        <v>138</v>
      </c>
      <c r="CZ634" t="s">
        <v>139</v>
      </c>
      <c r="DA634" t="s">
        <v>134</v>
      </c>
      <c r="DB634" t="s">
        <v>134</v>
      </c>
      <c r="DC634" t="s">
        <v>114</v>
      </c>
      <c r="DD634" t="s">
        <v>134</v>
      </c>
    </row>
    <row r="635" spans="1:108" ht="15" customHeight="1" x14ac:dyDescent="0.25">
      <c r="A635" t="s">
        <v>14434</v>
      </c>
      <c r="B635" t="s">
        <v>165</v>
      </c>
      <c r="C635" s="1">
        <v>44868.04532326389</v>
      </c>
      <c r="D635" s="1">
        <v>44893</v>
      </c>
      <c r="E635" t="s">
        <v>134</v>
      </c>
      <c r="F635" t="s">
        <v>334</v>
      </c>
      <c r="G635" t="str">
        <f t="shared" si="47"/>
        <v>37-3011.00</v>
      </c>
      <c r="H635" t="s">
        <v>335</v>
      </c>
      <c r="I635">
        <v>51</v>
      </c>
      <c r="J635">
        <v>51</v>
      </c>
      <c r="K635" s="1">
        <v>44958</v>
      </c>
      <c r="L635" s="1">
        <v>45260</v>
      </c>
      <c r="M635" s="1">
        <v>44958</v>
      </c>
      <c r="N635" s="1">
        <v>45260</v>
      </c>
      <c r="O635" t="s">
        <v>117</v>
      </c>
      <c r="P635" t="s">
        <v>14435</v>
      </c>
      <c r="Q635" t="s">
        <v>4888</v>
      </c>
      <c r="R635" t="s">
        <v>14436</v>
      </c>
      <c r="T635" t="s">
        <v>2460</v>
      </c>
      <c r="U635" t="s">
        <v>232</v>
      </c>
      <c r="V635" s="4" t="str">
        <f>"75006"</f>
        <v>75006</v>
      </c>
      <c r="W635" t="s">
        <v>120</v>
      </c>
      <c r="Y635" s="5">
        <v>19724186998</v>
      </c>
      <c r="AA635">
        <v>56173</v>
      </c>
      <c r="AB635" t="s">
        <v>4890</v>
      </c>
      <c r="AC635" t="s">
        <v>4891</v>
      </c>
      <c r="AE635" t="s">
        <v>1407</v>
      </c>
      <c r="AF635" t="s">
        <v>14436</v>
      </c>
      <c r="AH635" t="s">
        <v>2460</v>
      </c>
      <c r="AI635" t="s">
        <v>232</v>
      </c>
      <c r="AJ635" s="4" t="str">
        <f>"75006"</f>
        <v>75006</v>
      </c>
      <c r="AK635" t="s">
        <v>120</v>
      </c>
      <c r="AM635" s="5">
        <v>19724186998</v>
      </c>
      <c r="AO635" t="s">
        <v>4892</v>
      </c>
      <c r="AP635" t="s">
        <v>256</v>
      </c>
      <c r="AQ635" t="s">
        <v>344</v>
      </c>
      <c r="AR635" t="s">
        <v>345</v>
      </c>
      <c r="AT635" t="s">
        <v>346</v>
      </c>
      <c r="AU635" t="s">
        <v>347</v>
      </c>
      <c r="AV635" t="s">
        <v>348</v>
      </c>
      <c r="AW635" t="s">
        <v>349</v>
      </c>
      <c r="AX635" s="4" t="str">
        <f>"83814"</f>
        <v>83814</v>
      </c>
      <c r="AY635" t="s">
        <v>120</v>
      </c>
      <c r="BA635" s="5">
        <v>12087772654</v>
      </c>
      <c r="BC635" t="s">
        <v>350</v>
      </c>
      <c r="BD635" t="s">
        <v>351</v>
      </c>
      <c r="BG635" t="s">
        <v>232</v>
      </c>
      <c r="BH635" s="1">
        <v>44853.833333333336</v>
      </c>
      <c r="BI635">
        <v>40</v>
      </c>
      <c r="BJ635">
        <v>0</v>
      </c>
      <c r="BK635">
        <v>8</v>
      </c>
      <c r="BL635">
        <v>8</v>
      </c>
      <c r="BM635">
        <v>8</v>
      </c>
      <c r="BN635">
        <v>8</v>
      </c>
      <c r="BO635">
        <v>8</v>
      </c>
      <c r="BP635">
        <v>0</v>
      </c>
      <c r="BQ635" t="str">
        <f>"8:00 AM"</f>
        <v>8:00 AM</v>
      </c>
      <c r="BR635" t="str">
        <f t="shared" si="46"/>
        <v>5:00 PM</v>
      </c>
      <c r="BS635" t="s">
        <v>133</v>
      </c>
      <c r="BT635">
        <v>0</v>
      </c>
      <c r="BU635">
        <v>0</v>
      </c>
      <c r="BV635" t="s">
        <v>134</v>
      </c>
      <c r="BX635" s="2" t="s">
        <v>1836</v>
      </c>
      <c r="BY635" t="s">
        <v>14437</v>
      </c>
      <c r="CA635" t="s">
        <v>2460</v>
      </c>
      <c r="CB635" t="s">
        <v>232</v>
      </c>
      <c r="CC635" s="4" t="str">
        <f>"75006"</f>
        <v>75006</v>
      </c>
      <c r="CD635" t="s">
        <v>1482</v>
      </c>
      <c r="CE635" t="s">
        <v>1528</v>
      </c>
      <c r="CF635" s="6">
        <v>16.3</v>
      </c>
      <c r="CG635" s="6">
        <v>18</v>
      </c>
      <c r="CH635" s="6">
        <v>24.45</v>
      </c>
      <c r="CI635" s="6">
        <v>27</v>
      </c>
      <c r="CJ635" t="s">
        <v>137</v>
      </c>
      <c r="CK635" t="s">
        <v>356</v>
      </c>
      <c r="CL635" t="s">
        <v>14438</v>
      </c>
      <c r="CO635" t="s">
        <v>138</v>
      </c>
      <c r="CP635" t="s">
        <v>114</v>
      </c>
      <c r="CQ635" t="s">
        <v>114</v>
      </c>
      <c r="CR635" t="s">
        <v>114</v>
      </c>
      <c r="CS635" t="s">
        <v>114</v>
      </c>
      <c r="CT635" t="s">
        <v>114</v>
      </c>
      <c r="CU635" t="s">
        <v>114</v>
      </c>
      <c r="CV635" s="2" t="s">
        <v>14439</v>
      </c>
      <c r="CW635" s="5" t="str">
        <f>"+19727071589"</f>
        <v>+19727071589</v>
      </c>
      <c r="CX635" t="s">
        <v>4896</v>
      </c>
      <c r="CY635" t="s">
        <v>138</v>
      </c>
      <c r="CZ635" t="s">
        <v>139</v>
      </c>
      <c r="DA635" t="s">
        <v>134</v>
      </c>
      <c r="DB635" t="s">
        <v>134</v>
      </c>
      <c r="DC635" t="s">
        <v>114</v>
      </c>
      <c r="DD635" t="s">
        <v>134</v>
      </c>
    </row>
    <row r="636" spans="1:108" ht="15" customHeight="1" x14ac:dyDescent="0.25">
      <c r="A636" t="s">
        <v>13683</v>
      </c>
      <c r="B636" t="s">
        <v>165</v>
      </c>
      <c r="C636" s="1">
        <v>44868.00072974537</v>
      </c>
      <c r="D636" s="1">
        <v>44893</v>
      </c>
      <c r="E636" t="s">
        <v>134</v>
      </c>
      <c r="F636" t="s">
        <v>4070</v>
      </c>
      <c r="G636" t="str">
        <f t="shared" si="47"/>
        <v>37-3011.00</v>
      </c>
      <c r="H636" t="s">
        <v>335</v>
      </c>
      <c r="I636">
        <v>12</v>
      </c>
      <c r="J636">
        <v>12</v>
      </c>
      <c r="K636" s="1">
        <v>44958</v>
      </c>
      <c r="L636" s="1">
        <v>45245</v>
      </c>
      <c r="M636" s="1">
        <v>44958</v>
      </c>
      <c r="N636" s="1">
        <v>45245</v>
      </c>
      <c r="O636" t="s">
        <v>199</v>
      </c>
      <c r="P636" t="s">
        <v>13684</v>
      </c>
      <c r="R636" t="s">
        <v>13685</v>
      </c>
      <c r="T636" t="s">
        <v>4616</v>
      </c>
      <c r="U636" t="s">
        <v>119</v>
      </c>
      <c r="V636" s="4" t="str">
        <f>"28771"</f>
        <v>28771</v>
      </c>
      <c r="W636" t="s">
        <v>120</v>
      </c>
      <c r="Y636" s="5">
        <v>18284798868</v>
      </c>
      <c r="AA636">
        <v>56173</v>
      </c>
      <c r="AB636" t="s">
        <v>4271</v>
      </c>
      <c r="AC636" t="s">
        <v>13686</v>
      </c>
      <c r="AD636" t="s">
        <v>138</v>
      </c>
      <c r="AE636" t="s">
        <v>1710</v>
      </c>
      <c r="AF636" t="s">
        <v>13685</v>
      </c>
      <c r="AH636" t="s">
        <v>4616</v>
      </c>
      <c r="AI636" t="s">
        <v>119</v>
      </c>
      <c r="AJ636" s="4" t="str">
        <f>"28771"</f>
        <v>28771</v>
      </c>
      <c r="AK636" t="s">
        <v>120</v>
      </c>
      <c r="AM636" s="5">
        <v>18284798868</v>
      </c>
      <c r="AO636" t="s">
        <v>13687</v>
      </c>
      <c r="AP636" t="s">
        <v>256</v>
      </c>
      <c r="AQ636" t="s">
        <v>1928</v>
      </c>
      <c r="AR636" t="s">
        <v>1929</v>
      </c>
      <c r="AS636" t="s">
        <v>1685</v>
      </c>
      <c r="AT636" t="s">
        <v>1930</v>
      </c>
      <c r="AU636" t="s">
        <v>1931</v>
      </c>
      <c r="AV636" t="s">
        <v>1932</v>
      </c>
      <c r="AW636" t="s">
        <v>349</v>
      </c>
      <c r="AX636" s="4" t="str">
        <f>"83814"</f>
        <v>83814</v>
      </c>
      <c r="AY636" t="s">
        <v>120</v>
      </c>
      <c r="BA636" s="5">
        <v>12087772654</v>
      </c>
      <c r="BC636" t="s">
        <v>1933</v>
      </c>
      <c r="BD636" t="s">
        <v>351</v>
      </c>
      <c r="BG636" t="s">
        <v>119</v>
      </c>
      <c r="BH636" s="1">
        <v>44844.833333333336</v>
      </c>
      <c r="BI636">
        <v>40</v>
      </c>
      <c r="BJ636">
        <v>0</v>
      </c>
      <c r="BK636">
        <v>8</v>
      </c>
      <c r="BL636">
        <v>8</v>
      </c>
      <c r="BM636">
        <v>8</v>
      </c>
      <c r="BN636">
        <v>8</v>
      </c>
      <c r="BO636">
        <v>8</v>
      </c>
      <c r="BP636">
        <v>0</v>
      </c>
      <c r="BQ636" t="str">
        <f>"7:00 AM"</f>
        <v>7:00 AM</v>
      </c>
      <c r="BR636" t="str">
        <f t="shared" si="46"/>
        <v>5:00 PM</v>
      </c>
      <c r="BS636" t="s">
        <v>133</v>
      </c>
      <c r="BT636">
        <v>0</v>
      </c>
      <c r="BU636">
        <v>0</v>
      </c>
      <c r="BV636" t="s">
        <v>134</v>
      </c>
      <c r="BX636" t="s">
        <v>13688</v>
      </c>
      <c r="BY636" t="s">
        <v>13689</v>
      </c>
      <c r="CA636" t="s">
        <v>4616</v>
      </c>
      <c r="CB636" t="s">
        <v>119</v>
      </c>
      <c r="CC636" s="4" t="str">
        <f>"28771"</f>
        <v>28771</v>
      </c>
      <c r="CD636" t="s">
        <v>4617</v>
      </c>
      <c r="CE636" t="s">
        <v>4043</v>
      </c>
      <c r="CF636" s="6">
        <v>15.93</v>
      </c>
      <c r="CG636" s="6">
        <v>18</v>
      </c>
      <c r="CH636" s="6">
        <v>23.9</v>
      </c>
      <c r="CI636" s="6">
        <v>27</v>
      </c>
      <c r="CJ636" t="s">
        <v>137</v>
      </c>
      <c r="CK636" t="s">
        <v>1894</v>
      </c>
      <c r="CL636" t="s">
        <v>13690</v>
      </c>
      <c r="CO636" t="s">
        <v>138</v>
      </c>
      <c r="CP636" t="s">
        <v>114</v>
      </c>
      <c r="CQ636" t="s">
        <v>114</v>
      </c>
      <c r="CR636" t="s">
        <v>114</v>
      </c>
      <c r="CS636" t="s">
        <v>114</v>
      </c>
      <c r="CT636" t="s">
        <v>114</v>
      </c>
      <c r="CU636" t="s">
        <v>114</v>
      </c>
      <c r="CV636" t="s">
        <v>358</v>
      </c>
      <c r="CW636" s="5" t="str">
        <f>"+18284798868"</f>
        <v>+18284798868</v>
      </c>
      <c r="CX636" t="s">
        <v>13687</v>
      </c>
      <c r="CY636" t="s">
        <v>138</v>
      </c>
      <c r="CZ636" t="s">
        <v>139</v>
      </c>
      <c r="DA636" t="s">
        <v>134</v>
      </c>
      <c r="DB636" t="s">
        <v>114</v>
      </c>
      <c r="DC636" t="s">
        <v>114</v>
      </c>
      <c r="DD636" t="s">
        <v>134</v>
      </c>
    </row>
    <row r="637" spans="1:108" ht="15" customHeight="1" x14ac:dyDescent="0.25">
      <c r="A637" t="s">
        <v>15123</v>
      </c>
      <c r="B637" t="s">
        <v>165</v>
      </c>
      <c r="C637" s="1">
        <v>44866.728818634256</v>
      </c>
      <c r="D637" s="1">
        <v>44893</v>
      </c>
      <c r="E637" t="s">
        <v>134</v>
      </c>
      <c r="F637" t="s">
        <v>1658</v>
      </c>
      <c r="G637" t="str">
        <f t="shared" si="47"/>
        <v>37-3011.00</v>
      </c>
      <c r="H637" t="s">
        <v>335</v>
      </c>
      <c r="I637">
        <v>45</v>
      </c>
      <c r="J637">
        <v>45</v>
      </c>
      <c r="K637" s="1">
        <v>44956</v>
      </c>
      <c r="L637" s="1">
        <v>45245</v>
      </c>
      <c r="M637" s="1">
        <v>44956</v>
      </c>
      <c r="N637" s="1">
        <v>45245</v>
      </c>
      <c r="O637" t="s">
        <v>117</v>
      </c>
      <c r="P637" t="s">
        <v>15124</v>
      </c>
      <c r="Q637" t="s">
        <v>15125</v>
      </c>
      <c r="R637" t="s">
        <v>15126</v>
      </c>
      <c r="T637" t="s">
        <v>239</v>
      </c>
      <c r="U637" t="s">
        <v>129</v>
      </c>
      <c r="V637" s="4" t="str">
        <f>"31820"</f>
        <v>31820</v>
      </c>
      <c r="W637" t="s">
        <v>120</v>
      </c>
      <c r="Y637" s="5">
        <v>17065073152</v>
      </c>
      <c r="AA637">
        <v>56173</v>
      </c>
      <c r="AB637" t="s">
        <v>7920</v>
      </c>
      <c r="AC637" t="s">
        <v>1966</v>
      </c>
      <c r="AD637" t="s">
        <v>138</v>
      </c>
      <c r="AE637" t="s">
        <v>342</v>
      </c>
      <c r="AF637" t="s">
        <v>15126</v>
      </c>
      <c r="AH637" t="s">
        <v>239</v>
      </c>
      <c r="AI637" t="s">
        <v>129</v>
      </c>
      <c r="AJ637" s="4" t="str">
        <f>"31820"</f>
        <v>31820</v>
      </c>
      <c r="AK637" t="s">
        <v>120</v>
      </c>
      <c r="AM637" s="5">
        <v>17065073152</v>
      </c>
      <c r="AO637" t="s">
        <v>15127</v>
      </c>
      <c r="AP637" t="s">
        <v>256</v>
      </c>
      <c r="AQ637" t="s">
        <v>1928</v>
      </c>
      <c r="AR637" t="s">
        <v>1929</v>
      </c>
      <c r="AS637" t="s">
        <v>1685</v>
      </c>
      <c r="AT637" t="s">
        <v>1930</v>
      </c>
      <c r="AU637" t="s">
        <v>1931</v>
      </c>
      <c r="AV637" t="s">
        <v>1932</v>
      </c>
      <c r="AW637" t="s">
        <v>349</v>
      </c>
      <c r="AX637" s="4" t="str">
        <f>"83814"</f>
        <v>83814</v>
      </c>
      <c r="AY637" t="s">
        <v>120</v>
      </c>
      <c r="BA637" s="5">
        <v>12087772654</v>
      </c>
      <c r="BC637" t="s">
        <v>1933</v>
      </c>
      <c r="BD637" t="s">
        <v>351</v>
      </c>
      <c r="BG637" t="s">
        <v>129</v>
      </c>
      <c r="BH637" s="1">
        <v>44864.833333333336</v>
      </c>
      <c r="BI637">
        <v>40</v>
      </c>
      <c r="BJ637">
        <v>0</v>
      </c>
      <c r="BK637">
        <v>8</v>
      </c>
      <c r="BL637">
        <v>8</v>
      </c>
      <c r="BM637">
        <v>8</v>
      </c>
      <c r="BN637">
        <v>8</v>
      </c>
      <c r="BO637">
        <v>8</v>
      </c>
      <c r="BP637">
        <v>0</v>
      </c>
      <c r="BQ637" t="str">
        <f>"7:30 AM"</f>
        <v>7:30 AM</v>
      </c>
      <c r="BR637" t="str">
        <f t="shared" si="46"/>
        <v>5:00 PM</v>
      </c>
      <c r="BS637" t="s">
        <v>133</v>
      </c>
      <c r="BT637">
        <v>0</v>
      </c>
      <c r="BU637">
        <v>0</v>
      </c>
      <c r="BV637" t="s">
        <v>134</v>
      </c>
      <c r="BX637" s="2" t="s">
        <v>1660</v>
      </c>
      <c r="BY637" t="s">
        <v>15128</v>
      </c>
      <c r="CA637" t="s">
        <v>239</v>
      </c>
      <c r="CB637" t="s">
        <v>129</v>
      </c>
      <c r="CC637" s="4" t="str">
        <f>"31820"</f>
        <v>31820</v>
      </c>
      <c r="CD637" t="s">
        <v>4011</v>
      </c>
      <c r="CE637" t="s">
        <v>4012</v>
      </c>
      <c r="CF637" s="6">
        <v>13.88</v>
      </c>
      <c r="CG637" s="6">
        <v>18</v>
      </c>
      <c r="CH637" s="6">
        <v>20.82</v>
      </c>
      <c r="CI637" s="6">
        <v>27</v>
      </c>
      <c r="CJ637" t="s">
        <v>137</v>
      </c>
      <c r="CK637" t="s">
        <v>356</v>
      </c>
      <c r="CL637" t="s">
        <v>15129</v>
      </c>
      <c r="CO637" t="s">
        <v>138</v>
      </c>
      <c r="CP637" t="s">
        <v>114</v>
      </c>
      <c r="CQ637" t="s">
        <v>114</v>
      </c>
      <c r="CR637" t="s">
        <v>114</v>
      </c>
      <c r="CS637" t="s">
        <v>114</v>
      </c>
      <c r="CT637" t="s">
        <v>114</v>
      </c>
      <c r="CU637" t="s">
        <v>134</v>
      </c>
      <c r="CV637" t="s">
        <v>358</v>
      </c>
      <c r="CW637" s="5" t="str">
        <f>"+17065073152"</f>
        <v>+17065073152</v>
      </c>
      <c r="CX637" t="s">
        <v>15130</v>
      </c>
      <c r="CY637" t="s">
        <v>138</v>
      </c>
      <c r="CZ637" t="s">
        <v>139</v>
      </c>
      <c r="DA637" t="s">
        <v>134</v>
      </c>
      <c r="DB637" t="s">
        <v>114</v>
      </c>
      <c r="DC637" t="s">
        <v>114</v>
      </c>
      <c r="DD637" t="s">
        <v>134</v>
      </c>
    </row>
    <row r="638" spans="1:108" ht="15" customHeight="1" x14ac:dyDescent="0.25">
      <c r="A638" t="s">
        <v>6489</v>
      </c>
      <c r="B638" t="s">
        <v>165</v>
      </c>
      <c r="C638" s="1">
        <v>44866.627841203706</v>
      </c>
      <c r="D638" s="1">
        <v>44893</v>
      </c>
      <c r="E638" t="s">
        <v>134</v>
      </c>
      <c r="F638" t="s">
        <v>334</v>
      </c>
      <c r="G638" t="str">
        <f t="shared" si="47"/>
        <v>37-3011.00</v>
      </c>
      <c r="H638" t="s">
        <v>335</v>
      </c>
      <c r="I638">
        <v>15</v>
      </c>
      <c r="J638">
        <v>15</v>
      </c>
      <c r="K638" s="1">
        <v>44941</v>
      </c>
      <c r="L638" s="1">
        <v>45244</v>
      </c>
      <c r="M638" s="1">
        <v>44941</v>
      </c>
      <c r="N638" s="1">
        <v>45244</v>
      </c>
      <c r="O638" t="s">
        <v>117</v>
      </c>
      <c r="P638" t="s">
        <v>6490</v>
      </c>
      <c r="R638" t="s">
        <v>6491</v>
      </c>
      <c r="T638" t="s">
        <v>6492</v>
      </c>
      <c r="U638" t="s">
        <v>319</v>
      </c>
      <c r="V638" s="4" t="str">
        <f>"55357"</f>
        <v>55357</v>
      </c>
      <c r="W638" t="s">
        <v>120</v>
      </c>
      <c r="Y638" s="5">
        <v>17634641123</v>
      </c>
      <c r="AA638">
        <v>56173</v>
      </c>
      <c r="AB638" t="s">
        <v>6493</v>
      </c>
      <c r="AC638" t="s">
        <v>1841</v>
      </c>
      <c r="AE638" t="s">
        <v>424</v>
      </c>
      <c r="AF638" t="s">
        <v>6491</v>
      </c>
      <c r="AH638" t="s">
        <v>6492</v>
      </c>
      <c r="AI638" t="s">
        <v>319</v>
      </c>
      <c r="AJ638" s="4" t="str">
        <f>"55357"</f>
        <v>55357</v>
      </c>
      <c r="AK638" t="s">
        <v>120</v>
      </c>
      <c r="AM638" s="5">
        <v>17634641123</v>
      </c>
      <c r="AO638" t="s">
        <v>1574</v>
      </c>
      <c r="AP638" t="s">
        <v>256</v>
      </c>
      <c r="AQ638" t="s">
        <v>1941</v>
      </c>
      <c r="AR638" t="s">
        <v>1942</v>
      </c>
      <c r="AT638" t="s">
        <v>1943</v>
      </c>
      <c r="AU638" t="s">
        <v>1944</v>
      </c>
      <c r="AV638" t="s">
        <v>1945</v>
      </c>
      <c r="AW638" t="s">
        <v>631</v>
      </c>
      <c r="AX638" s="4" t="str">
        <f>"74136"</f>
        <v>74136</v>
      </c>
      <c r="AY638" t="s">
        <v>120</v>
      </c>
      <c r="BA638" s="5">
        <v>19189065212</v>
      </c>
      <c r="BC638" t="s">
        <v>1946</v>
      </c>
      <c r="BD638" t="s">
        <v>1947</v>
      </c>
      <c r="BG638" t="s">
        <v>319</v>
      </c>
      <c r="BH638" s="1">
        <v>44818.833333333336</v>
      </c>
      <c r="BI638">
        <v>40</v>
      </c>
      <c r="BJ638">
        <v>0</v>
      </c>
      <c r="BK638">
        <v>7</v>
      </c>
      <c r="BL638">
        <v>7</v>
      </c>
      <c r="BM638">
        <v>7</v>
      </c>
      <c r="BN638">
        <v>7</v>
      </c>
      <c r="BO638">
        <v>7</v>
      </c>
      <c r="BP638">
        <v>5</v>
      </c>
      <c r="BQ638" t="str">
        <f>"7:00 AM"</f>
        <v>7:00 AM</v>
      </c>
      <c r="BR638" t="str">
        <f t="shared" si="46"/>
        <v>5:00 PM</v>
      </c>
      <c r="BS638" t="s">
        <v>133</v>
      </c>
      <c r="BT638">
        <v>0</v>
      </c>
      <c r="BU638">
        <v>0</v>
      </c>
      <c r="BV638" t="s">
        <v>134</v>
      </c>
      <c r="BX638" s="2" t="s">
        <v>6494</v>
      </c>
      <c r="BY638" t="s">
        <v>6491</v>
      </c>
      <c r="CA638" t="s">
        <v>6492</v>
      </c>
      <c r="CB638" t="s">
        <v>319</v>
      </c>
      <c r="CC638" s="4" t="str">
        <f>"55357"</f>
        <v>55357</v>
      </c>
      <c r="CD638" t="s">
        <v>1920</v>
      </c>
      <c r="CE638" t="s">
        <v>1443</v>
      </c>
      <c r="CF638" s="6">
        <v>19.14</v>
      </c>
      <c r="CG638" s="6">
        <v>19.14</v>
      </c>
      <c r="CH638" s="6">
        <v>28.71</v>
      </c>
      <c r="CI638" s="6">
        <v>28.71</v>
      </c>
      <c r="CJ638" t="s">
        <v>2625</v>
      </c>
      <c r="CK638" t="s">
        <v>1948</v>
      </c>
      <c r="CL638" t="s">
        <v>6495</v>
      </c>
      <c r="CO638" t="s">
        <v>138</v>
      </c>
      <c r="CP638" t="s">
        <v>114</v>
      </c>
      <c r="CQ638" t="s">
        <v>114</v>
      </c>
      <c r="CR638" t="s">
        <v>114</v>
      </c>
      <c r="CS638" t="s">
        <v>114</v>
      </c>
      <c r="CT638" t="s">
        <v>114</v>
      </c>
      <c r="CU638" t="s">
        <v>114</v>
      </c>
      <c r="CV638" s="2" t="s">
        <v>6496</v>
      </c>
      <c r="CW638" s="5" t="str">
        <f>"+17634641123"</f>
        <v>+17634641123</v>
      </c>
      <c r="CX638" t="s">
        <v>138</v>
      </c>
      <c r="CY638" t="s">
        <v>4200</v>
      </c>
      <c r="CZ638" t="s">
        <v>139</v>
      </c>
      <c r="DA638" t="s">
        <v>134</v>
      </c>
      <c r="DB638" t="s">
        <v>114</v>
      </c>
      <c r="DC638" t="s">
        <v>114</v>
      </c>
      <c r="DD638" t="s">
        <v>134</v>
      </c>
    </row>
    <row r="639" spans="1:108" ht="15" customHeight="1" x14ac:dyDescent="0.25">
      <c r="A639" t="s">
        <v>15176</v>
      </c>
      <c r="B639" t="s">
        <v>165</v>
      </c>
      <c r="C639" s="1">
        <v>44865.387649999997</v>
      </c>
      <c r="D639" s="1">
        <v>44893</v>
      </c>
      <c r="E639" t="s">
        <v>134</v>
      </c>
      <c r="F639" t="s">
        <v>334</v>
      </c>
      <c r="G639" t="str">
        <f t="shared" si="47"/>
        <v>37-3011.00</v>
      </c>
      <c r="H639" t="s">
        <v>335</v>
      </c>
      <c r="I639">
        <v>24</v>
      </c>
      <c r="J639">
        <v>24</v>
      </c>
      <c r="K639" s="1">
        <v>44954</v>
      </c>
      <c r="L639" s="1">
        <v>45257</v>
      </c>
      <c r="M639" s="1">
        <v>44954</v>
      </c>
      <c r="N639" s="1">
        <v>45257</v>
      </c>
      <c r="O639" t="s">
        <v>199</v>
      </c>
      <c r="P639" t="s">
        <v>5072</v>
      </c>
      <c r="Q639" t="s">
        <v>5073</v>
      </c>
      <c r="R639" t="s">
        <v>5074</v>
      </c>
      <c r="T639" t="s">
        <v>5075</v>
      </c>
      <c r="U639" t="s">
        <v>1411</v>
      </c>
      <c r="V639" s="4" t="str">
        <f>"44256"</f>
        <v>44256</v>
      </c>
      <c r="W639" t="s">
        <v>120</v>
      </c>
      <c r="Y639" s="5">
        <v>13303500271</v>
      </c>
      <c r="AA639">
        <v>56173</v>
      </c>
      <c r="AB639" t="s">
        <v>5076</v>
      </c>
      <c r="AC639" t="s">
        <v>1469</v>
      </c>
      <c r="AD639" t="s">
        <v>1905</v>
      </c>
      <c r="AE639" t="s">
        <v>342</v>
      </c>
      <c r="AF639" t="s">
        <v>5074</v>
      </c>
      <c r="AH639" t="s">
        <v>5075</v>
      </c>
      <c r="AI639" t="s">
        <v>1411</v>
      </c>
      <c r="AJ639" s="4" t="str">
        <f>"44256"</f>
        <v>44256</v>
      </c>
      <c r="AK639" t="s">
        <v>120</v>
      </c>
      <c r="AM639" s="5">
        <v>13303500271</v>
      </c>
      <c r="AO639" t="s">
        <v>5079</v>
      </c>
      <c r="AP639" t="s">
        <v>122</v>
      </c>
      <c r="AQ639" t="s">
        <v>1867</v>
      </c>
      <c r="AR639" t="s">
        <v>1868</v>
      </c>
      <c r="AS639" t="s">
        <v>1869</v>
      </c>
      <c r="AT639" t="s">
        <v>1870</v>
      </c>
      <c r="AU639" t="s">
        <v>1871</v>
      </c>
      <c r="AV639" t="s">
        <v>1872</v>
      </c>
      <c r="AW639" t="s">
        <v>1003</v>
      </c>
      <c r="AX639" s="4" t="str">
        <f>"08034"</f>
        <v>08034</v>
      </c>
      <c r="AY639" t="s">
        <v>120</v>
      </c>
      <c r="AZ639" t="s">
        <v>1873</v>
      </c>
      <c r="BA639" s="5">
        <v>18562819750</v>
      </c>
      <c r="BC639" t="s">
        <v>1874</v>
      </c>
      <c r="BD639" t="s">
        <v>1875</v>
      </c>
      <c r="BE639" t="s">
        <v>1003</v>
      </c>
      <c r="BF639" t="s">
        <v>1876</v>
      </c>
      <c r="BG639" t="s">
        <v>1411</v>
      </c>
      <c r="BH639" s="1">
        <v>44859.833333333336</v>
      </c>
      <c r="BI639">
        <v>40</v>
      </c>
      <c r="BJ639">
        <v>0</v>
      </c>
      <c r="BK639">
        <v>8</v>
      </c>
      <c r="BL639">
        <v>8</v>
      </c>
      <c r="BM639">
        <v>8</v>
      </c>
      <c r="BN639">
        <v>8</v>
      </c>
      <c r="BO639">
        <v>8</v>
      </c>
      <c r="BP639">
        <v>0</v>
      </c>
      <c r="BQ639" t="str">
        <f>"7:30 AM"</f>
        <v>7:30 AM</v>
      </c>
      <c r="BR639" t="str">
        <f>"4:00 PM"</f>
        <v>4:00 PM</v>
      </c>
      <c r="BS639" t="s">
        <v>133</v>
      </c>
      <c r="BT639">
        <v>0</v>
      </c>
      <c r="BU639">
        <v>0</v>
      </c>
      <c r="BV639" t="s">
        <v>134</v>
      </c>
      <c r="BX639" s="2" t="s">
        <v>15177</v>
      </c>
      <c r="BY639" t="s">
        <v>5074</v>
      </c>
      <c r="CA639" t="s">
        <v>5075</v>
      </c>
      <c r="CB639" t="s">
        <v>1411</v>
      </c>
      <c r="CC639" s="4" t="str">
        <f>"44256"</f>
        <v>44256</v>
      </c>
      <c r="CD639" t="s">
        <v>2334</v>
      </c>
      <c r="CE639" t="s">
        <v>1464</v>
      </c>
      <c r="CF639" s="6">
        <v>16.71</v>
      </c>
      <c r="CG639" s="6">
        <v>16.71</v>
      </c>
      <c r="CH639" s="6">
        <v>25.07</v>
      </c>
      <c r="CI639" s="6">
        <v>25.07</v>
      </c>
      <c r="CJ639" t="s">
        <v>137</v>
      </c>
      <c r="CK639" t="s">
        <v>2624</v>
      </c>
      <c r="CL639" t="s">
        <v>15178</v>
      </c>
      <c r="CO639" t="s">
        <v>138</v>
      </c>
      <c r="CP639" t="s">
        <v>114</v>
      </c>
      <c r="CQ639" t="s">
        <v>114</v>
      </c>
      <c r="CR639" t="s">
        <v>114</v>
      </c>
      <c r="CS639" t="s">
        <v>114</v>
      </c>
      <c r="CT639" t="s">
        <v>114</v>
      </c>
      <c r="CU639" t="s">
        <v>114</v>
      </c>
      <c r="CV639" t="s">
        <v>15179</v>
      </c>
      <c r="CW639" s="5" t="str">
        <f>"+13303500271"</f>
        <v>+13303500271</v>
      </c>
      <c r="CX639" t="s">
        <v>5079</v>
      </c>
      <c r="CY639" t="s">
        <v>138</v>
      </c>
      <c r="CZ639" t="s">
        <v>139</v>
      </c>
      <c r="DA639" t="s">
        <v>134</v>
      </c>
      <c r="DB639" t="s">
        <v>114</v>
      </c>
      <c r="DC639" t="s">
        <v>114</v>
      </c>
      <c r="DD639" t="s">
        <v>134</v>
      </c>
    </row>
    <row r="640" spans="1:108" ht="15" customHeight="1" x14ac:dyDescent="0.25">
      <c r="A640" t="s">
        <v>9515</v>
      </c>
      <c r="B640" t="s">
        <v>165</v>
      </c>
      <c r="C640" s="1">
        <v>44848.70615578704</v>
      </c>
      <c r="D640" s="1">
        <v>44893</v>
      </c>
      <c r="E640" t="s">
        <v>134</v>
      </c>
      <c r="F640" t="s">
        <v>2015</v>
      </c>
      <c r="G640" t="str">
        <f>"49-9099.00"</f>
        <v>49-9099.00</v>
      </c>
      <c r="H640" t="s">
        <v>4721</v>
      </c>
      <c r="I640">
        <v>5</v>
      </c>
      <c r="J640">
        <v>5</v>
      </c>
      <c r="K640" s="1">
        <v>44923</v>
      </c>
      <c r="L640" s="1">
        <v>44957</v>
      </c>
      <c r="M640" s="1">
        <v>44923</v>
      </c>
      <c r="N640" s="1">
        <v>44957</v>
      </c>
      <c r="O640" t="s">
        <v>199</v>
      </c>
      <c r="P640" t="s">
        <v>9516</v>
      </c>
      <c r="R640" t="s">
        <v>9517</v>
      </c>
      <c r="T640" t="s">
        <v>1945</v>
      </c>
      <c r="U640" t="s">
        <v>631</v>
      </c>
      <c r="V640" s="4" t="str">
        <f>"74146"</f>
        <v>74146</v>
      </c>
      <c r="W640" t="s">
        <v>120</v>
      </c>
      <c r="X640" t="s">
        <v>138</v>
      </c>
      <c r="Y640" s="5">
        <v>19185491815</v>
      </c>
      <c r="Z640">
        <v>0</v>
      </c>
      <c r="AA640">
        <v>5617</v>
      </c>
      <c r="AB640" t="s">
        <v>9518</v>
      </c>
      <c r="AC640" t="s">
        <v>367</v>
      </c>
      <c r="AE640" t="s">
        <v>2082</v>
      </c>
      <c r="AF640" t="s">
        <v>9517</v>
      </c>
      <c r="AH640" t="s">
        <v>1945</v>
      </c>
      <c r="AI640" t="s">
        <v>631</v>
      </c>
      <c r="AJ640" s="4" t="str">
        <f>"74146"</f>
        <v>74146</v>
      </c>
      <c r="AK640" t="s">
        <v>120</v>
      </c>
      <c r="AM640" s="5">
        <v>19185491815</v>
      </c>
      <c r="AN640">
        <v>0</v>
      </c>
      <c r="AO640" t="s">
        <v>9519</v>
      </c>
      <c r="AP640" t="s">
        <v>256</v>
      </c>
      <c r="AQ640" t="s">
        <v>535</v>
      </c>
      <c r="AR640" t="s">
        <v>536</v>
      </c>
      <c r="AS640" t="s">
        <v>537</v>
      </c>
      <c r="AT640" t="s">
        <v>538</v>
      </c>
      <c r="AU640" t="s">
        <v>539</v>
      </c>
      <c r="AV640" t="s">
        <v>540</v>
      </c>
      <c r="AW640" t="s">
        <v>232</v>
      </c>
      <c r="AX640" s="4" t="str">
        <f>"78550"</f>
        <v>78550</v>
      </c>
      <c r="AY640" t="s">
        <v>120</v>
      </c>
      <c r="AZ640" t="s">
        <v>541</v>
      </c>
      <c r="BA640" s="5">
        <v>19564408720</v>
      </c>
      <c r="BB640">
        <v>0</v>
      </c>
      <c r="BC640" t="s">
        <v>542</v>
      </c>
      <c r="BD640" t="s">
        <v>543</v>
      </c>
      <c r="BG640" t="s">
        <v>631</v>
      </c>
      <c r="BH640" s="1">
        <v>44851.833333333336</v>
      </c>
      <c r="BI640">
        <v>40</v>
      </c>
      <c r="BJ640">
        <v>0</v>
      </c>
      <c r="BK640">
        <v>8</v>
      </c>
      <c r="BL640">
        <v>8</v>
      </c>
      <c r="BM640">
        <v>8</v>
      </c>
      <c r="BN640">
        <v>8</v>
      </c>
      <c r="BO640">
        <v>8</v>
      </c>
      <c r="BP640">
        <v>0</v>
      </c>
      <c r="BQ640" t="str">
        <f>"8:00 AM"</f>
        <v>8:00 AM</v>
      </c>
      <c r="BR640" t="str">
        <f>"4:30 PM"</f>
        <v>4:30 PM</v>
      </c>
      <c r="BS640" t="s">
        <v>133</v>
      </c>
      <c r="BT640">
        <v>0</v>
      </c>
      <c r="BU640">
        <v>0</v>
      </c>
      <c r="BV640" t="s">
        <v>134</v>
      </c>
      <c r="BX640" s="2" t="s">
        <v>9520</v>
      </c>
      <c r="BY640" t="s">
        <v>9521</v>
      </c>
      <c r="CA640" t="s">
        <v>2290</v>
      </c>
      <c r="CB640" t="s">
        <v>631</v>
      </c>
      <c r="CC640" s="4" t="str">
        <f>"74146"</f>
        <v>74146</v>
      </c>
      <c r="CD640" t="s">
        <v>2290</v>
      </c>
      <c r="CE640" t="s">
        <v>2291</v>
      </c>
      <c r="CF640" s="6">
        <v>20.9</v>
      </c>
      <c r="CG640" s="6">
        <v>20.9</v>
      </c>
      <c r="CH640" s="6">
        <v>31.35</v>
      </c>
      <c r="CI640" s="6">
        <v>31.35</v>
      </c>
      <c r="CJ640" t="s">
        <v>137</v>
      </c>
      <c r="CK640" t="s">
        <v>9522</v>
      </c>
      <c r="CL640" t="s">
        <v>9523</v>
      </c>
      <c r="CO640" t="s">
        <v>138</v>
      </c>
      <c r="CP640" t="s">
        <v>114</v>
      </c>
      <c r="CQ640" t="s">
        <v>114</v>
      </c>
      <c r="CR640" t="s">
        <v>114</v>
      </c>
      <c r="CS640" t="s">
        <v>114</v>
      </c>
      <c r="CT640" t="s">
        <v>114</v>
      </c>
      <c r="CU640" t="s">
        <v>134</v>
      </c>
      <c r="CV640" s="2" t="s">
        <v>9524</v>
      </c>
      <c r="CW640" s="5" t="str">
        <f>"+19187961200"</f>
        <v>+19187961200</v>
      </c>
      <c r="CX640" t="s">
        <v>9525</v>
      </c>
      <c r="CY640" t="s">
        <v>138</v>
      </c>
      <c r="CZ640" t="s">
        <v>139</v>
      </c>
      <c r="DA640" t="s">
        <v>134</v>
      </c>
      <c r="DB640" t="s">
        <v>134</v>
      </c>
      <c r="DC640" t="s">
        <v>114</v>
      </c>
      <c r="DD640" t="s">
        <v>134</v>
      </c>
    </row>
    <row r="641" spans="1:113" ht="15" customHeight="1" x14ac:dyDescent="0.25">
      <c r="A641" t="s">
        <v>15180</v>
      </c>
      <c r="B641" t="s">
        <v>165</v>
      </c>
      <c r="C641" s="1">
        <v>44847.628839814817</v>
      </c>
      <c r="D641" s="1">
        <v>44893</v>
      </c>
      <c r="E641" t="s">
        <v>134</v>
      </c>
      <c r="F641" t="s">
        <v>15181</v>
      </c>
      <c r="G641" t="str">
        <f>"37-2011.00"</f>
        <v>37-2011.00</v>
      </c>
      <c r="H641" t="s">
        <v>672</v>
      </c>
      <c r="I641">
        <v>15</v>
      </c>
      <c r="J641">
        <v>15</v>
      </c>
      <c r="K641" s="1">
        <v>44927</v>
      </c>
      <c r="L641" s="1">
        <v>45016</v>
      </c>
      <c r="M641" s="1">
        <v>44927</v>
      </c>
      <c r="N641" s="1">
        <v>45016</v>
      </c>
      <c r="O641" t="s">
        <v>199</v>
      </c>
      <c r="P641" t="s">
        <v>15182</v>
      </c>
      <c r="R641" t="s">
        <v>15183</v>
      </c>
      <c r="T641" t="s">
        <v>2450</v>
      </c>
      <c r="U641" t="s">
        <v>1411</v>
      </c>
      <c r="V641" s="4" t="str">
        <f>"44111"</f>
        <v>44111</v>
      </c>
      <c r="W641" t="s">
        <v>120</v>
      </c>
      <c r="Y641" s="5">
        <v>12163895625</v>
      </c>
      <c r="AA641">
        <v>5311</v>
      </c>
      <c r="AB641" t="s">
        <v>15184</v>
      </c>
      <c r="AC641" t="s">
        <v>15185</v>
      </c>
      <c r="AE641" t="s">
        <v>342</v>
      </c>
      <c r="AF641" t="s">
        <v>15186</v>
      </c>
      <c r="AH641" t="s">
        <v>2450</v>
      </c>
      <c r="AI641" t="s">
        <v>1411</v>
      </c>
      <c r="AJ641" s="4" t="str">
        <f>"44111"</f>
        <v>44111</v>
      </c>
      <c r="AK641" t="s">
        <v>120</v>
      </c>
      <c r="AM641" s="5">
        <v>12163895625</v>
      </c>
      <c r="AO641" t="s">
        <v>15187</v>
      </c>
      <c r="AP641" t="s">
        <v>122</v>
      </c>
      <c r="AQ641" t="s">
        <v>2175</v>
      </c>
      <c r="AR641" t="s">
        <v>2176</v>
      </c>
      <c r="AS641" t="s">
        <v>146</v>
      </c>
      <c r="AT641" t="s">
        <v>2177</v>
      </c>
      <c r="AU641" t="s">
        <v>138</v>
      </c>
      <c r="AV641" t="s">
        <v>2178</v>
      </c>
      <c r="AW641" t="s">
        <v>2081</v>
      </c>
      <c r="AX641" s="4" t="str">
        <f>"50010"</f>
        <v>50010</v>
      </c>
      <c r="AY641" t="s">
        <v>120</v>
      </c>
      <c r="BA641" s="5">
        <v>15152324444</v>
      </c>
      <c r="BB641">
        <v>0</v>
      </c>
      <c r="BC641" t="s">
        <v>2179</v>
      </c>
      <c r="BD641" t="s">
        <v>2180</v>
      </c>
      <c r="BE641" t="s">
        <v>2081</v>
      </c>
      <c r="BF641" t="s">
        <v>322</v>
      </c>
      <c r="BG641" t="s">
        <v>1411</v>
      </c>
      <c r="BH641" s="1">
        <v>44845.833333333336</v>
      </c>
      <c r="BI641">
        <v>40</v>
      </c>
      <c r="BJ641">
        <v>0</v>
      </c>
      <c r="BK641">
        <v>8</v>
      </c>
      <c r="BL641">
        <v>8</v>
      </c>
      <c r="BM641">
        <v>8</v>
      </c>
      <c r="BN641">
        <v>8</v>
      </c>
      <c r="BO641">
        <v>8</v>
      </c>
      <c r="BP641">
        <v>0</v>
      </c>
      <c r="BQ641" t="str">
        <f>"7:00 AM"</f>
        <v>7:00 AM</v>
      </c>
      <c r="BR641" t="str">
        <f>"5:30 PM"</f>
        <v>5:30 PM</v>
      </c>
      <c r="BS641" t="s">
        <v>133</v>
      </c>
      <c r="BT641">
        <v>0</v>
      </c>
      <c r="BU641">
        <v>0</v>
      </c>
      <c r="BV641" t="s">
        <v>134</v>
      </c>
      <c r="BX641" s="2" t="s">
        <v>15188</v>
      </c>
      <c r="BY641" t="s">
        <v>15186</v>
      </c>
      <c r="CA641" t="s">
        <v>15189</v>
      </c>
      <c r="CB641" t="s">
        <v>1411</v>
      </c>
      <c r="CC641" s="4" t="str">
        <f>"44111"</f>
        <v>44111</v>
      </c>
      <c r="CD641" t="s">
        <v>1590</v>
      </c>
      <c r="CE641" t="s">
        <v>1464</v>
      </c>
      <c r="CF641" s="6">
        <v>15.29</v>
      </c>
      <c r="CI641" s="6">
        <v>22.94</v>
      </c>
      <c r="CJ641" t="s">
        <v>137</v>
      </c>
      <c r="CL641" t="s">
        <v>15190</v>
      </c>
      <c r="CO641" t="s">
        <v>138</v>
      </c>
      <c r="CP641" t="s">
        <v>134</v>
      </c>
      <c r="CQ641" t="s">
        <v>134</v>
      </c>
      <c r="CR641" t="s">
        <v>134</v>
      </c>
      <c r="CS641" t="s">
        <v>114</v>
      </c>
      <c r="CT641" t="s">
        <v>114</v>
      </c>
      <c r="CU641" t="s">
        <v>134</v>
      </c>
      <c r="CV641" t="s">
        <v>15191</v>
      </c>
      <c r="CW641" s="5" t="str">
        <f>"+12163895625"</f>
        <v>+12163895625</v>
      </c>
      <c r="CX641" t="s">
        <v>15187</v>
      </c>
      <c r="CY641" t="s">
        <v>138</v>
      </c>
      <c r="CZ641" t="s">
        <v>139</v>
      </c>
      <c r="DA641" t="s">
        <v>134</v>
      </c>
      <c r="DB641" t="s">
        <v>134</v>
      </c>
      <c r="DC641" t="s">
        <v>114</v>
      </c>
      <c r="DD641" t="s">
        <v>134</v>
      </c>
      <c r="DE641" t="s">
        <v>2175</v>
      </c>
      <c r="DF641" t="s">
        <v>2176</v>
      </c>
      <c r="DG641" t="s">
        <v>2795</v>
      </c>
      <c r="DH641" t="s">
        <v>2180</v>
      </c>
      <c r="DI641" t="s">
        <v>2179</v>
      </c>
    </row>
    <row r="642" spans="1:113" ht="15" customHeight="1" x14ac:dyDescent="0.25">
      <c r="A642" t="s">
        <v>5059</v>
      </c>
      <c r="B642" t="s">
        <v>165</v>
      </c>
      <c r="C642" s="1">
        <v>44839.788595138889</v>
      </c>
      <c r="D642" s="1">
        <v>44893</v>
      </c>
      <c r="E642" t="s">
        <v>134</v>
      </c>
      <c r="F642" t="s">
        <v>2320</v>
      </c>
      <c r="G642" t="str">
        <f>"49-3023.00"</f>
        <v>49-3023.00</v>
      </c>
      <c r="H642" t="s">
        <v>5060</v>
      </c>
      <c r="I642">
        <v>2</v>
      </c>
      <c r="J642">
        <v>2</v>
      </c>
      <c r="K642" s="1">
        <v>44914</v>
      </c>
      <c r="L642" s="1">
        <v>45169</v>
      </c>
      <c r="M642" s="1">
        <v>44914</v>
      </c>
      <c r="N642" s="1">
        <v>45169</v>
      </c>
      <c r="O642" t="s">
        <v>117</v>
      </c>
      <c r="P642" t="s">
        <v>5061</v>
      </c>
      <c r="R642" t="s">
        <v>5062</v>
      </c>
      <c r="T642" t="s">
        <v>730</v>
      </c>
      <c r="U642" t="s">
        <v>214</v>
      </c>
      <c r="V642" s="4" t="str">
        <f>"70535"</f>
        <v>70535</v>
      </c>
      <c r="W642" t="s">
        <v>120</v>
      </c>
      <c r="Y642" s="5">
        <v>13372074917</v>
      </c>
      <c r="AA642">
        <v>811111</v>
      </c>
      <c r="AB642" t="s">
        <v>1993</v>
      </c>
      <c r="AC642" t="s">
        <v>2810</v>
      </c>
      <c r="AE642" t="s">
        <v>424</v>
      </c>
      <c r="AF642" t="s">
        <v>5062</v>
      </c>
      <c r="AH642" t="s">
        <v>730</v>
      </c>
      <c r="AI642" t="s">
        <v>214</v>
      </c>
      <c r="AJ642" s="4" t="str">
        <f>"70535"</f>
        <v>70535</v>
      </c>
      <c r="AK642" t="s">
        <v>120</v>
      </c>
      <c r="AM642" s="5">
        <v>13372074917</v>
      </c>
      <c r="AO642" t="s">
        <v>5063</v>
      </c>
      <c r="AP642" t="s">
        <v>122</v>
      </c>
      <c r="AQ642" t="s">
        <v>725</v>
      </c>
      <c r="AR642" t="s">
        <v>726</v>
      </c>
      <c r="AS642" t="s">
        <v>727</v>
      </c>
      <c r="AT642" t="s">
        <v>728</v>
      </c>
      <c r="AV642" t="s">
        <v>730</v>
      </c>
      <c r="AW642" t="s">
        <v>214</v>
      </c>
      <c r="AX642" s="4" t="str">
        <f>"70535"</f>
        <v>70535</v>
      </c>
      <c r="AY642" t="s">
        <v>120</v>
      </c>
      <c r="BA642" s="5">
        <v>13374663722</v>
      </c>
      <c r="BC642" t="s">
        <v>731</v>
      </c>
      <c r="BD642" t="s">
        <v>732</v>
      </c>
      <c r="BE642" t="s">
        <v>214</v>
      </c>
      <c r="BF642" t="s">
        <v>3912</v>
      </c>
      <c r="BG642" t="s">
        <v>214</v>
      </c>
      <c r="BH642" s="1">
        <v>44838.833333333336</v>
      </c>
      <c r="BI642">
        <v>40</v>
      </c>
      <c r="BJ642">
        <v>0</v>
      </c>
      <c r="BK642">
        <v>8</v>
      </c>
      <c r="BL642">
        <v>8</v>
      </c>
      <c r="BM642">
        <v>8</v>
      </c>
      <c r="BN642">
        <v>8</v>
      </c>
      <c r="BO642">
        <v>8</v>
      </c>
      <c r="BP642">
        <v>0</v>
      </c>
      <c r="BQ642" t="str">
        <f>"7:00 AM"</f>
        <v>7:00 AM</v>
      </c>
      <c r="BR642" t="str">
        <f>"5:00 PM"</f>
        <v>5:00 PM</v>
      </c>
      <c r="BS642" t="s">
        <v>133</v>
      </c>
      <c r="BT642">
        <v>0</v>
      </c>
      <c r="BU642">
        <v>3</v>
      </c>
      <c r="BV642" t="s">
        <v>134</v>
      </c>
      <c r="BX642" s="2" t="s">
        <v>5064</v>
      </c>
      <c r="BY642" t="s">
        <v>5065</v>
      </c>
      <c r="CA642" t="s">
        <v>730</v>
      </c>
      <c r="CB642" t="s">
        <v>214</v>
      </c>
      <c r="CC642" s="4" t="str">
        <f>"70535"</f>
        <v>70535</v>
      </c>
      <c r="CD642" t="s">
        <v>5066</v>
      </c>
      <c r="CE642" t="s">
        <v>5067</v>
      </c>
      <c r="CF642" s="6">
        <v>20.02</v>
      </c>
      <c r="CG642" s="6">
        <v>20.02</v>
      </c>
      <c r="CH642" s="6">
        <v>30.03</v>
      </c>
      <c r="CI642" s="6">
        <v>30.03</v>
      </c>
      <c r="CJ642" t="s">
        <v>137</v>
      </c>
      <c r="CL642" t="s">
        <v>5068</v>
      </c>
      <c r="CO642" t="s">
        <v>138</v>
      </c>
      <c r="CP642" t="s">
        <v>114</v>
      </c>
      <c r="CQ642" t="s">
        <v>114</v>
      </c>
      <c r="CR642" t="s">
        <v>114</v>
      </c>
      <c r="CS642" t="s">
        <v>114</v>
      </c>
      <c r="CT642" t="s">
        <v>114</v>
      </c>
      <c r="CU642" t="s">
        <v>114</v>
      </c>
      <c r="CV642" t="s">
        <v>5069</v>
      </c>
      <c r="CW642" s="5" t="str">
        <f>"+13372074917"</f>
        <v>+13372074917</v>
      </c>
      <c r="CX642" t="s">
        <v>5070</v>
      </c>
      <c r="CY642" t="s">
        <v>138</v>
      </c>
      <c r="CZ642" t="s">
        <v>139</v>
      </c>
      <c r="DA642" t="s">
        <v>134</v>
      </c>
      <c r="DB642" t="s">
        <v>134</v>
      </c>
      <c r="DC642" t="s">
        <v>114</v>
      </c>
      <c r="DD642" t="s">
        <v>134</v>
      </c>
    </row>
    <row r="643" spans="1:113" ht="15" customHeight="1" x14ac:dyDescent="0.25">
      <c r="A643" t="s">
        <v>6434</v>
      </c>
      <c r="B643" t="s">
        <v>165</v>
      </c>
      <c r="C643" s="1">
        <v>44834.011232291668</v>
      </c>
      <c r="D643" s="1">
        <v>44893</v>
      </c>
      <c r="E643" t="s">
        <v>134</v>
      </c>
      <c r="F643" t="s">
        <v>1828</v>
      </c>
      <c r="G643" t="str">
        <f>"51-6062.00"</f>
        <v>51-6062.00</v>
      </c>
      <c r="H643" t="s">
        <v>5970</v>
      </c>
      <c r="I643">
        <v>60</v>
      </c>
      <c r="J643">
        <v>60</v>
      </c>
      <c r="K643" s="1">
        <v>44910</v>
      </c>
      <c r="L643" s="1">
        <v>45213</v>
      </c>
      <c r="M643" s="1">
        <v>44910</v>
      </c>
      <c r="N643" s="1">
        <v>45213</v>
      </c>
      <c r="O643" t="s">
        <v>117</v>
      </c>
      <c r="P643" t="s">
        <v>5971</v>
      </c>
      <c r="Q643" t="s">
        <v>5972</v>
      </c>
      <c r="R643" t="s">
        <v>5973</v>
      </c>
      <c r="T643" t="s">
        <v>1249</v>
      </c>
      <c r="U643" t="s">
        <v>129</v>
      </c>
      <c r="V643" s="4" t="str">
        <f>"30601"</f>
        <v>30601</v>
      </c>
      <c r="W643" t="s">
        <v>120</v>
      </c>
      <c r="Y643" s="5">
        <v>17063543700</v>
      </c>
      <c r="AA643">
        <v>313210</v>
      </c>
      <c r="AB643" t="s">
        <v>5974</v>
      </c>
      <c r="AC643" t="s">
        <v>5975</v>
      </c>
      <c r="AE643" t="s">
        <v>921</v>
      </c>
      <c r="AF643" t="s">
        <v>5973</v>
      </c>
      <c r="AH643" t="s">
        <v>1249</v>
      </c>
      <c r="AI643" t="s">
        <v>129</v>
      </c>
      <c r="AJ643" s="4" t="str">
        <f>"30601"</f>
        <v>30601</v>
      </c>
      <c r="AK643" t="s">
        <v>120</v>
      </c>
      <c r="AM643" s="5">
        <v>17063543700</v>
      </c>
      <c r="AO643" t="s">
        <v>6435</v>
      </c>
      <c r="AP643" t="s">
        <v>256</v>
      </c>
      <c r="AQ643" t="s">
        <v>5976</v>
      </c>
      <c r="AR643" t="s">
        <v>5977</v>
      </c>
      <c r="AT643" t="s">
        <v>5978</v>
      </c>
      <c r="AV643" t="s">
        <v>128</v>
      </c>
      <c r="AW643" t="s">
        <v>129</v>
      </c>
      <c r="AX643" s="4" t="str">
        <f>"30340"</f>
        <v>30340</v>
      </c>
      <c r="AY643" t="s">
        <v>120</v>
      </c>
      <c r="BA643" s="5">
        <v>14049341359</v>
      </c>
      <c r="BC643" t="s">
        <v>5979</v>
      </c>
      <c r="BD643" t="s">
        <v>5980</v>
      </c>
      <c r="BG643" t="s">
        <v>129</v>
      </c>
      <c r="BH643" s="1">
        <v>44833.833333333336</v>
      </c>
      <c r="BI643">
        <v>36</v>
      </c>
      <c r="BJ643">
        <v>12</v>
      </c>
      <c r="BK643">
        <v>12</v>
      </c>
      <c r="BL643">
        <v>12</v>
      </c>
      <c r="BM643">
        <v>12</v>
      </c>
      <c r="BN643">
        <v>12</v>
      </c>
      <c r="BO643">
        <v>12</v>
      </c>
      <c r="BP643">
        <v>12</v>
      </c>
      <c r="BQ643" t="str">
        <f>"8:00 AM"</f>
        <v>8:00 AM</v>
      </c>
      <c r="BR643" t="str">
        <f>"8:00 PM"</f>
        <v>8:00 PM</v>
      </c>
      <c r="BS643" t="s">
        <v>133</v>
      </c>
      <c r="BT643">
        <v>0</v>
      </c>
      <c r="BU643">
        <v>0</v>
      </c>
      <c r="BV643" t="s">
        <v>134</v>
      </c>
      <c r="BX643" t="s">
        <v>6436</v>
      </c>
      <c r="BY643" t="s">
        <v>6437</v>
      </c>
      <c r="CA643" t="s">
        <v>6438</v>
      </c>
      <c r="CB643" t="s">
        <v>129</v>
      </c>
      <c r="CC643" s="4" t="str">
        <f>"30601"</f>
        <v>30601</v>
      </c>
      <c r="CD643" t="s">
        <v>5626</v>
      </c>
      <c r="CE643" t="s">
        <v>5627</v>
      </c>
      <c r="CF643" s="6">
        <v>14.84</v>
      </c>
      <c r="CG643" s="6">
        <v>14.84</v>
      </c>
      <c r="CH643" s="6">
        <v>22.26</v>
      </c>
      <c r="CI643" s="6">
        <v>22.26</v>
      </c>
      <c r="CJ643" t="s">
        <v>137</v>
      </c>
      <c r="CK643" t="s">
        <v>6439</v>
      </c>
      <c r="CL643" t="s">
        <v>5981</v>
      </c>
      <c r="CO643" t="s">
        <v>138</v>
      </c>
      <c r="CP643" t="s">
        <v>134</v>
      </c>
      <c r="CQ643" t="s">
        <v>134</v>
      </c>
      <c r="CR643" t="s">
        <v>114</v>
      </c>
      <c r="CS643" t="s">
        <v>134</v>
      </c>
      <c r="CT643" t="s">
        <v>114</v>
      </c>
      <c r="CU643" t="s">
        <v>134</v>
      </c>
      <c r="CV643" t="s">
        <v>5982</v>
      </c>
      <c r="CW643" s="5" t="str">
        <f>"+14042323500"</f>
        <v>+14042323500</v>
      </c>
      <c r="CX643" t="s">
        <v>138</v>
      </c>
      <c r="CY643" t="s">
        <v>6440</v>
      </c>
      <c r="CZ643" t="s">
        <v>139</v>
      </c>
      <c r="DA643" t="s">
        <v>134</v>
      </c>
      <c r="DB643" t="s">
        <v>134</v>
      </c>
      <c r="DC643" t="s">
        <v>114</v>
      </c>
      <c r="DD643" t="s">
        <v>134</v>
      </c>
    </row>
    <row r="644" spans="1:113" ht="15" customHeight="1" x14ac:dyDescent="0.25">
      <c r="A644" t="s">
        <v>10352</v>
      </c>
      <c r="B644" t="s">
        <v>165</v>
      </c>
      <c r="C644" s="1">
        <v>44825.970643402776</v>
      </c>
      <c r="D644" s="1">
        <v>44893</v>
      </c>
      <c r="E644" t="s">
        <v>134</v>
      </c>
      <c r="F644" t="s">
        <v>1331</v>
      </c>
      <c r="G644" t="str">
        <f>"35-2014.00"</f>
        <v>35-2014.00</v>
      </c>
      <c r="H644" t="s">
        <v>915</v>
      </c>
      <c r="I644">
        <v>20</v>
      </c>
      <c r="J644">
        <v>20</v>
      </c>
      <c r="K644" s="1">
        <v>44900</v>
      </c>
      <c r="L644" s="1">
        <v>45108</v>
      </c>
      <c r="M644" s="1">
        <v>44900</v>
      </c>
      <c r="N644" s="1">
        <v>45108</v>
      </c>
      <c r="O644" t="s">
        <v>117</v>
      </c>
      <c r="P644" t="s">
        <v>7435</v>
      </c>
      <c r="Q644" t="s">
        <v>7436</v>
      </c>
      <c r="R644" t="s">
        <v>7437</v>
      </c>
      <c r="T644" t="s">
        <v>648</v>
      </c>
      <c r="U644" t="s">
        <v>154</v>
      </c>
      <c r="V644" s="4" t="str">
        <f>"34108"</f>
        <v>34108</v>
      </c>
      <c r="W644" t="s">
        <v>120</v>
      </c>
      <c r="Y644" s="5">
        <v>12395985102</v>
      </c>
      <c r="AA644">
        <v>7211</v>
      </c>
      <c r="AB644" t="s">
        <v>7438</v>
      </c>
      <c r="AC644" t="s">
        <v>1283</v>
      </c>
      <c r="AE644" t="s">
        <v>7439</v>
      </c>
      <c r="AF644" t="s">
        <v>7437</v>
      </c>
      <c r="AH644" t="s">
        <v>648</v>
      </c>
      <c r="AI644" t="s">
        <v>154</v>
      </c>
      <c r="AJ644" s="4" t="str">
        <f>"34108"</f>
        <v>34108</v>
      </c>
      <c r="AK644" t="s">
        <v>120</v>
      </c>
      <c r="AM644" s="5">
        <v>12395985102</v>
      </c>
      <c r="AO644" t="s">
        <v>7440</v>
      </c>
      <c r="AP644" t="s">
        <v>122</v>
      </c>
      <c r="AQ644" t="s">
        <v>2938</v>
      </c>
      <c r="AR644" t="s">
        <v>2672</v>
      </c>
      <c r="AS644" t="s">
        <v>2939</v>
      </c>
      <c r="AT644" t="s">
        <v>2940</v>
      </c>
      <c r="AU644" t="s">
        <v>2013</v>
      </c>
      <c r="AV644" t="s">
        <v>2014</v>
      </c>
      <c r="AW644" t="s">
        <v>154</v>
      </c>
      <c r="AX644" s="4" t="str">
        <f>"33126"</f>
        <v>33126</v>
      </c>
      <c r="AY644" t="s">
        <v>120</v>
      </c>
      <c r="BA644" s="5">
        <v>13057745800</v>
      </c>
      <c r="BC644" t="s">
        <v>2941</v>
      </c>
      <c r="BD644" t="s">
        <v>2942</v>
      </c>
      <c r="BE644" t="s">
        <v>154</v>
      </c>
      <c r="BF644" t="s">
        <v>322</v>
      </c>
      <c r="BG644" t="s">
        <v>154</v>
      </c>
      <c r="BH644" s="1">
        <v>44824.833333333336</v>
      </c>
      <c r="BI644">
        <v>35</v>
      </c>
      <c r="BJ644">
        <v>7</v>
      </c>
      <c r="BK644">
        <v>7</v>
      </c>
      <c r="BL644">
        <v>7</v>
      </c>
      <c r="BM644">
        <v>7</v>
      </c>
      <c r="BN644">
        <v>7</v>
      </c>
      <c r="BO644">
        <v>0</v>
      </c>
      <c r="BP644">
        <v>0</v>
      </c>
      <c r="BQ644" t="str">
        <f>"6:00 AM"</f>
        <v>6:00 AM</v>
      </c>
      <c r="BR644" t="str">
        <f>"2:00 PM"</f>
        <v>2:00 PM</v>
      </c>
      <c r="BS644" t="s">
        <v>133</v>
      </c>
      <c r="BT644">
        <v>0</v>
      </c>
      <c r="BU644">
        <v>1</v>
      </c>
      <c r="BV644" t="s">
        <v>134</v>
      </c>
      <c r="BX644" t="s">
        <v>10353</v>
      </c>
      <c r="BY644" t="s">
        <v>7437</v>
      </c>
      <c r="CA644" t="s">
        <v>648</v>
      </c>
      <c r="CB644" t="s">
        <v>154</v>
      </c>
      <c r="CC644" s="4" t="str">
        <f>"34108"</f>
        <v>34108</v>
      </c>
      <c r="CD644" t="s">
        <v>1432</v>
      </c>
      <c r="CE644" t="s">
        <v>1433</v>
      </c>
      <c r="CF644" s="6">
        <v>17</v>
      </c>
      <c r="CH644" s="6">
        <v>25.5</v>
      </c>
      <c r="CJ644" t="s">
        <v>137</v>
      </c>
      <c r="CK644" t="s">
        <v>10354</v>
      </c>
      <c r="CL644" t="s">
        <v>10355</v>
      </c>
      <c r="CO644" t="s">
        <v>138</v>
      </c>
      <c r="CP644" t="s">
        <v>134</v>
      </c>
      <c r="CQ644" t="s">
        <v>134</v>
      </c>
      <c r="CR644" t="s">
        <v>114</v>
      </c>
      <c r="CS644" t="s">
        <v>134</v>
      </c>
      <c r="CT644" t="s">
        <v>114</v>
      </c>
      <c r="CU644" t="s">
        <v>134</v>
      </c>
      <c r="CV644" t="s">
        <v>7444</v>
      </c>
      <c r="CW644" s="5" t="str">
        <f>"+12395985102"</f>
        <v>+12395985102</v>
      </c>
      <c r="CX644" t="s">
        <v>7445</v>
      </c>
      <c r="CY644" t="s">
        <v>138</v>
      </c>
      <c r="CZ644" t="s">
        <v>139</v>
      </c>
      <c r="DA644" t="s">
        <v>134</v>
      </c>
      <c r="DB644" t="s">
        <v>114</v>
      </c>
      <c r="DC644" t="s">
        <v>114</v>
      </c>
      <c r="DD644" t="s">
        <v>134</v>
      </c>
    </row>
    <row r="645" spans="1:113" ht="15" customHeight="1" x14ac:dyDescent="0.25">
      <c r="A645" t="s">
        <v>10347</v>
      </c>
      <c r="B645" t="s">
        <v>165</v>
      </c>
      <c r="C645" s="1">
        <v>44825.956210532408</v>
      </c>
      <c r="D645" s="1">
        <v>44893</v>
      </c>
      <c r="E645" t="s">
        <v>134</v>
      </c>
      <c r="F645" t="s">
        <v>115</v>
      </c>
      <c r="G645" t="str">
        <f>"37-2012.00"</f>
        <v>37-2012.00</v>
      </c>
      <c r="H645" t="s">
        <v>116</v>
      </c>
      <c r="I645">
        <v>10</v>
      </c>
      <c r="J645">
        <v>10</v>
      </c>
      <c r="K645" s="1">
        <v>44900</v>
      </c>
      <c r="L645" s="1">
        <v>45108</v>
      </c>
      <c r="M645" s="1">
        <v>44900</v>
      </c>
      <c r="N645" s="1">
        <v>45108</v>
      </c>
      <c r="O645" t="s">
        <v>117</v>
      </c>
      <c r="P645" t="s">
        <v>7435</v>
      </c>
      <c r="Q645" t="s">
        <v>7436</v>
      </c>
      <c r="R645" t="s">
        <v>7437</v>
      </c>
      <c r="T645" t="s">
        <v>648</v>
      </c>
      <c r="U645" t="s">
        <v>154</v>
      </c>
      <c r="V645" s="4" t="str">
        <f>"34108"</f>
        <v>34108</v>
      </c>
      <c r="W645" t="s">
        <v>120</v>
      </c>
      <c r="Y645" s="5">
        <v>12395985102</v>
      </c>
      <c r="AA645">
        <v>7211</v>
      </c>
      <c r="AB645" t="s">
        <v>7438</v>
      </c>
      <c r="AC645" t="s">
        <v>1283</v>
      </c>
      <c r="AE645" t="s">
        <v>7439</v>
      </c>
      <c r="AF645" t="s">
        <v>7437</v>
      </c>
      <c r="AH645" t="s">
        <v>648</v>
      </c>
      <c r="AI645" t="s">
        <v>154</v>
      </c>
      <c r="AJ645" s="4" t="str">
        <f>"34108"</f>
        <v>34108</v>
      </c>
      <c r="AK645" t="s">
        <v>120</v>
      </c>
      <c r="AM645" s="5">
        <v>12395985102</v>
      </c>
      <c r="AO645" t="s">
        <v>7440</v>
      </c>
      <c r="AP645" t="s">
        <v>122</v>
      </c>
      <c r="AQ645" t="s">
        <v>2938</v>
      </c>
      <c r="AR645" t="s">
        <v>2672</v>
      </c>
      <c r="AS645" t="s">
        <v>2939</v>
      </c>
      <c r="AT645" t="s">
        <v>2940</v>
      </c>
      <c r="AU645" t="s">
        <v>2013</v>
      </c>
      <c r="AV645" t="s">
        <v>2014</v>
      </c>
      <c r="AW645" t="s">
        <v>154</v>
      </c>
      <c r="AX645" s="4" t="str">
        <f>"33126"</f>
        <v>33126</v>
      </c>
      <c r="AY645" t="s">
        <v>120</v>
      </c>
      <c r="BA645" s="5">
        <v>13057745800</v>
      </c>
      <c r="BC645" t="s">
        <v>2941</v>
      </c>
      <c r="BD645" t="s">
        <v>2942</v>
      </c>
      <c r="BE645" t="s">
        <v>154</v>
      </c>
      <c r="BF645" t="s">
        <v>322</v>
      </c>
      <c r="BG645" t="s">
        <v>154</v>
      </c>
      <c r="BH645" s="1">
        <v>44824.833333333336</v>
      </c>
      <c r="BI645">
        <v>35</v>
      </c>
      <c r="BJ645">
        <v>7</v>
      </c>
      <c r="BK645">
        <v>7</v>
      </c>
      <c r="BL645">
        <v>7</v>
      </c>
      <c r="BM645">
        <v>7</v>
      </c>
      <c r="BN645">
        <v>7</v>
      </c>
      <c r="BO645">
        <v>0</v>
      </c>
      <c r="BP645">
        <v>0</v>
      </c>
      <c r="BQ645" t="str">
        <f>"6:00 AM"</f>
        <v>6:00 AM</v>
      </c>
      <c r="BR645" t="str">
        <f>"2:00 PM"</f>
        <v>2:00 PM</v>
      </c>
      <c r="BS645" t="s">
        <v>133</v>
      </c>
      <c r="BT645">
        <v>0</v>
      </c>
      <c r="BU645">
        <v>1</v>
      </c>
      <c r="BV645" t="s">
        <v>134</v>
      </c>
      <c r="BX645" t="s">
        <v>10348</v>
      </c>
      <c r="BY645" t="s">
        <v>7437</v>
      </c>
      <c r="CA645" t="s">
        <v>648</v>
      </c>
      <c r="CB645" t="s">
        <v>154</v>
      </c>
      <c r="CC645" s="4" t="str">
        <f>"34108"</f>
        <v>34108</v>
      </c>
      <c r="CD645" t="s">
        <v>1432</v>
      </c>
      <c r="CE645" t="s">
        <v>1433</v>
      </c>
      <c r="CF645" s="6">
        <v>15</v>
      </c>
      <c r="CH645" s="6">
        <v>22.5</v>
      </c>
      <c r="CJ645" t="s">
        <v>137</v>
      </c>
      <c r="CK645" t="s">
        <v>10349</v>
      </c>
      <c r="CL645" t="s">
        <v>10350</v>
      </c>
      <c r="CO645" t="s">
        <v>138</v>
      </c>
      <c r="CP645" t="s">
        <v>134</v>
      </c>
      <c r="CQ645" t="s">
        <v>134</v>
      </c>
      <c r="CR645" t="s">
        <v>114</v>
      </c>
      <c r="CS645" t="s">
        <v>134</v>
      </c>
      <c r="CT645" t="s">
        <v>114</v>
      </c>
      <c r="CU645" t="s">
        <v>134</v>
      </c>
      <c r="CV645" s="2" t="s">
        <v>10351</v>
      </c>
      <c r="CW645" s="5" t="str">
        <f>"+12395985102"</f>
        <v>+12395985102</v>
      </c>
      <c r="CX645" t="s">
        <v>7445</v>
      </c>
      <c r="CY645" t="s">
        <v>138</v>
      </c>
      <c r="CZ645" t="s">
        <v>139</v>
      </c>
      <c r="DA645" t="s">
        <v>134</v>
      </c>
      <c r="DB645" t="s">
        <v>114</v>
      </c>
      <c r="DC645" t="s">
        <v>114</v>
      </c>
      <c r="DD645" t="s">
        <v>134</v>
      </c>
    </row>
    <row r="646" spans="1:113" ht="15" customHeight="1" x14ac:dyDescent="0.25">
      <c r="A646" t="s">
        <v>10469</v>
      </c>
      <c r="B646" t="s">
        <v>165</v>
      </c>
      <c r="C646" s="1">
        <v>44862.603731134259</v>
      </c>
      <c r="D646" s="1">
        <v>44890</v>
      </c>
      <c r="E646" t="s">
        <v>134</v>
      </c>
      <c r="F646" t="s">
        <v>1662</v>
      </c>
      <c r="G646" t="str">
        <f>"37-3011.00"</f>
        <v>37-3011.00</v>
      </c>
      <c r="H646" t="s">
        <v>335</v>
      </c>
      <c r="I646">
        <v>15</v>
      </c>
      <c r="J646">
        <v>15</v>
      </c>
      <c r="K646" s="1">
        <v>44952</v>
      </c>
      <c r="L646" s="1">
        <v>45254</v>
      </c>
      <c r="M646" s="1">
        <v>44952</v>
      </c>
      <c r="N646" s="1">
        <v>45254</v>
      </c>
      <c r="O646" t="s">
        <v>199</v>
      </c>
      <c r="P646" t="s">
        <v>10470</v>
      </c>
      <c r="R646" t="s">
        <v>10471</v>
      </c>
      <c r="T646" t="s">
        <v>2287</v>
      </c>
      <c r="U646" t="s">
        <v>697</v>
      </c>
      <c r="V646" s="4" t="str">
        <f>"63049"</f>
        <v>63049</v>
      </c>
      <c r="W646" t="s">
        <v>120</v>
      </c>
      <c r="Y646" s="5">
        <v>13145686550</v>
      </c>
      <c r="AA646">
        <v>56173</v>
      </c>
      <c r="AB646" t="s">
        <v>10472</v>
      </c>
      <c r="AC646" t="s">
        <v>2832</v>
      </c>
      <c r="AD646" t="s">
        <v>138</v>
      </c>
      <c r="AE646" t="s">
        <v>424</v>
      </c>
      <c r="AF646" t="s">
        <v>10471</v>
      </c>
      <c r="AH646" t="s">
        <v>2287</v>
      </c>
      <c r="AI646" t="s">
        <v>697</v>
      </c>
      <c r="AJ646" s="4" t="str">
        <f>"63049"</f>
        <v>63049</v>
      </c>
      <c r="AK646" t="s">
        <v>120</v>
      </c>
      <c r="AM646" s="5">
        <v>13145686550</v>
      </c>
      <c r="AO646" t="s">
        <v>10473</v>
      </c>
      <c r="AP646" t="s">
        <v>256</v>
      </c>
      <c r="AQ646" t="s">
        <v>1928</v>
      </c>
      <c r="AR646" t="s">
        <v>1929</v>
      </c>
      <c r="AS646" t="s">
        <v>1685</v>
      </c>
      <c r="AT646" t="s">
        <v>1930</v>
      </c>
      <c r="AU646" t="s">
        <v>1931</v>
      </c>
      <c r="AV646" t="s">
        <v>1932</v>
      </c>
      <c r="AW646" t="s">
        <v>349</v>
      </c>
      <c r="AX646" s="4" t="str">
        <f>"83814"</f>
        <v>83814</v>
      </c>
      <c r="AY646" t="s">
        <v>120</v>
      </c>
      <c r="BA646" s="5">
        <v>12087772654</v>
      </c>
      <c r="BC646" t="s">
        <v>1933</v>
      </c>
      <c r="BD646" t="s">
        <v>351</v>
      </c>
      <c r="BG646" t="s">
        <v>697</v>
      </c>
      <c r="BH646" s="1">
        <v>44861.833333333336</v>
      </c>
      <c r="BI646">
        <v>40</v>
      </c>
      <c r="BJ646">
        <v>0</v>
      </c>
      <c r="BK646">
        <v>8</v>
      </c>
      <c r="BL646">
        <v>8</v>
      </c>
      <c r="BM646">
        <v>8</v>
      </c>
      <c r="BN646">
        <v>8</v>
      </c>
      <c r="BO646">
        <v>8</v>
      </c>
      <c r="BP646">
        <v>0</v>
      </c>
      <c r="BQ646" t="str">
        <f>"5:30 AM"</f>
        <v>5:30 AM</v>
      </c>
      <c r="BR646" t="str">
        <f>"6:00 PM"</f>
        <v>6:00 PM</v>
      </c>
      <c r="BS646" t="s">
        <v>133</v>
      </c>
      <c r="BT646">
        <v>0</v>
      </c>
      <c r="BU646">
        <v>0</v>
      </c>
      <c r="BV646" t="s">
        <v>134</v>
      </c>
      <c r="BX646" t="s">
        <v>10474</v>
      </c>
      <c r="BY646" t="s">
        <v>10475</v>
      </c>
      <c r="CA646" t="s">
        <v>2287</v>
      </c>
      <c r="CB646" t="s">
        <v>697</v>
      </c>
      <c r="CC646" s="4" t="str">
        <f>"63049"</f>
        <v>63049</v>
      </c>
      <c r="CD646" t="s">
        <v>1387</v>
      </c>
      <c r="CE646" t="s">
        <v>713</v>
      </c>
      <c r="CF646" s="6">
        <v>16.96</v>
      </c>
      <c r="CG646" s="6">
        <v>18</v>
      </c>
      <c r="CH646" s="6">
        <v>25.44</v>
      </c>
      <c r="CI646" s="6">
        <v>27</v>
      </c>
      <c r="CJ646" t="s">
        <v>137</v>
      </c>
      <c r="CK646" t="s">
        <v>356</v>
      </c>
      <c r="CL646" t="s">
        <v>10476</v>
      </c>
      <c r="CO646" t="s">
        <v>138</v>
      </c>
      <c r="CP646" t="s">
        <v>114</v>
      </c>
      <c r="CQ646" t="s">
        <v>114</v>
      </c>
      <c r="CR646" t="s">
        <v>114</v>
      </c>
      <c r="CS646" t="s">
        <v>114</v>
      </c>
      <c r="CT646" t="s">
        <v>114</v>
      </c>
      <c r="CU646" t="s">
        <v>114</v>
      </c>
      <c r="CV646" s="2" t="s">
        <v>10477</v>
      </c>
      <c r="CW646" s="5" t="str">
        <f>"+13145686550"</f>
        <v>+13145686550</v>
      </c>
      <c r="CX646" t="s">
        <v>10478</v>
      </c>
      <c r="CY646" t="s">
        <v>138</v>
      </c>
      <c r="CZ646" t="s">
        <v>139</v>
      </c>
      <c r="DA646" t="s">
        <v>134</v>
      </c>
      <c r="DB646" t="s">
        <v>114</v>
      </c>
      <c r="DC646" t="s">
        <v>114</v>
      </c>
      <c r="DD646" t="s">
        <v>134</v>
      </c>
    </row>
    <row r="647" spans="1:113" ht="15" customHeight="1" x14ac:dyDescent="0.25">
      <c r="A647" t="s">
        <v>9644</v>
      </c>
      <c r="B647" t="s">
        <v>165</v>
      </c>
      <c r="C647" s="1">
        <v>44865.448499537037</v>
      </c>
      <c r="D647" s="1">
        <v>44888</v>
      </c>
      <c r="E647" t="s">
        <v>134</v>
      </c>
      <c r="F647" t="s">
        <v>571</v>
      </c>
      <c r="G647" t="str">
        <f>"35-3023.00"</f>
        <v>35-3023.00</v>
      </c>
      <c r="H647" t="s">
        <v>555</v>
      </c>
      <c r="I647">
        <v>8</v>
      </c>
      <c r="J647">
        <v>8</v>
      </c>
      <c r="K647" s="1">
        <v>44955</v>
      </c>
      <c r="L647" s="1">
        <v>45247</v>
      </c>
      <c r="M647" s="1">
        <v>44955</v>
      </c>
      <c r="N647" s="1">
        <v>45247</v>
      </c>
      <c r="O647" t="s">
        <v>199</v>
      </c>
      <c r="P647" t="s">
        <v>9645</v>
      </c>
      <c r="Q647" t="s">
        <v>1479</v>
      </c>
      <c r="R647" t="s">
        <v>9646</v>
      </c>
      <c r="T647" t="s">
        <v>9647</v>
      </c>
      <c r="U647" t="s">
        <v>631</v>
      </c>
      <c r="V647" s="4" t="str">
        <f>"74470"</f>
        <v>74470</v>
      </c>
      <c r="W647" t="s">
        <v>120</v>
      </c>
      <c r="Y647" s="5">
        <v>19188557775</v>
      </c>
      <c r="AA647">
        <v>7139</v>
      </c>
      <c r="AB647" t="s">
        <v>9648</v>
      </c>
      <c r="AC647" t="s">
        <v>1990</v>
      </c>
      <c r="AE647" t="s">
        <v>424</v>
      </c>
      <c r="AF647" t="s">
        <v>9649</v>
      </c>
      <c r="AH647" t="s">
        <v>9650</v>
      </c>
      <c r="AI647" t="s">
        <v>631</v>
      </c>
      <c r="AJ647" s="4" t="str">
        <f>"74470"</f>
        <v>74470</v>
      </c>
      <c r="AK647" t="s">
        <v>120</v>
      </c>
      <c r="AM647" s="5">
        <v>19188557775</v>
      </c>
      <c r="AO647" t="s">
        <v>9651</v>
      </c>
      <c r="AP647" t="s">
        <v>256</v>
      </c>
      <c r="AQ647" t="s">
        <v>535</v>
      </c>
      <c r="AR647" t="s">
        <v>536</v>
      </c>
      <c r="AS647" t="s">
        <v>537</v>
      </c>
      <c r="AT647" t="s">
        <v>538</v>
      </c>
      <c r="AU647" t="s">
        <v>539</v>
      </c>
      <c r="AV647" t="s">
        <v>540</v>
      </c>
      <c r="AW647" t="s">
        <v>232</v>
      </c>
      <c r="AX647" s="4" t="str">
        <f>"78550"</f>
        <v>78550</v>
      </c>
      <c r="AY647" t="s">
        <v>120</v>
      </c>
      <c r="BA647" s="5">
        <v>19564408720</v>
      </c>
      <c r="BB647">
        <v>0</v>
      </c>
      <c r="BC647" t="s">
        <v>563</v>
      </c>
      <c r="BD647" t="s">
        <v>543</v>
      </c>
      <c r="BG647" t="s">
        <v>631</v>
      </c>
      <c r="BH647" s="1">
        <v>44864.833333333336</v>
      </c>
      <c r="BI647">
        <v>40</v>
      </c>
      <c r="BJ647">
        <v>8</v>
      </c>
      <c r="BK647">
        <v>0</v>
      </c>
      <c r="BL647">
        <v>0</v>
      </c>
      <c r="BM647">
        <v>8</v>
      </c>
      <c r="BN647">
        <v>8</v>
      </c>
      <c r="BO647">
        <v>8</v>
      </c>
      <c r="BP647">
        <v>8</v>
      </c>
      <c r="BQ647" t="str">
        <f>"1:00 PM"</f>
        <v>1:00 PM</v>
      </c>
      <c r="BR647" t="str">
        <f>"10:00 PM"</f>
        <v>10:00 PM</v>
      </c>
      <c r="BS647" t="s">
        <v>133</v>
      </c>
      <c r="BT647">
        <v>0</v>
      </c>
      <c r="BU647">
        <v>0</v>
      </c>
      <c r="BV647" t="s">
        <v>134</v>
      </c>
      <c r="BX647" s="2" t="s">
        <v>579</v>
      </c>
      <c r="BY647" t="s">
        <v>9646</v>
      </c>
      <c r="CA647" t="s">
        <v>9647</v>
      </c>
      <c r="CB647" t="s">
        <v>631</v>
      </c>
      <c r="CC647" s="4" t="str">
        <f>"74470"</f>
        <v>74470</v>
      </c>
      <c r="CD647" t="s">
        <v>9652</v>
      </c>
      <c r="CE647" t="s">
        <v>7018</v>
      </c>
      <c r="CF647" s="6">
        <v>9.2899999999999991</v>
      </c>
      <c r="CG647" s="6">
        <v>11.72</v>
      </c>
      <c r="CJ647" t="s">
        <v>137</v>
      </c>
      <c r="CK647" t="s">
        <v>549</v>
      </c>
      <c r="CL647" t="s">
        <v>9653</v>
      </c>
      <c r="CO647" t="s">
        <v>138</v>
      </c>
      <c r="CP647" t="s">
        <v>114</v>
      </c>
      <c r="CQ647" t="s">
        <v>114</v>
      </c>
      <c r="CR647" t="s">
        <v>134</v>
      </c>
      <c r="CS647" t="s">
        <v>114</v>
      </c>
      <c r="CT647" t="s">
        <v>114</v>
      </c>
      <c r="CU647" t="s">
        <v>114</v>
      </c>
      <c r="CV647" t="s">
        <v>5923</v>
      </c>
      <c r="CW647" s="5" t="str">
        <f>"+19188557775"</f>
        <v>+19188557775</v>
      </c>
      <c r="CX647" t="s">
        <v>9651</v>
      </c>
      <c r="CY647" t="s">
        <v>138</v>
      </c>
      <c r="CZ647" t="s">
        <v>139</v>
      </c>
      <c r="DA647" t="s">
        <v>134</v>
      </c>
      <c r="DB647" t="s">
        <v>114</v>
      </c>
      <c r="DC647" t="s">
        <v>114</v>
      </c>
      <c r="DD647" t="s">
        <v>134</v>
      </c>
    </row>
    <row r="648" spans="1:113" ht="15" customHeight="1" x14ac:dyDescent="0.25">
      <c r="A648" t="s">
        <v>8703</v>
      </c>
      <c r="B648" t="s">
        <v>165</v>
      </c>
      <c r="C648" s="1">
        <v>44861.832024074072</v>
      </c>
      <c r="D648" s="1">
        <v>44888</v>
      </c>
      <c r="E648" t="s">
        <v>134</v>
      </c>
      <c r="F648" t="s">
        <v>1315</v>
      </c>
      <c r="G648" t="str">
        <f>"39-3091.00"</f>
        <v>39-3091.00</v>
      </c>
      <c r="H648" t="s">
        <v>362</v>
      </c>
      <c r="I648">
        <v>40</v>
      </c>
      <c r="J648">
        <v>40</v>
      </c>
      <c r="K648" s="1">
        <v>44936</v>
      </c>
      <c r="L648" s="1">
        <v>45234</v>
      </c>
      <c r="M648" s="1">
        <v>44936</v>
      </c>
      <c r="N648" s="1">
        <v>45234</v>
      </c>
      <c r="O648" t="s">
        <v>199</v>
      </c>
      <c r="P648" t="s">
        <v>5103</v>
      </c>
      <c r="R648" t="s">
        <v>5104</v>
      </c>
      <c r="T648" t="s">
        <v>5105</v>
      </c>
      <c r="U648" t="s">
        <v>319</v>
      </c>
      <c r="V648" s="4" t="str">
        <f>"55047"</f>
        <v>55047</v>
      </c>
      <c r="W648" t="s">
        <v>120</v>
      </c>
      <c r="Y648" s="5">
        <v>16513386884</v>
      </c>
      <c r="Z648">
        <v>0</v>
      </c>
      <c r="AA648">
        <v>71119</v>
      </c>
      <c r="AB648" t="s">
        <v>5106</v>
      </c>
      <c r="AC648" t="s">
        <v>5107</v>
      </c>
      <c r="AE648" t="s">
        <v>424</v>
      </c>
      <c r="AF648" t="s">
        <v>5104</v>
      </c>
      <c r="AH648" t="s">
        <v>5105</v>
      </c>
      <c r="AI648" t="s">
        <v>319</v>
      </c>
      <c r="AJ648" s="4" t="str">
        <f>"55047"</f>
        <v>55047</v>
      </c>
      <c r="AK648" t="s">
        <v>120</v>
      </c>
      <c r="AM648" s="5">
        <v>16513386884</v>
      </c>
      <c r="AN648">
        <v>0</v>
      </c>
      <c r="AO648" t="s">
        <v>5108</v>
      </c>
      <c r="AP648" t="s">
        <v>256</v>
      </c>
      <c r="AQ648" t="s">
        <v>535</v>
      </c>
      <c r="AR648" t="s">
        <v>536</v>
      </c>
      <c r="AS648" t="s">
        <v>537</v>
      </c>
      <c r="AT648" t="s">
        <v>538</v>
      </c>
      <c r="AU648" t="s">
        <v>539</v>
      </c>
      <c r="AV648" t="s">
        <v>540</v>
      </c>
      <c r="AW648" t="s">
        <v>232</v>
      </c>
      <c r="AX648" s="4" t="str">
        <f>"78550"</f>
        <v>78550</v>
      </c>
      <c r="AY648" t="s">
        <v>120</v>
      </c>
      <c r="BA648" s="5">
        <v>19564408720</v>
      </c>
      <c r="BB648">
        <v>0</v>
      </c>
      <c r="BC648" t="s">
        <v>542</v>
      </c>
      <c r="BD648" t="s">
        <v>543</v>
      </c>
      <c r="BG648" t="s">
        <v>319</v>
      </c>
      <c r="BH648" s="1">
        <v>44860.833333333336</v>
      </c>
      <c r="BI648">
        <v>40</v>
      </c>
      <c r="BJ648">
        <v>8</v>
      </c>
      <c r="BK648">
        <v>0</v>
      </c>
      <c r="BL648">
        <v>0</v>
      </c>
      <c r="BM648">
        <v>8</v>
      </c>
      <c r="BN648">
        <v>8</v>
      </c>
      <c r="BO648">
        <v>8</v>
      </c>
      <c r="BP648">
        <v>8</v>
      </c>
      <c r="BQ648" t="str">
        <f>"1:00 PM"</f>
        <v>1:00 PM</v>
      </c>
      <c r="BR648" t="str">
        <f>"10:00 PM"</f>
        <v>10:00 PM</v>
      </c>
      <c r="BS648" t="s">
        <v>133</v>
      </c>
      <c r="BT648">
        <v>0</v>
      </c>
      <c r="BU648">
        <v>0</v>
      </c>
      <c r="BV648" t="s">
        <v>134</v>
      </c>
      <c r="BX648" s="2" t="s">
        <v>1324</v>
      </c>
      <c r="BY648" t="s">
        <v>5110</v>
      </c>
      <c r="CA648" t="s">
        <v>1950</v>
      </c>
      <c r="CB648" t="s">
        <v>631</v>
      </c>
      <c r="CC648" s="4" t="str">
        <f>"74804"</f>
        <v>74804</v>
      </c>
      <c r="CD648" t="s">
        <v>5111</v>
      </c>
      <c r="CE648" t="s">
        <v>892</v>
      </c>
      <c r="CF648" s="6">
        <v>9.3000000000000007</v>
      </c>
      <c r="CG648" s="6">
        <v>12.16</v>
      </c>
      <c r="CH648" s="6">
        <v>0</v>
      </c>
      <c r="CI648" s="6">
        <v>0</v>
      </c>
      <c r="CJ648" t="s">
        <v>137</v>
      </c>
      <c r="CK648" t="s">
        <v>549</v>
      </c>
      <c r="CL648" t="s">
        <v>8704</v>
      </c>
      <c r="CO648" t="s">
        <v>138</v>
      </c>
      <c r="CP648" t="s">
        <v>114</v>
      </c>
      <c r="CQ648" t="s">
        <v>114</v>
      </c>
      <c r="CR648" t="s">
        <v>134</v>
      </c>
      <c r="CS648" t="s">
        <v>114</v>
      </c>
      <c r="CT648" t="s">
        <v>114</v>
      </c>
      <c r="CU648" t="s">
        <v>114</v>
      </c>
      <c r="CV648" t="s">
        <v>8705</v>
      </c>
      <c r="CW648" s="5" t="str">
        <f>"+16513386884"</f>
        <v>+16513386884</v>
      </c>
      <c r="CX648" t="s">
        <v>5108</v>
      </c>
      <c r="CY648" t="s">
        <v>138</v>
      </c>
      <c r="CZ648" t="s">
        <v>139</v>
      </c>
      <c r="DA648" t="s">
        <v>134</v>
      </c>
      <c r="DB648" t="s">
        <v>114</v>
      </c>
      <c r="DC648" t="s">
        <v>114</v>
      </c>
      <c r="DD648" t="s">
        <v>134</v>
      </c>
    </row>
    <row r="649" spans="1:113" ht="15" customHeight="1" x14ac:dyDescent="0.25">
      <c r="A649" t="s">
        <v>12240</v>
      </c>
      <c r="B649" t="s">
        <v>165</v>
      </c>
      <c r="C649" s="1">
        <v>44852.636932986112</v>
      </c>
      <c r="D649" s="1">
        <v>44887</v>
      </c>
      <c r="E649" t="s">
        <v>134</v>
      </c>
      <c r="F649" t="s">
        <v>1106</v>
      </c>
      <c r="G649" t="str">
        <f>"45-4011.00"</f>
        <v>45-4011.00</v>
      </c>
      <c r="H649" t="s">
        <v>1107</v>
      </c>
      <c r="I649">
        <v>30</v>
      </c>
      <c r="J649">
        <v>30</v>
      </c>
      <c r="K649" s="1">
        <v>44927</v>
      </c>
      <c r="L649" s="1">
        <v>45199</v>
      </c>
      <c r="M649" s="1">
        <v>44927</v>
      </c>
      <c r="N649" s="1">
        <v>45199</v>
      </c>
      <c r="O649" t="s">
        <v>117</v>
      </c>
      <c r="P649" t="s">
        <v>12241</v>
      </c>
      <c r="R649" t="s">
        <v>12242</v>
      </c>
      <c r="T649" t="s">
        <v>2119</v>
      </c>
      <c r="U649" t="s">
        <v>511</v>
      </c>
      <c r="V649" s="4" t="str">
        <f>"97502"</f>
        <v>97502</v>
      </c>
      <c r="W649" t="s">
        <v>120</v>
      </c>
      <c r="Y649" s="5">
        <v>15413247635</v>
      </c>
      <c r="AA649">
        <v>11531</v>
      </c>
      <c r="AB649" t="s">
        <v>2911</v>
      </c>
      <c r="AC649" t="s">
        <v>12243</v>
      </c>
      <c r="AE649" t="s">
        <v>424</v>
      </c>
      <c r="AF649" t="s">
        <v>12242</v>
      </c>
      <c r="AH649" t="s">
        <v>2119</v>
      </c>
      <c r="AI649" t="s">
        <v>511</v>
      </c>
      <c r="AJ649" s="4" t="str">
        <f>"97502"</f>
        <v>97502</v>
      </c>
      <c r="AK649" t="s">
        <v>120</v>
      </c>
      <c r="AM649" s="5">
        <v>15413247635</v>
      </c>
      <c r="AO649" t="s">
        <v>12244</v>
      </c>
      <c r="AP649" t="s">
        <v>256</v>
      </c>
      <c r="AQ649" t="s">
        <v>2121</v>
      </c>
      <c r="AR649" t="s">
        <v>2122</v>
      </c>
      <c r="AS649" t="s">
        <v>138</v>
      </c>
      <c r="AT649" t="s">
        <v>1422</v>
      </c>
      <c r="AU649" t="s">
        <v>347</v>
      </c>
      <c r="AV649" t="s">
        <v>828</v>
      </c>
      <c r="AW649" t="s">
        <v>349</v>
      </c>
      <c r="AX649" s="4" t="str">
        <f>"83814"</f>
        <v>83814</v>
      </c>
      <c r="AY649" t="s">
        <v>120</v>
      </c>
      <c r="BA649" s="5">
        <v>12087772654</v>
      </c>
      <c r="BC649" t="s">
        <v>2123</v>
      </c>
      <c r="BD649" t="s">
        <v>351</v>
      </c>
      <c r="BG649" t="s">
        <v>511</v>
      </c>
      <c r="BH649" s="1">
        <v>44845.833333333336</v>
      </c>
      <c r="BI649">
        <v>40</v>
      </c>
      <c r="BJ649">
        <v>0</v>
      </c>
      <c r="BK649">
        <v>8</v>
      </c>
      <c r="BL649">
        <v>8</v>
      </c>
      <c r="BM649">
        <v>8</v>
      </c>
      <c r="BN649">
        <v>8</v>
      </c>
      <c r="BO649">
        <v>8</v>
      </c>
      <c r="BP649">
        <v>0</v>
      </c>
      <c r="BQ649" t="str">
        <f>"6:00 AM"</f>
        <v>6:00 AM</v>
      </c>
      <c r="BR649" t="str">
        <f>"2:00 PM"</f>
        <v>2:00 PM</v>
      </c>
      <c r="BS649" t="s">
        <v>133</v>
      </c>
      <c r="BT649">
        <v>0</v>
      </c>
      <c r="BU649">
        <v>0</v>
      </c>
      <c r="BV649" t="s">
        <v>134</v>
      </c>
      <c r="BX649" s="2" t="s">
        <v>2124</v>
      </c>
      <c r="BY649" t="s">
        <v>12245</v>
      </c>
      <c r="CA649" t="s">
        <v>12246</v>
      </c>
      <c r="CB649" t="s">
        <v>511</v>
      </c>
      <c r="CC649" s="4" t="str">
        <f>"97502"</f>
        <v>97502</v>
      </c>
      <c r="CD649" t="s">
        <v>1116</v>
      </c>
      <c r="CE649" t="s">
        <v>1117</v>
      </c>
      <c r="CF649" s="6">
        <v>15.5</v>
      </c>
      <c r="CG649" s="6">
        <v>33</v>
      </c>
      <c r="CH649" s="6">
        <v>23.25</v>
      </c>
      <c r="CI649" s="6">
        <v>49.5</v>
      </c>
      <c r="CJ649" t="s">
        <v>137</v>
      </c>
      <c r="CK649" t="s">
        <v>3195</v>
      </c>
      <c r="CL649" t="s">
        <v>12247</v>
      </c>
      <c r="CO649" t="s">
        <v>138</v>
      </c>
      <c r="CP649" t="s">
        <v>114</v>
      </c>
      <c r="CQ649" t="s">
        <v>114</v>
      </c>
      <c r="CR649" t="s">
        <v>114</v>
      </c>
      <c r="CS649" t="s">
        <v>114</v>
      </c>
      <c r="CT649" t="s">
        <v>114</v>
      </c>
      <c r="CU649" t="s">
        <v>114</v>
      </c>
      <c r="CV649" t="s">
        <v>358</v>
      </c>
      <c r="CW649" s="5" t="str">
        <f>"+15413247635"</f>
        <v>+15413247635</v>
      </c>
      <c r="CX649" t="s">
        <v>12244</v>
      </c>
      <c r="CY649" t="s">
        <v>138</v>
      </c>
      <c r="CZ649" t="s">
        <v>139</v>
      </c>
      <c r="DA649" t="s">
        <v>134</v>
      </c>
      <c r="DB649" t="s">
        <v>114</v>
      </c>
      <c r="DC649" t="s">
        <v>114</v>
      </c>
      <c r="DD649" t="s">
        <v>134</v>
      </c>
    </row>
    <row r="650" spans="1:113" ht="15" customHeight="1" x14ac:dyDescent="0.25">
      <c r="A650" t="s">
        <v>9687</v>
      </c>
      <c r="B650" t="s">
        <v>165</v>
      </c>
      <c r="C650" s="1">
        <v>44848.906735648146</v>
      </c>
      <c r="D650" s="1">
        <v>44887</v>
      </c>
      <c r="E650" t="s">
        <v>114</v>
      </c>
      <c r="F650" t="s">
        <v>416</v>
      </c>
      <c r="G650" t="str">
        <f>"37-2011.00"</f>
        <v>37-2011.00</v>
      </c>
      <c r="H650" t="s">
        <v>672</v>
      </c>
      <c r="I650">
        <v>6</v>
      </c>
      <c r="J650">
        <v>6</v>
      </c>
      <c r="K650" s="1">
        <v>44923</v>
      </c>
      <c r="L650" s="1">
        <v>45016</v>
      </c>
      <c r="M650" s="1">
        <v>44923</v>
      </c>
      <c r="N650" s="1">
        <v>45016</v>
      </c>
      <c r="O650" t="s">
        <v>199</v>
      </c>
      <c r="P650" t="s">
        <v>9688</v>
      </c>
      <c r="R650" t="s">
        <v>9689</v>
      </c>
      <c r="T650" t="s">
        <v>4598</v>
      </c>
      <c r="U650" t="s">
        <v>420</v>
      </c>
      <c r="V650" s="4" t="str">
        <f>"84057"</f>
        <v>84057</v>
      </c>
      <c r="W650" t="s">
        <v>120</v>
      </c>
      <c r="Y650" s="5">
        <v>18012253456</v>
      </c>
      <c r="AA650">
        <v>56173</v>
      </c>
      <c r="AB650" t="s">
        <v>9690</v>
      </c>
      <c r="AC650" t="s">
        <v>8583</v>
      </c>
      <c r="AE650" t="s">
        <v>252</v>
      </c>
      <c r="AF650" t="s">
        <v>9689</v>
      </c>
      <c r="AH650" t="s">
        <v>4598</v>
      </c>
      <c r="AI650" t="s">
        <v>420</v>
      </c>
      <c r="AJ650" s="4" t="str">
        <f>"84057"</f>
        <v>84057</v>
      </c>
      <c r="AK650" t="s">
        <v>120</v>
      </c>
      <c r="AM650" s="5">
        <v>18012253456</v>
      </c>
      <c r="AO650" t="s">
        <v>9691</v>
      </c>
      <c r="AP650" t="s">
        <v>256</v>
      </c>
      <c r="AQ650" t="s">
        <v>426</v>
      </c>
      <c r="AR650" t="s">
        <v>427</v>
      </c>
      <c r="AT650" t="s">
        <v>428</v>
      </c>
      <c r="AV650" t="s">
        <v>429</v>
      </c>
      <c r="AW650" t="s">
        <v>420</v>
      </c>
      <c r="AX650" s="4" t="str">
        <f>"84059"</f>
        <v>84059</v>
      </c>
      <c r="AY650" t="s">
        <v>120</v>
      </c>
      <c r="BA650" s="5">
        <v>18013677097</v>
      </c>
      <c r="BC650" t="s">
        <v>430</v>
      </c>
      <c r="BD650" t="s">
        <v>431</v>
      </c>
      <c r="BG650" t="s">
        <v>420</v>
      </c>
      <c r="BH650" s="1">
        <v>44847.833333333336</v>
      </c>
      <c r="BI650">
        <v>35</v>
      </c>
      <c r="BJ650">
        <v>0</v>
      </c>
      <c r="BK650">
        <v>7</v>
      </c>
      <c r="BL650">
        <v>7</v>
      </c>
      <c r="BM650">
        <v>7</v>
      </c>
      <c r="BN650">
        <v>7</v>
      </c>
      <c r="BO650">
        <v>7</v>
      </c>
      <c r="BP650">
        <v>0</v>
      </c>
      <c r="BQ650" t="str">
        <f>"8:00 AM"</f>
        <v>8:00 AM</v>
      </c>
      <c r="BR650" t="str">
        <f>"3:30 PM"</f>
        <v>3:30 PM</v>
      </c>
      <c r="BS650" t="s">
        <v>133</v>
      </c>
      <c r="BT650">
        <v>0</v>
      </c>
      <c r="BU650">
        <v>0</v>
      </c>
      <c r="BV650" t="s">
        <v>134</v>
      </c>
      <c r="BX650" s="2" t="s">
        <v>432</v>
      </c>
      <c r="BY650" t="s">
        <v>9692</v>
      </c>
      <c r="CA650" t="s">
        <v>4598</v>
      </c>
      <c r="CB650" t="s">
        <v>420</v>
      </c>
      <c r="CC650" s="4" t="str">
        <f>"84058"</f>
        <v>84058</v>
      </c>
      <c r="CD650" t="s">
        <v>433</v>
      </c>
      <c r="CE650" t="s">
        <v>434</v>
      </c>
      <c r="CF650" s="6">
        <v>14.89</v>
      </c>
      <c r="CH650" s="6">
        <v>22.34</v>
      </c>
      <c r="CJ650" t="s">
        <v>137</v>
      </c>
      <c r="CK650" t="s">
        <v>5243</v>
      </c>
      <c r="CL650" t="s">
        <v>9693</v>
      </c>
      <c r="CO650" t="s">
        <v>114</v>
      </c>
      <c r="CP650" t="s">
        <v>114</v>
      </c>
      <c r="CQ650" t="s">
        <v>114</v>
      </c>
      <c r="CR650" t="s">
        <v>114</v>
      </c>
      <c r="CS650" t="s">
        <v>134</v>
      </c>
      <c r="CT650" t="s">
        <v>114</v>
      </c>
      <c r="CU650" t="s">
        <v>134</v>
      </c>
      <c r="CV650" t="s">
        <v>437</v>
      </c>
      <c r="CW650" s="5" t="str">
        <f>"+18012253456"</f>
        <v>+18012253456</v>
      </c>
      <c r="CX650" t="s">
        <v>9694</v>
      </c>
      <c r="CY650" t="s">
        <v>138</v>
      </c>
      <c r="CZ650" t="s">
        <v>139</v>
      </c>
      <c r="DA650" t="s">
        <v>134</v>
      </c>
      <c r="DB650" t="s">
        <v>134</v>
      </c>
      <c r="DC650" t="s">
        <v>114</v>
      </c>
      <c r="DD650" t="s">
        <v>134</v>
      </c>
    </row>
    <row r="651" spans="1:113" ht="15" customHeight="1" x14ac:dyDescent="0.25">
      <c r="A651" t="s">
        <v>10541</v>
      </c>
      <c r="B651" t="s">
        <v>165</v>
      </c>
      <c r="C651" s="1">
        <v>44836.826406365741</v>
      </c>
      <c r="D651" s="1">
        <v>44887</v>
      </c>
      <c r="E651" t="s">
        <v>134</v>
      </c>
      <c r="F651" t="s">
        <v>10542</v>
      </c>
      <c r="G651" t="str">
        <f>"51-3022.00"</f>
        <v>51-3022.00</v>
      </c>
      <c r="H651" t="s">
        <v>817</v>
      </c>
      <c r="I651">
        <v>150</v>
      </c>
      <c r="J651">
        <v>150</v>
      </c>
      <c r="K651" s="1">
        <v>44911</v>
      </c>
      <c r="L651" s="1">
        <v>45214</v>
      </c>
      <c r="M651" s="1">
        <v>44911</v>
      </c>
      <c r="N651" s="1">
        <v>45214</v>
      </c>
      <c r="O651" t="s">
        <v>117</v>
      </c>
      <c r="P651" t="s">
        <v>10543</v>
      </c>
      <c r="R651" t="s">
        <v>10544</v>
      </c>
      <c r="T651" t="s">
        <v>10545</v>
      </c>
      <c r="U651" t="s">
        <v>129</v>
      </c>
      <c r="V651" s="4" t="str">
        <f>"30517"</f>
        <v>30517</v>
      </c>
      <c r="W651" t="s">
        <v>120</v>
      </c>
      <c r="Y651" s="5">
        <v>17707804622</v>
      </c>
      <c r="AA651">
        <v>311615</v>
      </c>
      <c r="AB651" t="s">
        <v>10546</v>
      </c>
      <c r="AC651" t="s">
        <v>1125</v>
      </c>
      <c r="AD651" t="s">
        <v>2149</v>
      </c>
      <c r="AE651" t="s">
        <v>342</v>
      </c>
      <c r="AF651" t="s">
        <v>10544</v>
      </c>
      <c r="AH651" t="s">
        <v>10545</v>
      </c>
      <c r="AJ651" s="4" t="str">
        <f>"30517"</f>
        <v>30517</v>
      </c>
      <c r="AK651" t="s">
        <v>130</v>
      </c>
      <c r="AM651" s="5">
        <v>17707804622</v>
      </c>
      <c r="AO651" t="s">
        <v>10547</v>
      </c>
      <c r="AX651" s="4" t="str">
        <f>""</f>
        <v/>
      </c>
      <c r="BG651" t="s">
        <v>129</v>
      </c>
      <c r="BH651" s="1">
        <v>44835.833333333336</v>
      </c>
      <c r="BI651">
        <v>56</v>
      </c>
      <c r="BJ651">
        <v>8</v>
      </c>
      <c r="BK651">
        <v>8</v>
      </c>
      <c r="BL651">
        <v>8</v>
      </c>
      <c r="BM651">
        <v>8</v>
      </c>
      <c r="BN651">
        <v>8</v>
      </c>
      <c r="BO651">
        <v>8</v>
      </c>
      <c r="BP651">
        <v>8</v>
      </c>
      <c r="BQ651" t="str">
        <f>"4:00 PM"</f>
        <v>4:00 PM</v>
      </c>
      <c r="BR651" t="str">
        <f>"12:00 PM"</f>
        <v>12:00 PM</v>
      </c>
      <c r="BS651" t="s">
        <v>133</v>
      </c>
      <c r="BT651">
        <v>0</v>
      </c>
      <c r="BU651">
        <v>0</v>
      </c>
      <c r="BV651" t="s">
        <v>134</v>
      </c>
      <c r="BX651" t="s">
        <v>10548</v>
      </c>
      <c r="BY651" t="s">
        <v>10544</v>
      </c>
      <c r="CA651" t="s">
        <v>10545</v>
      </c>
      <c r="CB651" t="s">
        <v>129</v>
      </c>
      <c r="CC651" s="4" t="str">
        <f>"30517"</f>
        <v>30517</v>
      </c>
      <c r="CD651" t="s">
        <v>1116</v>
      </c>
      <c r="CE651" t="s">
        <v>4108</v>
      </c>
      <c r="CF651" s="6">
        <v>13.24</v>
      </c>
      <c r="CG651" s="6">
        <v>13.24</v>
      </c>
      <c r="CH651" s="6">
        <v>19.86</v>
      </c>
      <c r="CI651" s="6">
        <v>19.86</v>
      </c>
      <c r="CJ651" t="s">
        <v>137</v>
      </c>
      <c r="CK651" t="s">
        <v>10549</v>
      </c>
      <c r="CL651" t="s">
        <v>10550</v>
      </c>
      <c r="CO651" t="s">
        <v>138</v>
      </c>
      <c r="CP651" t="s">
        <v>134</v>
      </c>
      <c r="CQ651" t="s">
        <v>134</v>
      </c>
      <c r="CR651" t="s">
        <v>114</v>
      </c>
      <c r="CS651" t="s">
        <v>134</v>
      </c>
      <c r="CT651" t="s">
        <v>114</v>
      </c>
      <c r="CU651" t="s">
        <v>134</v>
      </c>
      <c r="CV651" t="s">
        <v>10551</v>
      </c>
      <c r="CW651" s="5" t="str">
        <f>"N/A"</f>
        <v>N/A</v>
      </c>
      <c r="CX651" t="s">
        <v>10547</v>
      </c>
      <c r="CY651" t="s">
        <v>6018</v>
      </c>
      <c r="CZ651" t="s">
        <v>139</v>
      </c>
      <c r="DA651" t="s">
        <v>134</v>
      </c>
      <c r="DB651" t="s">
        <v>134</v>
      </c>
      <c r="DC651" t="s">
        <v>114</v>
      </c>
      <c r="DD651" t="s">
        <v>134</v>
      </c>
    </row>
    <row r="652" spans="1:113" ht="15" customHeight="1" x14ac:dyDescent="0.25">
      <c r="A652" t="s">
        <v>11469</v>
      </c>
      <c r="B652" t="s">
        <v>165</v>
      </c>
      <c r="C652" s="1">
        <v>44831.86500416667</v>
      </c>
      <c r="D652" s="1">
        <v>44887</v>
      </c>
      <c r="E652" t="s">
        <v>134</v>
      </c>
      <c r="F652" t="s">
        <v>11470</v>
      </c>
      <c r="G652" t="str">
        <f>"45-4011.00"</f>
        <v>45-4011.00</v>
      </c>
      <c r="H652" t="s">
        <v>1107</v>
      </c>
      <c r="I652">
        <v>10</v>
      </c>
      <c r="J652">
        <v>10</v>
      </c>
      <c r="K652" s="1">
        <v>44911</v>
      </c>
      <c r="L652" s="1">
        <v>45092</v>
      </c>
      <c r="M652" s="1">
        <v>44911</v>
      </c>
      <c r="N652" s="1">
        <v>45092</v>
      </c>
      <c r="O652" t="s">
        <v>199</v>
      </c>
      <c r="P652" t="s">
        <v>11471</v>
      </c>
      <c r="R652" t="s">
        <v>11472</v>
      </c>
      <c r="T652" t="s">
        <v>11473</v>
      </c>
      <c r="U652" t="s">
        <v>394</v>
      </c>
      <c r="V652" s="4" t="str">
        <f>"29728"</f>
        <v>29728</v>
      </c>
      <c r="W652" t="s">
        <v>120</v>
      </c>
      <c r="Y652" s="5">
        <v>18436801911</v>
      </c>
      <c r="AA652">
        <v>11321</v>
      </c>
      <c r="AB652" t="s">
        <v>11474</v>
      </c>
      <c r="AC652" t="s">
        <v>8069</v>
      </c>
      <c r="AE652" t="s">
        <v>424</v>
      </c>
      <c r="AF652" t="s">
        <v>11472</v>
      </c>
      <c r="AH652" t="s">
        <v>11473</v>
      </c>
      <c r="AI652" t="s">
        <v>394</v>
      </c>
      <c r="AJ652" s="4" t="str">
        <f>"29728"</f>
        <v>29728</v>
      </c>
      <c r="AK652" t="s">
        <v>120</v>
      </c>
      <c r="AM652" s="5">
        <v>18435170748</v>
      </c>
      <c r="AO652" t="s">
        <v>11475</v>
      </c>
      <c r="AX652" s="4" t="str">
        <f>""</f>
        <v/>
      </c>
      <c r="BG652" t="s">
        <v>394</v>
      </c>
      <c r="BH652" s="1">
        <v>44830.833333333336</v>
      </c>
      <c r="BI652">
        <v>40</v>
      </c>
      <c r="BJ652">
        <v>0</v>
      </c>
      <c r="BK652">
        <v>8</v>
      </c>
      <c r="BL652">
        <v>8</v>
      </c>
      <c r="BM652">
        <v>8</v>
      </c>
      <c r="BN652">
        <v>8</v>
      </c>
      <c r="BO652">
        <v>8</v>
      </c>
      <c r="BP652">
        <v>0</v>
      </c>
      <c r="BQ652" t="str">
        <f>"7:00 AM"</f>
        <v>7:00 AM</v>
      </c>
      <c r="BR652" t="str">
        <f>"3:00 PM"</f>
        <v>3:00 PM</v>
      </c>
      <c r="BS652" t="s">
        <v>133</v>
      </c>
      <c r="BT652">
        <v>0</v>
      </c>
      <c r="BU652">
        <v>0</v>
      </c>
      <c r="BV652" t="s">
        <v>134</v>
      </c>
      <c r="BX652" s="2" t="s">
        <v>11476</v>
      </c>
      <c r="BY652" t="s">
        <v>11477</v>
      </c>
      <c r="CA652" t="s">
        <v>11473</v>
      </c>
      <c r="CB652" t="s">
        <v>394</v>
      </c>
      <c r="CC652" s="4" t="str">
        <f>"29728"</f>
        <v>29728</v>
      </c>
      <c r="CD652" t="s">
        <v>696</v>
      </c>
      <c r="CE652" t="s">
        <v>4065</v>
      </c>
      <c r="CF652" s="6">
        <v>14.02</v>
      </c>
      <c r="CH652" s="6">
        <v>21.05</v>
      </c>
      <c r="CJ652" t="s">
        <v>2907</v>
      </c>
      <c r="CK652" t="s">
        <v>11478</v>
      </c>
      <c r="CL652" t="s">
        <v>11479</v>
      </c>
      <c r="CO652" t="s">
        <v>138</v>
      </c>
      <c r="CP652" t="s">
        <v>114</v>
      </c>
      <c r="CQ652" t="s">
        <v>114</v>
      </c>
      <c r="CR652" t="s">
        <v>114</v>
      </c>
      <c r="CS652" t="s">
        <v>114</v>
      </c>
      <c r="CT652" t="s">
        <v>114</v>
      </c>
      <c r="CU652" t="s">
        <v>114</v>
      </c>
      <c r="CV652" t="s">
        <v>11480</v>
      </c>
      <c r="CW652" s="5" t="str">
        <f>"+18435170748"</f>
        <v>+18435170748</v>
      </c>
      <c r="CX652" t="s">
        <v>11475</v>
      </c>
      <c r="CY652" t="s">
        <v>138</v>
      </c>
      <c r="CZ652" t="s">
        <v>139</v>
      </c>
      <c r="DA652" t="s">
        <v>134</v>
      </c>
      <c r="DB652" t="s">
        <v>134</v>
      </c>
      <c r="DC652" t="s">
        <v>114</v>
      </c>
      <c r="DD652" t="s">
        <v>134</v>
      </c>
    </row>
    <row r="653" spans="1:113" ht="15" customHeight="1" x14ac:dyDescent="0.25">
      <c r="A653" t="s">
        <v>7651</v>
      </c>
      <c r="B653" t="s">
        <v>165</v>
      </c>
      <c r="C653" s="1">
        <v>44861.863684490738</v>
      </c>
      <c r="D653" s="1">
        <v>44886</v>
      </c>
      <c r="E653" t="s">
        <v>134</v>
      </c>
      <c r="F653" t="s">
        <v>3920</v>
      </c>
      <c r="G653" t="str">
        <f>"35-3023.00"</f>
        <v>35-3023.00</v>
      </c>
      <c r="H653" t="s">
        <v>555</v>
      </c>
      <c r="I653">
        <v>15</v>
      </c>
      <c r="J653">
        <v>15</v>
      </c>
      <c r="K653" s="1">
        <v>44941</v>
      </c>
      <c r="L653" s="1">
        <v>45244</v>
      </c>
      <c r="M653" s="1">
        <v>44941</v>
      </c>
      <c r="N653" s="1">
        <v>45244</v>
      </c>
      <c r="O653" t="s">
        <v>199</v>
      </c>
      <c r="P653" t="s">
        <v>7652</v>
      </c>
      <c r="R653" t="s">
        <v>7653</v>
      </c>
      <c r="T653" t="s">
        <v>7654</v>
      </c>
      <c r="U653" t="s">
        <v>748</v>
      </c>
      <c r="V653" s="4" t="str">
        <f>"16127"</f>
        <v>16127</v>
      </c>
      <c r="W653" t="s">
        <v>120</v>
      </c>
      <c r="Y653" s="5">
        <v>14124186418</v>
      </c>
      <c r="Z653">
        <v>0</v>
      </c>
      <c r="AA653">
        <v>7139</v>
      </c>
      <c r="AB653" t="s">
        <v>7655</v>
      </c>
      <c r="AC653" t="s">
        <v>5943</v>
      </c>
      <c r="AE653" t="s">
        <v>424</v>
      </c>
      <c r="AF653" t="s">
        <v>7656</v>
      </c>
      <c r="AH653" t="s">
        <v>7657</v>
      </c>
      <c r="AI653" t="s">
        <v>748</v>
      </c>
      <c r="AJ653" s="4" t="str">
        <f>"16127"</f>
        <v>16127</v>
      </c>
      <c r="AK653" t="s">
        <v>120</v>
      </c>
      <c r="AM653" s="5">
        <v>14124186418</v>
      </c>
      <c r="AN653">
        <v>0</v>
      </c>
      <c r="AO653" t="s">
        <v>7658</v>
      </c>
      <c r="AP653" t="s">
        <v>256</v>
      </c>
      <c r="AQ653" t="s">
        <v>535</v>
      </c>
      <c r="AR653" t="s">
        <v>536</v>
      </c>
      <c r="AS653" t="s">
        <v>537</v>
      </c>
      <c r="AT653" t="s">
        <v>538</v>
      </c>
      <c r="AU653" t="s">
        <v>539</v>
      </c>
      <c r="AV653" t="s">
        <v>540</v>
      </c>
      <c r="AW653" t="s">
        <v>232</v>
      </c>
      <c r="AX653" s="4" t="str">
        <f>"78550"</f>
        <v>78550</v>
      </c>
      <c r="AY653" t="s">
        <v>120</v>
      </c>
      <c r="BA653" s="5">
        <v>19564408720</v>
      </c>
      <c r="BB653">
        <v>0</v>
      </c>
      <c r="BC653" t="s">
        <v>542</v>
      </c>
      <c r="BD653" t="s">
        <v>543</v>
      </c>
      <c r="BG653" t="s">
        <v>748</v>
      </c>
      <c r="BH653" s="1">
        <v>44860.833333333336</v>
      </c>
      <c r="BI653">
        <v>40</v>
      </c>
      <c r="BJ653">
        <v>8</v>
      </c>
      <c r="BK653">
        <v>0</v>
      </c>
      <c r="BL653">
        <v>0</v>
      </c>
      <c r="BM653">
        <v>8</v>
      </c>
      <c r="BN653">
        <v>8</v>
      </c>
      <c r="BO653">
        <v>8</v>
      </c>
      <c r="BP653">
        <v>8</v>
      </c>
      <c r="BQ653" t="str">
        <f>"1:00 PM"</f>
        <v>1:00 PM</v>
      </c>
      <c r="BR653" t="str">
        <f>"10:00 PM"</f>
        <v>10:00 PM</v>
      </c>
      <c r="BS653" t="s">
        <v>133</v>
      </c>
      <c r="BT653">
        <v>0</v>
      </c>
      <c r="BU653">
        <v>0</v>
      </c>
      <c r="BV653" t="s">
        <v>134</v>
      </c>
      <c r="BX653" t="s">
        <v>3921</v>
      </c>
      <c r="BY653" t="s">
        <v>7653</v>
      </c>
      <c r="CA653" t="s">
        <v>7654</v>
      </c>
      <c r="CB653" t="s">
        <v>748</v>
      </c>
      <c r="CC653" s="4" t="str">
        <f>"16127"</f>
        <v>16127</v>
      </c>
      <c r="CD653" t="s">
        <v>4321</v>
      </c>
      <c r="CE653" t="s">
        <v>5788</v>
      </c>
      <c r="CF653" s="6">
        <v>10.3</v>
      </c>
      <c r="CG653" s="6">
        <v>11.42</v>
      </c>
      <c r="CH653" s="6">
        <v>0</v>
      </c>
      <c r="CI653" s="6">
        <v>0</v>
      </c>
      <c r="CJ653" t="s">
        <v>137</v>
      </c>
      <c r="CK653" t="s">
        <v>549</v>
      </c>
      <c r="CL653" t="s">
        <v>7659</v>
      </c>
      <c r="CO653" t="s">
        <v>138</v>
      </c>
      <c r="CP653" t="s">
        <v>114</v>
      </c>
      <c r="CQ653" t="s">
        <v>114</v>
      </c>
      <c r="CR653" t="s">
        <v>134</v>
      </c>
      <c r="CS653" t="s">
        <v>114</v>
      </c>
      <c r="CT653" t="s">
        <v>114</v>
      </c>
      <c r="CU653" t="s">
        <v>114</v>
      </c>
      <c r="CV653" t="s">
        <v>1330</v>
      </c>
      <c r="CW653" s="5" t="str">
        <f>"+14124186418"</f>
        <v>+14124186418</v>
      </c>
      <c r="CX653" t="s">
        <v>7658</v>
      </c>
      <c r="CY653" t="s">
        <v>138</v>
      </c>
      <c r="CZ653" t="s">
        <v>139</v>
      </c>
      <c r="DA653" t="s">
        <v>134</v>
      </c>
      <c r="DB653" t="s">
        <v>114</v>
      </c>
      <c r="DC653" t="s">
        <v>114</v>
      </c>
      <c r="DD653" t="s">
        <v>134</v>
      </c>
    </row>
    <row r="654" spans="1:113" ht="15" customHeight="1" x14ac:dyDescent="0.25">
      <c r="A654" t="s">
        <v>6676</v>
      </c>
      <c r="B654" t="s">
        <v>165</v>
      </c>
      <c r="C654" s="1">
        <v>44861.8225318287</v>
      </c>
      <c r="D654" s="1">
        <v>44886</v>
      </c>
      <c r="E654" t="s">
        <v>134</v>
      </c>
      <c r="F654" t="s">
        <v>571</v>
      </c>
      <c r="G654" t="str">
        <f>"35-3023.00"</f>
        <v>35-3023.00</v>
      </c>
      <c r="H654" t="s">
        <v>555</v>
      </c>
      <c r="I654">
        <v>30</v>
      </c>
      <c r="J654">
        <v>30</v>
      </c>
      <c r="K654" s="1">
        <v>44939</v>
      </c>
      <c r="L654" s="1">
        <v>45242</v>
      </c>
      <c r="M654" s="1">
        <v>44939</v>
      </c>
      <c r="N654" s="1">
        <v>45242</v>
      </c>
      <c r="O654" t="s">
        <v>199</v>
      </c>
      <c r="P654" t="s">
        <v>6677</v>
      </c>
      <c r="R654" t="s">
        <v>6678</v>
      </c>
      <c r="S654" t="s">
        <v>6679</v>
      </c>
      <c r="T654" t="s">
        <v>6680</v>
      </c>
      <c r="U654" t="s">
        <v>154</v>
      </c>
      <c r="V654" s="4" t="str">
        <f>"34638"</f>
        <v>34638</v>
      </c>
      <c r="W654" t="s">
        <v>120</v>
      </c>
      <c r="Y654" s="5">
        <v>18133354354</v>
      </c>
      <c r="AA654">
        <v>71399</v>
      </c>
      <c r="AB654" t="s">
        <v>6681</v>
      </c>
      <c r="AC654" t="s">
        <v>2136</v>
      </c>
      <c r="AD654" t="s">
        <v>1470</v>
      </c>
      <c r="AE654" t="s">
        <v>342</v>
      </c>
      <c r="AF654" t="s">
        <v>6678</v>
      </c>
      <c r="AG654" t="s">
        <v>6679</v>
      </c>
      <c r="AH654" t="s">
        <v>6680</v>
      </c>
      <c r="AI654" t="s">
        <v>154</v>
      </c>
      <c r="AJ654" s="4" t="str">
        <f>"34638"</f>
        <v>34638</v>
      </c>
      <c r="AK654" t="s">
        <v>120</v>
      </c>
      <c r="AM654" s="5">
        <v>18133354354</v>
      </c>
      <c r="AO654" t="s">
        <v>6682</v>
      </c>
      <c r="AP654" t="s">
        <v>256</v>
      </c>
      <c r="AQ654" t="s">
        <v>535</v>
      </c>
      <c r="AR654" t="s">
        <v>536</v>
      </c>
      <c r="AS654" t="s">
        <v>537</v>
      </c>
      <c r="AT654" t="s">
        <v>538</v>
      </c>
      <c r="AU654" t="s">
        <v>539</v>
      </c>
      <c r="AV654" t="s">
        <v>540</v>
      </c>
      <c r="AW654" t="s">
        <v>232</v>
      </c>
      <c r="AX654" s="4" t="str">
        <f>"78550"</f>
        <v>78550</v>
      </c>
      <c r="AY654" t="s">
        <v>120</v>
      </c>
      <c r="BA654" s="5">
        <v>19564408720</v>
      </c>
      <c r="BB654">
        <v>0</v>
      </c>
      <c r="BC654" t="s">
        <v>1022</v>
      </c>
      <c r="BD654" t="s">
        <v>543</v>
      </c>
      <c r="BG654" t="s">
        <v>154</v>
      </c>
      <c r="BH654" s="1">
        <v>44860.833333333336</v>
      </c>
      <c r="BI654">
        <v>40</v>
      </c>
      <c r="BJ654">
        <v>8</v>
      </c>
      <c r="BK654">
        <v>0</v>
      </c>
      <c r="BL654">
        <v>0</v>
      </c>
      <c r="BM654">
        <v>8</v>
      </c>
      <c r="BN654">
        <v>8</v>
      </c>
      <c r="BO654">
        <v>8</v>
      </c>
      <c r="BP654">
        <v>8</v>
      </c>
      <c r="BQ654" t="str">
        <f>"1:00 PM"</f>
        <v>1:00 PM</v>
      </c>
      <c r="BR654" t="str">
        <f>"10:00 PM"</f>
        <v>10:00 PM</v>
      </c>
      <c r="BS654" t="s">
        <v>133</v>
      </c>
      <c r="BT654">
        <v>0</v>
      </c>
      <c r="BU654">
        <v>0</v>
      </c>
      <c r="BV654" t="s">
        <v>134</v>
      </c>
      <c r="BX654" s="2" t="s">
        <v>579</v>
      </c>
      <c r="BY654" t="s">
        <v>6683</v>
      </c>
      <c r="CA654" t="s">
        <v>5434</v>
      </c>
      <c r="CB654" t="s">
        <v>154</v>
      </c>
      <c r="CC654" s="4" t="str">
        <f>"34610"</f>
        <v>34610</v>
      </c>
      <c r="CD654" t="s">
        <v>6684</v>
      </c>
      <c r="CE654" t="s">
        <v>567</v>
      </c>
      <c r="CF654" s="6">
        <v>9.51</v>
      </c>
      <c r="CG654" s="6">
        <v>13.66</v>
      </c>
      <c r="CJ654" t="s">
        <v>137</v>
      </c>
      <c r="CK654" t="s">
        <v>549</v>
      </c>
      <c r="CL654" t="s">
        <v>6685</v>
      </c>
      <c r="CO654" t="s">
        <v>138</v>
      </c>
      <c r="CP654" t="s">
        <v>114</v>
      </c>
      <c r="CQ654" t="s">
        <v>114</v>
      </c>
      <c r="CR654" t="s">
        <v>134</v>
      </c>
      <c r="CS654" t="s">
        <v>114</v>
      </c>
      <c r="CT654" t="s">
        <v>114</v>
      </c>
      <c r="CU654" t="s">
        <v>114</v>
      </c>
      <c r="CV654" t="s">
        <v>6686</v>
      </c>
      <c r="CW654" s="5" t="str">
        <f>"+18133354352"</f>
        <v>+18133354352</v>
      </c>
      <c r="CX654" t="s">
        <v>6682</v>
      </c>
      <c r="CY654" t="s">
        <v>138</v>
      </c>
      <c r="CZ654" t="s">
        <v>139</v>
      </c>
      <c r="DA654" t="s">
        <v>134</v>
      </c>
      <c r="DB654" t="s">
        <v>114</v>
      </c>
      <c r="DC654" t="s">
        <v>114</v>
      </c>
      <c r="DD654" t="s">
        <v>134</v>
      </c>
    </row>
    <row r="655" spans="1:113" ht="15" customHeight="1" x14ac:dyDescent="0.25">
      <c r="A655" t="s">
        <v>12248</v>
      </c>
      <c r="B655" t="s">
        <v>165</v>
      </c>
      <c r="C655" s="1">
        <v>44861.785367013887</v>
      </c>
      <c r="D655" s="1">
        <v>44886</v>
      </c>
      <c r="E655" t="s">
        <v>134</v>
      </c>
      <c r="F655" t="s">
        <v>3920</v>
      </c>
      <c r="G655" t="str">
        <f>"35-3023.00"</f>
        <v>35-3023.00</v>
      </c>
      <c r="H655" t="s">
        <v>555</v>
      </c>
      <c r="I655">
        <v>30</v>
      </c>
      <c r="J655">
        <v>30</v>
      </c>
      <c r="K655" s="1">
        <v>44936</v>
      </c>
      <c r="L655" s="1">
        <v>45230</v>
      </c>
      <c r="M655" s="1">
        <v>44936</v>
      </c>
      <c r="N655" s="1">
        <v>45230</v>
      </c>
      <c r="O655" t="s">
        <v>199</v>
      </c>
      <c r="P655" t="s">
        <v>12249</v>
      </c>
      <c r="Q655" t="s">
        <v>12250</v>
      </c>
      <c r="R655" t="s">
        <v>12251</v>
      </c>
      <c r="T655" t="s">
        <v>7657</v>
      </c>
      <c r="U655" t="s">
        <v>748</v>
      </c>
      <c r="V655" s="4" t="str">
        <f>"16127"</f>
        <v>16127</v>
      </c>
      <c r="W655" t="s">
        <v>120</v>
      </c>
      <c r="Y655" s="5">
        <v>17247484788</v>
      </c>
      <c r="Z655">
        <v>0</v>
      </c>
      <c r="AA655">
        <v>7139</v>
      </c>
      <c r="AB655" t="s">
        <v>7655</v>
      </c>
      <c r="AC655" t="s">
        <v>173</v>
      </c>
      <c r="AE655" t="s">
        <v>342</v>
      </c>
      <c r="AF655" t="s">
        <v>12251</v>
      </c>
      <c r="AH655" t="s">
        <v>7657</v>
      </c>
      <c r="AI655" t="s">
        <v>748</v>
      </c>
      <c r="AJ655" s="4" t="str">
        <f>"16127"</f>
        <v>16127</v>
      </c>
      <c r="AK655" t="s">
        <v>120</v>
      </c>
      <c r="AM655" s="5">
        <v>14126385087</v>
      </c>
      <c r="AN655">
        <v>0</v>
      </c>
      <c r="AO655" t="s">
        <v>12252</v>
      </c>
      <c r="AP655" t="s">
        <v>256</v>
      </c>
      <c r="AQ655" t="s">
        <v>535</v>
      </c>
      <c r="AR655" t="s">
        <v>536</v>
      </c>
      <c r="AS655" t="s">
        <v>537</v>
      </c>
      <c r="AT655" t="s">
        <v>538</v>
      </c>
      <c r="AU655" t="s">
        <v>539</v>
      </c>
      <c r="AV655" t="s">
        <v>540</v>
      </c>
      <c r="AW655" t="s">
        <v>232</v>
      </c>
      <c r="AX655" s="4" t="str">
        <f>"78550"</f>
        <v>78550</v>
      </c>
      <c r="AY655" t="s">
        <v>120</v>
      </c>
      <c r="AZ655" t="s">
        <v>541</v>
      </c>
      <c r="BA655" s="5">
        <v>19564408720</v>
      </c>
      <c r="BB655">
        <v>0</v>
      </c>
      <c r="BC655" t="s">
        <v>542</v>
      </c>
      <c r="BD655" t="s">
        <v>543</v>
      </c>
      <c r="BG655" t="s">
        <v>748</v>
      </c>
      <c r="BH655" s="1">
        <v>44860.833333333336</v>
      </c>
      <c r="BI655">
        <v>40</v>
      </c>
      <c r="BJ655">
        <v>8</v>
      </c>
      <c r="BK655">
        <v>0</v>
      </c>
      <c r="BL655">
        <v>0</v>
      </c>
      <c r="BM655">
        <v>8</v>
      </c>
      <c r="BN655">
        <v>8</v>
      </c>
      <c r="BO655">
        <v>8</v>
      </c>
      <c r="BP655">
        <v>8</v>
      </c>
      <c r="BQ655" t="str">
        <f>"1:00 PM"</f>
        <v>1:00 PM</v>
      </c>
      <c r="BR655" t="str">
        <f>"10:00 PM"</f>
        <v>10:00 PM</v>
      </c>
      <c r="BS655" t="s">
        <v>133</v>
      </c>
      <c r="BT655">
        <v>0</v>
      </c>
      <c r="BU655">
        <v>0</v>
      </c>
      <c r="BV655" t="s">
        <v>134</v>
      </c>
      <c r="BX655" t="s">
        <v>3921</v>
      </c>
      <c r="BY655" t="s">
        <v>12253</v>
      </c>
      <c r="CA655" t="s">
        <v>7654</v>
      </c>
      <c r="CB655" t="s">
        <v>748</v>
      </c>
      <c r="CC655" s="4" t="str">
        <f>"16127"</f>
        <v>16127</v>
      </c>
      <c r="CD655" t="s">
        <v>4321</v>
      </c>
      <c r="CE655" t="s">
        <v>5788</v>
      </c>
      <c r="CF655" s="6">
        <v>9.57</v>
      </c>
      <c r="CG655" s="6">
        <v>13.99</v>
      </c>
      <c r="CH655" s="6">
        <v>0</v>
      </c>
      <c r="CI655" s="6">
        <v>0</v>
      </c>
      <c r="CJ655" t="s">
        <v>137</v>
      </c>
      <c r="CK655" t="s">
        <v>549</v>
      </c>
      <c r="CL655" t="s">
        <v>12254</v>
      </c>
      <c r="CO655" t="s">
        <v>138</v>
      </c>
      <c r="CP655" t="s">
        <v>114</v>
      </c>
      <c r="CQ655" t="s">
        <v>114</v>
      </c>
      <c r="CR655" t="s">
        <v>134</v>
      </c>
      <c r="CS655" t="s">
        <v>114</v>
      </c>
      <c r="CT655" t="s">
        <v>114</v>
      </c>
      <c r="CU655" t="s">
        <v>114</v>
      </c>
      <c r="CV655" t="s">
        <v>3675</v>
      </c>
      <c r="CW655" s="5" t="str">
        <f>"+17247484788"</f>
        <v>+17247484788</v>
      </c>
      <c r="CX655" t="s">
        <v>12252</v>
      </c>
      <c r="CY655" t="s">
        <v>138</v>
      </c>
      <c r="CZ655" t="s">
        <v>139</v>
      </c>
      <c r="DA655" t="s">
        <v>134</v>
      </c>
      <c r="DB655" t="s">
        <v>114</v>
      </c>
      <c r="DC655" t="s">
        <v>114</v>
      </c>
      <c r="DD655" t="s">
        <v>134</v>
      </c>
    </row>
    <row r="656" spans="1:113" ht="15" customHeight="1" x14ac:dyDescent="0.25">
      <c r="A656" t="s">
        <v>10573</v>
      </c>
      <c r="B656" t="s">
        <v>165</v>
      </c>
      <c r="C656" s="1">
        <v>44861.384633333335</v>
      </c>
      <c r="D656" s="1">
        <v>44886</v>
      </c>
      <c r="E656" t="s">
        <v>134</v>
      </c>
      <c r="F656" t="s">
        <v>9193</v>
      </c>
      <c r="G656" t="str">
        <f>"37-3011.00"</f>
        <v>37-3011.00</v>
      </c>
      <c r="H656" t="s">
        <v>335</v>
      </c>
      <c r="I656">
        <v>5</v>
      </c>
      <c r="J656">
        <v>5</v>
      </c>
      <c r="K656" s="1">
        <v>44950</v>
      </c>
      <c r="L656" s="1">
        <v>45252</v>
      </c>
      <c r="M656" s="1">
        <v>44950</v>
      </c>
      <c r="N656" s="1">
        <v>45252</v>
      </c>
      <c r="O656" t="s">
        <v>117</v>
      </c>
      <c r="P656" t="s">
        <v>2609</v>
      </c>
      <c r="Q656" t="s">
        <v>2610</v>
      </c>
      <c r="R656" t="s">
        <v>2611</v>
      </c>
      <c r="S656" t="s">
        <v>2612</v>
      </c>
      <c r="T656" t="s">
        <v>2613</v>
      </c>
      <c r="U656" t="s">
        <v>1003</v>
      </c>
      <c r="V656" s="4" t="str">
        <f>"07930"</f>
        <v>07930</v>
      </c>
      <c r="W656" t="s">
        <v>120</v>
      </c>
      <c r="Y656" s="5">
        <v>19088797189</v>
      </c>
      <c r="AA656">
        <v>11133</v>
      </c>
      <c r="AB656" t="s">
        <v>2614</v>
      </c>
      <c r="AC656" t="s">
        <v>2615</v>
      </c>
      <c r="AD656" t="s">
        <v>2271</v>
      </c>
      <c r="AE656" t="s">
        <v>1567</v>
      </c>
      <c r="AF656" t="s">
        <v>2611</v>
      </c>
      <c r="AG656" t="s">
        <v>2612</v>
      </c>
      <c r="AH656" t="s">
        <v>2613</v>
      </c>
      <c r="AI656" t="s">
        <v>1003</v>
      </c>
      <c r="AJ656" s="4" t="str">
        <f>"07930"</f>
        <v>07930</v>
      </c>
      <c r="AK656" t="s">
        <v>120</v>
      </c>
      <c r="AM656" s="5">
        <v>19088797189</v>
      </c>
      <c r="AO656" t="s">
        <v>2616</v>
      </c>
      <c r="AP656" t="s">
        <v>256</v>
      </c>
      <c r="AQ656" t="s">
        <v>2048</v>
      </c>
      <c r="AR656" t="s">
        <v>2049</v>
      </c>
      <c r="AS656" t="s">
        <v>1378</v>
      </c>
      <c r="AT656" t="s">
        <v>2050</v>
      </c>
      <c r="AU656" t="s">
        <v>138</v>
      </c>
      <c r="AV656" t="s">
        <v>1285</v>
      </c>
      <c r="AW656" t="s">
        <v>232</v>
      </c>
      <c r="AX656" s="4" t="str">
        <f>"77414"</f>
        <v>77414</v>
      </c>
      <c r="AY656" t="s">
        <v>120</v>
      </c>
      <c r="BA656" s="5">
        <v>19793187278</v>
      </c>
      <c r="BC656" t="s">
        <v>2051</v>
      </c>
      <c r="BD656" t="s">
        <v>1287</v>
      </c>
      <c r="BG656" t="s">
        <v>1003</v>
      </c>
      <c r="BH656" s="1">
        <v>44859.833333333336</v>
      </c>
      <c r="BI656">
        <v>56</v>
      </c>
      <c r="BJ656">
        <v>8</v>
      </c>
      <c r="BK656">
        <v>8</v>
      </c>
      <c r="BL656">
        <v>8</v>
      </c>
      <c r="BM656">
        <v>8</v>
      </c>
      <c r="BN656">
        <v>8</v>
      </c>
      <c r="BO656">
        <v>8</v>
      </c>
      <c r="BP656">
        <v>8</v>
      </c>
      <c r="BQ656" t="str">
        <f>"7:00 AM"</f>
        <v>7:00 AM</v>
      </c>
      <c r="BR656" t="str">
        <f>"7:00 PM"</f>
        <v>7:00 PM</v>
      </c>
      <c r="BS656" t="s">
        <v>133</v>
      </c>
      <c r="BT656">
        <v>0</v>
      </c>
      <c r="BU656">
        <v>0</v>
      </c>
      <c r="BV656" t="s">
        <v>134</v>
      </c>
      <c r="BX656" s="2" t="s">
        <v>9194</v>
      </c>
      <c r="BY656" t="s">
        <v>2611</v>
      </c>
      <c r="BZ656" t="s">
        <v>138</v>
      </c>
      <c r="CA656" t="s">
        <v>2613</v>
      </c>
      <c r="CB656" t="s">
        <v>1003</v>
      </c>
      <c r="CC656" s="4" t="str">
        <f>"07930"</f>
        <v>07930</v>
      </c>
      <c r="CD656" t="s">
        <v>1640</v>
      </c>
      <c r="CE656" t="s">
        <v>1009</v>
      </c>
      <c r="CF656" s="6">
        <v>19.940000000000001</v>
      </c>
      <c r="CH656" s="6">
        <v>29.91</v>
      </c>
      <c r="CJ656" t="s">
        <v>137</v>
      </c>
      <c r="CK656" t="s">
        <v>2461</v>
      </c>
      <c r="CL656" t="s">
        <v>9195</v>
      </c>
      <c r="CO656" t="s">
        <v>138</v>
      </c>
      <c r="CP656" t="s">
        <v>114</v>
      </c>
      <c r="CQ656" t="s">
        <v>114</v>
      </c>
      <c r="CR656" t="s">
        <v>114</v>
      </c>
      <c r="CS656" t="s">
        <v>114</v>
      </c>
      <c r="CT656" t="s">
        <v>114</v>
      </c>
      <c r="CU656" t="s">
        <v>114</v>
      </c>
      <c r="CV656" t="s">
        <v>2618</v>
      </c>
      <c r="CW656" s="5" t="str">
        <f>"+19088797189"</f>
        <v>+19088797189</v>
      </c>
      <c r="CX656" t="s">
        <v>2619</v>
      </c>
      <c r="CY656" t="s">
        <v>138</v>
      </c>
      <c r="CZ656" t="s">
        <v>139</v>
      </c>
      <c r="DA656" t="s">
        <v>134</v>
      </c>
      <c r="DB656" t="s">
        <v>134</v>
      </c>
      <c r="DC656" t="s">
        <v>114</v>
      </c>
      <c r="DD656" t="s">
        <v>134</v>
      </c>
    </row>
    <row r="657" spans="1:108" ht="15" customHeight="1" x14ac:dyDescent="0.25">
      <c r="A657" t="s">
        <v>10510</v>
      </c>
      <c r="B657" t="s">
        <v>165</v>
      </c>
      <c r="C657" s="1">
        <v>44861.068744097225</v>
      </c>
      <c r="D657" s="1">
        <v>44886</v>
      </c>
      <c r="E657" t="s">
        <v>114</v>
      </c>
      <c r="F657" t="s">
        <v>335</v>
      </c>
      <c r="G657" t="str">
        <f>"37-3011.00"</f>
        <v>37-3011.00</v>
      </c>
      <c r="H657" t="s">
        <v>335</v>
      </c>
      <c r="I657">
        <v>16</v>
      </c>
      <c r="J657">
        <v>16</v>
      </c>
      <c r="K657" s="1">
        <v>44951</v>
      </c>
      <c r="L657" s="1">
        <v>45245</v>
      </c>
      <c r="M657" s="1">
        <v>44951</v>
      </c>
      <c r="N657" s="1">
        <v>45245</v>
      </c>
      <c r="O657" t="s">
        <v>117</v>
      </c>
      <c r="P657" t="s">
        <v>10511</v>
      </c>
      <c r="R657" t="s">
        <v>10512</v>
      </c>
      <c r="T657" t="s">
        <v>10513</v>
      </c>
      <c r="U657" t="s">
        <v>214</v>
      </c>
      <c r="V657" s="4" t="str">
        <f>"70420"</f>
        <v>70420</v>
      </c>
      <c r="W657" t="s">
        <v>120</v>
      </c>
      <c r="Y657" s="5">
        <v>19853739139</v>
      </c>
      <c r="AA657">
        <v>56173</v>
      </c>
      <c r="AB657" t="s">
        <v>10514</v>
      </c>
      <c r="AC657" t="s">
        <v>8047</v>
      </c>
      <c r="AE657" t="s">
        <v>1849</v>
      </c>
      <c r="AF657" t="s">
        <v>10515</v>
      </c>
      <c r="AH657" t="s">
        <v>10516</v>
      </c>
      <c r="AI657" t="s">
        <v>214</v>
      </c>
      <c r="AJ657" s="4" t="str">
        <f>"70420"</f>
        <v>70420</v>
      </c>
      <c r="AK657" t="s">
        <v>120</v>
      </c>
      <c r="AM657" s="5">
        <v>19853739139</v>
      </c>
      <c r="AO657" t="s">
        <v>10517</v>
      </c>
      <c r="AP657" t="s">
        <v>256</v>
      </c>
      <c r="AQ657" t="s">
        <v>1615</v>
      </c>
      <c r="AR657" t="s">
        <v>1616</v>
      </c>
      <c r="AT657" t="s">
        <v>1617</v>
      </c>
      <c r="AV657" t="s">
        <v>1618</v>
      </c>
      <c r="AW657" t="s">
        <v>444</v>
      </c>
      <c r="AX657" s="4" t="str">
        <f>"93446"</f>
        <v>93446</v>
      </c>
      <c r="AY657" t="s">
        <v>120</v>
      </c>
      <c r="AZ657" t="s">
        <v>1619</v>
      </c>
      <c r="BA657" s="5">
        <v>13217042589</v>
      </c>
      <c r="BC657" t="s">
        <v>1620</v>
      </c>
      <c r="BD657" t="s">
        <v>1621</v>
      </c>
      <c r="BG657" t="s">
        <v>214</v>
      </c>
      <c r="BH657" s="1">
        <v>44857.833333333336</v>
      </c>
      <c r="BI657">
        <v>45</v>
      </c>
      <c r="BJ657">
        <v>0</v>
      </c>
      <c r="BK657">
        <v>7.5</v>
      </c>
      <c r="BL657">
        <v>7.5</v>
      </c>
      <c r="BM657">
        <v>7.5</v>
      </c>
      <c r="BN657">
        <v>7.5</v>
      </c>
      <c r="BO657">
        <v>7.5</v>
      </c>
      <c r="BP657">
        <v>7.5</v>
      </c>
      <c r="BQ657" t="str">
        <f>"8:00 AM"</f>
        <v>8:00 AM</v>
      </c>
      <c r="BR657" t="str">
        <f>"5:00 PM"</f>
        <v>5:00 PM</v>
      </c>
      <c r="BS657" t="s">
        <v>133</v>
      </c>
      <c r="BT657">
        <v>0</v>
      </c>
      <c r="BU657">
        <v>0</v>
      </c>
      <c r="BV657" t="s">
        <v>134</v>
      </c>
      <c r="BX657" s="2" t="s">
        <v>10518</v>
      </c>
      <c r="BY657" t="s">
        <v>10512</v>
      </c>
      <c r="CA657" t="s">
        <v>10513</v>
      </c>
      <c r="CB657" t="s">
        <v>214</v>
      </c>
      <c r="CC657" s="4" t="str">
        <f>"70420"</f>
        <v>70420</v>
      </c>
      <c r="CD657" t="s">
        <v>4589</v>
      </c>
      <c r="CE657" t="s">
        <v>2289</v>
      </c>
      <c r="CF657" s="6">
        <v>14.84</v>
      </c>
      <c r="CG657" s="6">
        <v>14.84</v>
      </c>
      <c r="CH657" s="6">
        <v>22.26</v>
      </c>
      <c r="CI657" s="6">
        <v>22.26</v>
      </c>
      <c r="CJ657" t="s">
        <v>137</v>
      </c>
      <c r="CK657" t="s">
        <v>10519</v>
      </c>
      <c r="CL657" t="s">
        <v>10520</v>
      </c>
      <c r="CO657" t="s">
        <v>138</v>
      </c>
      <c r="CP657" t="s">
        <v>114</v>
      </c>
      <c r="CQ657" t="s">
        <v>114</v>
      </c>
      <c r="CR657" t="s">
        <v>114</v>
      </c>
      <c r="CS657" t="s">
        <v>114</v>
      </c>
      <c r="CT657" t="s">
        <v>114</v>
      </c>
      <c r="CU657" t="s">
        <v>114</v>
      </c>
      <c r="CV657" s="2" t="s">
        <v>10521</v>
      </c>
      <c r="CW657" s="5" t="str">
        <f>"+19853739139"</f>
        <v>+19853739139</v>
      </c>
      <c r="CX657" t="s">
        <v>10522</v>
      </c>
      <c r="CY657" t="s">
        <v>138</v>
      </c>
      <c r="CZ657" t="s">
        <v>139</v>
      </c>
      <c r="DA657" t="s">
        <v>134</v>
      </c>
      <c r="DB657" t="s">
        <v>134</v>
      </c>
      <c r="DC657" t="s">
        <v>114</v>
      </c>
      <c r="DD657" t="s">
        <v>134</v>
      </c>
    </row>
    <row r="658" spans="1:108" ht="15" customHeight="1" x14ac:dyDescent="0.25">
      <c r="A658" t="s">
        <v>15883</v>
      </c>
      <c r="B658" t="s">
        <v>165</v>
      </c>
      <c r="C658" s="1">
        <v>44860.651325810184</v>
      </c>
      <c r="D658" s="1">
        <v>44886</v>
      </c>
      <c r="E658" t="s">
        <v>134</v>
      </c>
      <c r="F658" t="s">
        <v>361</v>
      </c>
      <c r="G658" t="str">
        <f>"39-3091.00"</f>
        <v>39-3091.00</v>
      </c>
      <c r="H658" t="s">
        <v>362</v>
      </c>
      <c r="I658">
        <v>63</v>
      </c>
      <c r="J658">
        <v>63</v>
      </c>
      <c r="K658" s="1">
        <v>44943</v>
      </c>
      <c r="L658" s="1">
        <v>45245</v>
      </c>
      <c r="M658" s="1">
        <v>44943</v>
      </c>
      <c r="N658" s="1">
        <v>45245</v>
      </c>
      <c r="O658" t="s">
        <v>199</v>
      </c>
      <c r="P658" t="s">
        <v>15884</v>
      </c>
      <c r="R658" t="s">
        <v>15885</v>
      </c>
      <c r="T658" t="s">
        <v>3704</v>
      </c>
      <c r="U658" t="s">
        <v>154</v>
      </c>
      <c r="V658" s="4" t="str">
        <f>"32824"</f>
        <v>32824</v>
      </c>
      <c r="W658" t="s">
        <v>120</v>
      </c>
      <c r="Y658" s="5">
        <v>14078553939</v>
      </c>
      <c r="Z658">
        <v>0</v>
      </c>
      <c r="AA658">
        <v>71399</v>
      </c>
      <c r="AB658" t="s">
        <v>11486</v>
      </c>
      <c r="AC658" t="s">
        <v>15886</v>
      </c>
      <c r="AE658" t="s">
        <v>15887</v>
      </c>
      <c r="AF658" t="s">
        <v>15885</v>
      </c>
      <c r="AH658" t="s">
        <v>3704</v>
      </c>
      <c r="AI658" t="s">
        <v>154</v>
      </c>
      <c r="AJ658" s="4" t="str">
        <f>"32824-7723"</f>
        <v>32824-7723</v>
      </c>
      <c r="AK658" t="s">
        <v>120</v>
      </c>
      <c r="AM658" s="5">
        <v>14078553939</v>
      </c>
      <c r="AN658">
        <v>0</v>
      </c>
      <c r="AO658" t="s">
        <v>15888</v>
      </c>
      <c r="AP658" t="s">
        <v>122</v>
      </c>
      <c r="AQ658" t="s">
        <v>369</v>
      </c>
      <c r="AR658" t="s">
        <v>370</v>
      </c>
      <c r="AS658" t="s">
        <v>371</v>
      </c>
      <c r="AT658" t="s">
        <v>372</v>
      </c>
      <c r="AU658" t="s">
        <v>373</v>
      </c>
      <c r="AV658" t="s">
        <v>374</v>
      </c>
      <c r="AW658" t="s">
        <v>339</v>
      </c>
      <c r="AX658" s="4" t="str">
        <f>"21401"</f>
        <v>21401</v>
      </c>
      <c r="AY658" t="s">
        <v>120</v>
      </c>
      <c r="BA658" s="5">
        <v>14105739955</v>
      </c>
      <c r="BB658">
        <v>0</v>
      </c>
      <c r="BC658" t="s">
        <v>375</v>
      </c>
      <c r="BD658" t="s">
        <v>376</v>
      </c>
      <c r="BE658" t="s">
        <v>339</v>
      </c>
      <c r="BF658" t="s">
        <v>377</v>
      </c>
      <c r="BG658" t="s">
        <v>154</v>
      </c>
      <c r="BH658" s="1">
        <v>44859.833333333336</v>
      </c>
      <c r="BI658">
        <v>35</v>
      </c>
      <c r="BJ658">
        <v>7</v>
      </c>
      <c r="BK658">
        <v>0</v>
      </c>
      <c r="BL658">
        <v>0</v>
      </c>
      <c r="BM658">
        <v>7</v>
      </c>
      <c r="BN658">
        <v>7</v>
      </c>
      <c r="BO658">
        <v>7</v>
      </c>
      <c r="BP658">
        <v>7</v>
      </c>
      <c r="BQ658" t="str">
        <f>"4:00 PM"</f>
        <v>4:00 PM</v>
      </c>
      <c r="BR658" t="str">
        <f>"11:00 PM"</f>
        <v>11:00 PM</v>
      </c>
      <c r="BS658" t="s">
        <v>133</v>
      </c>
      <c r="BT658">
        <v>0</v>
      </c>
      <c r="BU658">
        <v>0</v>
      </c>
      <c r="BV658" t="s">
        <v>134</v>
      </c>
      <c r="BX658" s="2" t="s">
        <v>15889</v>
      </c>
      <c r="BY658" t="s">
        <v>15890</v>
      </c>
      <c r="CA658" t="s">
        <v>1339</v>
      </c>
      <c r="CB658" t="s">
        <v>154</v>
      </c>
      <c r="CC658" s="4" t="str">
        <f>"32824"</f>
        <v>32824</v>
      </c>
      <c r="CD658" t="s">
        <v>2302</v>
      </c>
      <c r="CE658" t="s">
        <v>3159</v>
      </c>
      <c r="CF658" s="6">
        <v>9.2799999999999994</v>
      </c>
      <c r="CG658" s="6">
        <v>15.81</v>
      </c>
      <c r="CH658" s="6">
        <v>13.92</v>
      </c>
      <c r="CI658" s="6">
        <v>23.72</v>
      </c>
      <c r="CJ658" t="s">
        <v>137</v>
      </c>
      <c r="CK658" t="s">
        <v>15891</v>
      </c>
      <c r="CL658" t="s">
        <v>15892</v>
      </c>
      <c r="CO658" t="s">
        <v>138</v>
      </c>
      <c r="CP658" t="s">
        <v>114</v>
      </c>
      <c r="CQ658" t="s">
        <v>134</v>
      </c>
      <c r="CR658" t="s">
        <v>134</v>
      </c>
      <c r="CS658" t="s">
        <v>114</v>
      </c>
      <c r="CT658" t="s">
        <v>114</v>
      </c>
      <c r="CU658" t="s">
        <v>114</v>
      </c>
      <c r="CV658" t="s">
        <v>15893</v>
      </c>
      <c r="CW658" s="5" t="str">
        <f>"+14078553939"</f>
        <v>+14078553939</v>
      </c>
      <c r="CX658" t="s">
        <v>138</v>
      </c>
      <c r="CY658" t="s">
        <v>15894</v>
      </c>
      <c r="CZ658" t="s">
        <v>139</v>
      </c>
      <c r="DA658" t="s">
        <v>134</v>
      </c>
      <c r="DB658" t="s">
        <v>114</v>
      </c>
      <c r="DC658" t="s">
        <v>114</v>
      </c>
      <c r="DD658" t="s">
        <v>134</v>
      </c>
    </row>
    <row r="659" spans="1:108" ht="15" customHeight="1" x14ac:dyDescent="0.25">
      <c r="A659" t="s">
        <v>6644</v>
      </c>
      <c r="B659" t="s">
        <v>165</v>
      </c>
      <c r="C659" s="1">
        <v>44860.599873148145</v>
      </c>
      <c r="D659" s="1">
        <v>44886</v>
      </c>
      <c r="E659" t="s">
        <v>134</v>
      </c>
      <c r="F659" t="s">
        <v>2433</v>
      </c>
      <c r="G659" t="str">
        <f>"51-3022.00"</f>
        <v>51-3022.00</v>
      </c>
      <c r="H659" t="s">
        <v>817</v>
      </c>
      <c r="I659">
        <v>90</v>
      </c>
      <c r="J659">
        <v>90</v>
      </c>
      <c r="K659" s="1">
        <v>44935</v>
      </c>
      <c r="L659" s="1">
        <v>45199</v>
      </c>
      <c r="M659" s="1">
        <v>44935</v>
      </c>
      <c r="N659" s="1">
        <v>45199</v>
      </c>
      <c r="O659" t="s">
        <v>199</v>
      </c>
      <c r="P659" t="s">
        <v>6645</v>
      </c>
      <c r="R659" t="s">
        <v>6646</v>
      </c>
      <c r="S659" t="s">
        <v>789</v>
      </c>
      <c r="T659" t="s">
        <v>6647</v>
      </c>
      <c r="U659" t="s">
        <v>1593</v>
      </c>
      <c r="V659" s="4" t="str">
        <f>"04856"</f>
        <v>04856</v>
      </c>
      <c r="W659" t="s">
        <v>120</v>
      </c>
      <c r="Y659" s="5">
        <v>12075944444</v>
      </c>
      <c r="AA659">
        <v>31171</v>
      </c>
      <c r="AB659" t="s">
        <v>4586</v>
      </c>
      <c r="AC659" t="s">
        <v>1796</v>
      </c>
      <c r="AD659" t="s">
        <v>4474</v>
      </c>
      <c r="AE659" t="s">
        <v>5376</v>
      </c>
      <c r="AF659" t="s">
        <v>6646</v>
      </c>
      <c r="AG659" t="s">
        <v>789</v>
      </c>
      <c r="AH659" t="s">
        <v>6647</v>
      </c>
      <c r="AI659" t="s">
        <v>1593</v>
      </c>
      <c r="AJ659" s="4" t="str">
        <f>"04856"</f>
        <v>04856</v>
      </c>
      <c r="AK659" t="s">
        <v>120</v>
      </c>
      <c r="AM659" s="5">
        <v>12075944444</v>
      </c>
      <c r="AO659" t="s">
        <v>6648</v>
      </c>
      <c r="AP659" t="s">
        <v>122</v>
      </c>
      <c r="AQ659" t="s">
        <v>1399</v>
      </c>
      <c r="AR659" t="s">
        <v>1400</v>
      </c>
      <c r="AS659" t="s">
        <v>1401</v>
      </c>
      <c r="AT659" t="s">
        <v>1998</v>
      </c>
      <c r="AU659" t="s">
        <v>1402</v>
      </c>
      <c r="AV659" t="s">
        <v>1817</v>
      </c>
      <c r="AW659" t="s">
        <v>339</v>
      </c>
      <c r="AX659" s="4" t="str">
        <f>"21117"</f>
        <v>21117</v>
      </c>
      <c r="AY659" t="s">
        <v>120</v>
      </c>
      <c r="BA659" s="5">
        <v>14435014240</v>
      </c>
      <c r="BC659" t="s">
        <v>1818</v>
      </c>
      <c r="BD659" t="s">
        <v>1819</v>
      </c>
      <c r="BE659" t="s">
        <v>848</v>
      </c>
      <c r="BF659" t="s">
        <v>1820</v>
      </c>
      <c r="BG659" t="s">
        <v>821</v>
      </c>
      <c r="BH659" s="1">
        <v>44858.833333333336</v>
      </c>
      <c r="BI659">
        <v>40</v>
      </c>
      <c r="BJ659">
        <v>6</v>
      </c>
      <c r="BK659">
        <v>5</v>
      </c>
      <c r="BL659">
        <v>6</v>
      </c>
      <c r="BM659">
        <v>5</v>
      </c>
      <c r="BN659">
        <v>6</v>
      </c>
      <c r="BO659">
        <v>5</v>
      </c>
      <c r="BP659">
        <v>7</v>
      </c>
      <c r="BQ659" t="str">
        <f>"6:00 AM"</f>
        <v>6:00 AM</v>
      </c>
      <c r="BR659" t="str">
        <f>"12:00 AM"</f>
        <v>12:00 AM</v>
      </c>
      <c r="BS659" t="s">
        <v>133</v>
      </c>
      <c r="BT659">
        <v>0</v>
      </c>
      <c r="BU659">
        <v>0</v>
      </c>
      <c r="BV659" t="s">
        <v>134</v>
      </c>
      <c r="BX659" s="2" t="s">
        <v>6649</v>
      </c>
      <c r="BY659" t="s">
        <v>6650</v>
      </c>
      <c r="BZ659" t="s">
        <v>6651</v>
      </c>
      <c r="CA659" t="s">
        <v>6652</v>
      </c>
      <c r="CB659" t="s">
        <v>821</v>
      </c>
      <c r="CC659" s="4" t="str">
        <f>"99692"</f>
        <v>99692</v>
      </c>
      <c r="CD659" t="s">
        <v>5273</v>
      </c>
      <c r="CE659" t="s">
        <v>832</v>
      </c>
      <c r="CF659" s="6">
        <v>18.059999999999999</v>
      </c>
      <c r="CH659" s="6">
        <v>27.09</v>
      </c>
      <c r="CJ659" t="s">
        <v>137</v>
      </c>
      <c r="CK659" t="s">
        <v>6653</v>
      </c>
      <c r="CL659" t="s">
        <v>6654</v>
      </c>
      <c r="CO659" t="s">
        <v>138</v>
      </c>
      <c r="CP659" t="s">
        <v>114</v>
      </c>
      <c r="CQ659" t="s">
        <v>114</v>
      </c>
      <c r="CR659" t="s">
        <v>114</v>
      </c>
      <c r="CS659" t="s">
        <v>134</v>
      </c>
      <c r="CT659" t="s">
        <v>114</v>
      </c>
      <c r="CU659" t="s">
        <v>114</v>
      </c>
      <c r="CV659" t="s">
        <v>6655</v>
      </c>
      <c r="CW659" s="5" t="str">
        <f>"+12067064166"</f>
        <v>+12067064166</v>
      </c>
      <c r="CX659" t="s">
        <v>6656</v>
      </c>
      <c r="CY659" t="s">
        <v>138</v>
      </c>
      <c r="CZ659" t="s">
        <v>139</v>
      </c>
      <c r="DA659" t="s">
        <v>134</v>
      </c>
      <c r="DB659" t="s">
        <v>114</v>
      </c>
      <c r="DC659" t="s">
        <v>114</v>
      </c>
      <c r="DD659" t="s">
        <v>134</v>
      </c>
    </row>
    <row r="660" spans="1:108" ht="15" customHeight="1" x14ac:dyDescent="0.25">
      <c r="A660" t="s">
        <v>877</v>
      </c>
      <c r="B660" t="s">
        <v>165</v>
      </c>
      <c r="C660" s="1">
        <v>44860.460912731483</v>
      </c>
      <c r="D660" s="1">
        <v>44886</v>
      </c>
      <c r="E660" t="s">
        <v>134</v>
      </c>
      <c r="F660" t="s">
        <v>878</v>
      </c>
      <c r="G660" t="str">
        <f>"51-9198.00"</f>
        <v>51-9198.00</v>
      </c>
      <c r="H660" t="s">
        <v>277</v>
      </c>
      <c r="I660">
        <v>14</v>
      </c>
      <c r="J660">
        <v>14</v>
      </c>
      <c r="K660" s="1">
        <v>44941</v>
      </c>
      <c r="L660" s="1">
        <v>45244</v>
      </c>
      <c r="M660" s="1">
        <v>44941</v>
      </c>
      <c r="N660" s="1">
        <v>45244</v>
      </c>
      <c r="O660" t="s">
        <v>117</v>
      </c>
      <c r="P660" t="s">
        <v>879</v>
      </c>
      <c r="R660" t="s">
        <v>880</v>
      </c>
      <c r="T660" t="s">
        <v>881</v>
      </c>
      <c r="U660" t="s">
        <v>631</v>
      </c>
      <c r="V660" s="4" t="str">
        <f>"74562"</f>
        <v>74562</v>
      </c>
      <c r="W660" t="s">
        <v>120</v>
      </c>
      <c r="Y660" s="5">
        <v>15805872432</v>
      </c>
      <c r="AA660">
        <v>336212</v>
      </c>
      <c r="AB660" t="s">
        <v>882</v>
      </c>
      <c r="AC660" t="s">
        <v>883</v>
      </c>
      <c r="AD660" t="s">
        <v>259</v>
      </c>
      <c r="AE660" t="s">
        <v>342</v>
      </c>
      <c r="AF660" t="s">
        <v>880</v>
      </c>
      <c r="AH660" t="s">
        <v>881</v>
      </c>
      <c r="AI660" t="s">
        <v>631</v>
      </c>
      <c r="AJ660" s="4" t="str">
        <f>"74562"</f>
        <v>74562</v>
      </c>
      <c r="AK660" t="s">
        <v>120</v>
      </c>
      <c r="AM660" s="5">
        <v>15805872432</v>
      </c>
      <c r="AO660" t="s">
        <v>884</v>
      </c>
      <c r="AP660" t="s">
        <v>256</v>
      </c>
      <c r="AQ660" t="s">
        <v>885</v>
      </c>
      <c r="AR660" t="s">
        <v>886</v>
      </c>
      <c r="AT660" t="s">
        <v>887</v>
      </c>
      <c r="AV660" t="s">
        <v>888</v>
      </c>
      <c r="AW660" t="s">
        <v>232</v>
      </c>
      <c r="AX660" s="4" t="str">
        <f>"75098"</f>
        <v>75098</v>
      </c>
      <c r="AY660" t="s">
        <v>120</v>
      </c>
      <c r="BA660" s="5">
        <v>19724424244</v>
      </c>
      <c r="BC660" t="s">
        <v>889</v>
      </c>
      <c r="BD660" t="s">
        <v>890</v>
      </c>
      <c r="BG660" t="s">
        <v>631</v>
      </c>
      <c r="BH660" s="1">
        <v>44859.833333333336</v>
      </c>
      <c r="BI660">
        <v>40</v>
      </c>
      <c r="BJ660">
        <v>0</v>
      </c>
      <c r="BK660">
        <v>8</v>
      </c>
      <c r="BL660">
        <v>8</v>
      </c>
      <c r="BM660">
        <v>8</v>
      </c>
      <c r="BN660">
        <v>8</v>
      </c>
      <c r="BO660">
        <v>8</v>
      </c>
      <c r="BP660">
        <v>0</v>
      </c>
      <c r="BQ660" t="str">
        <f>"6:00 AM"</f>
        <v>6:00 AM</v>
      </c>
      <c r="BR660" t="str">
        <f>"4:00 PM"</f>
        <v>4:00 PM</v>
      </c>
      <c r="BS660" t="s">
        <v>133</v>
      </c>
      <c r="BT660">
        <v>0</v>
      </c>
      <c r="BU660">
        <v>0</v>
      </c>
      <c r="BV660" t="s">
        <v>134</v>
      </c>
      <c r="BX660" t="s">
        <v>219</v>
      </c>
      <c r="BY660" t="s">
        <v>880</v>
      </c>
      <c r="CA660" t="s">
        <v>881</v>
      </c>
      <c r="CB660" t="s">
        <v>631</v>
      </c>
      <c r="CC660" s="4" t="str">
        <f>"74562"</f>
        <v>74562</v>
      </c>
      <c r="CD660" t="s">
        <v>891</v>
      </c>
      <c r="CE660" t="s">
        <v>892</v>
      </c>
      <c r="CF660" s="6">
        <v>15.29</v>
      </c>
      <c r="CG660" s="6">
        <v>18</v>
      </c>
      <c r="CH660" s="6">
        <v>22.94</v>
      </c>
      <c r="CI660" s="6">
        <v>27</v>
      </c>
      <c r="CJ660" t="s">
        <v>137</v>
      </c>
      <c r="CL660" t="s">
        <v>893</v>
      </c>
      <c r="CO660" t="s">
        <v>138</v>
      </c>
      <c r="CP660" t="s">
        <v>134</v>
      </c>
      <c r="CQ660" t="s">
        <v>114</v>
      </c>
      <c r="CR660" t="s">
        <v>114</v>
      </c>
      <c r="CS660" t="s">
        <v>114</v>
      </c>
      <c r="CT660" t="s">
        <v>114</v>
      </c>
      <c r="CU660" t="s">
        <v>114</v>
      </c>
      <c r="CV660" t="s">
        <v>894</v>
      </c>
      <c r="CW660" s="5" t="str">
        <f>"+15805872432"</f>
        <v>+15805872432</v>
      </c>
      <c r="CX660" t="s">
        <v>138</v>
      </c>
      <c r="CY660" t="s">
        <v>895</v>
      </c>
      <c r="CZ660" t="s">
        <v>139</v>
      </c>
      <c r="DA660" t="s">
        <v>134</v>
      </c>
      <c r="DB660" t="s">
        <v>134</v>
      </c>
      <c r="DC660" t="s">
        <v>114</v>
      </c>
      <c r="DD660" t="s">
        <v>134</v>
      </c>
    </row>
    <row r="661" spans="1:108" ht="15" customHeight="1" x14ac:dyDescent="0.25">
      <c r="A661" t="s">
        <v>13841</v>
      </c>
      <c r="B661" t="s">
        <v>165</v>
      </c>
      <c r="C661" s="1">
        <v>44859.461202893515</v>
      </c>
      <c r="D661" s="1">
        <v>44886</v>
      </c>
      <c r="E661" t="s">
        <v>134</v>
      </c>
      <c r="F661" t="s">
        <v>334</v>
      </c>
      <c r="G661" t="str">
        <f>"37-3011.00"</f>
        <v>37-3011.00</v>
      </c>
      <c r="H661" t="s">
        <v>335</v>
      </c>
      <c r="I661">
        <v>15</v>
      </c>
      <c r="J661">
        <v>15</v>
      </c>
      <c r="K661" s="1">
        <v>44949</v>
      </c>
      <c r="L661" s="1">
        <v>45252</v>
      </c>
      <c r="M661" s="1">
        <v>44949</v>
      </c>
      <c r="N661" s="1">
        <v>45252</v>
      </c>
      <c r="O661" t="s">
        <v>117</v>
      </c>
      <c r="P661" t="s">
        <v>13842</v>
      </c>
      <c r="R661" t="s">
        <v>13843</v>
      </c>
      <c r="S661" t="s">
        <v>5648</v>
      </c>
      <c r="T661" t="s">
        <v>13844</v>
      </c>
      <c r="U661" t="s">
        <v>1003</v>
      </c>
      <c r="V661" s="4" t="str">
        <f>"07701"</f>
        <v>07701</v>
      </c>
      <c r="W661" t="s">
        <v>120</v>
      </c>
      <c r="Y661" s="5">
        <v>17325301466</v>
      </c>
      <c r="AA661">
        <v>56173</v>
      </c>
      <c r="AB661" t="s">
        <v>13845</v>
      </c>
      <c r="AC661" t="s">
        <v>1616</v>
      </c>
      <c r="AE661" t="s">
        <v>342</v>
      </c>
      <c r="AF661" t="s">
        <v>13843</v>
      </c>
      <c r="AG661" t="s">
        <v>5648</v>
      </c>
      <c r="AH661" t="s">
        <v>13844</v>
      </c>
      <c r="AI661" t="s">
        <v>1003</v>
      </c>
      <c r="AJ661" s="4" t="str">
        <f>"07701"</f>
        <v>07701</v>
      </c>
      <c r="AK661" t="s">
        <v>120</v>
      </c>
      <c r="AM661" s="5">
        <v>17325301466</v>
      </c>
      <c r="AO661" t="s">
        <v>13846</v>
      </c>
      <c r="AP661" t="s">
        <v>122</v>
      </c>
      <c r="AQ661" t="s">
        <v>1867</v>
      </c>
      <c r="AR661" t="s">
        <v>1868</v>
      </c>
      <c r="AS661" t="s">
        <v>1869</v>
      </c>
      <c r="AT661" t="s">
        <v>1870</v>
      </c>
      <c r="AU661" t="s">
        <v>1871</v>
      </c>
      <c r="AV661" t="s">
        <v>1872</v>
      </c>
      <c r="AW661" t="s">
        <v>1003</v>
      </c>
      <c r="AX661" s="4" t="str">
        <f>"08034"</f>
        <v>08034</v>
      </c>
      <c r="AY661" t="s">
        <v>120</v>
      </c>
      <c r="AZ661" t="s">
        <v>1873</v>
      </c>
      <c r="BA661" s="5">
        <v>18562819750</v>
      </c>
      <c r="BC661" t="s">
        <v>1874</v>
      </c>
      <c r="BD661" t="s">
        <v>1875</v>
      </c>
      <c r="BE661" t="s">
        <v>1003</v>
      </c>
      <c r="BF661" t="s">
        <v>5513</v>
      </c>
      <c r="BG661" t="s">
        <v>1003</v>
      </c>
      <c r="BH661" s="1">
        <v>44857.833333333336</v>
      </c>
      <c r="BI661">
        <v>40</v>
      </c>
      <c r="BJ661">
        <v>0</v>
      </c>
      <c r="BK661">
        <v>8</v>
      </c>
      <c r="BL661">
        <v>8</v>
      </c>
      <c r="BM661">
        <v>8</v>
      </c>
      <c r="BN661">
        <v>8</v>
      </c>
      <c r="BO661">
        <v>8</v>
      </c>
      <c r="BP661">
        <v>0</v>
      </c>
      <c r="BQ661" t="str">
        <f>"7:30 AM"</f>
        <v>7:30 AM</v>
      </c>
      <c r="BR661" t="str">
        <f>"4:00 PM"</f>
        <v>4:00 PM</v>
      </c>
      <c r="BS661" t="s">
        <v>133</v>
      </c>
      <c r="BT661">
        <v>0</v>
      </c>
      <c r="BU661">
        <v>0</v>
      </c>
      <c r="BV661" t="s">
        <v>134</v>
      </c>
      <c r="BX661" t="s">
        <v>138</v>
      </c>
      <c r="BY661" t="s">
        <v>13843</v>
      </c>
      <c r="BZ661" t="s">
        <v>5648</v>
      </c>
      <c r="CA661" t="s">
        <v>13844</v>
      </c>
      <c r="CB661" t="s">
        <v>1003</v>
      </c>
      <c r="CC661" s="4" t="str">
        <f>"07701"</f>
        <v>07701</v>
      </c>
      <c r="CD661" t="s">
        <v>1355</v>
      </c>
      <c r="CE661" t="s">
        <v>1009</v>
      </c>
      <c r="CF661" s="6">
        <v>19.940000000000001</v>
      </c>
      <c r="CG661" s="6">
        <v>19.940000000000001</v>
      </c>
      <c r="CH661" s="6">
        <v>29.91</v>
      </c>
      <c r="CI661" s="6">
        <v>29.91</v>
      </c>
      <c r="CJ661" t="s">
        <v>137</v>
      </c>
      <c r="CK661" t="s">
        <v>4071</v>
      </c>
      <c r="CL661" t="s">
        <v>13847</v>
      </c>
      <c r="CO661" t="s">
        <v>138</v>
      </c>
      <c r="CP661" t="s">
        <v>114</v>
      </c>
      <c r="CQ661" t="s">
        <v>114</v>
      </c>
      <c r="CR661" t="s">
        <v>114</v>
      </c>
      <c r="CS661" t="s">
        <v>114</v>
      </c>
      <c r="CT661" t="s">
        <v>114</v>
      </c>
      <c r="CU661" t="s">
        <v>134</v>
      </c>
      <c r="CV661" t="s">
        <v>133</v>
      </c>
      <c r="CW661" s="5" t="str">
        <f>"+17325301466"</f>
        <v>+17325301466</v>
      </c>
      <c r="CX661" t="s">
        <v>13848</v>
      </c>
      <c r="CY661" t="s">
        <v>138</v>
      </c>
      <c r="CZ661" t="s">
        <v>139</v>
      </c>
      <c r="DA661" t="s">
        <v>134</v>
      </c>
      <c r="DB661" t="s">
        <v>114</v>
      </c>
      <c r="DC661" t="s">
        <v>114</v>
      </c>
      <c r="DD661" t="s">
        <v>134</v>
      </c>
    </row>
    <row r="662" spans="1:108" ht="15" customHeight="1" x14ac:dyDescent="0.25">
      <c r="A662" t="s">
        <v>5182</v>
      </c>
      <c r="B662" t="s">
        <v>165</v>
      </c>
      <c r="C662" s="1">
        <v>44858.72342141204</v>
      </c>
      <c r="D662" s="1">
        <v>44886</v>
      </c>
      <c r="E662" t="s">
        <v>134</v>
      </c>
      <c r="F662" t="s">
        <v>1315</v>
      </c>
      <c r="G662" t="str">
        <f>"39-3091.00"</f>
        <v>39-3091.00</v>
      </c>
      <c r="H662" t="s">
        <v>362</v>
      </c>
      <c r="I662">
        <v>75</v>
      </c>
      <c r="J662">
        <v>75</v>
      </c>
      <c r="K662" s="1">
        <v>44943</v>
      </c>
      <c r="L662" s="1">
        <v>45246</v>
      </c>
      <c r="M662" s="1">
        <v>44943</v>
      </c>
      <c r="N662" s="1">
        <v>45246</v>
      </c>
      <c r="O662" t="s">
        <v>199</v>
      </c>
      <c r="P662" t="s">
        <v>5183</v>
      </c>
      <c r="R662" t="s">
        <v>5184</v>
      </c>
      <c r="S662" t="s">
        <v>5185</v>
      </c>
      <c r="T662" t="s">
        <v>5186</v>
      </c>
      <c r="U662" t="s">
        <v>214</v>
      </c>
      <c r="V662" s="4" t="str">
        <f>"70458"</f>
        <v>70458</v>
      </c>
      <c r="W662" t="s">
        <v>120</v>
      </c>
      <c r="Y662" s="5">
        <v>15049145856</v>
      </c>
      <c r="Z662">
        <v>0</v>
      </c>
      <c r="AA662">
        <v>71119</v>
      </c>
      <c r="AB662" t="s">
        <v>1677</v>
      </c>
      <c r="AC662" t="s">
        <v>5187</v>
      </c>
      <c r="AE662" t="s">
        <v>424</v>
      </c>
      <c r="AF662" t="s">
        <v>5184</v>
      </c>
      <c r="AG662" t="s">
        <v>5185</v>
      </c>
      <c r="AH662" t="s">
        <v>5186</v>
      </c>
      <c r="AI662" t="s">
        <v>214</v>
      </c>
      <c r="AJ662" s="4" t="str">
        <f>"70458"</f>
        <v>70458</v>
      </c>
      <c r="AK662" t="s">
        <v>120</v>
      </c>
      <c r="AM662" s="5">
        <v>15049145856</v>
      </c>
      <c r="AN662">
        <v>0</v>
      </c>
      <c r="AO662" t="s">
        <v>5188</v>
      </c>
      <c r="AP662" t="s">
        <v>256</v>
      </c>
      <c r="AQ662" t="s">
        <v>535</v>
      </c>
      <c r="AR662" t="s">
        <v>536</v>
      </c>
      <c r="AS662" t="s">
        <v>537</v>
      </c>
      <c r="AT662" t="s">
        <v>538</v>
      </c>
      <c r="AU662" t="s">
        <v>539</v>
      </c>
      <c r="AV662" t="s">
        <v>540</v>
      </c>
      <c r="AW662" t="s">
        <v>232</v>
      </c>
      <c r="AX662" s="4" t="str">
        <f>"78550"</f>
        <v>78550</v>
      </c>
      <c r="AY662" t="s">
        <v>120</v>
      </c>
      <c r="AZ662" t="s">
        <v>2835</v>
      </c>
      <c r="BA662" s="5">
        <v>19564408720</v>
      </c>
      <c r="BB662">
        <v>0</v>
      </c>
      <c r="BC662" t="s">
        <v>542</v>
      </c>
      <c r="BD662" t="s">
        <v>543</v>
      </c>
      <c r="BG662" t="s">
        <v>214</v>
      </c>
      <c r="BH662" s="1">
        <v>44857.833333333336</v>
      </c>
      <c r="BI662">
        <v>40</v>
      </c>
      <c r="BJ662">
        <v>8</v>
      </c>
      <c r="BK662">
        <v>0</v>
      </c>
      <c r="BL662">
        <v>0</v>
      </c>
      <c r="BM662">
        <v>8</v>
      </c>
      <c r="BN662">
        <v>8</v>
      </c>
      <c r="BO662">
        <v>8</v>
      </c>
      <c r="BP662">
        <v>8</v>
      </c>
      <c r="BQ662" t="str">
        <f>"1:00 PM"</f>
        <v>1:00 PM</v>
      </c>
      <c r="BR662" t="str">
        <f>"10:00 PM"</f>
        <v>10:00 PM</v>
      </c>
      <c r="BS662" t="s">
        <v>133</v>
      </c>
      <c r="BT662">
        <v>0</v>
      </c>
      <c r="BU662">
        <v>0</v>
      </c>
      <c r="BV662" t="s">
        <v>134</v>
      </c>
      <c r="BX662" s="2" t="s">
        <v>1324</v>
      </c>
      <c r="BY662" t="s">
        <v>5189</v>
      </c>
      <c r="CA662" t="s">
        <v>1038</v>
      </c>
      <c r="CB662" t="s">
        <v>214</v>
      </c>
      <c r="CC662" s="4" t="str">
        <f>"70458"</f>
        <v>70458</v>
      </c>
      <c r="CD662" t="s">
        <v>4589</v>
      </c>
      <c r="CE662" t="s">
        <v>2289</v>
      </c>
      <c r="CF662" s="6">
        <v>9.5500000000000007</v>
      </c>
      <c r="CG662" s="6">
        <v>12.25</v>
      </c>
      <c r="CH662" s="6">
        <v>0</v>
      </c>
      <c r="CI662" s="6">
        <v>0</v>
      </c>
      <c r="CJ662" t="s">
        <v>137</v>
      </c>
      <c r="CK662" t="s">
        <v>549</v>
      </c>
      <c r="CL662" t="s">
        <v>5190</v>
      </c>
      <c r="CO662" t="s">
        <v>138</v>
      </c>
      <c r="CP662" t="s">
        <v>114</v>
      </c>
      <c r="CQ662" t="s">
        <v>114</v>
      </c>
      <c r="CR662" t="s">
        <v>134</v>
      </c>
      <c r="CS662" t="s">
        <v>114</v>
      </c>
      <c r="CT662" t="s">
        <v>114</v>
      </c>
      <c r="CU662" t="s">
        <v>114</v>
      </c>
      <c r="CV662" t="s">
        <v>4912</v>
      </c>
      <c r="CW662" s="5" t="str">
        <f>"+15049145856"</f>
        <v>+15049145856</v>
      </c>
      <c r="CX662" t="s">
        <v>5188</v>
      </c>
      <c r="CY662" t="s">
        <v>138</v>
      </c>
      <c r="CZ662" t="s">
        <v>139</v>
      </c>
      <c r="DA662" t="s">
        <v>134</v>
      </c>
      <c r="DB662" t="s">
        <v>114</v>
      </c>
      <c r="DC662" t="s">
        <v>114</v>
      </c>
      <c r="DD662" t="s">
        <v>134</v>
      </c>
    </row>
    <row r="663" spans="1:108" ht="15" customHeight="1" x14ac:dyDescent="0.25">
      <c r="A663" t="s">
        <v>7621</v>
      </c>
      <c r="B663" t="s">
        <v>165</v>
      </c>
      <c r="C663" s="1">
        <v>44855.498068865738</v>
      </c>
      <c r="D663" s="1">
        <v>44886</v>
      </c>
      <c r="E663" t="s">
        <v>134</v>
      </c>
      <c r="F663" t="s">
        <v>334</v>
      </c>
      <c r="G663" t="str">
        <f>"37-3011.00"</f>
        <v>37-3011.00</v>
      </c>
      <c r="H663" t="s">
        <v>335</v>
      </c>
      <c r="I663">
        <v>35</v>
      </c>
      <c r="J663">
        <v>35</v>
      </c>
      <c r="K663" s="1">
        <v>44942</v>
      </c>
      <c r="L663" s="1">
        <v>45245</v>
      </c>
      <c r="M663" s="1">
        <v>44942</v>
      </c>
      <c r="N663" s="1">
        <v>45245</v>
      </c>
      <c r="O663" t="s">
        <v>117</v>
      </c>
      <c r="P663" t="s">
        <v>7622</v>
      </c>
      <c r="R663" t="s">
        <v>7623</v>
      </c>
      <c r="T663" t="s">
        <v>2370</v>
      </c>
      <c r="U663" t="s">
        <v>2371</v>
      </c>
      <c r="V663" s="4" t="str">
        <f>"46203"</f>
        <v>46203</v>
      </c>
      <c r="W663" t="s">
        <v>120</v>
      </c>
      <c r="Y663" s="5">
        <v>13174359815</v>
      </c>
      <c r="AA663">
        <v>56173</v>
      </c>
      <c r="AB663" t="s">
        <v>1936</v>
      </c>
      <c r="AC663" t="s">
        <v>1966</v>
      </c>
      <c r="AE663" t="s">
        <v>7624</v>
      </c>
      <c r="AF663" t="s">
        <v>7623</v>
      </c>
      <c r="AH663" t="s">
        <v>2370</v>
      </c>
      <c r="AI663" t="s">
        <v>2371</v>
      </c>
      <c r="AJ663" s="4" t="str">
        <f>"46203"</f>
        <v>46203</v>
      </c>
      <c r="AK663" t="s">
        <v>120</v>
      </c>
      <c r="AM663" s="5">
        <v>13174359815</v>
      </c>
      <c r="AO663" t="s">
        <v>1574</v>
      </c>
      <c r="AP663" t="s">
        <v>256</v>
      </c>
      <c r="AQ663" t="s">
        <v>2145</v>
      </c>
      <c r="AR663" t="s">
        <v>1965</v>
      </c>
      <c r="AT663" t="s">
        <v>1943</v>
      </c>
      <c r="AU663" t="s">
        <v>1944</v>
      </c>
      <c r="AV663" t="s">
        <v>1945</v>
      </c>
      <c r="AW663" t="s">
        <v>631</v>
      </c>
      <c r="AX663" s="4" t="str">
        <f>"74136"</f>
        <v>74136</v>
      </c>
      <c r="AY663" t="s">
        <v>120</v>
      </c>
      <c r="AZ663" t="s">
        <v>5588</v>
      </c>
      <c r="BA663" s="5">
        <v>19189065212</v>
      </c>
      <c r="BC663" t="s">
        <v>5589</v>
      </c>
      <c r="BD663" t="s">
        <v>1947</v>
      </c>
      <c r="BG663" t="s">
        <v>2371</v>
      </c>
      <c r="BH663" s="1">
        <v>44853.833333333336</v>
      </c>
      <c r="BI663">
        <v>45</v>
      </c>
      <c r="BJ663">
        <v>0</v>
      </c>
      <c r="BK663">
        <v>9</v>
      </c>
      <c r="BL663">
        <v>9</v>
      </c>
      <c r="BM663">
        <v>9</v>
      </c>
      <c r="BN663">
        <v>9</v>
      </c>
      <c r="BO663">
        <v>9</v>
      </c>
      <c r="BP663">
        <v>0</v>
      </c>
      <c r="BQ663" t="str">
        <f>"7:00 AM"</f>
        <v>7:00 AM</v>
      </c>
      <c r="BR663" t="str">
        <f>"5:00 PM"</f>
        <v>5:00 PM</v>
      </c>
      <c r="BS663" t="s">
        <v>133</v>
      </c>
      <c r="BT663">
        <v>0</v>
      </c>
      <c r="BU663">
        <v>3</v>
      </c>
      <c r="BV663" t="s">
        <v>134</v>
      </c>
      <c r="BX663" s="2" t="s">
        <v>7625</v>
      </c>
      <c r="BY663" t="s">
        <v>7623</v>
      </c>
      <c r="CA663" t="s">
        <v>2370</v>
      </c>
      <c r="CB663" t="s">
        <v>2371</v>
      </c>
      <c r="CC663" s="4" t="str">
        <f>"46203"</f>
        <v>46203</v>
      </c>
      <c r="CD663" t="s">
        <v>638</v>
      </c>
      <c r="CE663" t="s">
        <v>2372</v>
      </c>
      <c r="CF663" s="6">
        <v>16.7</v>
      </c>
      <c r="CG663" s="6">
        <v>16.7</v>
      </c>
      <c r="CH663" s="6">
        <v>25.05</v>
      </c>
      <c r="CI663" s="6">
        <v>25.05</v>
      </c>
      <c r="CJ663" t="s">
        <v>137</v>
      </c>
      <c r="CK663" t="s">
        <v>1948</v>
      </c>
      <c r="CL663" t="s">
        <v>7626</v>
      </c>
      <c r="CO663" t="s">
        <v>138</v>
      </c>
      <c r="CP663" t="s">
        <v>114</v>
      </c>
      <c r="CQ663" t="s">
        <v>114</v>
      </c>
      <c r="CR663" t="s">
        <v>114</v>
      </c>
      <c r="CS663" t="s">
        <v>114</v>
      </c>
      <c r="CT663" t="s">
        <v>114</v>
      </c>
      <c r="CU663" t="s">
        <v>114</v>
      </c>
      <c r="CV663" s="2" t="s">
        <v>7627</v>
      </c>
      <c r="CW663" s="5" t="str">
        <f>"+13174359815"</f>
        <v>+13174359815</v>
      </c>
      <c r="CX663" t="s">
        <v>138</v>
      </c>
      <c r="CY663" t="s">
        <v>7628</v>
      </c>
      <c r="CZ663" t="s">
        <v>139</v>
      </c>
      <c r="DA663" t="s">
        <v>134</v>
      </c>
      <c r="DB663" t="s">
        <v>114</v>
      </c>
      <c r="DC663" t="s">
        <v>114</v>
      </c>
      <c r="DD663" t="s">
        <v>134</v>
      </c>
    </row>
    <row r="664" spans="1:108" ht="15" customHeight="1" x14ac:dyDescent="0.25">
      <c r="A664" t="s">
        <v>6668</v>
      </c>
      <c r="B664" t="s">
        <v>165</v>
      </c>
      <c r="C664" s="1">
        <v>44847.474446180553</v>
      </c>
      <c r="D664" s="1">
        <v>44886</v>
      </c>
      <c r="E664" t="s">
        <v>134</v>
      </c>
      <c r="F664" t="s">
        <v>6669</v>
      </c>
      <c r="G664" t="str">
        <f>"47-2044.00"</f>
        <v>47-2044.00</v>
      </c>
      <c r="H664" t="s">
        <v>5608</v>
      </c>
      <c r="I664">
        <v>45</v>
      </c>
      <c r="J664">
        <v>45</v>
      </c>
      <c r="K664" s="1">
        <v>44934</v>
      </c>
      <c r="L664" s="1">
        <v>45230</v>
      </c>
      <c r="M664" s="1">
        <v>44934</v>
      </c>
      <c r="N664" s="1">
        <v>45230</v>
      </c>
      <c r="O664" t="s">
        <v>117</v>
      </c>
      <c r="P664" t="s">
        <v>6670</v>
      </c>
      <c r="R664" t="s">
        <v>6671</v>
      </c>
      <c r="T664" t="s">
        <v>2792</v>
      </c>
      <c r="U664" t="s">
        <v>232</v>
      </c>
      <c r="V664" s="4" t="str">
        <f>"77833"</f>
        <v>77833</v>
      </c>
      <c r="W664" t="s">
        <v>120</v>
      </c>
      <c r="Y664" s="5">
        <v>19798365563</v>
      </c>
      <c r="AA664">
        <v>2383</v>
      </c>
      <c r="AB664" t="s">
        <v>6672</v>
      </c>
      <c r="AC664" t="s">
        <v>1676</v>
      </c>
      <c r="AE664" t="s">
        <v>342</v>
      </c>
      <c r="AF664" t="s">
        <v>6671</v>
      </c>
      <c r="AH664" t="s">
        <v>2792</v>
      </c>
      <c r="AI664" t="s">
        <v>232</v>
      </c>
      <c r="AJ664" s="4" t="str">
        <f>"77833"</f>
        <v>77833</v>
      </c>
      <c r="AK664" t="s">
        <v>120</v>
      </c>
      <c r="AM664" s="5">
        <v>19798365563</v>
      </c>
      <c r="AO664" t="s">
        <v>138</v>
      </c>
      <c r="AP664" t="s">
        <v>256</v>
      </c>
      <c r="AQ664" t="s">
        <v>4076</v>
      </c>
      <c r="AR664" t="s">
        <v>726</v>
      </c>
      <c r="AT664" t="s">
        <v>4115</v>
      </c>
      <c r="AV664" t="s">
        <v>4116</v>
      </c>
      <c r="AW664" t="s">
        <v>232</v>
      </c>
      <c r="AX664" s="4" t="str">
        <f>"75442"</f>
        <v>75442</v>
      </c>
      <c r="AY664" t="s">
        <v>120</v>
      </c>
      <c r="BA664" s="5">
        <v>14692388392</v>
      </c>
      <c r="BC664" t="s">
        <v>4117</v>
      </c>
      <c r="BD664" t="s">
        <v>4118</v>
      </c>
      <c r="BG664" t="s">
        <v>232</v>
      </c>
      <c r="BH664" s="1">
        <v>44846.833333333336</v>
      </c>
      <c r="BI664">
        <v>40</v>
      </c>
      <c r="BJ664">
        <v>0</v>
      </c>
      <c r="BK664">
        <v>8</v>
      </c>
      <c r="BL664">
        <v>8</v>
      </c>
      <c r="BM664">
        <v>8</v>
      </c>
      <c r="BN664">
        <v>8</v>
      </c>
      <c r="BO664">
        <v>8</v>
      </c>
      <c r="BP664">
        <v>0</v>
      </c>
      <c r="BQ664" t="str">
        <f>"9:00 PM"</f>
        <v>9:00 PM</v>
      </c>
      <c r="BR664" t="str">
        <f>"7:00 AM"</f>
        <v>7:00 AM</v>
      </c>
      <c r="BS664" t="s">
        <v>133</v>
      </c>
      <c r="BT664">
        <v>0</v>
      </c>
      <c r="BU664">
        <v>6</v>
      </c>
      <c r="BV664" t="s">
        <v>134</v>
      </c>
      <c r="BX664" s="2" t="s">
        <v>6673</v>
      </c>
      <c r="BY664" t="s">
        <v>6671</v>
      </c>
      <c r="CA664" t="s">
        <v>2792</v>
      </c>
      <c r="CB664" t="s">
        <v>232</v>
      </c>
      <c r="CC664" s="4" t="str">
        <f>"77833"</f>
        <v>77833</v>
      </c>
      <c r="CD664" t="s">
        <v>1345</v>
      </c>
      <c r="CE664" t="s">
        <v>1550</v>
      </c>
      <c r="CF664" s="6">
        <v>18.82</v>
      </c>
      <c r="CG664" s="6">
        <v>18.82</v>
      </c>
      <c r="CH664" s="6">
        <v>28.23</v>
      </c>
      <c r="CI664" s="6">
        <v>28.23</v>
      </c>
      <c r="CJ664" t="s">
        <v>137</v>
      </c>
      <c r="CK664" t="s">
        <v>138</v>
      </c>
      <c r="CL664" t="s">
        <v>6674</v>
      </c>
      <c r="CO664" t="s">
        <v>138</v>
      </c>
      <c r="CP664" t="s">
        <v>114</v>
      </c>
      <c r="CQ664" t="s">
        <v>114</v>
      </c>
      <c r="CR664" t="s">
        <v>114</v>
      </c>
      <c r="CS664" t="s">
        <v>114</v>
      </c>
      <c r="CT664" t="s">
        <v>114</v>
      </c>
      <c r="CU664" t="s">
        <v>134</v>
      </c>
      <c r="CV664" t="s">
        <v>4121</v>
      </c>
      <c r="CW664" s="5" t="str">
        <f>"+19798365563"</f>
        <v>+19798365563</v>
      </c>
      <c r="CX664" t="s">
        <v>138</v>
      </c>
      <c r="CY664" t="s">
        <v>6675</v>
      </c>
      <c r="CZ664" t="s">
        <v>139</v>
      </c>
      <c r="DA664" t="s">
        <v>134</v>
      </c>
      <c r="DB664" t="s">
        <v>134</v>
      </c>
      <c r="DC664" t="s">
        <v>114</v>
      </c>
      <c r="DD664" t="s">
        <v>134</v>
      </c>
    </row>
    <row r="665" spans="1:108" ht="15" customHeight="1" x14ac:dyDescent="0.25">
      <c r="A665" t="s">
        <v>14562</v>
      </c>
      <c r="B665" t="s">
        <v>165</v>
      </c>
      <c r="C665" s="1">
        <v>44846.38614166667</v>
      </c>
      <c r="D665" s="1">
        <v>44886</v>
      </c>
      <c r="E665" t="s">
        <v>134</v>
      </c>
      <c r="F665" t="s">
        <v>8977</v>
      </c>
      <c r="G665" t="str">
        <f>"35-3023.00"</f>
        <v>35-3023.00</v>
      </c>
      <c r="H665" t="s">
        <v>555</v>
      </c>
      <c r="I665">
        <v>13</v>
      </c>
      <c r="J665">
        <v>13</v>
      </c>
      <c r="K665" s="1">
        <v>44935</v>
      </c>
      <c r="L665" s="1">
        <v>45238</v>
      </c>
      <c r="M665" s="1">
        <v>44935</v>
      </c>
      <c r="N665" s="1">
        <v>45238</v>
      </c>
      <c r="O665" t="s">
        <v>199</v>
      </c>
      <c r="P665" t="s">
        <v>14563</v>
      </c>
      <c r="R665" t="s">
        <v>14564</v>
      </c>
      <c r="T665" t="s">
        <v>9397</v>
      </c>
      <c r="U665" t="s">
        <v>154</v>
      </c>
      <c r="V665" s="4" t="str">
        <f>"34293"</f>
        <v>34293</v>
      </c>
      <c r="W665" t="s">
        <v>120</v>
      </c>
      <c r="Y665" s="5">
        <v>13016063442</v>
      </c>
      <c r="AA665">
        <v>7139</v>
      </c>
      <c r="AB665" t="s">
        <v>11486</v>
      </c>
      <c r="AC665" t="s">
        <v>14565</v>
      </c>
      <c r="AE665" t="s">
        <v>424</v>
      </c>
      <c r="AF665" t="s">
        <v>14564</v>
      </c>
      <c r="AH665" t="s">
        <v>9397</v>
      </c>
      <c r="AI665" t="s">
        <v>154</v>
      </c>
      <c r="AJ665" s="4" t="str">
        <f>"34293"</f>
        <v>34293</v>
      </c>
      <c r="AK665" t="s">
        <v>120</v>
      </c>
      <c r="AM665" s="5">
        <v>13016063442</v>
      </c>
      <c r="AO665" t="s">
        <v>14566</v>
      </c>
      <c r="AP665" t="s">
        <v>122</v>
      </c>
      <c r="AQ665" t="s">
        <v>369</v>
      </c>
      <c r="AR665" t="s">
        <v>370</v>
      </c>
      <c r="AS665" t="s">
        <v>371</v>
      </c>
      <c r="AT665" t="s">
        <v>372</v>
      </c>
      <c r="AU665" t="s">
        <v>373</v>
      </c>
      <c r="AV665" t="s">
        <v>374</v>
      </c>
      <c r="AW665" t="s">
        <v>339</v>
      </c>
      <c r="AX665" s="4" t="str">
        <f>"21401"</f>
        <v>21401</v>
      </c>
      <c r="AY665" t="s">
        <v>120</v>
      </c>
      <c r="BA665" s="5">
        <v>14105739955</v>
      </c>
      <c r="BB665">
        <v>0</v>
      </c>
      <c r="BC665" t="s">
        <v>375</v>
      </c>
      <c r="BD665" t="s">
        <v>376</v>
      </c>
      <c r="BE665" t="s">
        <v>339</v>
      </c>
      <c r="BF665" t="s">
        <v>377</v>
      </c>
      <c r="BG665" t="s">
        <v>339</v>
      </c>
      <c r="BH665" s="1">
        <v>44843.833333333336</v>
      </c>
      <c r="BI665">
        <v>35</v>
      </c>
      <c r="BJ665">
        <v>7</v>
      </c>
      <c r="BK665">
        <v>0</v>
      </c>
      <c r="BL665">
        <v>0</v>
      </c>
      <c r="BM665">
        <v>7</v>
      </c>
      <c r="BN665">
        <v>7</v>
      </c>
      <c r="BO665">
        <v>7</v>
      </c>
      <c r="BP665">
        <v>7</v>
      </c>
      <c r="BQ665" t="str">
        <f>"4:00 PM"</f>
        <v>4:00 PM</v>
      </c>
      <c r="BR665" t="str">
        <f>"11:00 PM"</f>
        <v>11:00 PM</v>
      </c>
      <c r="BS665" t="s">
        <v>133</v>
      </c>
      <c r="BT665">
        <v>0</v>
      </c>
      <c r="BU665">
        <v>0</v>
      </c>
      <c r="BV665" t="s">
        <v>134</v>
      </c>
      <c r="BX665" t="s">
        <v>5023</v>
      </c>
      <c r="BY665" t="s">
        <v>11484</v>
      </c>
      <c r="CA665" t="s">
        <v>11485</v>
      </c>
      <c r="CB665" t="s">
        <v>339</v>
      </c>
      <c r="CC665" s="4" t="str">
        <f>"21771"</f>
        <v>21771</v>
      </c>
      <c r="CD665" t="s">
        <v>2220</v>
      </c>
      <c r="CE665" t="s">
        <v>1673</v>
      </c>
      <c r="CF665" s="6">
        <v>9.59</v>
      </c>
      <c r="CG665" s="6">
        <v>15.12</v>
      </c>
      <c r="CH665" s="6">
        <v>14.39</v>
      </c>
      <c r="CI665" s="6">
        <v>22.68</v>
      </c>
      <c r="CJ665" t="s">
        <v>137</v>
      </c>
      <c r="CK665" t="s">
        <v>9384</v>
      </c>
      <c r="CL665" t="s">
        <v>14567</v>
      </c>
      <c r="CO665" t="s">
        <v>138</v>
      </c>
      <c r="CP665" t="s">
        <v>114</v>
      </c>
      <c r="CQ665" t="s">
        <v>134</v>
      </c>
      <c r="CR665" t="s">
        <v>114</v>
      </c>
      <c r="CS665" t="s">
        <v>114</v>
      </c>
      <c r="CT665" t="s">
        <v>114</v>
      </c>
      <c r="CU665" t="s">
        <v>114</v>
      </c>
      <c r="CV665" t="s">
        <v>14568</v>
      </c>
      <c r="CW665" s="5" t="str">
        <f>"+13016063442"</f>
        <v>+13016063442</v>
      </c>
      <c r="CX665" t="s">
        <v>14566</v>
      </c>
      <c r="CY665" t="s">
        <v>138</v>
      </c>
      <c r="CZ665" t="s">
        <v>139</v>
      </c>
      <c r="DA665" t="s">
        <v>134</v>
      </c>
      <c r="DB665" t="s">
        <v>114</v>
      </c>
      <c r="DC665" t="s">
        <v>114</v>
      </c>
      <c r="DD665" t="s">
        <v>134</v>
      </c>
    </row>
    <row r="666" spans="1:108" ht="15" customHeight="1" x14ac:dyDescent="0.25">
      <c r="A666" t="s">
        <v>15895</v>
      </c>
      <c r="B666" t="s">
        <v>165</v>
      </c>
      <c r="C666" s="1">
        <v>44841.846048726853</v>
      </c>
      <c r="D666" s="1">
        <v>44886</v>
      </c>
      <c r="E666" t="s">
        <v>134</v>
      </c>
      <c r="F666" t="s">
        <v>2900</v>
      </c>
      <c r="G666" t="str">
        <f>"37-2012.00"</f>
        <v>37-2012.00</v>
      </c>
      <c r="H666" t="s">
        <v>116</v>
      </c>
      <c r="I666">
        <v>20</v>
      </c>
      <c r="J666">
        <v>20</v>
      </c>
      <c r="K666" s="1">
        <v>44916</v>
      </c>
      <c r="L666" s="1">
        <v>45189</v>
      </c>
      <c r="M666" s="1">
        <v>44916</v>
      </c>
      <c r="N666" s="1">
        <v>45189</v>
      </c>
      <c r="O666" t="s">
        <v>117</v>
      </c>
      <c r="P666" t="s">
        <v>2901</v>
      </c>
      <c r="R666" t="s">
        <v>2902</v>
      </c>
      <c r="T666" t="s">
        <v>2903</v>
      </c>
      <c r="U666" t="s">
        <v>657</v>
      </c>
      <c r="V666" s="4" t="str">
        <f>"38555"</f>
        <v>38555</v>
      </c>
      <c r="W666" t="s">
        <v>120</v>
      </c>
      <c r="Y666" s="5">
        <v>18004891718</v>
      </c>
      <c r="AA666">
        <v>56172</v>
      </c>
      <c r="AB666" t="s">
        <v>2645</v>
      </c>
      <c r="AC666" t="s">
        <v>2646</v>
      </c>
      <c r="AD666" t="s">
        <v>259</v>
      </c>
      <c r="AE666" t="s">
        <v>2904</v>
      </c>
      <c r="AF666" t="s">
        <v>2902</v>
      </c>
      <c r="AH666" t="s">
        <v>2903</v>
      </c>
      <c r="AI666" t="s">
        <v>657</v>
      </c>
      <c r="AJ666" s="4" t="str">
        <f>"38555"</f>
        <v>38555</v>
      </c>
      <c r="AK666" t="s">
        <v>120</v>
      </c>
      <c r="AM666" s="5">
        <v>14077231146</v>
      </c>
      <c r="AO666" t="s">
        <v>6360</v>
      </c>
      <c r="AX666" s="4" t="str">
        <f>""</f>
        <v/>
      </c>
      <c r="BG666" t="s">
        <v>748</v>
      </c>
      <c r="BH666" s="1">
        <v>44839.833333333336</v>
      </c>
      <c r="BI666">
        <v>35</v>
      </c>
      <c r="BJ666">
        <v>7</v>
      </c>
      <c r="BK666">
        <v>0</v>
      </c>
      <c r="BL666">
        <v>0</v>
      </c>
      <c r="BM666">
        <v>7</v>
      </c>
      <c r="BN666">
        <v>7</v>
      </c>
      <c r="BO666">
        <v>7</v>
      </c>
      <c r="BP666">
        <v>7</v>
      </c>
      <c r="BQ666" t="str">
        <f>"9:00 AM"</f>
        <v>9:00 AM</v>
      </c>
      <c r="BR666" t="str">
        <f>"4:00 PM"</f>
        <v>4:00 PM</v>
      </c>
      <c r="BS666" t="s">
        <v>133</v>
      </c>
      <c r="BT666">
        <v>0</v>
      </c>
      <c r="BU666">
        <v>3</v>
      </c>
      <c r="BV666" t="s">
        <v>134</v>
      </c>
      <c r="BX666" s="2" t="s">
        <v>2905</v>
      </c>
      <c r="BY666" t="s">
        <v>15896</v>
      </c>
      <c r="CA666" t="s">
        <v>9128</v>
      </c>
      <c r="CB666" t="s">
        <v>748</v>
      </c>
      <c r="CC666" s="4" t="str">
        <f>"18301"</f>
        <v>18301</v>
      </c>
      <c r="CD666" t="s">
        <v>765</v>
      </c>
      <c r="CE666" t="s">
        <v>4279</v>
      </c>
      <c r="CF666" s="6">
        <v>13.84</v>
      </c>
      <c r="CH666" s="6">
        <v>20.76</v>
      </c>
      <c r="CJ666" t="s">
        <v>2907</v>
      </c>
      <c r="CK666" t="s">
        <v>15897</v>
      </c>
      <c r="CL666" t="s">
        <v>15898</v>
      </c>
      <c r="CO666" t="s">
        <v>138</v>
      </c>
      <c r="CP666" t="s">
        <v>134</v>
      </c>
      <c r="CQ666" t="s">
        <v>114</v>
      </c>
      <c r="CR666" t="s">
        <v>114</v>
      </c>
      <c r="CS666" t="s">
        <v>114</v>
      </c>
      <c r="CT666" t="s">
        <v>114</v>
      </c>
      <c r="CU666" t="s">
        <v>114</v>
      </c>
      <c r="CV666" t="s">
        <v>2908</v>
      </c>
      <c r="CW666" s="5" t="str">
        <f>"+14077231157"</f>
        <v>+14077231157</v>
      </c>
      <c r="CX666" t="s">
        <v>2909</v>
      </c>
      <c r="CY666" t="s">
        <v>138</v>
      </c>
      <c r="CZ666" t="s">
        <v>139</v>
      </c>
      <c r="DA666" t="s">
        <v>134</v>
      </c>
      <c r="DB666" t="s">
        <v>134</v>
      </c>
      <c r="DC666" t="s">
        <v>114</v>
      </c>
      <c r="DD666" t="s">
        <v>134</v>
      </c>
    </row>
    <row r="667" spans="1:108" ht="15" customHeight="1" x14ac:dyDescent="0.25">
      <c r="A667" t="s">
        <v>10484</v>
      </c>
      <c r="B667" t="s">
        <v>165</v>
      </c>
      <c r="C667" s="1">
        <v>44841.804902546297</v>
      </c>
      <c r="D667" s="1">
        <v>44886</v>
      </c>
      <c r="E667" t="s">
        <v>134</v>
      </c>
      <c r="F667" t="s">
        <v>2900</v>
      </c>
      <c r="G667" t="str">
        <f>"37-2012.00"</f>
        <v>37-2012.00</v>
      </c>
      <c r="H667" t="s">
        <v>116</v>
      </c>
      <c r="I667">
        <v>16</v>
      </c>
      <c r="J667">
        <v>16</v>
      </c>
      <c r="K667" s="1">
        <v>44916</v>
      </c>
      <c r="L667" s="1">
        <v>45189</v>
      </c>
      <c r="M667" s="1">
        <v>44916</v>
      </c>
      <c r="N667" s="1">
        <v>45189</v>
      </c>
      <c r="O667" t="s">
        <v>117</v>
      </c>
      <c r="P667" t="s">
        <v>2901</v>
      </c>
      <c r="R667" t="s">
        <v>2902</v>
      </c>
      <c r="T667" t="s">
        <v>2903</v>
      </c>
      <c r="U667" t="s">
        <v>657</v>
      </c>
      <c r="V667" s="4" t="str">
        <f>"38555"</f>
        <v>38555</v>
      </c>
      <c r="W667" t="s">
        <v>120</v>
      </c>
      <c r="Y667" s="5">
        <v>18004891718</v>
      </c>
      <c r="AA667">
        <v>56172</v>
      </c>
      <c r="AB667" t="s">
        <v>2645</v>
      </c>
      <c r="AC667" t="s">
        <v>2646</v>
      </c>
      <c r="AD667" t="s">
        <v>259</v>
      </c>
      <c r="AE667" t="s">
        <v>2904</v>
      </c>
      <c r="AF667" t="s">
        <v>2902</v>
      </c>
      <c r="AH667" t="s">
        <v>2903</v>
      </c>
      <c r="AI667" t="s">
        <v>657</v>
      </c>
      <c r="AJ667" s="4" t="str">
        <f>"38555"</f>
        <v>38555</v>
      </c>
      <c r="AK667" t="s">
        <v>120</v>
      </c>
      <c r="AM667" s="5">
        <v>14077231146</v>
      </c>
      <c r="AO667" t="s">
        <v>6360</v>
      </c>
      <c r="AX667" s="4" t="str">
        <f>""</f>
        <v/>
      </c>
      <c r="BG667" t="s">
        <v>1414</v>
      </c>
      <c r="BH667" s="1">
        <v>44838.833333333336</v>
      </c>
      <c r="BI667">
        <v>35</v>
      </c>
      <c r="BJ667">
        <v>7</v>
      </c>
      <c r="BK667">
        <v>0</v>
      </c>
      <c r="BL667">
        <v>0</v>
      </c>
      <c r="BM667">
        <v>7</v>
      </c>
      <c r="BN667">
        <v>7</v>
      </c>
      <c r="BO667">
        <v>7</v>
      </c>
      <c r="BP667">
        <v>7</v>
      </c>
      <c r="BQ667" t="str">
        <f>"9:00 AM"</f>
        <v>9:00 AM</v>
      </c>
      <c r="BR667" t="str">
        <f>"4:00 PM"</f>
        <v>4:00 PM</v>
      </c>
      <c r="BS667" t="s">
        <v>133</v>
      </c>
      <c r="BT667">
        <v>0</v>
      </c>
      <c r="BU667">
        <v>3</v>
      </c>
      <c r="BV667" t="s">
        <v>134</v>
      </c>
      <c r="BX667" s="2" t="s">
        <v>2905</v>
      </c>
      <c r="BY667" t="s">
        <v>10485</v>
      </c>
      <c r="CA667" t="s">
        <v>2131</v>
      </c>
      <c r="CB667" t="s">
        <v>1414</v>
      </c>
      <c r="CC667" s="4" t="str">
        <f>"49713"</f>
        <v>49713</v>
      </c>
      <c r="CD667" t="s">
        <v>2133</v>
      </c>
      <c r="CE667" t="s">
        <v>2134</v>
      </c>
      <c r="CF667" s="6">
        <v>13.39</v>
      </c>
      <c r="CH667" s="6">
        <v>20.69</v>
      </c>
      <c r="CJ667" t="s">
        <v>2907</v>
      </c>
      <c r="CK667" t="s">
        <v>10486</v>
      </c>
      <c r="CL667" t="s">
        <v>10487</v>
      </c>
      <c r="CO667" t="s">
        <v>138</v>
      </c>
      <c r="CP667" t="s">
        <v>134</v>
      </c>
      <c r="CQ667" t="s">
        <v>114</v>
      </c>
      <c r="CR667" t="s">
        <v>114</v>
      </c>
      <c r="CS667" t="s">
        <v>114</v>
      </c>
      <c r="CT667" t="s">
        <v>114</v>
      </c>
      <c r="CU667" t="s">
        <v>114</v>
      </c>
      <c r="CV667" t="s">
        <v>2908</v>
      </c>
      <c r="CW667" s="5" t="str">
        <f>"+14077231157"</f>
        <v>+14077231157</v>
      </c>
      <c r="CX667" t="s">
        <v>2909</v>
      </c>
      <c r="CY667" t="s">
        <v>138</v>
      </c>
      <c r="CZ667" t="s">
        <v>139</v>
      </c>
      <c r="DA667" t="s">
        <v>134</v>
      </c>
      <c r="DB667" t="s">
        <v>134</v>
      </c>
      <c r="DC667" t="s">
        <v>114</v>
      </c>
      <c r="DD667" t="s">
        <v>134</v>
      </c>
    </row>
    <row r="668" spans="1:108" ht="15" customHeight="1" x14ac:dyDescent="0.25">
      <c r="A668" t="s">
        <v>14579</v>
      </c>
      <c r="B668" t="s">
        <v>165</v>
      </c>
      <c r="C668" s="1">
        <v>44840.701551157406</v>
      </c>
      <c r="D668" s="1">
        <v>44886</v>
      </c>
      <c r="E668" t="s">
        <v>134</v>
      </c>
      <c r="F668" t="s">
        <v>14470</v>
      </c>
      <c r="G668" t="str">
        <f>"37-3011.00"</f>
        <v>37-3011.00</v>
      </c>
      <c r="H668" t="s">
        <v>335</v>
      </c>
      <c r="I668">
        <v>15</v>
      </c>
      <c r="J668">
        <v>15</v>
      </c>
      <c r="K668" s="1">
        <v>44915</v>
      </c>
      <c r="L668" s="1">
        <v>45031</v>
      </c>
      <c r="M668" s="1">
        <v>44915</v>
      </c>
      <c r="N668" s="1">
        <v>45031</v>
      </c>
      <c r="O668" t="s">
        <v>199</v>
      </c>
      <c r="P668" t="s">
        <v>14580</v>
      </c>
      <c r="R668" t="s">
        <v>14581</v>
      </c>
      <c r="T668" t="s">
        <v>14582</v>
      </c>
      <c r="U668" t="s">
        <v>697</v>
      </c>
      <c r="V668" s="4" t="str">
        <f>"65630"</f>
        <v>65630</v>
      </c>
      <c r="W668" t="s">
        <v>120</v>
      </c>
      <c r="X668" t="s">
        <v>541</v>
      </c>
      <c r="Y668" s="5">
        <v>14175277940</v>
      </c>
      <c r="Z668">
        <v>0</v>
      </c>
      <c r="AA668">
        <v>56173</v>
      </c>
      <c r="AB668" t="s">
        <v>14583</v>
      </c>
      <c r="AC668" t="s">
        <v>14584</v>
      </c>
      <c r="AE668" t="s">
        <v>424</v>
      </c>
      <c r="AF668" t="s">
        <v>14585</v>
      </c>
      <c r="AH668" t="s">
        <v>14582</v>
      </c>
      <c r="AI668" t="s">
        <v>697</v>
      </c>
      <c r="AJ668" s="4" t="str">
        <f>"65630"</f>
        <v>65630</v>
      </c>
      <c r="AK668" t="s">
        <v>120</v>
      </c>
      <c r="AM668" s="5">
        <v>14175277940</v>
      </c>
      <c r="AN668">
        <v>0</v>
      </c>
      <c r="AO668" t="s">
        <v>14586</v>
      </c>
      <c r="AP668" t="s">
        <v>256</v>
      </c>
      <c r="AQ668" t="s">
        <v>535</v>
      </c>
      <c r="AR668" t="s">
        <v>536</v>
      </c>
      <c r="AS668" t="s">
        <v>537</v>
      </c>
      <c r="AT668" t="s">
        <v>538</v>
      </c>
      <c r="AU668" t="s">
        <v>539</v>
      </c>
      <c r="AV668" t="s">
        <v>540</v>
      </c>
      <c r="AW668" t="s">
        <v>232</v>
      </c>
      <c r="AX668" s="4" t="str">
        <f>"78550"</f>
        <v>78550</v>
      </c>
      <c r="AY668" t="s">
        <v>120</v>
      </c>
      <c r="AZ668" t="s">
        <v>541</v>
      </c>
      <c r="BA668" s="5">
        <v>19564408720</v>
      </c>
      <c r="BB668">
        <v>0</v>
      </c>
      <c r="BC668" t="s">
        <v>542</v>
      </c>
      <c r="BD668" t="s">
        <v>543</v>
      </c>
      <c r="BG668" t="s">
        <v>697</v>
      </c>
      <c r="BH668" s="1">
        <v>44846.833333333336</v>
      </c>
      <c r="BI668">
        <v>35</v>
      </c>
      <c r="BJ668">
        <v>0</v>
      </c>
      <c r="BK668">
        <v>7</v>
      </c>
      <c r="BL668">
        <v>7</v>
      </c>
      <c r="BM668">
        <v>7</v>
      </c>
      <c r="BN668">
        <v>7</v>
      </c>
      <c r="BO668">
        <v>7</v>
      </c>
      <c r="BP668">
        <v>0</v>
      </c>
      <c r="BQ668" t="str">
        <f>"7:00 AM"</f>
        <v>7:00 AM</v>
      </c>
      <c r="BR668" t="str">
        <f>"5:00 PM"</f>
        <v>5:00 PM</v>
      </c>
      <c r="BS668" t="s">
        <v>133</v>
      </c>
      <c r="BT668">
        <v>0</v>
      </c>
      <c r="BU668">
        <v>0</v>
      </c>
      <c r="BV668" t="s">
        <v>134</v>
      </c>
      <c r="BX668" t="s">
        <v>14587</v>
      </c>
      <c r="BY668" t="s">
        <v>14588</v>
      </c>
      <c r="CA668" t="s">
        <v>14582</v>
      </c>
      <c r="CB668" t="s">
        <v>697</v>
      </c>
      <c r="CC668" s="4" t="str">
        <f>"49418"</f>
        <v>49418</v>
      </c>
      <c r="CD668" t="s">
        <v>1940</v>
      </c>
      <c r="CE668" t="s">
        <v>1364</v>
      </c>
      <c r="CF668" s="6">
        <v>14.84</v>
      </c>
      <c r="CG668" s="6">
        <v>14.84</v>
      </c>
      <c r="CH668" s="6">
        <v>22.26</v>
      </c>
      <c r="CI668" s="6">
        <v>22.26</v>
      </c>
      <c r="CJ668" t="s">
        <v>137</v>
      </c>
      <c r="CL668" t="s">
        <v>14589</v>
      </c>
      <c r="CO668" t="s">
        <v>138</v>
      </c>
      <c r="CP668" t="s">
        <v>114</v>
      </c>
      <c r="CQ668" t="s">
        <v>114</v>
      </c>
      <c r="CR668" t="s">
        <v>114</v>
      </c>
      <c r="CS668" t="s">
        <v>114</v>
      </c>
      <c r="CT668" t="s">
        <v>114</v>
      </c>
      <c r="CU668" t="s">
        <v>114</v>
      </c>
      <c r="CV668" s="2" t="s">
        <v>14590</v>
      </c>
      <c r="CW668" s="5" t="str">
        <f>"+14175277940"</f>
        <v>+14175277940</v>
      </c>
      <c r="CX668" t="s">
        <v>14586</v>
      </c>
      <c r="CY668" t="s">
        <v>138</v>
      </c>
      <c r="CZ668" t="s">
        <v>139</v>
      </c>
      <c r="DA668" t="s">
        <v>134</v>
      </c>
      <c r="DB668" t="s">
        <v>114</v>
      </c>
      <c r="DC668" t="s">
        <v>114</v>
      </c>
      <c r="DD668" t="s">
        <v>134</v>
      </c>
    </row>
    <row r="669" spans="1:108" ht="15" customHeight="1" x14ac:dyDescent="0.25">
      <c r="A669" t="s">
        <v>9654</v>
      </c>
      <c r="B669" t="s">
        <v>165</v>
      </c>
      <c r="C669" s="1">
        <v>44838.51036064815</v>
      </c>
      <c r="D669" s="1">
        <v>44886</v>
      </c>
      <c r="E669" t="s">
        <v>134</v>
      </c>
      <c r="F669" t="s">
        <v>9655</v>
      </c>
      <c r="G669" t="str">
        <f>"37-2011.00"</f>
        <v>37-2011.00</v>
      </c>
      <c r="H669" t="s">
        <v>672</v>
      </c>
      <c r="I669">
        <v>20</v>
      </c>
      <c r="J669">
        <v>20</v>
      </c>
      <c r="K669" s="1">
        <v>44913</v>
      </c>
      <c r="L669" s="1">
        <v>45000</v>
      </c>
      <c r="M669" s="1">
        <v>44913</v>
      </c>
      <c r="N669" s="1">
        <v>45000</v>
      </c>
      <c r="O669" t="s">
        <v>199</v>
      </c>
      <c r="P669" t="s">
        <v>7103</v>
      </c>
      <c r="R669" t="s">
        <v>9656</v>
      </c>
      <c r="T669" t="s">
        <v>7104</v>
      </c>
      <c r="U669" t="s">
        <v>420</v>
      </c>
      <c r="V669" s="4" t="str">
        <f>"84003"</f>
        <v>84003</v>
      </c>
      <c r="W669" t="s">
        <v>120</v>
      </c>
      <c r="Y669" s="5">
        <v>18017013535</v>
      </c>
      <c r="AA669">
        <v>56173</v>
      </c>
      <c r="AB669" t="s">
        <v>4599</v>
      </c>
      <c r="AC669" t="s">
        <v>865</v>
      </c>
      <c r="AE669" t="s">
        <v>2082</v>
      </c>
      <c r="AF669" t="s">
        <v>9656</v>
      </c>
      <c r="AH669" t="s">
        <v>7104</v>
      </c>
      <c r="AI669" t="s">
        <v>420</v>
      </c>
      <c r="AJ669" s="4" t="str">
        <f>"84003"</f>
        <v>84003</v>
      </c>
      <c r="AK669" t="s">
        <v>120</v>
      </c>
      <c r="AM669" s="5">
        <v>18018000011</v>
      </c>
      <c r="AO669" t="s">
        <v>7105</v>
      </c>
      <c r="AP669" t="s">
        <v>122</v>
      </c>
      <c r="AQ669" t="s">
        <v>2175</v>
      </c>
      <c r="AR669" t="s">
        <v>2176</v>
      </c>
      <c r="AS669" t="s">
        <v>146</v>
      </c>
      <c r="AT669" t="s">
        <v>2177</v>
      </c>
      <c r="AV669" t="s">
        <v>2178</v>
      </c>
      <c r="AW669" t="s">
        <v>2081</v>
      </c>
      <c r="AX669" s="4" t="str">
        <f>"50010"</f>
        <v>50010</v>
      </c>
      <c r="AY669" t="s">
        <v>120</v>
      </c>
      <c r="AZ669" t="s">
        <v>1479</v>
      </c>
      <c r="BA669" s="5">
        <v>15152324444</v>
      </c>
      <c r="BC669" t="s">
        <v>2179</v>
      </c>
      <c r="BD669" t="s">
        <v>2180</v>
      </c>
      <c r="BE669" t="s">
        <v>2081</v>
      </c>
      <c r="BF669" t="s">
        <v>322</v>
      </c>
      <c r="BG669" t="s">
        <v>420</v>
      </c>
      <c r="BH669" s="1">
        <v>44783.833333333336</v>
      </c>
      <c r="BI669">
        <v>35</v>
      </c>
      <c r="BJ669">
        <v>0</v>
      </c>
      <c r="BK669">
        <v>7</v>
      </c>
      <c r="BL669">
        <v>7</v>
      </c>
      <c r="BM669">
        <v>7</v>
      </c>
      <c r="BN669">
        <v>7</v>
      </c>
      <c r="BO669">
        <v>7</v>
      </c>
      <c r="BP669">
        <v>0</v>
      </c>
      <c r="BQ669" t="str">
        <f>"7:00 AM"</f>
        <v>7:00 AM</v>
      </c>
      <c r="BR669" t="str">
        <f>"4:00 PM"</f>
        <v>4:00 PM</v>
      </c>
      <c r="BS669" t="s">
        <v>133</v>
      </c>
      <c r="BT669">
        <v>0</v>
      </c>
      <c r="BU669">
        <v>0</v>
      </c>
      <c r="BV669" t="s">
        <v>134</v>
      </c>
      <c r="BX669" s="2" t="s">
        <v>9657</v>
      </c>
      <c r="BY669" t="s">
        <v>9658</v>
      </c>
      <c r="BZ669" t="s">
        <v>9659</v>
      </c>
      <c r="CA669" t="s">
        <v>7104</v>
      </c>
      <c r="CB669" t="s">
        <v>420</v>
      </c>
      <c r="CC669" s="4" t="str">
        <f>"84003"</f>
        <v>84003</v>
      </c>
      <c r="CD669" t="s">
        <v>433</v>
      </c>
      <c r="CE669" t="s">
        <v>434</v>
      </c>
      <c r="CF669" s="6">
        <v>13.28</v>
      </c>
      <c r="CH669" s="6">
        <v>19.920000000000002</v>
      </c>
      <c r="CJ669" t="s">
        <v>137</v>
      </c>
      <c r="CK669" t="s">
        <v>9660</v>
      </c>
      <c r="CL669" t="s">
        <v>9661</v>
      </c>
      <c r="CO669" t="s">
        <v>138</v>
      </c>
      <c r="CP669" t="s">
        <v>134</v>
      </c>
      <c r="CQ669" t="s">
        <v>114</v>
      </c>
      <c r="CR669" t="s">
        <v>114</v>
      </c>
      <c r="CS669" t="s">
        <v>114</v>
      </c>
      <c r="CT669" t="s">
        <v>114</v>
      </c>
      <c r="CU669" t="s">
        <v>134</v>
      </c>
      <c r="CV669" t="s">
        <v>9662</v>
      </c>
      <c r="CW669" s="5" t="str">
        <f>"+18017013535"</f>
        <v>+18017013535</v>
      </c>
      <c r="CX669" t="s">
        <v>7105</v>
      </c>
      <c r="CY669" t="s">
        <v>138</v>
      </c>
      <c r="CZ669" t="s">
        <v>139</v>
      </c>
      <c r="DA669" t="s">
        <v>134</v>
      </c>
      <c r="DB669" t="s">
        <v>134</v>
      </c>
      <c r="DC669" t="s">
        <v>114</v>
      </c>
      <c r="DD669" t="s">
        <v>134</v>
      </c>
    </row>
    <row r="670" spans="1:108" ht="15" customHeight="1" x14ac:dyDescent="0.25">
      <c r="A670" t="s">
        <v>8706</v>
      </c>
      <c r="B670" t="s">
        <v>165</v>
      </c>
      <c r="C670" s="1">
        <v>44831.662870717591</v>
      </c>
      <c r="D670" s="1">
        <v>44886</v>
      </c>
      <c r="E670" t="s">
        <v>134</v>
      </c>
      <c r="F670" t="s">
        <v>8707</v>
      </c>
      <c r="G670" t="str">
        <f>"37-2012.00"</f>
        <v>37-2012.00</v>
      </c>
      <c r="H670" t="s">
        <v>116</v>
      </c>
      <c r="I670">
        <v>15</v>
      </c>
      <c r="J670">
        <v>15</v>
      </c>
      <c r="K670" s="1">
        <v>44906</v>
      </c>
      <c r="L670" s="1">
        <v>45107</v>
      </c>
      <c r="M670" s="1">
        <v>44906</v>
      </c>
      <c r="N670" s="1">
        <v>45107</v>
      </c>
      <c r="O670" t="s">
        <v>117</v>
      </c>
      <c r="P670" t="s">
        <v>8708</v>
      </c>
      <c r="Q670" t="s">
        <v>8709</v>
      </c>
      <c r="R670" t="s">
        <v>8710</v>
      </c>
      <c r="T670" t="s">
        <v>6662</v>
      </c>
      <c r="U670" t="s">
        <v>154</v>
      </c>
      <c r="V670" s="4" t="str">
        <f>"33040"</f>
        <v>33040</v>
      </c>
      <c r="W670" t="s">
        <v>120</v>
      </c>
      <c r="Y670" s="5">
        <v>13052957006</v>
      </c>
      <c r="AA670">
        <v>72111</v>
      </c>
      <c r="AB670" t="s">
        <v>8711</v>
      </c>
      <c r="AC670" t="s">
        <v>2622</v>
      </c>
      <c r="AE670" t="s">
        <v>1845</v>
      </c>
      <c r="AF670" t="s">
        <v>8710</v>
      </c>
      <c r="AH670" t="s">
        <v>6662</v>
      </c>
      <c r="AI670" t="s">
        <v>154</v>
      </c>
      <c r="AJ670" s="4" t="str">
        <f>"33040"</f>
        <v>33040</v>
      </c>
      <c r="AK670" t="s">
        <v>120</v>
      </c>
      <c r="AM670" s="5">
        <v>13052957006</v>
      </c>
      <c r="AO670" t="s">
        <v>8712</v>
      </c>
      <c r="AP670" t="s">
        <v>122</v>
      </c>
      <c r="AQ670" t="s">
        <v>2938</v>
      </c>
      <c r="AR670" t="s">
        <v>2672</v>
      </c>
      <c r="AS670" t="s">
        <v>2939</v>
      </c>
      <c r="AT670" t="s">
        <v>2940</v>
      </c>
      <c r="AU670" t="s">
        <v>2013</v>
      </c>
      <c r="AV670" t="s">
        <v>2014</v>
      </c>
      <c r="AW670" t="s">
        <v>154</v>
      </c>
      <c r="AX670" s="4" t="str">
        <f>"33126"</f>
        <v>33126</v>
      </c>
      <c r="AY670" t="s">
        <v>120</v>
      </c>
      <c r="BA670" s="5">
        <v>13057745800</v>
      </c>
      <c r="BC670" t="s">
        <v>2941</v>
      </c>
      <c r="BD670" t="s">
        <v>2942</v>
      </c>
      <c r="BE670" t="s">
        <v>154</v>
      </c>
      <c r="BF670" t="s">
        <v>322</v>
      </c>
      <c r="BG670" t="s">
        <v>154</v>
      </c>
      <c r="BH670" s="1">
        <v>44830.833333333336</v>
      </c>
      <c r="BI670">
        <v>35</v>
      </c>
      <c r="BJ670">
        <v>7</v>
      </c>
      <c r="BK670">
        <v>7</v>
      </c>
      <c r="BL670">
        <v>7</v>
      </c>
      <c r="BM670">
        <v>7</v>
      </c>
      <c r="BN670">
        <v>7</v>
      </c>
      <c r="BO670">
        <v>0</v>
      </c>
      <c r="BP670">
        <v>0</v>
      </c>
      <c r="BQ670" t="str">
        <f>"8:30 AM"</f>
        <v>8:30 AM</v>
      </c>
      <c r="BR670" t="str">
        <f>"4:30 PM"</f>
        <v>4:30 PM</v>
      </c>
      <c r="BS670" t="s">
        <v>133</v>
      </c>
      <c r="BT670">
        <v>0</v>
      </c>
      <c r="BU670">
        <v>0</v>
      </c>
      <c r="BV670" t="s">
        <v>134</v>
      </c>
      <c r="BX670" t="s">
        <v>133</v>
      </c>
      <c r="BY670" t="s">
        <v>8710</v>
      </c>
      <c r="CA670" t="s">
        <v>6662</v>
      </c>
      <c r="CB670" t="s">
        <v>154</v>
      </c>
      <c r="CC670" s="4" t="str">
        <f>"33040"</f>
        <v>33040</v>
      </c>
      <c r="CD670" t="s">
        <v>765</v>
      </c>
      <c r="CE670" t="s">
        <v>766</v>
      </c>
      <c r="CF670" s="6">
        <v>18</v>
      </c>
      <c r="CH670" s="6">
        <v>27</v>
      </c>
      <c r="CJ670" t="s">
        <v>137</v>
      </c>
      <c r="CK670" t="s">
        <v>8713</v>
      </c>
      <c r="CL670" t="s">
        <v>8714</v>
      </c>
      <c r="CO670" t="s">
        <v>138</v>
      </c>
      <c r="CP670" t="s">
        <v>134</v>
      </c>
      <c r="CQ670" t="s">
        <v>134</v>
      </c>
      <c r="CR670" t="s">
        <v>114</v>
      </c>
      <c r="CS670" t="s">
        <v>134</v>
      </c>
      <c r="CT670" t="s">
        <v>114</v>
      </c>
      <c r="CU670" t="s">
        <v>114</v>
      </c>
      <c r="CV670" t="s">
        <v>8715</v>
      </c>
      <c r="CW670" s="5" t="str">
        <f>"+13052957006"</f>
        <v>+13052957006</v>
      </c>
      <c r="CX670" t="s">
        <v>8712</v>
      </c>
      <c r="CY670" t="s">
        <v>138</v>
      </c>
      <c r="CZ670" t="s">
        <v>139</v>
      </c>
      <c r="DA670" t="s">
        <v>134</v>
      </c>
      <c r="DB670" t="s">
        <v>114</v>
      </c>
      <c r="DC670" t="s">
        <v>114</v>
      </c>
      <c r="DD670" t="s">
        <v>134</v>
      </c>
    </row>
    <row r="671" spans="1:108" ht="15" customHeight="1" x14ac:dyDescent="0.25">
      <c r="A671" t="s">
        <v>6454</v>
      </c>
      <c r="B671" t="s">
        <v>165</v>
      </c>
      <c r="C671" s="1">
        <v>44860.640756365741</v>
      </c>
      <c r="D671" s="1">
        <v>44883</v>
      </c>
      <c r="E671" t="s">
        <v>134</v>
      </c>
      <c r="F671" t="s">
        <v>1357</v>
      </c>
      <c r="G671" t="str">
        <f>"39-3091.00"</f>
        <v>39-3091.00</v>
      </c>
      <c r="H671" t="s">
        <v>362</v>
      </c>
      <c r="I671">
        <v>80</v>
      </c>
      <c r="J671">
        <v>80</v>
      </c>
      <c r="K671" s="1">
        <v>44941</v>
      </c>
      <c r="L671" s="1">
        <v>45244</v>
      </c>
      <c r="M671" s="1">
        <v>44941</v>
      </c>
      <c r="N671" s="1">
        <v>45244</v>
      </c>
      <c r="O671" t="s">
        <v>199</v>
      </c>
      <c r="P671" t="s">
        <v>6455</v>
      </c>
      <c r="Q671" t="s">
        <v>138</v>
      </c>
      <c r="R671" t="s">
        <v>6456</v>
      </c>
      <c r="S671" t="s">
        <v>6457</v>
      </c>
      <c r="T671" t="s">
        <v>6458</v>
      </c>
      <c r="U671" t="s">
        <v>444</v>
      </c>
      <c r="V671" s="4" t="str">
        <f>"92509"</f>
        <v>92509</v>
      </c>
      <c r="W671" t="s">
        <v>120</v>
      </c>
      <c r="X671" t="s">
        <v>138</v>
      </c>
      <c r="Y671" s="5">
        <v>19094220776</v>
      </c>
      <c r="Z671">
        <v>0</v>
      </c>
      <c r="AA671">
        <v>71119</v>
      </c>
      <c r="AB671" t="s">
        <v>6459</v>
      </c>
      <c r="AC671" t="s">
        <v>6460</v>
      </c>
      <c r="AD671" t="s">
        <v>2296</v>
      </c>
      <c r="AE671" t="s">
        <v>285</v>
      </c>
      <c r="AF671" t="s">
        <v>6456</v>
      </c>
      <c r="AG671" t="s">
        <v>6461</v>
      </c>
      <c r="AH671" t="s">
        <v>6458</v>
      </c>
      <c r="AI671" t="s">
        <v>444</v>
      </c>
      <c r="AJ671" s="4" t="str">
        <f>"92509"</f>
        <v>92509</v>
      </c>
      <c r="AK671" t="s">
        <v>120</v>
      </c>
      <c r="AM671" s="5">
        <v>19514538092</v>
      </c>
      <c r="AN671">
        <v>0</v>
      </c>
      <c r="AO671" t="s">
        <v>6462</v>
      </c>
      <c r="AP671" t="s">
        <v>256</v>
      </c>
      <c r="AQ671" t="s">
        <v>535</v>
      </c>
      <c r="AR671" t="s">
        <v>536</v>
      </c>
      <c r="AS671" t="s">
        <v>537</v>
      </c>
      <c r="AT671" t="s">
        <v>538</v>
      </c>
      <c r="AU671" t="s">
        <v>539</v>
      </c>
      <c r="AV671" t="s">
        <v>540</v>
      </c>
      <c r="AW671" t="s">
        <v>232</v>
      </c>
      <c r="AX671" s="4" t="str">
        <f>"78550"</f>
        <v>78550</v>
      </c>
      <c r="AY671" t="s">
        <v>120</v>
      </c>
      <c r="BA671" s="5">
        <v>19564408720</v>
      </c>
      <c r="BB671">
        <v>0</v>
      </c>
      <c r="BC671" t="s">
        <v>563</v>
      </c>
      <c r="BD671" t="s">
        <v>543</v>
      </c>
      <c r="BG671" t="s">
        <v>444</v>
      </c>
      <c r="BH671" s="1">
        <v>44859.833333333336</v>
      </c>
      <c r="BI671">
        <v>40</v>
      </c>
      <c r="BJ671">
        <v>8</v>
      </c>
      <c r="BK671">
        <v>0</v>
      </c>
      <c r="BL671">
        <v>0</v>
      </c>
      <c r="BM671">
        <v>8</v>
      </c>
      <c r="BN671">
        <v>8</v>
      </c>
      <c r="BO671">
        <v>8</v>
      </c>
      <c r="BP671">
        <v>8</v>
      </c>
      <c r="BQ671" t="str">
        <f>"1:00 PM"</f>
        <v>1:00 PM</v>
      </c>
      <c r="BR671" t="str">
        <f>"10:00 PM"</f>
        <v>10:00 PM</v>
      </c>
      <c r="BS671" t="s">
        <v>133</v>
      </c>
      <c r="BT671">
        <v>0</v>
      </c>
      <c r="BU671">
        <v>0</v>
      </c>
      <c r="BV671" t="s">
        <v>134</v>
      </c>
      <c r="BX671" s="2" t="s">
        <v>3113</v>
      </c>
      <c r="BY671" t="s">
        <v>6463</v>
      </c>
      <c r="CA671" t="s">
        <v>6464</v>
      </c>
      <c r="CB671" t="s">
        <v>444</v>
      </c>
      <c r="CC671" s="4" t="str">
        <f>"92324"</f>
        <v>92324</v>
      </c>
      <c r="CD671" t="s">
        <v>1789</v>
      </c>
      <c r="CE671" t="s">
        <v>609</v>
      </c>
      <c r="CF671" s="6">
        <v>11.85</v>
      </c>
      <c r="CG671" s="6">
        <v>17.100000000000001</v>
      </c>
      <c r="CJ671" t="s">
        <v>137</v>
      </c>
      <c r="CK671" t="s">
        <v>549</v>
      </c>
      <c r="CL671" t="s">
        <v>6465</v>
      </c>
      <c r="CO671" t="s">
        <v>138</v>
      </c>
      <c r="CP671" t="s">
        <v>114</v>
      </c>
      <c r="CQ671" t="s">
        <v>114</v>
      </c>
      <c r="CR671" t="s">
        <v>134</v>
      </c>
      <c r="CS671" t="s">
        <v>114</v>
      </c>
      <c r="CT671" t="s">
        <v>114</v>
      </c>
      <c r="CU671" t="s">
        <v>114</v>
      </c>
      <c r="CV671" t="s">
        <v>1360</v>
      </c>
      <c r="CW671" s="5" t="str">
        <f>"+19094220776"</f>
        <v>+19094220776</v>
      </c>
      <c r="CX671" t="s">
        <v>6462</v>
      </c>
      <c r="CY671" t="s">
        <v>138</v>
      </c>
      <c r="CZ671" t="s">
        <v>139</v>
      </c>
      <c r="DA671" t="s">
        <v>134</v>
      </c>
      <c r="DB671" t="s">
        <v>134</v>
      </c>
      <c r="DC671" t="s">
        <v>114</v>
      </c>
      <c r="DD671" t="s">
        <v>134</v>
      </c>
    </row>
    <row r="672" spans="1:108" ht="15" customHeight="1" x14ac:dyDescent="0.25">
      <c r="A672" t="s">
        <v>3342</v>
      </c>
      <c r="B672" t="s">
        <v>165</v>
      </c>
      <c r="C672" s="1">
        <v>44854.733173148146</v>
      </c>
      <c r="D672" s="1">
        <v>44883</v>
      </c>
      <c r="E672" t="s">
        <v>134</v>
      </c>
      <c r="F672" t="s">
        <v>1315</v>
      </c>
      <c r="G672" t="str">
        <f>"39-3091.00"</f>
        <v>39-3091.00</v>
      </c>
      <c r="H672" t="s">
        <v>362</v>
      </c>
      <c r="I672">
        <v>25</v>
      </c>
      <c r="J672">
        <v>25</v>
      </c>
      <c r="K672" s="1">
        <v>44929</v>
      </c>
      <c r="L672" s="1">
        <v>45230</v>
      </c>
      <c r="M672" s="1">
        <v>44929</v>
      </c>
      <c r="N672" s="1">
        <v>45230</v>
      </c>
      <c r="O672" t="s">
        <v>199</v>
      </c>
      <c r="P672" t="s">
        <v>3343</v>
      </c>
      <c r="R672" t="s">
        <v>3344</v>
      </c>
      <c r="S672" t="s">
        <v>3345</v>
      </c>
      <c r="T672" t="s">
        <v>3346</v>
      </c>
      <c r="U672" t="s">
        <v>154</v>
      </c>
      <c r="V672" s="4" t="str">
        <f>"33534"</f>
        <v>33534</v>
      </c>
      <c r="W672" t="s">
        <v>120</v>
      </c>
      <c r="Y672" s="5">
        <v>18132990366</v>
      </c>
      <c r="Z672">
        <v>0</v>
      </c>
      <c r="AA672">
        <v>71119</v>
      </c>
      <c r="AB672" t="s">
        <v>3347</v>
      </c>
      <c r="AC672" t="s">
        <v>2167</v>
      </c>
      <c r="AD672" t="s">
        <v>1841</v>
      </c>
      <c r="AE672" t="s">
        <v>424</v>
      </c>
      <c r="AF672" t="s">
        <v>3344</v>
      </c>
      <c r="AG672" t="s">
        <v>3345</v>
      </c>
      <c r="AH672" t="s">
        <v>3346</v>
      </c>
      <c r="AI672" t="s">
        <v>154</v>
      </c>
      <c r="AJ672" s="4" t="str">
        <f>"33534"</f>
        <v>33534</v>
      </c>
      <c r="AK672" t="s">
        <v>120</v>
      </c>
      <c r="AM672" s="5">
        <v>18132990366</v>
      </c>
      <c r="AN672">
        <v>0</v>
      </c>
      <c r="AO672" t="s">
        <v>3348</v>
      </c>
      <c r="AP672" t="s">
        <v>256</v>
      </c>
      <c r="AQ672" t="s">
        <v>535</v>
      </c>
      <c r="AR672" t="s">
        <v>536</v>
      </c>
      <c r="AS672" t="s">
        <v>537</v>
      </c>
      <c r="AT672" t="s">
        <v>538</v>
      </c>
      <c r="AU672" t="s">
        <v>539</v>
      </c>
      <c r="AV672" t="s">
        <v>540</v>
      </c>
      <c r="AW672" t="s">
        <v>232</v>
      </c>
      <c r="AX672" s="4" t="str">
        <f>"78550"</f>
        <v>78550</v>
      </c>
      <c r="AY672" t="s">
        <v>120</v>
      </c>
      <c r="AZ672" t="s">
        <v>2835</v>
      </c>
      <c r="BA672" s="5">
        <v>19564408720</v>
      </c>
      <c r="BB672">
        <v>0</v>
      </c>
      <c r="BC672" t="s">
        <v>542</v>
      </c>
      <c r="BD672" t="s">
        <v>543</v>
      </c>
      <c r="BG672" t="s">
        <v>154</v>
      </c>
      <c r="BH672" s="1">
        <v>44853.833333333336</v>
      </c>
      <c r="BI672">
        <v>40</v>
      </c>
      <c r="BJ672">
        <v>8</v>
      </c>
      <c r="BK672">
        <v>0</v>
      </c>
      <c r="BL672">
        <v>0</v>
      </c>
      <c r="BM672">
        <v>8</v>
      </c>
      <c r="BN672">
        <v>8</v>
      </c>
      <c r="BO672">
        <v>8</v>
      </c>
      <c r="BP672">
        <v>8</v>
      </c>
      <c r="BQ672" t="str">
        <f>"1:00 PM"</f>
        <v>1:00 PM</v>
      </c>
      <c r="BR672" t="str">
        <f>"10:00 PM"</f>
        <v>10:00 PM</v>
      </c>
      <c r="BS672" t="s">
        <v>133</v>
      </c>
      <c r="BT672">
        <v>0</v>
      </c>
      <c r="BU672">
        <v>0</v>
      </c>
      <c r="BV672" t="s">
        <v>134</v>
      </c>
      <c r="BX672" s="2" t="s">
        <v>1324</v>
      </c>
      <c r="BY672" t="s">
        <v>3344</v>
      </c>
      <c r="CA672" t="s">
        <v>2106</v>
      </c>
      <c r="CB672" t="s">
        <v>154</v>
      </c>
      <c r="CC672" s="4" t="str">
        <f>"33534"</f>
        <v>33534</v>
      </c>
      <c r="CD672" t="s">
        <v>566</v>
      </c>
      <c r="CE672" t="s">
        <v>567</v>
      </c>
      <c r="CF672" s="6">
        <v>10.11</v>
      </c>
      <c r="CG672" s="6">
        <v>12.82</v>
      </c>
      <c r="CH672" s="6">
        <v>0</v>
      </c>
      <c r="CI672" s="6">
        <v>0</v>
      </c>
      <c r="CJ672" t="s">
        <v>137</v>
      </c>
      <c r="CK672" t="s">
        <v>549</v>
      </c>
      <c r="CL672" t="s">
        <v>3349</v>
      </c>
      <c r="CO672" t="s">
        <v>138</v>
      </c>
      <c r="CP672" t="s">
        <v>114</v>
      </c>
      <c r="CQ672" t="s">
        <v>114</v>
      </c>
      <c r="CR672" t="s">
        <v>134</v>
      </c>
      <c r="CS672" t="s">
        <v>114</v>
      </c>
      <c r="CT672" t="s">
        <v>114</v>
      </c>
      <c r="CU672" t="s">
        <v>114</v>
      </c>
      <c r="CV672" t="s">
        <v>3350</v>
      </c>
      <c r="CW672" s="5" t="str">
        <f>"+18132990366"</f>
        <v>+18132990366</v>
      </c>
      <c r="CX672" t="s">
        <v>3351</v>
      </c>
      <c r="CY672" t="s">
        <v>138</v>
      </c>
      <c r="CZ672" t="s">
        <v>139</v>
      </c>
      <c r="DA672" t="s">
        <v>134</v>
      </c>
      <c r="DB672" t="s">
        <v>114</v>
      </c>
      <c r="DC672" t="s">
        <v>114</v>
      </c>
      <c r="DD672" t="s">
        <v>134</v>
      </c>
    </row>
    <row r="673" spans="1:108" ht="15" customHeight="1" x14ac:dyDescent="0.25">
      <c r="A673" t="s">
        <v>15763</v>
      </c>
      <c r="B673" t="s">
        <v>165</v>
      </c>
      <c r="C673" s="1">
        <v>44846.763976851849</v>
      </c>
      <c r="D673" s="1">
        <v>44883</v>
      </c>
      <c r="E673" t="s">
        <v>134</v>
      </c>
      <c r="F673" t="s">
        <v>2320</v>
      </c>
      <c r="G673" t="str">
        <f>"53-7062.00"</f>
        <v>53-7062.00</v>
      </c>
      <c r="H673" t="s">
        <v>245</v>
      </c>
      <c r="I673">
        <v>26</v>
      </c>
      <c r="J673">
        <v>26</v>
      </c>
      <c r="K673" s="1">
        <v>44921</v>
      </c>
      <c r="L673" s="1">
        <v>45000</v>
      </c>
      <c r="M673" s="1">
        <v>44921</v>
      </c>
      <c r="N673" s="1">
        <v>45000</v>
      </c>
      <c r="O673" t="s">
        <v>199</v>
      </c>
      <c r="P673" t="s">
        <v>15764</v>
      </c>
      <c r="R673" t="s">
        <v>15765</v>
      </c>
      <c r="T673" t="s">
        <v>14865</v>
      </c>
      <c r="U673" t="s">
        <v>697</v>
      </c>
      <c r="V673" s="4" t="str">
        <f>"63073"</f>
        <v>63073</v>
      </c>
      <c r="W673" t="s">
        <v>120</v>
      </c>
      <c r="Y673" s="5">
        <v>16366281503</v>
      </c>
      <c r="AA673">
        <v>561730</v>
      </c>
      <c r="AB673" t="s">
        <v>15766</v>
      </c>
      <c r="AC673" t="s">
        <v>15767</v>
      </c>
      <c r="AD673" t="s">
        <v>5575</v>
      </c>
      <c r="AE673" t="s">
        <v>424</v>
      </c>
      <c r="AF673" t="s">
        <v>15768</v>
      </c>
      <c r="AH673" t="s">
        <v>14865</v>
      </c>
      <c r="AI673" t="s">
        <v>697</v>
      </c>
      <c r="AJ673" s="4" t="str">
        <f>"63073"</f>
        <v>63073</v>
      </c>
      <c r="AK673" t="s">
        <v>120</v>
      </c>
      <c r="AM673" s="5">
        <v>16366281503</v>
      </c>
      <c r="AO673" t="s">
        <v>138</v>
      </c>
      <c r="AP673" t="s">
        <v>122</v>
      </c>
      <c r="AQ673" t="s">
        <v>864</v>
      </c>
      <c r="AR673" t="s">
        <v>865</v>
      </c>
      <c r="AS673" t="s">
        <v>370</v>
      </c>
      <c r="AT673" t="s">
        <v>3908</v>
      </c>
      <c r="AV673" t="s">
        <v>684</v>
      </c>
      <c r="AW673" t="s">
        <v>232</v>
      </c>
      <c r="AX673" s="4" t="str">
        <f>"78705"</f>
        <v>78705</v>
      </c>
      <c r="AY673" t="s">
        <v>120</v>
      </c>
      <c r="BA673" s="5">
        <v>15123470007</v>
      </c>
      <c r="BC673" t="s">
        <v>868</v>
      </c>
      <c r="BD673" t="s">
        <v>4251</v>
      </c>
      <c r="BE673" t="s">
        <v>232</v>
      </c>
      <c r="BF673" t="s">
        <v>870</v>
      </c>
      <c r="BG673" t="s">
        <v>697</v>
      </c>
      <c r="BH673" s="1">
        <v>44845.833333333336</v>
      </c>
      <c r="BI673">
        <v>40</v>
      </c>
      <c r="BJ673">
        <v>0</v>
      </c>
      <c r="BK673">
        <v>8</v>
      </c>
      <c r="BL673">
        <v>8</v>
      </c>
      <c r="BM673">
        <v>8</v>
      </c>
      <c r="BN673">
        <v>8</v>
      </c>
      <c r="BO673">
        <v>8</v>
      </c>
      <c r="BP673">
        <v>0</v>
      </c>
      <c r="BQ673" t="str">
        <f>"7:00 AM"</f>
        <v>7:00 AM</v>
      </c>
      <c r="BR673" t="str">
        <f>"4:00 PM"</f>
        <v>4:00 PM</v>
      </c>
      <c r="BS673" t="s">
        <v>133</v>
      </c>
      <c r="BT673">
        <v>0</v>
      </c>
      <c r="BU673">
        <v>0</v>
      </c>
      <c r="BV673" t="s">
        <v>134</v>
      </c>
      <c r="BX673" s="2" t="s">
        <v>15769</v>
      </c>
      <c r="BY673" t="s">
        <v>15765</v>
      </c>
      <c r="CA673" t="s">
        <v>15770</v>
      </c>
      <c r="CB673" t="s">
        <v>697</v>
      </c>
      <c r="CC673" s="4" t="str">
        <f>"63073"</f>
        <v>63073</v>
      </c>
      <c r="CD673" t="s">
        <v>1679</v>
      </c>
      <c r="CE673" t="s">
        <v>713</v>
      </c>
      <c r="CF673" s="6">
        <v>17.350000000000001</v>
      </c>
      <c r="CG673" s="6">
        <v>19.5</v>
      </c>
      <c r="CH673" s="6">
        <v>26.03</v>
      </c>
      <c r="CI673" s="6">
        <v>29.25</v>
      </c>
      <c r="CJ673" t="s">
        <v>137</v>
      </c>
      <c r="CK673" t="s">
        <v>15771</v>
      </c>
      <c r="CL673" t="s">
        <v>15772</v>
      </c>
      <c r="CO673" t="s">
        <v>138</v>
      </c>
      <c r="CP673" t="s">
        <v>114</v>
      </c>
      <c r="CQ673" t="s">
        <v>114</v>
      </c>
      <c r="CR673" t="s">
        <v>114</v>
      </c>
      <c r="CS673" t="s">
        <v>114</v>
      </c>
      <c r="CT673" t="s">
        <v>114</v>
      </c>
      <c r="CU673" t="s">
        <v>114</v>
      </c>
      <c r="CV673" t="s">
        <v>14179</v>
      </c>
      <c r="CW673" s="5" t="str">
        <f>"+16366281503"</f>
        <v>+16366281503</v>
      </c>
      <c r="CX673" t="s">
        <v>15773</v>
      </c>
      <c r="CY673" t="s">
        <v>138</v>
      </c>
      <c r="CZ673" t="s">
        <v>139</v>
      </c>
      <c r="DA673" t="s">
        <v>134</v>
      </c>
      <c r="DB673" t="s">
        <v>134</v>
      </c>
      <c r="DC673" t="s">
        <v>114</v>
      </c>
      <c r="DD673" t="s">
        <v>134</v>
      </c>
    </row>
    <row r="674" spans="1:108" ht="15" customHeight="1" x14ac:dyDescent="0.25">
      <c r="A674" t="s">
        <v>301</v>
      </c>
      <c r="B674" t="s">
        <v>165</v>
      </c>
      <c r="C674" s="1">
        <v>44747.806927893522</v>
      </c>
      <c r="D674" s="1">
        <v>44883</v>
      </c>
      <c r="E674" t="s">
        <v>134</v>
      </c>
      <c r="F674" t="s">
        <v>302</v>
      </c>
      <c r="G674" t="str">
        <f>"51-4121.06"</f>
        <v>51-4121.06</v>
      </c>
      <c r="H674" t="s">
        <v>303</v>
      </c>
      <c r="I674">
        <v>100</v>
      </c>
      <c r="J674">
        <v>100</v>
      </c>
      <c r="K674" s="1">
        <v>44835</v>
      </c>
      <c r="L674" s="1">
        <v>45322</v>
      </c>
      <c r="M674" s="1">
        <v>44835</v>
      </c>
      <c r="N674" s="1">
        <v>45322</v>
      </c>
      <c r="O674" t="s">
        <v>168</v>
      </c>
      <c r="P674" t="s">
        <v>304</v>
      </c>
      <c r="R674" t="s">
        <v>305</v>
      </c>
      <c r="S674" t="s">
        <v>306</v>
      </c>
      <c r="T674" t="s">
        <v>307</v>
      </c>
      <c r="U674" t="s">
        <v>232</v>
      </c>
      <c r="V674" s="4" t="str">
        <f>"77381"</f>
        <v>77381</v>
      </c>
      <c r="W674" t="s">
        <v>120</v>
      </c>
      <c r="Y674" s="5">
        <v>17139552931</v>
      </c>
      <c r="AA674">
        <v>2371</v>
      </c>
      <c r="AB674" t="s">
        <v>308</v>
      </c>
      <c r="AC674" t="s">
        <v>309</v>
      </c>
      <c r="AE674" t="s">
        <v>310</v>
      </c>
      <c r="AF674" t="s">
        <v>305</v>
      </c>
      <c r="AG674" t="s">
        <v>306</v>
      </c>
      <c r="AH674" t="s">
        <v>307</v>
      </c>
      <c r="AI674" t="s">
        <v>232</v>
      </c>
      <c r="AJ674" s="4" t="str">
        <f>"77381"</f>
        <v>77381</v>
      </c>
      <c r="AK674" t="s">
        <v>120</v>
      </c>
      <c r="AM674" s="5" t="s">
        <v>311</v>
      </c>
      <c r="AO674" t="s">
        <v>312</v>
      </c>
      <c r="AP674" t="s">
        <v>122</v>
      </c>
      <c r="AQ674" t="s">
        <v>313</v>
      </c>
      <c r="AR674" t="s">
        <v>314</v>
      </c>
      <c r="AS674" t="s">
        <v>315</v>
      </c>
      <c r="AT674" t="s">
        <v>316</v>
      </c>
      <c r="AU674" t="s">
        <v>317</v>
      </c>
      <c r="AV674" t="s">
        <v>318</v>
      </c>
      <c r="AW674" t="s">
        <v>319</v>
      </c>
      <c r="AX674" s="4" t="str">
        <f>"55402"</f>
        <v>55402</v>
      </c>
      <c r="AY674" t="s">
        <v>120</v>
      </c>
      <c r="BA674" s="5">
        <v>16124927165</v>
      </c>
      <c r="BC674" t="s">
        <v>320</v>
      </c>
      <c r="BD674" t="s">
        <v>321</v>
      </c>
      <c r="BE674" t="s">
        <v>319</v>
      </c>
      <c r="BF674" t="s">
        <v>322</v>
      </c>
      <c r="BG674" t="s">
        <v>232</v>
      </c>
      <c r="BH674" s="1">
        <v>44746.833333333336</v>
      </c>
      <c r="BI674">
        <v>35</v>
      </c>
      <c r="BJ674">
        <v>0</v>
      </c>
      <c r="BK674">
        <v>7</v>
      </c>
      <c r="BL674">
        <v>7</v>
      </c>
      <c r="BM674">
        <v>7</v>
      </c>
      <c r="BN674">
        <v>7</v>
      </c>
      <c r="BO674">
        <v>7</v>
      </c>
      <c r="BP674">
        <v>0</v>
      </c>
      <c r="BQ674" t="str">
        <f>"7:00 AM"</f>
        <v>7:00 AM</v>
      </c>
      <c r="BR674" t="str">
        <f>"4:00 PM"</f>
        <v>4:00 PM</v>
      </c>
      <c r="BS674" t="s">
        <v>295</v>
      </c>
      <c r="BT674">
        <v>0</v>
      </c>
      <c r="BU674">
        <v>0</v>
      </c>
      <c r="BV674" t="s">
        <v>134</v>
      </c>
      <c r="BX674" s="2" t="s">
        <v>323</v>
      </c>
      <c r="BY674" t="s">
        <v>324</v>
      </c>
      <c r="CA674" t="s">
        <v>325</v>
      </c>
      <c r="CB674" t="s">
        <v>232</v>
      </c>
      <c r="CC674" s="4" t="str">
        <f>"78336"</f>
        <v>78336</v>
      </c>
      <c r="CD674" t="s">
        <v>326</v>
      </c>
      <c r="CE674" t="s">
        <v>327</v>
      </c>
      <c r="CF674" s="6">
        <v>26.85</v>
      </c>
      <c r="CH674" s="6">
        <v>40.28</v>
      </c>
      <c r="CJ674" t="s">
        <v>137</v>
      </c>
      <c r="CK674" t="s">
        <v>328</v>
      </c>
      <c r="CL674" t="s">
        <v>329</v>
      </c>
      <c r="CO674" t="s">
        <v>138</v>
      </c>
      <c r="CP674" t="s">
        <v>114</v>
      </c>
      <c r="CQ674" t="s">
        <v>114</v>
      </c>
      <c r="CR674" t="s">
        <v>114</v>
      </c>
      <c r="CS674" t="s">
        <v>114</v>
      </c>
      <c r="CT674" t="s">
        <v>114</v>
      </c>
      <c r="CU674" t="s">
        <v>114</v>
      </c>
      <c r="CV674" s="2" t="s">
        <v>330</v>
      </c>
      <c r="CW674" s="5" t="str">
        <f>"(832)887-6065"</f>
        <v>(832)887-6065</v>
      </c>
      <c r="CX674" t="s">
        <v>331</v>
      </c>
      <c r="CY674" t="s">
        <v>332</v>
      </c>
      <c r="CZ674" t="s">
        <v>139</v>
      </c>
      <c r="DA674" t="s">
        <v>134</v>
      </c>
      <c r="DB674" t="s">
        <v>134</v>
      </c>
      <c r="DC674" t="s">
        <v>114</v>
      </c>
      <c r="DD674" t="s">
        <v>134</v>
      </c>
    </row>
    <row r="675" spans="1:108" ht="15" customHeight="1" x14ac:dyDescent="0.25">
      <c r="A675" t="s">
        <v>10356</v>
      </c>
      <c r="B675" t="s">
        <v>165</v>
      </c>
      <c r="C675" s="1">
        <v>44859.396540277776</v>
      </c>
      <c r="D675" s="1">
        <v>44882</v>
      </c>
      <c r="E675" t="s">
        <v>134</v>
      </c>
      <c r="F675" t="s">
        <v>334</v>
      </c>
      <c r="G675" t="str">
        <f>"37-3011.00"</f>
        <v>37-3011.00</v>
      </c>
      <c r="H675" t="s">
        <v>335</v>
      </c>
      <c r="I675">
        <v>40</v>
      </c>
      <c r="J675">
        <v>40</v>
      </c>
      <c r="K675" s="1">
        <v>44949</v>
      </c>
      <c r="L675" s="1">
        <v>45249</v>
      </c>
      <c r="M675" s="1">
        <v>44949</v>
      </c>
      <c r="N675" s="1">
        <v>45249</v>
      </c>
      <c r="O675" t="s">
        <v>117</v>
      </c>
      <c r="P675" t="s">
        <v>10357</v>
      </c>
      <c r="R675" t="s">
        <v>10358</v>
      </c>
      <c r="S675" t="s">
        <v>138</v>
      </c>
      <c r="T675" t="s">
        <v>10092</v>
      </c>
      <c r="U675" t="s">
        <v>1349</v>
      </c>
      <c r="V675" s="4" t="str">
        <f>"72135"</f>
        <v>72135</v>
      </c>
      <c r="W675" t="s">
        <v>120</v>
      </c>
      <c r="X675" t="s">
        <v>138</v>
      </c>
      <c r="Y675" s="5">
        <v>15013792568</v>
      </c>
      <c r="AA675">
        <v>713910</v>
      </c>
      <c r="AB675" t="s">
        <v>10359</v>
      </c>
      <c r="AC675" t="s">
        <v>10360</v>
      </c>
      <c r="AD675" t="s">
        <v>138</v>
      </c>
      <c r="AE675" t="s">
        <v>1915</v>
      </c>
      <c r="AF675" t="s">
        <v>10358</v>
      </c>
      <c r="AG675" t="s">
        <v>138</v>
      </c>
      <c r="AH675" t="s">
        <v>10092</v>
      </c>
      <c r="AI675" t="s">
        <v>1349</v>
      </c>
      <c r="AJ675" s="4" t="str">
        <f>"72135"</f>
        <v>72135</v>
      </c>
      <c r="AK675" t="s">
        <v>120</v>
      </c>
      <c r="AM675" s="5">
        <v>15013792568</v>
      </c>
      <c r="AO675" t="s">
        <v>10361</v>
      </c>
      <c r="AP675" t="s">
        <v>256</v>
      </c>
      <c r="AQ675" t="s">
        <v>2351</v>
      </c>
      <c r="AR675" t="s">
        <v>1353</v>
      </c>
      <c r="AS675" t="s">
        <v>259</v>
      </c>
      <c r="AT675" t="s">
        <v>2352</v>
      </c>
      <c r="AU675" t="s">
        <v>138</v>
      </c>
      <c r="AV675" t="s">
        <v>1285</v>
      </c>
      <c r="AW675" t="s">
        <v>232</v>
      </c>
      <c r="AX675" s="4" t="str">
        <f>"77414"</f>
        <v>77414</v>
      </c>
      <c r="AY675" t="s">
        <v>120</v>
      </c>
      <c r="BA675" s="5">
        <v>19793187283</v>
      </c>
      <c r="BC675" t="s">
        <v>2353</v>
      </c>
      <c r="BD675" t="s">
        <v>1287</v>
      </c>
      <c r="BG675" t="s">
        <v>1349</v>
      </c>
      <c r="BH675" s="1">
        <v>44858.833333333336</v>
      </c>
      <c r="BI675">
        <v>40</v>
      </c>
      <c r="BJ675">
        <v>0</v>
      </c>
      <c r="BK675">
        <v>8</v>
      </c>
      <c r="BL675">
        <v>8</v>
      </c>
      <c r="BM675">
        <v>8</v>
      </c>
      <c r="BN675">
        <v>8</v>
      </c>
      <c r="BO675">
        <v>8</v>
      </c>
      <c r="BP675">
        <v>0</v>
      </c>
      <c r="BQ675" t="str">
        <f>"6:30 AM"</f>
        <v>6:30 AM</v>
      </c>
      <c r="BR675" t="str">
        <f>"3:00 PM"</f>
        <v>3:00 PM</v>
      </c>
      <c r="BS675" t="s">
        <v>133</v>
      </c>
      <c r="BT675">
        <v>0</v>
      </c>
      <c r="BU675">
        <v>0</v>
      </c>
      <c r="BV675" t="s">
        <v>134</v>
      </c>
      <c r="BX675" s="2" t="s">
        <v>10362</v>
      </c>
      <c r="BY675" t="s">
        <v>10358</v>
      </c>
      <c r="BZ675" t="s">
        <v>138</v>
      </c>
      <c r="CA675" t="s">
        <v>10092</v>
      </c>
      <c r="CB675" t="s">
        <v>1349</v>
      </c>
      <c r="CC675" s="4" t="str">
        <f>"72135"</f>
        <v>72135</v>
      </c>
      <c r="CD675" t="s">
        <v>4412</v>
      </c>
      <c r="CE675" t="s">
        <v>4413</v>
      </c>
      <c r="CF675" s="6">
        <v>14.33</v>
      </c>
      <c r="CH675" s="6">
        <v>21.5</v>
      </c>
      <c r="CJ675" t="s">
        <v>137</v>
      </c>
      <c r="CK675" t="s">
        <v>4430</v>
      </c>
      <c r="CL675" t="s">
        <v>10363</v>
      </c>
      <c r="CO675" t="s">
        <v>138</v>
      </c>
      <c r="CP675" t="s">
        <v>134</v>
      </c>
      <c r="CQ675" t="s">
        <v>134</v>
      </c>
      <c r="CR675" t="s">
        <v>114</v>
      </c>
      <c r="CS675" t="s">
        <v>114</v>
      </c>
      <c r="CT675" t="s">
        <v>114</v>
      </c>
      <c r="CU675" t="s">
        <v>134</v>
      </c>
      <c r="CV675" t="s">
        <v>10364</v>
      </c>
      <c r="CW675" s="5" t="str">
        <f>"+15013792568"</f>
        <v>+15013792568</v>
      </c>
      <c r="CX675" t="s">
        <v>10361</v>
      </c>
      <c r="CY675" t="s">
        <v>138</v>
      </c>
      <c r="CZ675" t="s">
        <v>139</v>
      </c>
      <c r="DA675" t="s">
        <v>134</v>
      </c>
      <c r="DB675" t="s">
        <v>134</v>
      </c>
      <c r="DC675" t="s">
        <v>114</v>
      </c>
      <c r="DD675" t="s">
        <v>134</v>
      </c>
    </row>
    <row r="676" spans="1:108" ht="15" customHeight="1" x14ac:dyDescent="0.25">
      <c r="A676" t="s">
        <v>12984</v>
      </c>
      <c r="B676" t="s">
        <v>165</v>
      </c>
      <c r="C676" s="1">
        <v>44858.559859606481</v>
      </c>
      <c r="D676" s="1">
        <v>44882</v>
      </c>
      <c r="E676" t="s">
        <v>134</v>
      </c>
      <c r="F676" t="s">
        <v>4838</v>
      </c>
      <c r="G676" t="str">
        <f>"47-2061.00"</f>
        <v>47-2061.00</v>
      </c>
      <c r="H676" t="s">
        <v>1625</v>
      </c>
      <c r="I676">
        <v>30</v>
      </c>
      <c r="J676">
        <v>30</v>
      </c>
      <c r="K676" s="1">
        <v>44941</v>
      </c>
      <c r="L676" s="1">
        <v>45214</v>
      </c>
      <c r="M676" s="1">
        <v>44941</v>
      </c>
      <c r="N676" s="1">
        <v>45214</v>
      </c>
      <c r="O676" t="s">
        <v>117</v>
      </c>
      <c r="P676" t="s">
        <v>10106</v>
      </c>
      <c r="R676" t="s">
        <v>10107</v>
      </c>
      <c r="T676" t="s">
        <v>1856</v>
      </c>
      <c r="U676" t="s">
        <v>657</v>
      </c>
      <c r="V676" s="4" t="str">
        <f>"38305"</f>
        <v>38305</v>
      </c>
      <c r="W676" t="s">
        <v>120</v>
      </c>
      <c r="Y676" s="5">
        <v>17316646446</v>
      </c>
      <c r="AA676">
        <v>23899</v>
      </c>
      <c r="AB676" t="s">
        <v>1331</v>
      </c>
      <c r="AC676" t="s">
        <v>2564</v>
      </c>
      <c r="AE676" t="s">
        <v>424</v>
      </c>
      <c r="AF676" t="s">
        <v>10108</v>
      </c>
      <c r="AH676" t="s">
        <v>1856</v>
      </c>
      <c r="AI676" t="s">
        <v>657</v>
      </c>
      <c r="AJ676" s="4" t="str">
        <f>"38305"</f>
        <v>38305</v>
      </c>
      <c r="AK676" t="s">
        <v>120</v>
      </c>
      <c r="AM676" s="5">
        <v>17316646446</v>
      </c>
      <c r="AO676" t="s">
        <v>10109</v>
      </c>
      <c r="AP676" t="s">
        <v>256</v>
      </c>
      <c r="AQ676" t="s">
        <v>885</v>
      </c>
      <c r="AR676" t="s">
        <v>886</v>
      </c>
      <c r="AT676" t="s">
        <v>887</v>
      </c>
      <c r="AV676" t="s">
        <v>888</v>
      </c>
      <c r="AW676" t="s">
        <v>232</v>
      </c>
      <c r="AX676" s="4" t="str">
        <f>"75098"</f>
        <v>75098</v>
      </c>
      <c r="AY676" t="s">
        <v>120</v>
      </c>
      <c r="BA676" s="5">
        <v>19724424244</v>
      </c>
      <c r="BC676" t="s">
        <v>889</v>
      </c>
      <c r="BD676" t="s">
        <v>1264</v>
      </c>
      <c r="BG676" t="s">
        <v>657</v>
      </c>
      <c r="BH676" s="1">
        <v>44850.833333333336</v>
      </c>
      <c r="BI676">
        <v>40</v>
      </c>
      <c r="BJ676">
        <v>0</v>
      </c>
      <c r="BK676">
        <v>8</v>
      </c>
      <c r="BL676">
        <v>8</v>
      </c>
      <c r="BM676">
        <v>8</v>
      </c>
      <c r="BN676">
        <v>8</v>
      </c>
      <c r="BO676">
        <v>8</v>
      </c>
      <c r="BP676">
        <v>0</v>
      </c>
      <c r="BQ676" t="str">
        <f>"8:00 AM"</f>
        <v>8:00 AM</v>
      </c>
      <c r="BR676" t="str">
        <f>"5:00 PM"</f>
        <v>5:00 PM</v>
      </c>
      <c r="BS676" t="s">
        <v>133</v>
      </c>
      <c r="BT676">
        <v>0</v>
      </c>
      <c r="BU676">
        <v>0</v>
      </c>
      <c r="BV676" t="s">
        <v>134</v>
      </c>
      <c r="BX676" s="2" t="s">
        <v>12985</v>
      </c>
      <c r="BY676" t="s">
        <v>10107</v>
      </c>
      <c r="CA676" t="s">
        <v>1856</v>
      </c>
      <c r="CB676" t="s">
        <v>657</v>
      </c>
      <c r="CC676" s="4" t="str">
        <f>"38305"</f>
        <v>38305</v>
      </c>
      <c r="CD676" t="s">
        <v>2258</v>
      </c>
      <c r="CE676" t="s">
        <v>2987</v>
      </c>
      <c r="CF676" s="6">
        <v>17.059999999999999</v>
      </c>
      <c r="CG676" s="6">
        <v>17.920000000000002</v>
      </c>
      <c r="CH676" s="6">
        <v>25.59</v>
      </c>
      <c r="CI676" s="6">
        <v>26.88</v>
      </c>
      <c r="CJ676" t="s">
        <v>137</v>
      </c>
      <c r="CL676" t="s">
        <v>10110</v>
      </c>
      <c r="CO676" t="s">
        <v>138</v>
      </c>
      <c r="CP676" t="s">
        <v>114</v>
      </c>
      <c r="CQ676" t="s">
        <v>114</v>
      </c>
      <c r="CR676" t="s">
        <v>114</v>
      </c>
      <c r="CS676" t="s">
        <v>114</v>
      </c>
      <c r="CT676" t="s">
        <v>114</v>
      </c>
      <c r="CU676" t="s">
        <v>114</v>
      </c>
      <c r="CV676" t="s">
        <v>10111</v>
      </c>
      <c r="CW676" s="5" t="str">
        <f>"+17316646446"</f>
        <v>+17316646446</v>
      </c>
      <c r="CX676" t="s">
        <v>138</v>
      </c>
      <c r="CY676" t="s">
        <v>7889</v>
      </c>
      <c r="CZ676" t="s">
        <v>139</v>
      </c>
      <c r="DA676" t="s">
        <v>134</v>
      </c>
      <c r="DB676" t="s">
        <v>134</v>
      </c>
      <c r="DC676" t="s">
        <v>114</v>
      </c>
      <c r="DD676" t="s">
        <v>134</v>
      </c>
    </row>
    <row r="677" spans="1:108" ht="15" customHeight="1" x14ac:dyDescent="0.25">
      <c r="A677" t="s">
        <v>10339</v>
      </c>
      <c r="B677" t="s">
        <v>165</v>
      </c>
      <c r="C677" s="1">
        <v>44856.355695949074</v>
      </c>
      <c r="D677" s="1">
        <v>44882</v>
      </c>
      <c r="E677" t="s">
        <v>134</v>
      </c>
      <c r="F677" t="s">
        <v>571</v>
      </c>
      <c r="G677" t="str">
        <f>"35-3023.00"</f>
        <v>35-3023.00</v>
      </c>
      <c r="H677" t="s">
        <v>555</v>
      </c>
      <c r="I677">
        <v>14</v>
      </c>
      <c r="J677">
        <v>14</v>
      </c>
      <c r="K677" s="1">
        <v>44946</v>
      </c>
      <c r="L677" s="1">
        <v>45243</v>
      </c>
      <c r="M677" s="1">
        <v>44946</v>
      </c>
      <c r="N677" s="1">
        <v>45243</v>
      </c>
      <c r="O677" t="s">
        <v>199</v>
      </c>
      <c r="P677" t="s">
        <v>10340</v>
      </c>
      <c r="R677" t="s">
        <v>10341</v>
      </c>
      <c r="S677" t="s">
        <v>10342</v>
      </c>
      <c r="T677" t="s">
        <v>1079</v>
      </c>
      <c r="U677" t="s">
        <v>232</v>
      </c>
      <c r="V677" s="4" t="str">
        <f>"75656"</f>
        <v>75656</v>
      </c>
      <c r="W677" t="s">
        <v>120</v>
      </c>
      <c r="Y677" s="5">
        <v>19036392040</v>
      </c>
      <c r="AA677">
        <v>71399</v>
      </c>
      <c r="AB677" t="s">
        <v>10343</v>
      </c>
      <c r="AC677" t="s">
        <v>2579</v>
      </c>
      <c r="AE677" t="s">
        <v>342</v>
      </c>
      <c r="AF677" t="s">
        <v>10341</v>
      </c>
      <c r="AG677" t="s">
        <v>10342</v>
      </c>
      <c r="AH677" t="s">
        <v>1079</v>
      </c>
      <c r="AI677" t="s">
        <v>232</v>
      </c>
      <c r="AJ677" s="4" t="str">
        <f>"75656"</f>
        <v>75656</v>
      </c>
      <c r="AK677" t="s">
        <v>120</v>
      </c>
      <c r="AM677" s="5">
        <v>19032357934</v>
      </c>
      <c r="AO677" t="s">
        <v>10344</v>
      </c>
      <c r="AP677" t="s">
        <v>256</v>
      </c>
      <c r="AQ677" t="s">
        <v>535</v>
      </c>
      <c r="AR677" t="s">
        <v>536</v>
      </c>
      <c r="AS677" t="s">
        <v>537</v>
      </c>
      <c r="AT677" t="s">
        <v>538</v>
      </c>
      <c r="AU677" t="s">
        <v>539</v>
      </c>
      <c r="AV677" t="s">
        <v>540</v>
      </c>
      <c r="AW677" t="s">
        <v>232</v>
      </c>
      <c r="AX677" s="4" t="str">
        <f>"78550"</f>
        <v>78550</v>
      </c>
      <c r="AY677" t="s">
        <v>120</v>
      </c>
      <c r="BA677" s="5">
        <v>19564408720</v>
      </c>
      <c r="BB677">
        <v>0</v>
      </c>
      <c r="BC677" t="s">
        <v>1022</v>
      </c>
      <c r="BD677" t="s">
        <v>543</v>
      </c>
      <c r="BG677" t="s">
        <v>232</v>
      </c>
      <c r="BH677" s="1">
        <v>44855.833333333336</v>
      </c>
      <c r="BI677">
        <v>40</v>
      </c>
      <c r="BJ677">
        <v>8</v>
      </c>
      <c r="BK677">
        <v>0</v>
      </c>
      <c r="BL677">
        <v>0</v>
      </c>
      <c r="BM677">
        <v>8</v>
      </c>
      <c r="BN677">
        <v>8</v>
      </c>
      <c r="BO677">
        <v>8</v>
      </c>
      <c r="BP677">
        <v>8</v>
      </c>
      <c r="BQ677" t="str">
        <f>"1:00 PM"</f>
        <v>1:00 PM</v>
      </c>
      <c r="BR677" t="str">
        <f>"10:00 PM"</f>
        <v>10:00 PM</v>
      </c>
      <c r="BS677" t="s">
        <v>133</v>
      </c>
      <c r="BT677">
        <v>0</v>
      </c>
      <c r="BU677">
        <v>0</v>
      </c>
      <c r="BV677" t="s">
        <v>134</v>
      </c>
      <c r="BX677" s="2" t="s">
        <v>579</v>
      </c>
      <c r="BY677" t="s">
        <v>10345</v>
      </c>
      <c r="CA677" t="s">
        <v>1079</v>
      </c>
      <c r="CB677" t="s">
        <v>232</v>
      </c>
      <c r="CC677" s="4" t="str">
        <f>"75656"</f>
        <v>75656</v>
      </c>
      <c r="CD677" t="s">
        <v>1084</v>
      </c>
      <c r="CE677" t="s">
        <v>1085</v>
      </c>
      <c r="CF677" s="6">
        <v>9.67</v>
      </c>
      <c r="CG677" s="6">
        <v>13.66</v>
      </c>
      <c r="CJ677" t="s">
        <v>137</v>
      </c>
      <c r="CK677" t="s">
        <v>549</v>
      </c>
      <c r="CL677" t="s">
        <v>10346</v>
      </c>
      <c r="CO677" t="s">
        <v>138</v>
      </c>
      <c r="CP677" t="s">
        <v>114</v>
      </c>
      <c r="CQ677" t="s">
        <v>114</v>
      </c>
      <c r="CR677" t="s">
        <v>134</v>
      </c>
      <c r="CS677" t="s">
        <v>114</v>
      </c>
      <c r="CT677" t="s">
        <v>114</v>
      </c>
      <c r="CU677" t="s">
        <v>114</v>
      </c>
      <c r="CV677" t="s">
        <v>569</v>
      </c>
      <c r="CW677" s="5" t="str">
        <f>"+19036392040"</f>
        <v>+19036392040</v>
      </c>
      <c r="CX677" t="s">
        <v>10344</v>
      </c>
      <c r="CY677" t="s">
        <v>138</v>
      </c>
      <c r="CZ677" t="s">
        <v>139</v>
      </c>
      <c r="DA677" t="s">
        <v>134</v>
      </c>
      <c r="DB677" t="s">
        <v>114</v>
      </c>
      <c r="DC677" t="s">
        <v>114</v>
      </c>
      <c r="DD677" t="s">
        <v>134</v>
      </c>
    </row>
    <row r="678" spans="1:108" ht="15" customHeight="1" x14ac:dyDescent="0.25">
      <c r="A678" t="s">
        <v>14370</v>
      </c>
      <c r="B678" t="s">
        <v>165</v>
      </c>
      <c r="C678" s="1">
        <v>44856.353949305558</v>
      </c>
      <c r="D678" s="1">
        <v>44882</v>
      </c>
      <c r="E678" t="s">
        <v>134</v>
      </c>
      <c r="F678" t="s">
        <v>14371</v>
      </c>
      <c r="G678" t="str">
        <f>"35-3023.00"</f>
        <v>35-3023.00</v>
      </c>
      <c r="H678" t="s">
        <v>555</v>
      </c>
      <c r="I678">
        <v>60</v>
      </c>
      <c r="J678">
        <v>60</v>
      </c>
      <c r="K678" s="1">
        <v>44946</v>
      </c>
      <c r="L678" s="1">
        <v>45249</v>
      </c>
      <c r="M678" s="1">
        <v>44946</v>
      </c>
      <c r="N678" s="1">
        <v>45249</v>
      </c>
      <c r="O678" t="s">
        <v>199</v>
      </c>
      <c r="P678" t="s">
        <v>14372</v>
      </c>
      <c r="Q678" t="s">
        <v>138</v>
      </c>
      <c r="R678" t="s">
        <v>14373</v>
      </c>
      <c r="T678" t="s">
        <v>9397</v>
      </c>
      <c r="U678" t="s">
        <v>154</v>
      </c>
      <c r="V678" s="4" t="str">
        <f>"34292"</f>
        <v>34292</v>
      </c>
      <c r="W678" t="s">
        <v>120</v>
      </c>
      <c r="X678" t="s">
        <v>138</v>
      </c>
      <c r="Y678" s="5">
        <v>19892395703</v>
      </c>
      <c r="Z678">
        <v>0</v>
      </c>
      <c r="AA678">
        <v>71399</v>
      </c>
      <c r="AB678" t="s">
        <v>14374</v>
      </c>
      <c r="AC678" t="s">
        <v>1659</v>
      </c>
      <c r="AD678" t="s">
        <v>138</v>
      </c>
      <c r="AE678" t="s">
        <v>424</v>
      </c>
      <c r="AF678" t="s">
        <v>14373</v>
      </c>
      <c r="AH678" t="s">
        <v>9397</v>
      </c>
      <c r="AI678" t="s">
        <v>154</v>
      </c>
      <c r="AJ678" s="4" t="str">
        <f>"34292"</f>
        <v>34292</v>
      </c>
      <c r="AK678" t="s">
        <v>120</v>
      </c>
      <c r="AM678" s="5">
        <v>19892395703</v>
      </c>
      <c r="AN678">
        <v>0</v>
      </c>
      <c r="AO678" t="s">
        <v>14375</v>
      </c>
      <c r="AP678" t="s">
        <v>256</v>
      </c>
      <c r="AQ678" t="s">
        <v>535</v>
      </c>
      <c r="AR678" t="s">
        <v>536</v>
      </c>
      <c r="AS678" t="s">
        <v>537</v>
      </c>
      <c r="AT678" t="s">
        <v>538</v>
      </c>
      <c r="AU678" t="s">
        <v>539</v>
      </c>
      <c r="AV678" t="s">
        <v>540</v>
      </c>
      <c r="AW678" t="s">
        <v>232</v>
      </c>
      <c r="AX678" s="4" t="str">
        <f>"78550"</f>
        <v>78550</v>
      </c>
      <c r="AY678" t="s">
        <v>120</v>
      </c>
      <c r="BA678" s="5">
        <v>19564408720</v>
      </c>
      <c r="BB678">
        <v>0</v>
      </c>
      <c r="BC678" t="s">
        <v>563</v>
      </c>
      <c r="BD678" t="s">
        <v>543</v>
      </c>
      <c r="BG678" t="s">
        <v>1414</v>
      </c>
      <c r="BH678" s="1">
        <v>44855.833333333336</v>
      </c>
      <c r="BI678">
        <v>40</v>
      </c>
      <c r="BJ678">
        <v>8</v>
      </c>
      <c r="BK678">
        <v>0</v>
      </c>
      <c r="BL678">
        <v>0</v>
      </c>
      <c r="BM678">
        <v>8</v>
      </c>
      <c r="BN678">
        <v>8</v>
      </c>
      <c r="BO678">
        <v>8</v>
      </c>
      <c r="BP678">
        <v>8</v>
      </c>
      <c r="BQ678" t="str">
        <f>"1:00 PM"</f>
        <v>1:00 PM</v>
      </c>
      <c r="BR678" t="str">
        <f>"10:00 PM"</f>
        <v>10:00 PM</v>
      </c>
      <c r="BS678" t="s">
        <v>133</v>
      </c>
      <c r="BT678">
        <v>0</v>
      </c>
      <c r="BU678">
        <v>0</v>
      </c>
      <c r="BV678" t="s">
        <v>134</v>
      </c>
      <c r="BX678" s="2" t="s">
        <v>579</v>
      </c>
      <c r="BY678" t="s">
        <v>14376</v>
      </c>
      <c r="CA678" t="s">
        <v>14377</v>
      </c>
      <c r="CB678" t="s">
        <v>1414</v>
      </c>
      <c r="CC678" s="4" t="str">
        <f>"48734"</f>
        <v>48734</v>
      </c>
      <c r="CD678" t="s">
        <v>14378</v>
      </c>
      <c r="CE678" t="s">
        <v>14379</v>
      </c>
      <c r="CF678" s="6">
        <v>9.5500000000000007</v>
      </c>
      <c r="CG678" s="6">
        <v>12.35</v>
      </c>
      <c r="CJ678" t="s">
        <v>137</v>
      </c>
      <c r="CK678" t="s">
        <v>549</v>
      </c>
      <c r="CL678" t="s">
        <v>14380</v>
      </c>
      <c r="CO678" t="s">
        <v>138</v>
      </c>
      <c r="CP678" t="s">
        <v>114</v>
      </c>
      <c r="CQ678" t="s">
        <v>114</v>
      </c>
      <c r="CR678" t="s">
        <v>134</v>
      </c>
      <c r="CS678" t="s">
        <v>114</v>
      </c>
      <c r="CT678" t="s">
        <v>114</v>
      </c>
      <c r="CU678" t="s">
        <v>114</v>
      </c>
      <c r="CV678" t="s">
        <v>14381</v>
      </c>
      <c r="CW678" s="5" t="str">
        <f>"+19892395703"</f>
        <v>+19892395703</v>
      </c>
      <c r="CX678" t="s">
        <v>14375</v>
      </c>
      <c r="CY678" t="s">
        <v>138</v>
      </c>
      <c r="CZ678" t="s">
        <v>139</v>
      </c>
      <c r="DA678" t="s">
        <v>134</v>
      </c>
      <c r="DB678" t="s">
        <v>114</v>
      </c>
      <c r="DC678" t="s">
        <v>114</v>
      </c>
      <c r="DD678" t="s">
        <v>134</v>
      </c>
    </row>
    <row r="679" spans="1:108" ht="15" customHeight="1" x14ac:dyDescent="0.25">
      <c r="A679" t="s">
        <v>15121</v>
      </c>
      <c r="B679" t="s">
        <v>165</v>
      </c>
      <c r="C679" s="1">
        <v>44819.482775810182</v>
      </c>
      <c r="D679" s="1">
        <v>44882</v>
      </c>
      <c r="E679" t="s">
        <v>134</v>
      </c>
      <c r="F679" t="s">
        <v>416</v>
      </c>
      <c r="G679" t="str">
        <f>"37-3011.00"</f>
        <v>37-3011.00</v>
      </c>
      <c r="H679" t="s">
        <v>335</v>
      </c>
      <c r="I679">
        <v>12</v>
      </c>
      <c r="J679">
        <v>12</v>
      </c>
      <c r="K679" s="1">
        <v>44896</v>
      </c>
      <c r="L679" s="1">
        <v>45016</v>
      </c>
      <c r="M679" s="1">
        <v>44896</v>
      </c>
      <c r="N679" s="1">
        <v>45016</v>
      </c>
      <c r="O679" t="s">
        <v>199</v>
      </c>
      <c r="P679" t="s">
        <v>12671</v>
      </c>
      <c r="R679" t="s">
        <v>12672</v>
      </c>
      <c r="T679" t="s">
        <v>2748</v>
      </c>
      <c r="U679" t="s">
        <v>420</v>
      </c>
      <c r="V679" s="4" t="str">
        <f>"84104"</f>
        <v>84104</v>
      </c>
      <c r="W679" t="s">
        <v>120</v>
      </c>
      <c r="Y679" s="5">
        <v>18014848389</v>
      </c>
      <c r="AA679">
        <v>56173</v>
      </c>
      <c r="AB679" t="s">
        <v>12673</v>
      </c>
      <c r="AC679" t="s">
        <v>1892</v>
      </c>
      <c r="AD679" t="s">
        <v>1487</v>
      </c>
      <c r="AE679" t="s">
        <v>252</v>
      </c>
      <c r="AF679" t="s">
        <v>12672</v>
      </c>
      <c r="AH679" t="s">
        <v>2748</v>
      </c>
      <c r="AI679" t="s">
        <v>420</v>
      </c>
      <c r="AJ679" s="4" t="str">
        <f>"84104"</f>
        <v>84104</v>
      </c>
      <c r="AK679" t="s">
        <v>120</v>
      </c>
      <c r="AM679" s="5">
        <v>18014848389</v>
      </c>
      <c r="AO679" t="s">
        <v>12674</v>
      </c>
      <c r="AP679" t="s">
        <v>256</v>
      </c>
      <c r="AQ679" t="s">
        <v>426</v>
      </c>
      <c r="AR679" t="s">
        <v>427</v>
      </c>
      <c r="AT679" t="s">
        <v>428</v>
      </c>
      <c r="AV679" t="s">
        <v>429</v>
      </c>
      <c r="AW679" t="s">
        <v>420</v>
      </c>
      <c r="AX679" s="4" t="str">
        <f>"84059"</f>
        <v>84059</v>
      </c>
      <c r="AY679" t="s">
        <v>120</v>
      </c>
      <c r="BA679" s="5">
        <v>18013677097</v>
      </c>
      <c r="BC679" t="s">
        <v>430</v>
      </c>
      <c r="BD679" t="s">
        <v>431</v>
      </c>
      <c r="BG679" t="s">
        <v>420</v>
      </c>
      <c r="BH679" s="1">
        <v>44818.833333333336</v>
      </c>
      <c r="BI679">
        <v>35</v>
      </c>
      <c r="BJ679">
        <v>0</v>
      </c>
      <c r="BK679">
        <v>7</v>
      </c>
      <c r="BL679">
        <v>7</v>
      </c>
      <c r="BM679">
        <v>7</v>
      </c>
      <c r="BN679">
        <v>7</v>
      </c>
      <c r="BO679">
        <v>7</v>
      </c>
      <c r="BP679">
        <v>0</v>
      </c>
      <c r="BQ679" t="str">
        <f>"8:00 PM"</f>
        <v>8:00 PM</v>
      </c>
      <c r="BR679" t="str">
        <f>"3:30 PM"</f>
        <v>3:30 PM</v>
      </c>
      <c r="BS679" t="s">
        <v>133</v>
      </c>
      <c r="BT679">
        <v>0</v>
      </c>
      <c r="BU679">
        <v>0</v>
      </c>
      <c r="BV679" t="s">
        <v>134</v>
      </c>
      <c r="BX679" s="2" t="s">
        <v>432</v>
      </c>
      <c r="BY679" t="s">
        <v>12672</v>
      </c>
      <c r="CA679" t="s">
        <v>2748</v>
      </c>
      <c r="CB679" t="s">
        <v>420</v>
      </c>
      <c r="CC679" s="4" t="str">
        <f>"84104"</f>
        <v>84104</v>
      </c>
      <c r="CD679" t="s">
        <v>688</v>
      </c>
      <c r="CE679" t="s">
        <v>689</v>
      </c>
      <c r="CF679" s="6">
        <v>17.21</v>
      </c>
      <c r="CJ679" t="s">
        <v>137</v>
      </c>
      <c r="CK679" t="s">
        <v>5243</v>
      </c>
      <c r="CL679" t="s">
        <v>15122</v>
      </c>
      <c r="CO679" t="s">
        <v>138</v>
      </c>
      <c r="CP679" t="s">
        <v>114</v>
      </c>
      <c r="CQ679" t="s">
        <v>114</v>
      </c>
      <c r="CR679" t="s">
        <v>114</v>
      </c>
      <c r="CS679" t="s">
        <v>134</v>
      </c>
      <c r="CT679" t="s">
        <v>114</v>
      </c>
      <c r="CU679" t="s">
        <v>134</v>
      </c>
      <c r="CV679" t="s">
        <v>6063</v>
      </c>
      <c r="CW679" s="5" t="str">
        <f>"+18014848389"</f>
        <v>+18014848389</v>
      </c>
      <c r="CX679" t="s">
        <v>12674</v>
      </c>
      <c r="CY679" t="s">
        <v>138</v>
      </c>
      <c r="CZ679" t="s">
        <v>139</v>
      </c>
      <c r="DA679" t="s">
        <v>134</v>
      </c>
      <c r="DB679" t="s">
        <v>134</v>
      </c>
      <c r="DC679" t="s">
        <v>114</v>
      </c>
      <c r="DD679" t="s">
        <v>134</v>
      </c>
    </row>
    <row r="680" spans="1:108" ht="15" customHeight="1" x14ac:dyDescent="0.25">
      <c r="A680" t="s">
        <v>11294</v>
      </c>
      <c r="B680" t="s">
        <v>165</v>
      </c>
      <c r="C680" s="1">
        <v>44837.834014398148</v>
      </c>
      <c r="D680" s="1">
        <v>44881</v>
      </c>
      <c r="E680" t="s">
        <v>114</v>
      </c>
      <c r="F680" t="s">
        <v>11295</v>
      </c>
      <c r="G680" t="str">
        <f>"51-3022.00"</f>
        <v>51-3022.00</v>
      </c>
      <c r="H680" t="s">
        <v>817</v>
      </c>
      <c r="I680">
        <v>12</v>
      </c>
      <c r="J680">
        <v>12</v>
      </c>
      <c r="K680" s="1">
        <v>44927</v>
      </c>
      <c r="L680" s="1">
        <v>45046</v>
      </c>
      <c r="M680" s="1">
        <v>44927</v>
      </c>
      <c r="N680" s="1">
        <v>45046</v>
      </c>
      <c r="O680" t="s">
        <v>199</v>
      </c>
      <c r="P680" t="s">
        <v>5266</v>
      </c>
      <c r="R680" t="s">
        <v>11296</v>
      </c>
      <c r="S680" t="s">
        <v>789</v>
      </c>
      <c r="T680" t="s">
        <v>5268</v>
      </c>
      <c r="U680" t="s">
        <v>792</v>
      </c>
      <c r="V680" s="4" t="str">
        <f>"98004"</f>
        <v>98004</v>
      </c>
      <c r="W680" t="s">
        <v>120</v>
      </c>
      <c r="Y680" s="5">
        <v>12066825949</v>
      </c>
      <c r="AA680">
        <v>3117</v>
      </c>
      <c r="AB680" t="s">
        <v>2065</v>
      </c>
      <c r="AC680" t="s">
        <v>924</v>
      </c>
      <c r="AE680" t="s">
        <v>11297</v>
      </c>
      <c r="AF680" t="s">
        <v>11298</v>
      </c>
      <c r="AG680" t="s">
        <v>11299</v>
      </c>
      <c r="AH680" t="s">
        <v>5268</v>
      </c>
      <c r="AI680" t="s">
        <v>792</v>
      </c>
      <c r="AJ680" s="4" t="str">
        <f>"98004"</f>
        <v>98004</v>
      </c>
      <c r="AK680" t="s">
        <v>120</v>
      </c>
      <c r="AM680" s="5">
        <v>12066825949</v>
      </c>
      <c r="AO680" t="s">
        <v>5269</v>
      </c>
      <c r="AP680" t="s">
        <v>122</v>
      </c>
      <c r="AQ680" t="s">
        <v>843</v>
      </c>
      <c r="AR680" t="s">
        <v>9023</v>
      </c>
      <c r="AS680" t="s">
        <v>1723</v>
      </c>
      <c r="AT680" t="s">
        <v>10598</v>
      </c>
      <c r="AU680" t="s">
        <v>4078</v>
      </c>
      <c r="AV680" t="s">
        <v>1632</v>
      </c>
      <c r="AW680" t="s">
        <v>792</v>
      </c>
      <c r="AX680" s="4" t="str">
        <f>"98104"</f>
        <v>98104</v>
      </c>
      <c r="AY680" t="s">
        <v>120</v>
      </c>
      <c r="BA680" s="5">
        <v>12067578354</v>
      </c>
      <c r="BC680" t="s">
        <v>10599</v>
      </c>
      <c r="BD680" t="s">
        <v>10600</v>
      </c>
      <c r="BE680" t="s">
        <v>792</v>
      </c>
      <c r="BF680" t="s">
        <v>793</v>
      </c>
      <c r="BG680" t="s">
        <v>821</v>
      </c>
      <c r="BH680" s="1">
        <v>44836.833333333336</v>
      </c>
      <c r="BI680">
        <v>40</v>
      </c>
      <c r="BJ680">
        <v>0</v>
      </c>
      <c r="BK680">
        <v>8</v>
      </c>
      <c r="BL680">
        <v>8</v>
      </c>
      <c r="BM680">
        <v>8</v>
      </c>
      <c r="BN680">
        <v>8</v>
      </c>
      <c r="BO680">
        <v>8</v>
      </c>
      <c r="BP680">
        <v>0</v>
      </c>
      <c r="BQ680" t="str">
        <f>"8:00 AM"</f>
        <v>8:00 AM</v>
      </c>
      <c r="BR680" t="str">
        <f>"5:00 PM"</f>
        <v>5:00 PM</v>
      </c>
      <c r="BS680" t="s">
        <v>133</v>
      </c>
      <c r="BT680">
        <v>0</v>
      </c>
      <c r="BU680">
        <v>24</v>
      </c>
      <c r="BV680" t="s">
        <v>134</v>
      </c>
      <c r="BX680" s="2" t="s">
        <v>11300</v>
      </c>
      <c r="BY680" t="s">
        <v>11301</v>
      </c>
      <c r="CA680" t="s">
        <v>6652</v>
      </c>
      <c r="CB680" t="s">
        <v>821</v>
      </c>
      <c r="CC680" s="4" t="str">
        <f>"99692"</f>
        <v>99692</v>
      </c>
      <c r="CD680" t="s">
        <v>5273</v>
      </c>
      <c r="CE680" t="s">
        <v>832</v>
      </c>
      <c r="CF680" s="6">
        <v>20.23</v>
      </c>
      <c r="CH680" s="6">
        <v>30.35</v>
      </c>
      <c r="CJ680" t="s">
        <v>137</v>
      </c>
      <c r="CK680" t="s">
        <v>11302</v>
      </c>
      <c r="CL680" t="s">
        <v>11303</v>
      </c>
      <c r="CO680" t="s">
        <v>138</v>
      </c>
      <c r="CP680" t="s">
        <v>114</v>
      </c>
      <c r="CQ680" t="s">
        <v>134</v>
      </c>
      <c r="CR680" t="s">
        <v>114</v>
      </c>
      <c r="CS680" t="s">
        <v>134</v>
      </c>
      <c r="CT680" t="s">
        <v>114</v>
      </c>
      <c r="CU680" t="s">
        <v>114</v>
      </c>
      <c r="CV680" t="s">
        <v>11304</v>
      </c>
      <c r="CW680" s="5" t="str">
        <f>"N/A"</f>
        <v>N/A</v>
      </c>
      <c r="CX680" t="s">
        <v>10607</v>
      </c>
      <c r="CY680" t="s">
        <v>10608</v>
      </c>
      <c r="CZ680" t="s">
        <v>139</v>
      </c>
      <c r="DA680" t="s">
        <v>134</v>
      </c>
      <c r="DB680" t="s">
        <v>134</v>
      </c>
      <c r="DC680" t="s">
        <v>114</v>
      </c>
      <c r="DD680" t="s">
        <v>134</v>
      </c>
    </row>
    <row r="681" spans="1:108" ht="15" customHeight="1" x14ac:dyDescent="0.25">
      <c r="A681" t="s">
        <v>13006</v>
      </c>
      <c r="B681" t="s">
        <v>165</v>
      </c>
      <c r="C681" s="1">
        <v>44776.465718865744</v>
      </c>
      <c r="D681" s="1">
        <v>44881</v>
      </c>
      <c r="E681" t="s">
        <v>134</v>
      </c>
      <c r="F681" t="s">
        <v>10101</v>
      </c>
      <c r="G681" t="str">
        <f>"45-4011.00"</f>
        <v>45-4011.00</v>
      </c>
      <c r="H681" t="s">
        <v>1107</v>
      </c>
      <c r="I681">
        <v>22</v>
      </c>
      <c r="J681">
        <v>22</v>
      </c>
      <c r="K681" s="1">
        <v>44866</v>
      </c>
      <c r="L681" s="1">
        <v>45169</v>
      </c>
      <c r="M681" s="1">
        <v>44866</v>
      </c>
      <c r="N681" s="1">
        <v>45169</v>
      </c>
      <c r="O681" t="s">
        <v>117</v>
      </c>
      <c r="P681" t="s">
        <v>13007</v>
      </c>
      <c r="R681" t="s">
        <v>13008</v>
      </c>
      <c r="T681" t="s">
        <v>10918</v>
      </c>
      <c r="U681" t="s">
        <v>1361</v>
      </c>
      <c r="V681" s="4" t="str">
        <f>"38655"</f>
        <v>38655</v>
      </c>
      <c r="W681" t="s">
        <v>120</v>
      </c>
      <c r="Y681" s="5">
        <v>16622344348</v>
      </c>
      <c r="AA681">
        <v>11531</v>
      </c>
      <c r="AB681" t="s">
        <v>13009</v>
      </c>
      <c r="AC681" t="s">
        <v>536</v>
      </c>
      <c r="AE681" t="s">
        <v>13010</v>
      </c>
      <c r="AF681" t="s">
        <v>13011</v>
      </c>
      <c r="AH681" t="s">
        <v>10918</v>
      </c>
      <c r="AI681" t="s">
        <v>1361</v>
      </c>
      <c r="AJ681" s="4" t="str">
        <f>"38655"</f>
        <v>38655</v>
      </c>
      <c r="AK681" t="s">
        <v>120</v>
      </c>
      <c r="AM681" s="5">
        <v>16622344348</v>
      </c>
      <c r="AO681" t="s">
        <v>138</v>
      </c>
      <c r="AP681" t="s">
        <v>256</v>
      </c>
      <c r="AQ681" t="s">
        <v>2478</v>
      </c>
      <c r="AR681" t="s">
        <v>1427</v>
      </c>
      <c r="AT681" t="s">
        <v>2479</v>
      </c>
      <c r="AV681" t="s">
        <v>2480</v>
      </c>
      <c r="AW681" t="s">
        <v>129</v>
      </c>
      <c r="AX681" s="4" t="str">
        <f>"31606"</f>
        <v>31606</v>
      </c>
      <c r="AY681" t="s">
        <v>120</v>
      </c>
      <c r="BA681" s="5">
        <v>12295590241</v>
      </c>
      <c r="BC681" t="s">
        <v>2481</v>
      </c>
      <c r="BD681" t="s">
        <v>2482</v>
      </c>
      <c r="BG681" t="s">
        <v>1361</v>
      </c>
      <c r="BH681" s="1">
        <v>44775.833333333336</v>
      </c>
      <c r="BI681">
        <v>40</v>
      </c>
      <c r="BJ681">
        <v>0</v>
      </c>
      <c r="BK681">
        <v>7</v>
      </c>
      <c r="BL681">
        <v>7</v>
      </c>
      <c r="BM681">
        <v>7</v>
      </c>
      <c r="BN681">
        <v>7</v>
      </c>
      <c r="BO681">
        <v>7</v>
      </c>
      <c r="BP681">
        <v>5</v>
      </c>
      <c r="BQ681" t="str">
        <f>"6:00 AM"</f>
        <v>6:00 AM</v>
      </c>
      <c r="BR681" t="str">
        <f>"2:00 PM"</f>
        <v>2:00 PM</v>
      </c>
      <c r="BS681" t="s">
        <v>133</v>
      </c>
      <c r="BT681">
        <v>0</v>
      </c>
      <c r="BU681">
        <v>0</v>
      </c>
      <c r="BV681" t="s">
        <v>134</v>
      </c>
      <c r="BX681" s="2" t="s">
        <v>13012</v>
      </c>
      <c r="BY681" t="s">
        <v>13013</v>
      </c>
      <c r="CA681" t="s">
        <v>10918</v>
      </c>
      <c r="CB681" t="s">
        <v>1361</v>
      </c>
      <c r="CC681" s="4" t="str">
        <f>"38655"</f>
        <v>38655</v>
      </c>
      <c r="CD681" t="s">
        <v>2595</v>
      </c>
      <c r="CE681" t="s">
        <v>4477</v>
      </c>
      <c r="CF681" s="6">
        <v>16.2</v>
      </c>
      <c r="CJ681" t="s">
        <v>137</v>
      </c>
      <c r="CL681" t="s">
        <v>13014</v>
      </c>
      <c r="CO681" t="s">
        <v>138</v>
      </c>
      <c r="CP681" t="s">
        <v>114</v>
      </c>
      <c r="CQ681" t="s">
        <v>114</v>
      </c>
      <c r="CR681" t="s">
        <v>134</v>
      </c>
      <c r="CS681" t="s">
        <v>134</v>
      </c>
      <c r="CT681" t="s">
        <v>114</v>
      </c>
      <c r="CU681" t="s">
        <v>134</v>
      </c>
      <c r="CV681" t="s">
        <v>13015</v>
      </c>
      <c r="CW681" s="5" t="str">
        <f>"+12295590241"</f>
        <v>+12295590241</v>
      </c>
      <c r="CX681" t="s">
        <v>2481</v>
      </c>
      <c r="CY681" t="s">
        <v>138</v>
      </c>
      <c r="CZ681" t="s">
        <v>139</v>
      </c>
      <c r="DA681" t="s">
        <v>134</v>
      </c>
      <c r="DB681" t="s">
        <v>134</v>
      </c>
      <c r="DC681" t="s">
        <v>114</v>
      </c>
      <c r="DD681" t="s">
        <v>134</v>
      </c>
    </row>
    <row r="682" spans="1:108" ht="15" customHeight="1" x14ac:dyDescent="0.25">
      <c r="A682" t="s">
        <v>8592</v>
      </c>
      <c r="B682" t="s">
        <v>165</v>
      </c>
      <c r="C682" s="1">
        <v>44745.040073032411</v>
      </c>
      <c r="D682" s="1">
        <v>44881</v>
      </c>
      <c r="E682" t="s">
        <v>134</v>
      </c>
      <c r="F682" t="s">
        <v>5694</v>
      </c>
      <c r="G682" t="str">
        <f>"35-3021.00"</f>
        <v>35-3021.00</v>
      </c>
      <c r="H682" t="s">
        <v>7224</v>
      </c>
      <c r="I682">
        <v>4</v>
      </c>
      <c r="J682">
        <v>4</v>
      </c>
      <c r="K682" s="1">
        <v>44835</v>
      </c>
      <c r="L682" s="1">
        <v>45031</v>
      </c>
      <c r="M682" s="1">
        <v>44835</v>
      </c>
      <c r="N682" s="1">
        <v>45031</v>
      </c>
      <c r="O682" t="s">
        <v>117</v>
      </c>
      <c r="P682" t="s">
        <v>8593</v>
      </c>
      <c r="R682" t="s">
        <v>8594</v>
      </c>
      <c r="S682" t="s">
        <v>8595</v>
      </c>
      <c r="T682" t="s">
        <v>8596</v>
      </c>
      <c r="U682" t="s">
        <v>848</v>
      </c>
      <c r="V682" s="4" t="str">
        <f>"12496"</f>
        <v>12496</v>
      </c>
      <c r="W682" t="s">
        <v>120</v>
      </c>
      <c r="Y682" s="5">
        <v>15187345353</v>
      </c>
      <c r="AA682">
        <v>72251</v>
      </c>
      <c r="AB682" t="s">
        <v>8597</v>
      </c>
      <c r="AC682" t="s">
        <v>4015</v>
      </c>
      <c r="AE682" t="s">
        <v>424</v>
      </c>
      <c r="AF682" t="s">
        <v>8594</v>
      </c>
      <c r="AG682" t="s">
        <v>8595</v>
      </c>
      <c r="AH682" t="s">
        <v>8596</v>
      </c>
      <c r="AI682" t="s">
        <v>848</v>
      </c>
      <c r="AJ682" s="4" t="str">
        <f>"12496"</f>
        <v>12496</v>
      </c>
      <c r="AK682" t="s">
        <v>120</v>
      </c>
      <c r="AM682" s="5">
        <v>15187345353</v>
      </c>
      <c r="AO682" t="s">
        <v>8598</v>
      </c>
      <c r="AP682" t="s">
        <v>256</v>
      </c>
      <c r="AQ682" t="s">
        <v>1579</v>
      </c>
      <c r="AR682" t="s">
        <v>1580</v>
      </c>
      <c r="AS682" t="s">
        <v>367</v>
      </c>
      <c r="AT682" t="s">
        <v>1581</v>
      </c>
      <c r="AV682" t="s">
        <v>4491</v>
      </c>
      <c r="AW682" t="s">
        <v>848</v>
      </c>
      <c r="AX682" s="4" t="str">
        <f>"12534"</f>
        <v>12534</v>
      </c>
      <c r="AY682" t="s">
        <v>120</v>
      </c>
      <c r="BA682" s="5">
        <v>15184510109</v>
      </c>
      <c r="BC682" t="s">
        <v>1583</v>
      </c>
      <c r="BD682" t="s">
        <v>4492</v>
      </c>
      <c r="BG682" t="s">
        <v>848</v>
      </c>
      <c r="BH682" s="1">
        <v>44743.833333333336</v>
      </c>
      <c r="BI682">
        <v>40</v>
      </c>
      <c r="BJ682">
        <v>8</v>
      </c>
      <c r="BK682">
        <v>0</v>
      </c>
      <c r="BL682">
        <v>0</v>
      </c>
      <c r="BM682">
        <v>8</v>
      </c>
      <c r="BN682">
        <v>8</v>
      </c>
      <c r="BO682">
        <v>8</v>
      </c>
      <c r="BP682">
        <v>8</v>
      </c>
      <c r="BQ682" t="str">
        <f>"10:00 AM"</f>
        <v>10:00 AM</v>
      </c>
      <c r="BR682" t="str">
        <f>"10:00 PM"</f>
        <v>10:00 PM</v>
      </c>
      <c r="BS682" t="s">
        <v>133</v>
      </c>
      <c r="BT682">
        <v>0</v>
      </c>
      <c r="BU682">
        <v>0</v>
      </c>
      <c r="BV682" t="s">
        <v>134</v>
      </c>
      <c r="BX682" t="s">
        <v>133</v>
      </c>
      <c r="BY682" t="s">
        <v>8594</v>
      </c>
      <c r="CA682" t="s">
        <v>8596</v>
      </c>
      <c r="CB682" t="s">
        <v>848</v>
      </c>
      <c r="CC682" s="4" t="str">
        <f>"12496"</f>
        <v>12496</v>
      </c>
      <c r="CD682" t="s">
        <v>1363</v>
      </c>
      <c r="CE682" t="s">
        <v>3931</v>
      </c>
      <c r="CF682" s="6">
        <v>13.26</v>
      </c>
      <c r="CG682" s="6">
        <v>13.26</v>
      </c>
      <c r="CH682" s="6">
        <v>19.89</v>
      </c>
      <c r="CI682" s="6">
        <v>19.89</v>
      </c>
      <c r="CJ682" t="s">
        <v>137</v>
      </c>
      <c r="CK682" t="s">
        <v>133</v>
      </c>
      <c r="CL682" t="s">
        <v>8599</v>
      </c>
      <c r="CO682" t="s">
        <v>138</v>
      </c>
      <c r="CP682" t="s">
        <v>134</v>
      </c>
      <c r="CQ682" t="s">
        <v>134</v>
      </c>
      <c r="CR682" t="s">
        <v>114</v>
      </c>
      <c r="CS682" t="s">
        <v>134</v>
      </c>
      <c r="CT682" t="s">
        <v>114</v>
      </c>
      <c r="CU682" t="s">
        <v>134</v>
      </c>
      <c r="CV682" t="s">
        <v>8600</v>
      </c>
      <c r="CW682" s="5" t="str">
        <f>"+15187345353"</f>
        <v>+15187345353</v>
      </c>
      <c r="CX682" t="s">
        <v>8598</v>
      </c>
      <c r="CY682" t="s">
        <v>138</v>
      </c>
      <c r="CZ682" t="s">
        <v>139</v>
      </c>
      <c r="DA682" t="s">
        <v>134</v>
      </c>
      <c r="DB682" t="s">
        <v>134</v>
      </c>
      <c r="DC682" t="s">
        <v>114</v>
      </c>
      <c r="DD682" t="s">
        <v>134</v>
      </c>
    </row>
    <row r="683" spans="1:108" ht="15" customHeight="1" x14ac:dyDescent="0.25">
      <c r="A683" t="s">
        <v>13164</v>
      </c>
      <c r="B683" t="s">
        <v>165</v>
      </c>
      <c r="C683" s="1">
        <v>44855.336288425926</v>
      </c>
      <c r="D683" s="1">
        <v>44880</v>
      </c>
      <c r="E683" t="s">
        <v>134</v>
      </c>
      <c r="F683" t="s">
        <v>1357</v>
      </c>
      <c r="G683" t="str">
        <f>"39-3091.00"</f>
        <v>39-3091.00</v>
      </c>
      <c r="H683" t="s">
        <v>362</v>
      </c>
      <c r="I683">
        <v>30</v>
      </c>
      <c r="J683">
        <v>30</v>
      </c>
      <c r="K683" s="1">
        <v>44945</v>
      </c>
      <c r="L683" s="1">
        <v>45248</v>
      </c>
      <c r="M683" s="1">
        <v>44945</v>
      </c>
      <c r="N683" s="1">
        <v>45248</v>
      </c>
      <c r="O683" t="s">
        <v>199</v>
      </c>
      <c r="P683" t="s">
        <v>13165</v>
      </c>
      <c r="R683" t="s">
        <v>13166</v>
      </c>
      <c r="S683" t="s">
        <v>13167</v>
      </c>
      <c r="T683" t="s">
        <v>2108</v>
      </c>
      <c r="U683" t="s">
        <v>232</v>
      </c>
      <c r="V683" s="4" t="str">
        <f>"78260"</f>
        <v>78260</v>
      </c>
      <c r="W683" t="s">
        <v>120</v>
      </c>
      <c r="Y683" s="5">
        <v>12103170525</v>
      </c>
      <c r="AA683">
        <v>71119</v>
      </c>
      <c r="AB683" t="s">
        <v>6369</v>
      </c>
      <c r="AC683" t="s">
        <v>2132</v>
      </c>
      <c r="AD683" t="s">
        <v>2208</v>
      </c>
      <c r="AE683" t="s">
        <v>342</v>
      </c>
      <c r="AF683" t="s">
        <v>13168</v>
      </c>
      <c r="AG683" t="s">
        <v>13167</v>
      </c>
      <c r="AH683" t="s">
        <v>2108</v>
      </c>
      <c r="AI683" t="s">
        <v>232</v>
      </c>
      <c r="AJ683" s="4" t="str">
        <f>"78260"</f>
        <v>78260</v>
      </c>
      <c r="AK683" t="s">
        <v>120</v>
      </c>
      <c r="AM683" s="5">
        <v>12103170525</v>
      </c>
      <c r="AO683" t="s">
        <v>13169</v>
      </c>
      <c r="AP683" t="s">
        <v>256</v>
      </c>
      <c r="AQ683" t="s">
        <v>535</v>
      </c>
      <c r="AR683" t="s">
        <v>536</v>
      </c>
      <c r="AS683" t="s">
        <v>537</v>
      </c>
      <c r="AT683" t="s">
        <v>538</v>
      </c>
      <c r="AU683" t="s">
        <v>539</v>
      </c>
      <c r="AV683" t="s">
        <v>540</v>
      </c>
      <c r="AW683" t="s">
        <v>232</v>
      </c>
      <c r="AX683" s="4" t="str">
        <f>"78550"</f>
        <v>78550</v>
      </c>
      <c r="AY683" t="s">
        <v>120</v>
      </c>
      <c r="BA683" s="5">
        <v>19564408720</v>
      </c>
      <c r="BB683">
        <v>0</v>
      </c>
      <c r="BC683" t="s">
        <v>563</v>
      </c>
      <c r="BD683" t="s">
        <v>543</v>
      </c>
      <c r="BG683" t="s">
        <v>232</v>
      </c>
      <c r="BH683" s="1">
        <v>44854.833333333336</v>
      </c>
      <c r="BI683">
        <v>40</v>
      </c>
      <c r="BJ683">
        <v>8</v>
      </c>
      <c r="BK683">
        <v>0</v>
      </c>
      <c r="BL683">
        <v>0</v>
      </c>
      <c r="BM683">
        <v>8</v>
      </c>
      <c r="BN683">
        <v>8</v>
      </c>
      <c r="BO683">
        <v>8</v>
      </c>
      <c r="BP683">
        <v>8</v>
      </c>
      <c r="BQ683" t="str">
        <f>"1:00 PM"</f>
        <v>1:00 PM</v>
      </c>
      <c r="BR683" t="str">
        <f>"10:00 PM"</f>
        <v>10:00 PM</v>
      </c>
      <c r="BS683" t="s">
        <v>133</v>
      </c>
      <c r="BT683">
        <v>0</v>
      </c>
      <c r="BU683">
        <v>0</v>
      </c>
      <c r="BV683" t="s">
        <v>134</v>
      </c>
      <c r="BX683" s="2" t="s">
        <v>3113</v>
      </c>
      <c r="BY683" t="s">
        <v>13166</v>
      </c>
      <c r="CA683" t="s">
        <v>2108</v>
      </c>
      <c r="CB683" t="s">
        <v>232</v>
      </c>
      <c r="CC683" s="4" t="str">
        <f>"78260"</f>
        <v>78260</v>
      </c>
      <c r="CD683" t="s">
        <v>2112</v>
      </c>
      <c r="CE683" t="s">
        <v>1342</v>
      </c>
      <c r="CF683" s="6">
        <v>9.4600000000000009</v>
      </c>
      <c r="CG683" s="6">
        <v>15.5</v>
      </c>
      <c r="CJ683" t="s">
        <v>137</v>
      </c>
      <c r="CK683" t="s">
        <v>549</v>
      </c>
      <c r="CL683" t="s">
        <v>13170</v>
      </c>
      <c r="CO683" t="s">
        <v>138</v>
      </c>
      <c r="CP683" t="s">
        <v>114</v>
      </c>
      <c r="CQ683" t="s">
        <v>114</v>
      </c>
      <c r="CR683" t="s">
        <v>134</v>
      </c>
      <c r="CS683" t="s">
        <v>114</v>
      </c>
      <c r="CT683" t="s">
        <v>114</v>
      </c>
      <c r="CU683" t="s">
        <v>114</v>
      </c>
      <c r="CV683" t="s">
        <v>5919</v>
      </c>
      <c r="CW683" s="5" t="str">
        <f>"+12103170525"</f>
        <v>+12103170525</v>
      </c>
      <c r="CX683" t="s">
        <v>13171</v>
      </c>
      <c r="CY683" t="s">
        <v>138</v>
      </c>
      <c r="CZ683" t="s">
        <v>139</v>
      </c>
      <c r="DA683" t="s">
        <v>134</v>
      </c>
      <c r="DB683" t="s">
        <v>114</v>
      </c>
      <c r="DC683" t="s">
        <v>114</v>
      </c>
      <c r="DD683" t="s">
        <v>134</v>
      </c>
    </row>
    <row r="684" spans="1:108" ht="15" customHeight="1" x14ac:dyDescent="0.25">
      <c r="A684" t="s">
        <v>5293</v>
      </c>
      <c r="B684" t="s">
        <v>165</v>
      </c>
      <c r="C684" s="1">
        <v>44853.701011921294</v>
      </c>
      <c r="D684" s="1">
        <v>44880</v>
      </c>
      <c r="E684" t="s">
        <v>134</v>
      </c>
      <c r="F684" t="s">
        <v>5294</v>
      </c>
      <c r="G684" t="str">
        <f>"51-9111.00"</f>
        <v>51-9111.00</v>
      </c>
      <c r="H684" t="s">
        <v>4327</v>
      </c>
      <c r="I684">
        <v>5</v>
      </c>
      <c r="J684">
        <v>5</v>
      </c>
      <c r="K684" s="1">
        <v>44928</v>
      </c>
      <c r="L684" s="1">
        <v>45077</v>
      </c>
      <c r="M684" s="1">
        <v>44928</v>
      </c>
      <c r="N684" s="1">
        <v>45077</v>
      </c>
      <c r="O684" t="s">
        <v>117</v>
      </c>
      <c r="P684" t="s">
        <v>5295</v>
      </c>
      <c r="R684" t="s">
        <v>5296</v>
      </c>
      <c r="T684" t="s">
        <v>5297</v>
      </c>
      <c r="U684" t="s">
        <v>1995</v>
      </c>
      <c r="V684" s="4" t="str">
        <f>"58075"</f>
        <v>58075</v>
      </c>
      <c r="W684" t="s">
        <v>120</v>
      </c>
      <c r="Y684" s="5">
        <v>17016717777</v>
      </c>
      <c r="AA684">
        <v>31134</v>
      </c>
      <c r="AB684" t="s">
        <v>5298</v>
      </c>
      <c r="AC684" t="s">
        <v>5299</v>
      </c>
      <c r="AE684" t="s">
        <v>5300</v>
      </c>
      <c r="AF684" t="s">
        <v>5296</v>
      </c>
      <c r="AH684" t="s">
        <v>5297</v>
      </c>
      <c r="AI684" t="s">
        <v>1995</v>
      </c>
      <c r="AJ684" s="4" t="str">
        <f>"58075"</f>
        <v>58075</v>
      </c>
      <c r="AK684" t="s">
        <v>120</v>
      </c>
      <c r="AM684" s="5">
        <v>17016711338</v>
      </c>
      <c r="AO684" t="s">
        <v>5301</v>
      </c>
      <c r="AP684" t="s">
        <v>256</v>
      </c>
      <c r="AQ684" t="s">
        <v>400</v>
      </c>
      <c r="AR684" t="s">
        <v>401</v>
      </c>
      <c r="AS684" t="s">
        <v>397</v>
      </c>
      <c r="AT684" t="s">
        <v>402</v>
      </c>
      <c r="AU684" t="s">
        <v>152</v>
      </c>
      <c r="AV684" t="s">
        <v>403</v>
      </c>
      <c r="AW684" t="s">
        <v>232</v>
      </c>
      <c r="AX684" s="4" t="str">
        <f>"75033"</f>
        <v>75033</v>
      </c>
      <c r="AY684" t="s">
        <v>120</v>
      </c>
      <c r="BA684" s="5">
        <v>19727789690</v>
      </c>
      <c r="BC684" t="s">
        <v>404</v>
      </c>
      <c r="BD684" t="s">
        <v>405</v>
      </c>
      <c r="BG684" t="s">
        <v>1995</v>
      </c>
      <c r="BH684" s="1">
        <v>44852.833333333336</v>
      </c>
      <c r="BI684">
        <v>40</v>
      </c>
      <c r="BJ684">
        <v>8</v>
      </c>
      <c r="BK684">
        <v>0</v>
      </c>
      <c r="BL684">
        <v>8</v>
      </c>
      <c r="BM684">
        <v>8</v>
      </c>
      <c r="BN684">
        <v>8</v>
      </c>
      <c r="BO684">
        <v>8</v>
      </c>
      <c r="BP684">
        <v>0</v>
      </c>
      <c r="BQ684" t="str">
        <f>"8:00 AM"</f>
        <v>8:00 AM</v>
      </c>
      <c r="BR684" t="str">
        <f>"4:00 PM"</f>
        <v>4:00 PM</v>
      </c>
      <c r="BS684" t="s">
        <v>133</v>
      </c>
      <c r="BT684">
        <v>0</v>
      </c>
      <c r="BU684">
        <v>0</v>
      </c>
      <c r="BV684" t="s">
        <v>134</v>
      </c>
      <c r="BX684" s="2" t="s">
        <v>5302</v>
      </c>
      <c r="BY684" t="s">
        <v>5296</v>
      </c>
      <c r="CA684" t="s">
        <v>5297</v>
      </c>
      <c r="CB684" t="s">
        <v>1995</v>
      </c>
      <c r="CC684" s="4" t="str">
        <f>"58075"</f>
        <v>58075</v>
      </c>
      <c r="CD684" t="s">
        <v>1522</v>
      </c>
      <c r="CE684" t="s">
        <v>2275</v>
      </c>
      <c r="CF684" s="6">
        <v>19.02</v>
      </c>
      <c r="CG684" s="6">
        <v>19.02</v>
      </c>
      <c r="CH684" s="6">
        <v>28.53</v>
      </c>
      <c r="CI684" s="6">
        <v>28.53</v>
      </c>
      <c r="CJ684" t="s">
        <v>137</v>
      </c>
      <c r="CK684" t="s">
        <v>950</v>
      </c>
      <c r="CL684" t="s">
        <v>5303</v>
      </c>
      <c r="CO684" t="s">
        <v>138</v>
      </c>
      <c r="CP684" t="s">
        <v>134</v>
      </c>
      <c r="CQ684" t="s">
        <v>114</v>
      </c>
      <c r="CR684" t="s">
        <v>114</v>
      </c>
      <c r="CS684" t="s">
        <v>114</v>
      </c>
      <c r="CT684" t="s">
        <v>114</v>
      </c>
      <c r="CU684" t="s">
        <v>114</v>
      </c>
      <c r="CV684" t="s">
        <v>5304</v>
      </c>
      <c r="CW684" s="5" t="str">
        <f>"+17016718411"</f>
        <v>+17016718411</v>
      </c>
      <c r="CX684" t="s">
        <v>138</v>
      </c>
      <c r="CY684" t="s">
        <v>5305</v>
      </c>
      <c r="CZ684" t="s">
        <v>139</v>
      </c>
      <c r="DA684" t="s">
        <v>134</v>
      </c>
      <c r="DB684" t="s">
        <v>134</v>
      </c>
      <c r="DC684" t="s">
        <v>114</v>
      </c>
      <c r="DD684" t="s">
        <v>134</v>
      </c>
    </row>
    <row r="685" spans="1:108" ht="15" customHeight="1" x14ac:dyDescent="0.25">
      <c r="A685" t="s">
        <v>14462</v>
      </c>
      <c r="B685" t="s">
        <v>165</v>
      </c>
      <c r="C685" s="1">
        <v>44852.538810300925</v>
      </c>
      <c r="D685" s="1">
        <v>44880</v>
      </c>
      <c r="E685" t="s">
        <v>134</v>
      </c>
      <c r="F685" t="s">
        <v>361</v>
      </c>
      <c r="G685" t="str">
        <f>"39-3091.00"</f>
        <v>39-3091.00</v>
      </c>
      <c r="H685" t="s">
        <v>362</v>
      </c>
      <c r="I685">
        <v>12</v>
      </c>
      <c r="J685">
        <v>12</v>
      </c>
      <c r="K685" s="1">
        <v>44940</v>
      </c>
      <c r="L685" s="1">
        <v>45244</v>
      </c>
      <c r="M685" s="1">
        <v>44940</v>
      </c>
      <c r="N685" s="1">
        <v>45244</v>
      </c>
      <c r="O685" t="s">
        <v>199</v>
      </c>
      <c r="P685" t="s">
        <v>12486</v>
      </c>
      <c r="R685" t="s">
        <v>5161</v>
      </c>
      <c r="T685" t="s">
        <v>4302</v>
      </c>
      <c r="U685" t="s">
        <v>154</v>
      </c>
      <c r="V685" s="4" t="str">
        <f>"34990"</f>
        <v>34990</v>
      </c>
      <c r="W685" t="s">
        <v>120</v>
      </c>
      <c r="Y685" s="5">
        <v>17722152223</v>
      </c>
      <c r="Z685">
        <v>0</v>
      </c>
      <c r="AA685">
        <v>71399</v>
      </c>
      <c r="AB685" t="s">
        <v>12487</v>
      </c>
      <c r="AC685" t="s">
        <v>12488</v>
      </c>
      <c r="AE685" t="s">
        <v>3191</v>
      </c>
      <c r="AF685" t="s">
        <v>5161</v>
      </c>
      <c r="AH685" t="s">
        <v>4302</v>
      </c>
      <c r="AI685" t="s">
        <v>154</v>
      </c>
      <c r="AJ685" s="4" t="str">
        <f>"34990"</f>
        <v>34990</v>
      </c>
      <c r="AK685" t="s">
        <v>120</v>
      </c>
      <c r="AM685" s="5">
        <v>17722152223</v>
      </c>
      <c r="AN685">
        <v>0</v>
      </c>
      <c r="AO685" t="s">
        <v>12489</v>
      </c>
      <c r="AP685" t="s">
        <v>122</v>
      </c>
      <c r="AQ685" t="s">
        <v>369</v>
      </c>
      <c r="AR685" t="s">
        <v>370</v>
      </c>
      <c r="AS685" t="s">
        <v>371</v>
      </c>
      <c r="AT685" t="s">
        <v>372</v>
      </c>
      <c r="AU685" t="s">
        <v>373</v>
      </c>
      <c r="AV685" t="s">
        <v>374</v>
      </c>
      <c r="AW685" t="s">
        <v>339</v>
      </c>
      <c r="AX685" s="4" t="str">
        <f>"21401"</f>
        <v>21401</v>
      </c>
      <c r="AY685" t="s">
        <v>120</v>
      </c>
      <c r="BA685" s="5">
        <v>14105739955</v>
      </c>
      <c r="BB685">
        <v>0</v>
      </c>
      <c r="BC685" t="s">
        <v>375</v>
      </c>
      <c r="BD685" t="s">
        <v>376</v>
      </c>
      <c r="BE685" t="s">
        <v>339</v>
      </c>
      <c r="BF685" t="s">
        <v>377</v>
      </c>
      <c r="BG685" t="s">
        <v>154</v>
      </c>
      <c r="BH685" s="1">
        <v>44851.833333333336</v>
      </c>
      <c r="BI685">
        <v>35</v>
      </c>
      <c r="BJ685">
        <v>7</v>
      </c>
      <c r="BK685">
        <v>0</v>
      </c>
      <c r="BL685">
        <v>0</v>
      </c>
      <c r="BM685">
        <v>7</v>
      </c>
      <c r="BN685">
        <v>7</v>
      </c>
      <c r="BO685">
        <v>7</v>
      </c>
      <c r="BP685">
        <v>7</v>
      </c>
      <c r="BQ685" t="str">
        <f>"4:00 PM"</f>
        <v>4:00 PM</v>
      </c>
      <c r="BR685" t="str">
        <f>"11:00 PM"</f>
        <v>11:00 PM</v>
      </c>
      <c r="BS685" t="s">
        <v>133</v>
      </c>
      <c r="BT685">
        <v>0</v>
      </c>
      <c r="BU685">
        <v>0</v>
      </c>
      <c r="BV685" t="s">
        <v>134</v>
      </c>
      <c r="BX685" t="s">
        <v>9381</v>
      </c>
      <c r="BY685" t="s">
        <v>5165</v>
      </c>
      <c r="CA685" t="s">
        <v>5166</v>
      </c>
      <c r="CB685" t="s">
        <v>154</v>
      </c>
      <c r="CC685" s="4" t="str">
        <f>"33411"</f>
        <v>33411</v>
      </c>
      <c r="CD685" t="s">
        <v>3882</v>
      </c>
      <c r="CE685" t="s">
        <v>1742</v>
      </c>
      <c r="CF685" s="6">
        <v>9.9600000000000009</v>
      </c>
      <c r="CG685" s="6">
        <v>14.2</v>
      </c>
      <c r="CJ685" t="s">
        <v>137</v>
      </c>
      <c r="CK685" t="s">
        <v>5013</v>
      </c>
      <c r="CL685" t="s">
        <v>12490</v>
      </c>
      <c r="CO685" t="s">
        <v>138</v>
      </c>
      <c r="CP685" t="s">
        <v>114</v>
      </c>
      <c r="CQ685" t="s">
        <v>134</v>
      </c>
      <c r="CR685" t="s">
        <v>134</v>
      </c>
      <c r="CS685" t="s">
        <v>114</v>
      </c>
      <c r="CT685" t="s">
        <v>114</v>
      </c>
      <c r="CU685" t="s">
        <v>114</v>
      </c>
      <c r="CV685" t="s">
        <v>5168</v>
      </c>
      <c r="CW685" s="5" t="str">
        <f>"+17722152223"</f>
        <v>+17722152223</v>
      </c>
      <c r="CX685" t="s">
        <v>12489</v>
      </c>
      <c r="CY685" t="s">
        <v>138</v>
      </c>
      <c r="CZ685" t="s">
        <v>139</v>
      </c>
      <c r="DA685" t="s">
        <v>134</v>
      </c>
      <c r="DB685" t="s">
        <v>114</v>
      </c>
      <c r="DC685" t="s">
        <v>114</v>
      </c>
      <c r="DD685" t="s">
        <v>134</v>
      </c>
    </row>
    <row r="686" spans="1:108" ht="15" customHeight="1" x14ac:dyDescent="0.25">
      <c r="A686" t="s">
        <v>13091</v>
      </c>
      <c r="B686" t="s">
        <v>165</v>
      </c>
      <c r="C686" s="1">
        <v>44852.515065277781</v>
      </c>
      <c r="D686" s="1">
        <v>44880</v>
      </c>
      <c r="E686" t="s">
        <v>134</v>
      </c>
      <c r="F686" t="s">
        <v>361</v>
      </c>
      <c r="G686" t="str">
        <f>"35-3023.00"</f>
        <v>35-3023.00</v>
      </c>
      <c r="H686" t="s">
        <v>555</v>
      </c>
      <c r="I686">
        <v>26</v>
      </c>
      <c r="J686">
        <v>26</v>
      </c>
      <c r="K686" s="1">
        <v>44942</v>
      </c>
      <c r="L686" s="1">
        <v>45177</v>
      </c>
      <c r="M686" s="1">
        <v>44942</v>
      </c>
      <c r="N686" s="1">
        <v>45177</v>
      </c>
      <c r="O686" t="s">
        <v>199</v>
      </c>
      <c r="P686" t="s">
        <v>13092</v>
      </c>
      <c r="R686" t="s">
        <v>13093</v>
      </c>
      <c r="T686" t="s">
        <v>587</v>
      </c>
      <c r="U686" t="s">
        <v>530</v>
      </c>
      <c r="V686" s="4" t="str">
        <f>"85044"</f>
        <v>85044</v>
      </c>
      <c r="W686" t="s">
        <v>120</v>
      </c>
      <c r="Y686" s="5">
        <v>16027631371</v>
      </c>
      <c r="AA686">
        <v>71399</v>
      </c>
      <c r="AB686" t="s">
        <v>13094</v>
      </c>
      <c r="AC686" t="s">
        <v>10904</v>
      </c>
      <c r="AE686" t="s">
        <v>424</v>
      </c>
      <c r="AF686" t="s">
        <v>13095</v>
      </c>
      <c r="AH686" t="s">
        <v>587</v>
      </c>
      <c r="AI686" t="s">
        <v>530</v>
      </c>
      <c r="AJ686" s="4" t="str">
        <f>"85044"</f>
        <v>85044</v>
      </c>
      <c r="AK686" t="s">
        <v>120</v>
      </c>
      <c r="AM686" s="5">
        <v>16027631371</v>
      </c>
      <c r="AO686" t="s">
        <v>13096</v>
      </c>
      <c r="AP686" t="s">
        <v>256</v>
      </c>
      <c r="AQ686" t="s">
        <v>400</v>
      </c>
      <c r="AR686" t="s">
        <v>401</v>
      </c>
      <c r="AS686" t="s">
        <v>397</v>
      </c>
      <c r="AT686" t="s">
        <v>402</v>
      </c>
      <c r="AU686" t="s">
        <v>152</v>
      </c>
      <c r="AV686" t="s">
        <v>403</v>
      </c>
      <c r="AW686" t="s">
        <v>232</v>
      </c>
      <c r="AX686" s="4" t="str">
        <f>"75033"</f>
        <v>75033</v>
      </c>
      <c r="AY686" t="s">
        <v>120</v>
      </c>
      <c r="BA686" s="5">
        <v>19727789690</v>
      </c>
      <c r="BC686" t="s">
        <v>946</v>
      </c>
      <c r="BD686" t="s">
        <v>405</v>
      </c>
      <c r="BG686" t="s">
        <v>530</v>
      </c>
      <c r="BH686" s="1">
        <v>44851.833333333336</v>
      </c>
      <c r="BI686">
        <v>48</v>
      </c>
      <c r="BJ686">
        <v>8</v>
      </c>
      <c r="BK686">
        <v>0</v>
      </c>
      <c r="BL686">
        <v>8</v>
      </c>
      <c r="BM686">
        <v>8</v>
      </c>
      <c r="BN686">
        <v>8</v>
      </c>
      <c r="BO686">
        <v>8</v>
      </c>
      <c r="BP686">
        <v>8</v>
      </c>
      <c r="BQ686" t="str">
        <f>"10:00 AM"</f>
        <v>10:00 AM</v>
      </c>
      <c r="BR686" t="str">
        <f>"7:00 PM"</f>
        <v>7:00 PM</v>
      </c>
      <c r="BS686" t="s">
        <v>133</v>
      </c>
      <c r="BT686">
        <v>0</v>
      </c>
      <c r="BU686">
        <v>0</v>
      </c>
      <c r="BV686" t="s">
        <v>134</v>
      </c>
      <c r="BX686" s="2" t="s">
        <v>13097</v>
      </c>
      <c r="BY686" t="s">
        <v>13098</v>
      </c>
      <c r="CA686" t="s">
        <v>587</v>
      </c>
      <c r="CB686" t="s">
        <v>530</v>
      </c>
      <c r="CC686" s="4" t="str">
        <f>"85007"</f>
        <v>85007</v>
      </c>
      <c r="CD686" t="s">
        <v>592</v>
      </c>
      <c r="CE686" t="s">
        <v>548</v>
      </c>
      <c r="CF686" s="6">
        <v>11.04</v>
      </c>
      <c r="CG686" s="6">
        <v>15.5</v>
      </c>
      <c r="CH686" s="6">
        <v>23.25</v>
      </c>
      <c r="CI686" s="6">
        <v>31</v>
      </c>
      <c r="CJ686" t="s">
        <v>137</v>
      </c>
      <c r="CK686" t="s">
        <v>1641</v>
      </c>
      <c r="CL686" t="s">
        <v>13099</v>
      </c>
      <c r="CO686" t="s">
        <v>138</v>
      </c>
      <c r="CP686" t="s">
        <v>114</v>
      </c>
      <c r="CQ686" t="s">
        <v>114</v>
      </c>
      <c r="CR686" t="s">
        <v>114</v>
      </c>
      <c r="CS686" t="s">
        <v>114</v>
      </c>
      <c r="CT686" t="s">
        <v>114</v>
      </c>
      <c r="CU686" t="s">
        <v>114</v>
      </c>
      <c r="CV686" t="s">
        <v>5101</v>
      </c>
      <c r="CW686" s="5" t="str">
        <f>"+16027631371"</f>
        <v>+16027631371</v>
      </c>
      <c r="CX686" t="s">
        <v>138</v>
      </c>
      <c r="CY686" t="s">
        <v>596</v>
      </c>
      <c r="CZ686" t="s">
        <v>139</v>
      </c>
      <c r="DA686" t="s">
        <v>134</v>
      </c>
      <c r="DB686" t="s">
        <v>114</v>
      </c>
      <c r="DC686" t="s">
        <v>114</v>
      </c>
      <c r="DD686" t="s">
        <v>134</v>
      </c>
    </row>
    <row r="687" spans="1:108" ht="15" customHeight="1" x14ac:dyDescent="0.25">
      <c r="A687" t="s">
        <v>15860</v>
      </c>
      <c r="B687" t="s">
        <v>165</v>
      </c>
      <c r="C687" s="1">
        <v>44841.001718287036</v>
      </c>
      <c r="D687" s="1">
        <v>44880</v>
      </c>
      <c r="E687" t="s">
        <v>134</v>
      </c>
      <c r="F687" t="s">
        <v>361</v>
      </c>
      <c r="G687" t="str">
        <f>"39-3091.00"</f>
        <v>39-3091.00</v>
      </c>
      <c r="H687" t="s">
        <v>362</v>
      </c>
      <c r="I687">
        <v>7</v>
      </c>
      <c r="J687">
        <v>7</v>
      </c>
      <c r="K687" s="1">
        <v>44931</v>
      </c>
      <c r="L687" s="1">
        <v>45234</v>
      </c>
      <c r="M687" s="1">
        <v>44931</v>
      </c>
      <c r="N687" s="1">
        <v>45234</v>
      </c>
      <c r="O687" t="s">
        <v>199</v>
      </c>
      <c r="P687" t="s">
        <v>15861</v>
      </c>
      <c r="R687" t="s">
        <v>15862</v>
      </c>
      <c r="T687" t="s">
        <v>2108</v>
      </c>
      <c r="U687" t="s">
        <v>232</v>
      </c>
      <c r="V687" s="4" t="str">
        <f>"78221"</f>
        <v>78221</v>
      </c>
      <c r="W687" t="s">
        <v>120</v>
      </c>
      <c r="Y687" s="5">
        <v>12108250583</v>
      </c>
      <c r="AA687">
        <v>7139</v>
      </c>
      <c r="AB687" t="s">
        <v>779</v>
      </c>
      <c r="AC687" t="s">
        <v>4443</v>
      </c>
      <c r="AE687" t="s">
        <v>424</v>
      </c>
      <c r="AF687" t="s">
        <v>15862</v>
      </c>
      <c r="AH687" t="s">
        <v>2108</v>
      </c>
      <c r="AI687" t="s">
        <v>232</v>
      </c>
      <c r="AJ687" s="4" t="str">
        <f>"78221"</f>
        <v>78221</v>
      </c>
      <c r="AK687" t="s">
        <v>120</v>
      </c>
      <c r="AM687" s="5">
        <v>12108250583</v>
      </c>
      <c r="AO687" t="s">
        <v>15863</v>
      </c>
      <c r="AP687" t="s">
        <v>256</v>
      </c>
      <c r="AQ687" t="s">
        <v>400</v>
      </c>
      <c r="AR687" t="s">
        <v>401</v>
      </c>
      <c r="AS687" t="s">
        <v>397</v>
      </c>
      <c r="AT687" t="s">
        <v>402</v>
      </c>
      <c r="AU687" t="s">
        <v>152</v>
      </c>
      <c r="AV687" t="s">
        <v>403</v>
      </c>
      <c r="AW687" t="s">
        <v>232</v>
      </c>
      <c r="AX687" s="4" t="str">
        <f>"75033"</f>
        <v>75033</v>
      </c>
      <c r="AY687" t="s">
        <v>120</v>
      </c>
      <c r="BA687" s="5">
        <v>19727789690</v>
      </c>
      <c r="BC687" t="s">
        <v>404</v>
      </c>
      <c r="BD687" t="s">
        <v>405</v>
      </c>
      <c r="BG687" t="s">
        <v>232</v>
      </c>
      <c r="BH687" s="1">
        <v>44840.833333333336</v>
      </c>
      <c r="BI687">
        <v>48</v>
      </c>
      <c r="BJ687">
        <v>8</v>
      </c>
      <c r="BK687">
        <v>0</v>
      </c>
      <c r="BL687">
        <v>8</v>
      </c>
      <c r="BM687">
        <v>8</v>
      </c>
      <c r="BN687">
        <v>8</v>
      </c>
      <c r="BO687">
        <v>8</v>
      </c>
      <c r="BP687">
        <v>8</v>
      </c>
      <c r="BQ687" t="str">
        <f>"10:00 AM"</f>
        <v>10:00 AM</v>
      </c>
      <c r="BR687" t="str">
        <f>"7:00 PM"</f>
        <v>7:00 PM</v>
      </c>
      <c r="BS687" t="s">
        <v>133</v>
      </c>
      <c r="BT687">
        <v>0</v>
      </c>
      <c r="BU687">
        <v>0</v>
      </c>
      <c r="BV687" t="s">
        <v>134</v>
      </c>
      <c r="BX687" s="2" t="s">
        <v>8642</v>
      </c>
      <c r="BY687" t="s">
        <v>15864</v>
      </c>
      <c r="CA687" t="s">
        <v>2108</v>
      </c>
      <c r="CB687" t="s">
        <v>232</v>
      </c>
      <c r="CC687" s="4" t="str">
        <f>"78251"</f>
        <v>78251</v>
      </c>
      <c r="CD687" t="s">
        <v>2112</v>
      </c>
      <c r="CE687" t="s">
        <v>1342</v>
      </c>
      <c r="CF687" s="6">
        <v>10.86</v>
      </c>
      <c r="CG687" s="6">
        <v>15.5</v>
      </c>
      <c r="CH687" s="6">
        <v>23.25</v>
      </c>
      <c r="CI687" s="6">
        <v>31</v>
      </c>
      <c r="CJ687" t="s">
        <v>137</v>
      </c>
      <c r="CK687" t="s">
        <v>593</v>
      </c>
      <c r="CL687" t="s">
        <v>15865</v>
      </c>
      <c r="CO687" t="s">
        <v>138</v>
      </c>
      <c r="CP687" t="s">
        <v>114</v>
      </c>
      <c r="CQ687" t="s">
        <v>114</v>
      </c>
      <c r="CR687" t="s">
        <v>114</v>
      </c>
      <c r="CS687" t="s">
        <v>114</v>
      </c>
      <c r="CT687" t="s">
        <v>114</v>
      </c>
      <c r="CU687" t="s">
        <v>114</v>
      </c>
      <c r="CV687" t="s">
        <v>5101</v>
      </c>
      <c r="CW687" s="5" t="str">
        <f>"+12108250583"</f>
        <v>+12108250583</v>
      </c>
      <c r="CX687" t="s">
        <v>138</v>
      </c>
      <c r="CY687" t="s">
        <v>953</v>
      </c>
      <c r="CZ687" t="s">
        <v>139</v>
      </c>
      <c r="DA687" t="s">
        <v>134</v>
      </c>
      <c r="DB687" t="s">
        <v>114</v>
      </c>
      <c r="DC687" t="s">
        <v>114</v>
      </c>
      <c r="DD687" t="s">
        <v>134</v>
      </c>
    </row>
    <row r="688" spans="1:108" ht="15" customHeight="1" x14ac:dyDescent="0.25">
      <c r="A688" t="s">
        <v>13660</v>
      </c>
      <c r="B688" t="s">
        <v>165</v>
      </c>
      <c r="C688" s="1">
        <v>44837.793316898147</v>
      </c>
      <c r="D688" s="1">
        <v>44880</v>
      </c>
      <c r="E688" t="s">
        <v>114</v>
      </c>
      <c r="F688" t="s">
        <v>13661</v>
      </c>
      <c r="G688" t="str">
        <f>"37-2011.00"</f>
        <v>37-2011.00</v>
      </c>
      <c r="H688" t="s">
        <v>672</v>
      </c>
      <c r="I688">
        <v>10</v>
      </c>
      <c r="J688">
        <v>10</v>
      </c>
      <c r="K688" s="1">
        <v>44912</v>
      </c>
      <c r="L688" s="1">
        <v>45010</v>
      </c>
      <c r="M688" s="1">
        <v>44912</v>
      </c>
      <c r="N688" s="1">
        <v>45010</v>
      </c>
      <c r="O688" t="s">
        <v>199</v>
      </c>
      <c r="P688" t="s">
        <v>13662</v>
      </c>
      <c r="Q688" t="s">
        <v>138</v>
      </c>
      <c r="R688" t="s">
        <v>13663</v>
      </c>
      <c r="S688" t="s">
        <v>13664</v>
      </c>
      <c r="T688" t="s">
        <v>7169</v>
      </c>
      <c r="U688" t="s">
        <v>2081</v>
      </c>
      <c r="V688" s="4" t="str">
        <f>"52235"</f>
        <v>52235</v>
      </c>
      <c r="W688" t="s">
        <v>120</v>
      </c>
      <c r="Y688" s="5">
        <v>13196219549</v>
      </c>
      <c r="AA688">
        <v>56173</v>
      </c>
      <c r="AB688" t="s">
        <v>13665</v>
      </c>
      <c r="AC688" t="s">
        <v>2936</v>
      </c>
      <c r="AD688" t="s">
        <v>423</v>
      </c>
      <c r="AE688" t="s">
        <v>13666</v>
      </c>
      <c r="AF688" t="s">
        <v>13664</v>
      </c>
      <c r="AG688" t="s">
        <v>138</v>
      </c>
      <c r="AH688" t="s">
        <v>7169</v>
      </c>
      <c r="AI688" t="s">
        <v>2081</v>
      </c>
      <c r="AJ688" s="4" t="str">
        <f>"52235"</f>
        <v>52235</v>
      </c>
      <c r="AK688" t="s">
        <v>120</v>
      </c>
      <c r="AM688" s="5">
        <v>13196219549</v>
      </c>
      <c r="AO688" t="s">
        <v>13667</v>
      </c>
      <c r="AP688" t="s">
        <v>256</v>
      </c>
      <c r="AQ688" t="s">
        <v>3813</v>
      </c>
      <c r="AR688" t="s">
        <v>3814</v>
      </c>
      <c r="AS688" t="s">
        <v>2540</v>
      </c>
      <c r="AT688" t="s">
        <v>3815</v>
      </c>
      <c r="AU688" t="s">
        <v>138</v>
      </c>
      <c r="AV688" t="s">
        <v>3816</v>
      </c>
      <c r="AW688" t="s">
        <v>2081</v>
      </c>
      <c r="AX688" s="4" t="str">
        <f>"52761"</f>
        <v>52761</v>
      </c>
      <c r="AY688" t="s">
        <v>120</v>
      </c>
      <c r="BA688" s="5">
        <v>13194000335</v>
      </c>
      <c r="BC688" t="s">
        <v>11809</v>
      </c>
      <c r="BD688" t="s">
        <v>3818</v>
      </c>
      <c r="BG688" t="s">
        <v>2081</v>
      </c>
      <c r="BH688" s="1">
        <v>44836.833333333336</v>
      </c>
      <c r="BI688">
        <v>40</v>
      </c>
      <c r="BJ688">
        <v>0</v>
      </c>
      <c r="BK688">
        <v>8</v>
      </c>
      <c r="BL688">
        <v>8</v>
      </c>
      <c r="BM688">
        <v>8</v>
      </c>
      <c r="BN688">
        <v>8</v>
      </c>
      <c r="BO688">
        <v>8</v>
      </c>
      <c r="BP688">
        <v>0</v>
      </c>
      <c r="BQ688" t="str">
        <f>"8:00 AM"</f>
        <v>8:00 AM</v>
      </c>
      <c r="BR688" t="str">
        <f>"4:00 PM"</f>
        <v>4:00 PM</v>
      </c>
      <c r="BS688" t="s">
        <v>133</v>
      </c>
      <c r="BT688">
        <v>0</v>
      </c>
      <c r="BU688">
        <v>0</v>
      </c>
      <c r="BV688" t="s">
        <v>134</v>
      </c>
      <c r="BX688" s="2" t="s">
        <v>13668</v>
      </c>
      <c r="BY688" t="s">
        <v>13669</v>
      </c>
      <c r="BZ688" t="s">
        <v>138</v>
      </c>
      <c r="CA688" t="s">
        <v>7169</v>
      </c>
      <c r="CB688" t="s">
        <v>2081</v>
      </c>
      <c r="CC688" s="4" t="str">
        <f>"52235"</f>
        <v>52235</v>
      </c>
      <c r="CD688" t="s">
        <v>1289</v>
      </c>
      <c r="CE688" t="s">
        <v>2286</v>
      </c>
      <c r="CF688" s="6">
        <v>16.77</v>
      </c>
      <c r="CG688" s="6">
        <v>16.77</v>
      </c>
      <c r="CH688" s="6">
        <v>25.16</v>
      </c>
      <c r="CI688" s="6">
        <v>25.16</v>
      </c>
      <c r="CJ688" t="s">
        <v>137</v>
      </c>
      <c r="CK688" t="s">
        <v>138</v>
      </c>
      <c r="CL688" t="s">
        <v>13670</v>
      </c>
      <c r="CO688" t="s">
        <v>138</v>
      </c>
      <c r="CP688" t="s">
        <v>114</v>
      </c>
      <c r="CQ688" t="s">
        <v>114</v>
      </c>
      <c r="CR688" t="s">
        <v>114</v>
      </c>
      <c r="CS688" t="s">
        <v>134</v>
      </c>
      <c r="CT688" t="s">
        <v>114</v>
      </c>
      <c r="CU688" t="s">
        <v>134</v>
      </c>
      <c r="CV688" s="2" t="s">
        <v>13671</v>
      </c>
      <c r="CW688" s="5" t="str">
        <f>"+13196794990"</f>
        <v>+13196794990</v>
      </c>
      <c r="CX688" t="s">
        <v>13672</v>
      </c>
      <c r="CY688" t="s">
        <v>138</v>
      </c>
      <c r="CZ688" t="s">
        <v>139</v>
      </c>
      <c r="DA688" t="s">
        <v>134</v>
      </c>
      <c r="DB688" t="s">
        <v>114</v>
      </c>
      <c r="DC688" t="s">
        <v>114</v>
      </c>
      <c r="DD688" t="s">
        <v>134</v>
      </c>
    </row>
    <row r="689" spans="1:113" ht="15" customHeight="1" x14ac:dyDescent="0.25">
      <c r="A689" t="s">
        <v>14314</v>
      </c>
      <c r="B689" t="s">
        <v>165</v>
      </c>
      <c r="C689" s="1">
        <v>44837.755089930557</v>
      </c>
      <c r="D689" s="1">
        <v>44880</v>
      </c>
      <c r="E689" t="s">
        <v>114</v>
      </c>
      <c r="F689" t="s">
        <v>14315</v>
      </c>
      <c r="G689" t="str">
        <f>"51-3092.00"</f>
        <v>51-3092.00</v>
      </c>
      <c r="H689" t="s">
        <v>2816</v>
      </c>
      <c r="I689">
        <v>2</v>
      </c>
      <c r="J689">
        <v>2</v>
      </c>
      <c r="K689" s="1">
        <v>44927</v>
      </c>
      <c r="L689" s="1">
        <v>45036</v>
      </c>
      <c r="M689" s="1">
        <v>44927</v>
      </c>
      <c r="N689" s="1">
        <v>45036</v>
      </c>
      <c r="O689" t="s">
        <v>199</v>
      </c>
      <c r="P689" t="s">
        <v>14316</v>
      </c>
      <c r="Q689" t="s">
        <v>14317</v>
      </c>
      <c r="R689" t="s">
        <v>13080</v>
      </c>
      <c r="S689" t="s">
        <v>789</v>
      </c>
      <c r="T689" t="s">
        <v>13081</v>
      </c>
      <c r="U689" t="s">
        <v>792</v>
      </c>
      <c r="V689" s="4" t="str">
        <f>"98052"</f>
        <v>98052</v>
      </c>
      <c r="W689" t="s">
        <v>120</v>
      </c>
      <c r="Y689" s="5">
        <v>14258691703</v>
      </c>
      <c r="AA689">
        <v>3117</v>
      </c>
      <c r="AB689" t="s">
        <v>14318</v>
      </c>
      <c r="AC689" t="s">
        <v>14319</v>
      </c>
      <c r="AE689" t="s">
        <v>14320</v>
      </c>
      <c r="AF689" t="s">
        <v>13080</v>
      </c>
      <c r="AG689" t="s">
        <v>789</v>
      </c>
      <c r="AH689" t="s">
        <v>13081</v>
      </c>
      <c r="AI689" t="s">
        <v>792</v>
      </c>
      <c r="AJ689" s="4" t="str">
        <f>"98052"</f>
        <v>98052</v>
      </c>
      <c r="AK689" t="s">
        <v>120</v>
      </c>
      <c r="AM689" s="5">
        <v>14258691703</v>
      </c>
      <c r="AO689" t="s">
        <v>14321</v>
      </c>
      <c r="AP689" t="s">
        <v>122</v>
      </c>
      <c r="AQ689" t="s">
        <v>843</v>
      </c>
      <c r="AR689" t="s">
        <v>9023</v>
      </c>
      <c r="AS689" t="s">
        <v>1723</v>
      </c>
      <c r="AT689" t="s">
        <v>10598</v>
      </c>
      <c r="AU689" t="s">
        <v>4078</v>
      </c>
      <c r="AV689" t="s">
        <v>1632</v>
      </c>
      <c r="AW689" t="s">
        <v>792</v>
      </c>
      <c r="AX689" s="4" t="str">
        <f>"98104"</f>
        <v>98104</v>
      </c>
      <c r="AY689" t="s">
        <v>120</v>
      </c>
      <c r="BA689" s="5">
        <v>12067578354</v>
      </c>
      <c r="BC689" t="s">
        <v>10599</v>
      </c>
      <c r="BD689" t="s">
        <v>10600</v>
      </c>
      <c r="BE689" t="s">
        <v>792</v>
      </c>
      <c r="BF689" t="s">
        <v>793</v>
      </c>
      <c r="BG689" t="s">
        <v>821</v>
      </c>
      <c r="BH689" s="1">
        <v>44836.833333333336</v>
      </c>
      <c r="BI689">
        <v>72</v>
      </c>
      <c r="BJ689">
        <v>0</v>
      </c>
      <c r="BK689">
        <v>12</v>
      </c>
      <c r="BL689">
        <v>12</v>
      </c>
      <c r="BM689">
        <v>12</v>
      </c>
      <c r="BN689">
        <v>12</v>
      </c>
      <c r="BO689">
        <v>12</v>
      </c>
      <c r="BP689">
        <v>12</v>
      </c>
      <c r="BQ689" t="str">
        <f>"6:00 AM"</f>
        <v>6:00 AM</v>
      </c>
      <c r="BR689" t="str">
        <f>"6:00 PM"</f>
        <v>6:00 PM</v>
      </c>
      <c r="BS689" t="s">
        <v>133</v>
      </c>
      <c r="BT689">
        <v>0</v>
      </c>
      <c r="BU689">
        <v>24</v>
      </c>
      <c r="BV689" t="s">
        <v>134</v>
      </c>
      <c r="BX689" s="2" t="s">
        <v>14322</v>
      </c>
      <c r="BY689" t="s">
        <v>14323</v>
      </c>
      <c r="BZ689" t="s">
        <v>13086</v>
      </c>
      <c r="CA689" t="s">
        <v>6652</v>
      </c>
      <c r="CB689" t="s">
        <v>821</v>
      </c>
      <c r="CC689" s="4" t="str">
        <f>"99692"</f>
        <v>99692</v>
      </c>
      <c r="CD689" t="s">
        <v>5273</v>
      </c>
      <c r="CE689" t="s">
        <v>832</v>
      </c>
      <c r="CF689" s="6">
        <v>23.99</v>
      </c>
      <c r="CH689" s="6">
        <v>35.99</v>
      </c>
      <c r="CJ689" t="s">
        <v>137</v>
      </c>
      <c r="CK689" t="s">
        <v>14324</v>
      </c>
      <c r="CL689" t="s">
        <v>14325</v>
      </c>
      <c r="CO689" t="s">
        <v>138</v>
      </c>
      <c r="CP689" t="s">
        <v>134</v>
      </c>
      <c r="CQ689" t="s">
        <v>134</v>
      </c>
      <c r="CR689" t="s">
        <v>114</v>
      </c>
      <c r="CS689" t="s">
        <v>134</v>
      </c>
      <c r="CT689" t="s">
        <v>114</v>
      </c>
      <c r="CU689" t="s">
        <v>114</v>
      </c>
      <c r="CV689" t="s">
        <v>14326</v>
      </c>
      <c r="CW689" s="5" t="str">
        <f>"N/A"</f>
        <v>N/A</v>
      </c>
      <c r="CX689" t="s">
        <v>10607</v>
      </c>
      <c r="CY689" t="s">
        <v>10608</v>
      </c>
      <c r="CZ689" t="s">
        <v>139</v>
      </c>
      <c r="DA689" t="s">
        <v>134</v>
      </c>
      <c r="DB689" t="s">
        <v>134</v>
      </c>
      <c r="DC689" t="s">
        <v>114</v>
      </c>
      <c r="DD689" t="s">
        <v>134</v>
      </c>
    </row>
    <row r="690" spans="1:113" ht="15" customHeight="1" x14ac:dyDescent="0.25">
      <c r="A690" t="s">
        <v>10689</v>
      </c>
      <c r="B690" t="s">
        <v>165</v>
      </c>
      <c r="C690" s="1">
        <v>44833.685043750003</v>
      </c>
      <c r="D690" s="1">
        <v>44880</v>
      </c>
      <c r="E690" t="s">
        <v>114</v>
      </c>
      <c r="F690" t="s">
        <v>10690</v>
      </c>
      <c r="G690" t="str">
        <f>"35-2021.00"</f>
        <v>35-2021.00</v>
      </c>
      <c r="H690" t="s">
        <v>718</v>
      </c>
      <c r="I690">
        <v>12</v>
      </c>
      <c r="J690">
        <v>12</v>
      </c>
      <c r="K690" s="1">
        <v>44910</v>
      </c>
      <c r="L690" s="1">
        <v>45137</v>
      </c>
      <c r="M690" s="1">
        <v>44910</v>
      </c>
      <c r="N690" s="1">
        <v>45137</v>
      </c>
      <c r="O690" t="s">
        <v>199</v>
      </c>
      <c r="P690" t="s">
        <v>10691</v>
      </c>
      <c r="Q690" t="s">
        <v>138</v>
      </c>
      <c r="R690" t="s">
        <v>10692</v>
      </c>
      <c r="T690" t="s">
        <v>10693</v>
      </c>
      <c r="U690" t="s">
        <v>214</v>
      </c>
      <c r="V690" s="4" t="str">
        <f>"71037"</f>
        <v>71037</v>
      </c>
      <c r="W690" t="s">
        <v>120</v>
      </c>
      <c r="X690" t="s">
        <v>138</v>
      </c>
      <c r="Y690" s="5">
        <v>13183478905</v>
      </c>
      <c r="AA690">
        <v>722511</v>
      </c>
      <c r="AB690" t="s">
        <v>1331</v>
      </c>
      <c r="AC690" t="s">
        <v>10694</v>
      </c>
      <c r="AD690" t="s">
        <v>10695</v>
      </c>
      <c r="AE690" t="s">
        <v>342</v>
      </c>
      <c r="AF690" t="s">
        <v>10692</v>
      </c>
      <c r="AH690" t="s">
        <v>10693</v>
      </c>
      <c r="AI690" t="s">
        <v>214</v>
      </c>
      <c r="AJ690" s="4" t="str">
        <f>"71037"</f>
        <v>71037</v>
      </c>
      <c r="AK690" t="s">
        <v>120</v>
      </c>
      <c r="AM690" s="5">
        <v>13186478905</v>
      </c>
      <c r="AO690" t="s">
        <v>10696</v>
      </c>
      <c r="AP690" t="s">
        <v>122</v>
      </c>
      <c r="AQ690" t="s">
        <v>10697</v>
      </c>
      <c r="AR690" t="s">
        <v>121</v>
      </c>
      <c r="AS690" t="s">
        <v>2540</v>
      </c>
      <c r="AT690" t="s">
        <v>10698</v>
      </c>
      <c r="AU690" t="s">
        <v>10699</v>
      </c>
      <c r="AV690" t="s">
        <v>2684</v>
      </c>
      <c r="AW690" t="s">
        <v>232</v>
      </c>
      <c r="AX690" s="4" t="str">
        <f>"75093"</f>
        <v>75093</v>
      </c>
      <c r="AY690" t="s">
        <v>120</v>
      </c>
      <c r="BA690" s="5">
        <v>12146722166</v>
      </c>
      <c r="BC690" t="s">
        <v>10700</v>
      </c>
      <c r="BD690" t="s">
        <v>10701</v>
      </c>
      <c r="BE690" t="s">
        <v>232</v>
      </c>
      <c r="BF690" t="s">
        <v>1634</v>
      </c>
      <c r="BG690" t="s">
        <v>214</v>
      </c>
      <c r="BH690" s="1">
        <v>44832.833333333336</v>
      </c>
      <c r="BI690">
        <v>40</v>
      </c>
      <c r="BJ690">
        <v>8</v>
      </c>
      <c r="BK690">
        <v>0</v>
      </c>
      <c r="BL690">
        <v>0</v>
      </c>
      <c r="BM690">
        <v>8</v>
      </c>
      <c r="BN690">
        <v>8</v>
      </c>
      <c r="BO690">
        <v>8</v>
      </c>
      <c r="BP690">
        <v>8</v>
      </c>
      <c r="BQ690" t="str">
        <f>"3:00 PM"</f>
        <v>3:00 PM</v>
      </c>
      <c r="BR690" t="str">
        <f>"11:00 PM"</f>
        <v>11:00 PM</v>
      </c>
      <c r="BS690" t="s">
        <v>133</v>
      </c>
      <c r="BT690">
        <v>0</v>
      </c>
      <c r="BU690">
        <v>0</v>
      </c>
      <c r="BV690" t="s">
        <v>134</v>
      </c>
      <c r="BX690" t="s">
        <v>138</v>
      </c>
      <c r="BY690" t="s">
        <v>10692</v>
      </c>
      <c r="BZ690" t="s">
        <v>138</v>
      </c>
      <c r="CA690" t="s">
        <v>10693</v>
      </c>
      <c r="CB690" t="s">
        <v>214</v>
      </c>
      <c r="CC690" s="4" t="str">
        <f>"71037"</f>
        <v>71037</v>
      </c>
      <c r="CD690" t="s">
        <v>1646</v>
      </c>
      <c r="CE690" t="s">
        <v>1647</v>
      </c>
      <c r="CF690" s="6">
        <v>9.64</v>
      </c>
      <c r="CH690" s="6">
        <v>14.46</v>
      </c>
      <c r="CJ690" t="s">
        <v>137</v>
      </c>
      <c r="CK690" t="s">
        <v>138</v>
      </c>
      <c r="CL690" t="s">
        <v>10702</v>
      </c>
      <c r="CO690" t="s">
        <v>138</v>
      </c>
      <c r="CP690" t="s">
        <v>134</v>
      </c>
      <c r="CQ690" t="s">
        <v>134</v>
      </c>
      <c r="CR690" t="s">
        <v>114</v>
      </c>
      <c r="CS690" t="s">
        <v>134</v>
      </c>
      <c r="CT690" t="s">
        <v>114</v>
      </c>
      <c r="CU690" t="s">
        <v>134</v>
      </c>
      <c r="CV690" t="s">
        <v>10703</v>
      </c>
      <c r="CW690" s="5" t="str">
        <f>"+13189493799"</f>
        <v>+13189493799</v>
      </c>
      <c r="CX690" t="s">
        <v>10696</v>
      </c>
      <c r="CY690" t="s">
        <v>138</v>
      </c>
      <c r="CZ690" t="s">
        <v>139</v>
      </c>
      <c r="DA690" t="s">
        <v>134</v>
      </c>
      <c r="DB690" t="s">
        <v>134</v>
      </c>
      <c r="DC690" t="s">
        <v>114</v>
      </c>
      <c r="DD690" t="s">
        <v>134</v>
      </c>
    </row>
    <row r="691" spans="1:113" ht="15" customHeight="1" x14ac:dyDescent="0.25">
      <c r="A691" t="s">
        <v>856</v>
      </c>
      <c r="B691" t="s">
        <v>165</v>
      </c>
      <c r="C691" s="1">
        <v>44831.538015625003</v>
      </c>
      <c r="D691" s="1">
        <v>44880</v>
      </c>
      <c r="E691" t="s">
        <v>134</v>
      </c>
      <c r="F691" t="s">
        <v>857</v>
      </c>
      <c r="G691" t="str">
        <f>"53-7062.00"</f>
        <v>53-7062.00</v>
      </c>
      <c r="H691" t="s">
        <v>245</v>
      </c>
      <c r="I691">
        <v>15</v>
      </c>
      <c r="J691">
        <v>15</v>
      </c>
      <c r="K691" s="1">
        <v>44906</v>
      </c>
      <c r="L691" s="1">
        <v>44972</v>
      </c>
      <c r="M691" s="1">
        <v>44906</v>
      </c>
      <c r="N691" s="1">
        <v>44972</v>
      </c>
      <c r="O691" t="s">
        <v>199</v>
      </c>
      <c r="P691" t="s">
        <v>858</v>
      </c>
      <c r="R691" t="s">
        <v>859</v>
      </c>
      <c r="T691" t="s">
        <v>860</v>
      </c>
      <c r="U691" t="s">
        <v>232</v>
      </c>
      <c r="V691" s="4" t="str">
        <f>"77535"</f>
        <v>77535</v>
      </c>
      <c r="W691" t="s">
        <v>120</v>
      </c>
      <c r="Y691" s="5">
        <v>19364022854</v>
      </c>
      <c r="AA691">
        <v>56173</v>
      </c>
      <c r="AB691" t="s">
        <v>861</v>
      </c>
      <c r="AC691" t="s">
        <v>862</v>
      </c>
      <c r="AE691" t="s">
        <v>863</v>
      </c>
      <c r="AF691" t="s">
        <v>859</v>
      </c>
      <c r="AH691" t="s">
        <v>860</v>
      </c>
      <c r="AI691" t="s">
        <v>232</v>
      </c>
      <c r="AJ691" s="4" t="str">
        <f>"77535"</f>
        <v>77535</v>
      </c>
      <c r="AK691" t="s">
        <v>120</v>
      </c>
      <c r="AM691" s="5">
        <v>19362580102</v>
      </c>
      <c r="AO691" t="s">
        <v>138</v>
      </c>
      <c r="AP691" t="s">
        <v>122</v>
      </c>
      <c r="AQ691" t="s">
        <v>864</v>
      </c>
      <c r="AR691" t="s">
        <v>865</v>
      </c>
      <c r="AS691" t="s">
        <v>370</v>
      </c>
      <c r="AT691" t="s">
        <v>866</v>
      </c>
      <c r="AU691" t="s">
        <v>867</v>
      </c>
      <c r="AV691" t="s">
        <v>684</v>
      </c>
      <c r="AW691" t="s">
        <v>232</v>
      </c>
      <c r="AX691" s="4" t="str">
        <f>"78758"</f>
        <v>78758</v>
      </c>
      <c r="AY691" t="s">
        <v>120</v>
      </c>
      <c r="BA691" s="5">
        <v>15128722894</v>
      </c>
      <c r="BC691" t="s">
        <v>868</v>
      </c>
      <c r="BD691" t="s">
        <v>869</v>
      </c>
      <c r="BE691" t="s">
        <v>232</v>
      </c>
      <c r="BF691" t="s">
        <v>870</v>
      </c>
      <c r="BG691" t="s">
        <v>232</v>
      </c>
      <c r="BH691" s="1">
        <v>44830.833333333336</v>
      </c>
      <c r="BI691">
        <v>40</v>
      </c>
      <c r="BJ691">
        <v>0</v>
      </c>
      <c r="BK691">
        <v>10</v>
      </c>
      <c r="BL691">
        <v>10</v>
      </c>
      <c r="BM691">
        <v>10</v>
      </c>
      <c r="BN691">
        <v>10</v>
      </c>
      <c r="BO691">
        <v>0</v>
      </c>
      <c r="BP691">
        <v>0</v>
      </c>
      <c r="BQ691" t="str">
        <f>"7:00 AM"</f>
        <v>7:00 AM</v>
      </c>
      <c r="BR691" t="str">
        <f>"6:00 PM"</f>
        <v>6:00 PM</v>
      </c>
      <c r="BS691" t="s">
        <v>133</v>
      </c>
      <c r="BT691">
        <v>0</v>
      </c>
      <c r="BU691">
        <v>3</v>
      </c>
      <c r="BV691" t="s">
        <v>134</v>
      </c>
      <c r="BX691" t="s">
        <v>871</v>
      </c>
      <c r="BY691" t="s">
        <v>859</v>
      </c>
      <c r="CA691" t="s">
        <v>860</v>
      </c>
      <c r="CB691" t="s">
        <v>232</v>
      </c>
      <c r="CC691" s="4" t="str">
        <f>"77535"</f>
        <v>77535</v>
      </c>
      <c r="CD691" t="s">
        <v>872</v>
      </c>
      <c r="CE691" t="s">
        <v>873</v>
      </c>
      <c r="CF691" s="6">
        <v>16.100000000000001</v>
      </c>
      <c r="CG691" s="6">
        <v>17</v>
      </c>
      <c r="CH691" s="6">
        <v>24.15</v>
      </c>
      <c r="CI691" s="6">
        <v>25.5</v>
      </c>
      <c r="CJ691" t="s">
        <v>137</v>
      </c>
      <c r="CL691" t="s">
        <v>874</v>
      </c>
      <c r="CO691" t="s">
        <v>138</v>
      </c>
      <c r="CP691" t="s">
        <v>114</v>
      </c>
      <c r="CQ691" t="s">
        <v>114</v>
      </c>
      <c r="CR691" t="s">
        <v>114</v>
      </c>
      <c r="CS691" t="s">
        <v>114</v>
      </c>
      <c r="CT691" t="s">
        <v>114</v>
      </c>
      <c r="CU691" t="s">
        <v>134</v>
      </c>
      <c r="CV691" t="s">
        <v>875</v>
      </c>
      <c r="CW691" s="5" t="str">
        <f>"+19362580100"</f>
        <v>+19362580100</v>
      </c>
      <c r="CX691" t="s">
        <v>876</v>
      </c>
      <c r="CY691" t="s">
        <v>138</v>
      </c>
      <c r="CZ691" t="s">
        <v>139</v>
      </c>
      <c r="DA691" t="s">
        <v>134</v>
      </c>
      <c r="DB691" t="s">
        <v>134</v>
      </c>
      <c r="DC691" t="s">
        <v>114</v>
      </c>
      <c r="DD691" t="s">
        <v>134</v>
      </c>
    </row>
    <row r="692" spans="1:113" ht="15" customHeight="1" x14ac:dyDescent="0.25">
      <c r="A692" t="s">
        <v>6359</v>
      </c>
      <c r="B692" t="s">
        <v>165</v>
      </c>
      <c r="C692" s="1">
        <v>44830.717279861114</v>
      </c>
      <c r="D692" s="1">
        <v>44880</v>
      </c>
      <c r="E692" t="s">
        <v>134</v>
      </c>
      <c r="F692" t="s">
        <v>2900</v>
      </c>
      <c r="G692" t="str">
        <f>"37-2012.00"</f>
        <v>37-2012.00</v>
      </c>
      <c r="H692" t="s">
        <v>116</v>
      </c>
      <c r="I692">
        <v>12</v>
      </c>
      <c r="J692">
        <v>12</v>
      </c>
      <c r="K692" s="1">
        <v>44909</v>
      </c>
      <c r="L692" s="1">
        <v>45182</v>
      </c>
      <c r="M692" s="1">
        <v>44909</v>
      </c>
      <c r="N692" s="1">
        <v>45182</v>
      </c>
      <c r="O692" t="s">
        <v>117</v>
      </c>
      <c r="P692" t="s">
        <v>2901</v>
      </c>
      <c r="R692" t="s">
        <v>2902</v>
      </c>
      <c r="T692" t="s">
        <v>2903</v>
      </c>
      <c r="U692" t="s">
        <v>657</v>
      </c>
      <c r="V692" s="4" t="str">
        <f>"38555"</f>
        <v>38555</v>
      </c>
      <c r="W692" t="s">
        <v>120</v>
      </c>
      <c r="Y692" s="5">
        <v>18004891718</v>
      </c>
      <c r="AA692">
        <v>56172</v>
      </c>
      <c r="AB692" t="s">
        <v>2645</v>
      </c>
      <c r="AC692" t="s">
        <v>2646</v>
      </c>
      <c r="AD692" t="s">
        <v>259</v>
      </c>
      <c r="AE692" t="s">
        <v>2904</v>
      </c>
      <c r="AF692" t="s">
        <v>2902</v>
      </c>
      <c r="AH692" t="s">
        <v>2903</v>
      </c>
      <c r="AI692" t="s">
        <v>657</v>
      </c>
      <c r="AJ692" s="4" t="str">
        <f>"38555"</f>
        <v>38555</v>
      </c>
      <c r="AK692" t="s">
        <v>120</v>
      </c>
      <c r="AM692" s="5">
        <v>14077231146</v>
      </c>
      <c r="AO692" t="s">
        <v>6360</v>
      </c>
      <c r="AX692" s="4" t="str">
        <f>""</f>
        <v/>
      </c>
      <c r="BG692" t="s">
        <v>530</v>
      </c>
      <c r="BH692" s="1">
        <v>44824.833333333336</v>
      </c>
      <c r="BI692">
        <v>35</v>
      </c>
      <c r="BJ692">
        <v>7</v>
      </c>
      <c r="BK692">
        <v>0</v>
      </c>
      <c r="BL692">
        <v>0</v>
      </c>
      <c r="BM692">
        <v>7</v>
      </c>
      <c r="BN692">
        <v>7</v>
      </c>
      <c r="BO692">
        <v>7</v>
      </c>
      <c r="BP692">
        <v>7</v>
      </c>
      <c r="BQ692" t="str">
        <f>"9:00 AM"</f>
        <v>9:00 AM</v>
      </c>
      <c r="BR692" t="str">
        <f>"4:00 PM"</f>
        <v>4:00 PM</v>
      </c>
      <c r="BS692" t="s">
        <v>133</v>
      </c>
      <c r="BT692">
        <v>0</v>
      </c>
      <c r="BU692">
        <v>3</v>
      </c>
      <c r="BV692" t="s">
        <v>134</v>
      </c>
      <c r="BX692" s="2" t="s">
        <v>2905</v>
      </c>
      <c r="BY692" t="s">
        <v>6361</v>
      </c>
      <c r="CA692" t="s">
        <v>6362</v>
      </c>
      <c r="CB692" t="s">
        <v>530</v>
      </c>
      <c r="CC692" s="4" t="str">
        <f>"86336"</f>
        <v>86336</v>
      </c>
      <c r="CD692" t="s">
        <v>1953</v>
      </c>
      <c r="CE692" t="s">
        <v>1954</v>
      </c>
      <c r="CF692" s="6">
        <v>14.72</v>
      </c>
      <c r="CH692" s="6">
        <v>22.08</v>
      </c>
      <c r="CJ692" t="s">
        <v>2907</v>
      </c>
      <c r="CK692" s="2" t="s">
        <v>6363</v>
      </c>
      <c r="CL692" t="s">
        <v>6364</v>
      </c>
      <c r="CO692" t="s">
        <v>138</v>
      </c>
      <c r="CP692" t="s">
        <v>114</v>
      </c>
      <c r="CQ692" t="s">
        <v>114</v>
      </c>
      <c r="CR692" t="s">
        <v>114</v>
      </c>
      <c r="CS692" t="s">
        <v>114</v>
      </c>
      <c r="CT692" t="s">
        <v>114</v>
      </c>
      <c r="CU692" t="s">
        <v>114</v>
      </c>
      <c r="CV692" t="s">
        <v>2908</v>
      </c>
      <c r="CW692" s="5" t="str">
        <f>"+14077231157"</f>
        <v>+14077231157</v>
      </c>
      <c r="CX692" t="s">
        <v>2909</v>
      </c>
      <c r="CY692" t="s">
        <v>138</v>
      </c>
      <c r="CZ692" t="s">
        <v>139</v>
      </c>
      <c r="DA692" t="s">
        <v>134</v>
      </c>
      <c r="DB692" t="s">
        <v>134</v>
      </c>
      <c r="DC692" t="s">
        <v>114</v>
      </c>
      <c r="DD692" t="s">
        <v>134</v>
      </c>
    </row>
    <row r="693" spans="1:113" ht="15" customHeight="1" x14ac:dyDescent="0.25">
      <c r="A693" t="s">
        <v>15782</v>
      </c>
      <c r="B693" t="s">
        <v>165</v>
      </c>
      <c r="C693" s="1">
        <v>44827.666112500003</v>
      </c>
      <c r="D693" s="1">
        <v>44880</v>
      </c>
      <c r="E693" t="s">
        <v>134</v>
      </c>
      <c r="F693" t="s">
        <v>4376</v>
      </c>
      <c r="G693" t="str">
        <f>"53-3031.00"</f>
        <v>53-3031.00</v>
      </c>
      <c r="H693" t="s">
        <v>1896</v>
      </c>
      <c r="I693">
        <v>6</v>
      </c>
      <c r="J693">
        <v>6</v>
      </c>
      <c r="K693" s="1">
        <v>44906</v>
      </c>
      <c r="L693" s="1">
        <v>45163</v>
      </c>
      <c r="M693" s="1">
        <v>44906</v>
      </c>
      <c r="N693" s="1">
        <v>45163</v>
      </c>
      <c r="O693" t="s">
        <v>199</v>
      </c>
      <c r="P693" t="s">
        <v>15783</v>
      </c>
      <c r="R693" t="s">
        <v>15784</v>
      </c>
      <c r="T693" t="s">
        <v>1545</v>
      </c>
      <c r="U693" t="s">
        <v>232</v>
      </c>
      <c r="V693" s="4" t="str">
        <f>"77040"</f>
        <v>77040</v>
      </c>
      <c r="W693" t="s">
        <v>120</v>
      </c>
      <c r="Y693" s="5">
        <v>17139399393</v>
      </c>
      <c r="AA693">
        <v>424460</v>
      </c>
      <c r="AB693" t="s">
        <v>5965</v>
      </c>
      <c r="AC693" t="s">
        <v>1705</v>
      </c>
      <c r="AD693" t="s">
        <v>2149</v>
      </c>
      <c r="AE693" t="s">
        <v>342</v>
      </c>
      <c r="AF693" t="s">
        <v>15784</v>
      </c>
      <c r="AH693" t="s">
        <v>1545</v>
      </c>
      <c r="AI693" t="s">
        <v>232</v>
      </c>
      <c r="AJ693" s="4" t="str">
        <f>"77040"</f>
        <v>77040</v>
      </c>
      <c r="AK693" t="s">
        <v>120</v>
      </c>
      <c r="AM693" s="5">
        <v>17134462864</v>
      </c>
      <c r="AO693" t="s">
        <v>15785</v>
      </c>
      <c r="AP693" t="s">
        <v>122</v>
      </c>
      <c r="AQ693" t="s">
        <v>725</v>
      </c>
      <c r="AR693" t="s">
        <v>726</v>
      </c>
      <c r="AS693" t="s">
        <v>727</v>
      </c>
      <c r="AT693" t="s">
        <v>728</v>
      </c>
      <c r="AU693" t="s">
        <v>729</v>
      </c>
      <c r="AV693" t="s">
        <v>730</v>
      </c>
      <c r="AW693" t="s">
        <v>214</v>
      </c>
      <c r="AX693" s="4" t="str">
        <f>"70535"</f>
        <v>70535</v>
      </c>
      <c r="AY693" t="s">
        <v>120</v>
      </c>
      <c r="BA693" s="5">
        <v>13374663722</v>
      </c>
      <c r="BC693" t="s">
        <v>731</v>
      </c>
      <c r="BD693" t="s">
        <v>732</v>
      </c>
      <c r="BE693" t="s">
        <v>214</v>
      </c>
      <c r="BF693" t="s">
        <v>733</v>
      </c>
      <c r="BG693" t="s">
        <v>232</v>
      </c>
      <c r="BH693" s="1">
        <v>44826.833333333336</v>
      </c>
      <c r="BI693">
        <v>36</v>
      </c>
      <c r="BJ693">
        <v>5</v>
      </c>
      <c r="BK693">
        <v>3</v>
      </c>
      <c r="BL693">
        <v>3</v>
      </c>
      <c r="BM693">
        <v>3</v>
      </c>
      <c r="BN693">
        <v>6</v>
      </c>
      <c r="BO693">
        <v>8</v>
      </c>
      <c r="BP693">
        <v>8</v>
      </c>
      <c r="BQ693" t="str">
        <f>"4:00 AM"</f>
        <v>4:00 AM</v>
      </c>
      <c r="BR693" t="str">
        <f>"1:00 PM"</f>
        <v>1:00 PM</v>
      </c>
      <c r="BS693" t="s">
        <v>133</v>
      </c>
      <c r="BT693">
        <v>0</v>
      </c>
      <c r="BU693">
        <v>0</v>
      </c>
      <c r="BV693" t="s">
        <v>134</v>
      </c>
      <c r="BX693" s="2" t="s">
        <v>15786</v>
      </c>
      <c r="BY693" t="s">
        <v>15787</v>
      </c>
      <c r="CA693" t="s">
        <v>1545</v>
      </c>
      <c r="CB693" t="s">
        <v>232</v>
      </c>
      <c r="CC693" s="4" t="str">
        <f>"77142"</f>
        <v>77142</v>
      </c>
      <c r="CD693" t="s">
        <v>3290</v>
      </c>
      <c r="CE693" t="s">
        <v>873</v>
      </c>
      <c r="CF693" s="6">
        <v>15.73</v>
      </c>
      <c r="CG693" s="6">
        <v>15.73</v>
      </c>
      <c r="CH693" s="6">
        <v>23.6</v>
      </c>
      <c r="CI693" s="6">
        <v>23.6</v>
      </c>
      <c r="CJ693" t="s">
        <v>137</v>
      </c>
      <c r="CL693" t="s">
        <v>15788</v>
      </c>
      <c r="CO693" t="s">
        <v>138</v>
      </c>
      <c r="CP693" t="s">
        <v>134</v>
      </c>
      <c r="CQ693" t="s">
        <v>114</v>
      </c>
      <c r="CR693" t="s">
        <v>114</v>
      </c>
      <c r="CS693" t="s">
        <v>114</v>
      </c>
      <c r="CT693" t="s">
        <v>114</v>
      </c>
      <c r="CU693" t="s">
        <v>114</v>
      </c>
      <c r="CV693" s="2" t="s">
        <v>15789</v>
      </c>
      <c r="CW693" s="5" t="str">
        <f>"+17139399393"</f>
        <v>+17139399393</v>
      </c>
      <c r="CX693" t="s">
        <v>15785</v>
      </c>
      <c r="CY693" t="s">
        <v>138</v>
      </c>
      <c r="CZ693" t="s">
        <v>139</v>
      </c>
      <c r="DA693" t="s">
        <v>134</v>
      </c>
      <c r="DB693" t="s">
        <v>134</v>
      </c>
      <c r="DC693" t="s">
        <v>114</v>
      </c>
      <c r="DD693" t="s">
        <v>134</v>
      </c>
    </row>
    <row r="694" spans="1:113" ht="15" customHeight="1" x14ac:dyDescent="0.25">
      <c r="A694" t="s">
        <v>12184</v>
      </c>
      <c r="B694" t="s">
        <v>165</v>
      </c>
      <c r="C694" s="1">
        <v>44745.002745486112</v>
      </c>
      <c r="D694" s="1">
        <v>44880</v>
      </c>
      <c r="E694" t="s">
        <v>134</v>
      </c>
      <c r="F694" t="s">
        <v>8467</v>
      </c>
      <c r="G694" t="str">
        <f>"47-2061.00"</f>
        <v>47-2061.00</v>
      </c>
      <c r="H694" t="s">
        <v>1625</v>
      </c>
      <c r="I694">
        <v>100</v>
      </c>
      <c r="J694">
        <v>100</v>
      </c>
      <c r="K694" s="1">
        <v>44835</v>
      </c>
      <c r="L694" s="1">
        <v>45289</v>
      </c>
      <c r="M694" s="1">
        <v>44835</v>
      </c>
      <c r="N694" s="1">
        <v>45289</v>
      </c>
      <c r="O694" t="s">
        <v>168</v>
      </c>
      <c r="P694" t="s">
        <v>12185</v>
      </c>
      <c r="R694" t="s">
        <v>12186</v>
      </c>
      <c r="T694" t="s">
        <v>1778</v>
      </c>
      <c r="U694" t="s">
        <v>1779</v>
      </c>
      <c r="V694" s="4" t="str">
        <f>"00918"</f>
        <v>00918</v>
      </c>
      <c r="W694" t="s">
        <v>120</v>
      </c>
      <c r="Y694" s="5">
        <v>17877250777</v>
      </c>
      <c r="AA694">
        <v>23831</v>
      </c>
      <c r="AB694" t="s">
        <v>2204</v>
      </c>
      <c r="AC694" t="s">
        <v>12187</v>
      </c>
      <c r="AE694" t="s">
        <v>5866</v>
      </c>
      <c r="AF694" t="s">
        <v>12186</v>
      </c>
      <c r="AH694" t="s">
        <v>1778</v>
      </c>
      <c r="AI694" t="s">
        <v>1779</v>
      </c>
      <c r="AJ694" s="4" t="str">
        <f>"00918"</f>
        <v>00918</v>
      </c>
      <c r="AK694" t="s">
        <v>120</v>
      </c>
      <c r="AM694" s="5">
        <v>17874854987</v>
      </c>
      <c r="AO694" t="s">
        <v>12188</v>
      </c>
      <c r="AP694" t="s">
        <v>122</v>
      </c>
      <c r="AQ694" t="s">
        <v>8468</v>
      </c>
      <c r="AR694" t="s">
        <v>1616</v>
      </c>
      <c r="AS694" t="s">
        <v>1723</v>
      </c>
      <c r="AT694" t="s">
        <v>8469</v>
      </c>
      <c r="AU694" t="s">
        <v>8470</v>
      </c>
      <c r="AV694" t="s">
        <v>8471</v>
      </c>
      <c r="AW694" t="s">
        <v>1779</v>
      </c>
      <c r="AX694" s="4" t="str">
        <f>"00918"</f>
        <v>00918</v>
      </c>
      <c r="AY694" t="s">
        <v>120</v>
      </c>
      <c r="BA694" s="5">
        <v>17879361664</v>
      </c>
      <c r="BC694" t="s">
        <v>8472</v>
      </c>
      <c r="BD694" t="s">
        <v>8473</v>
      </c>
      <c r="BE694" t="s">
        <v>1779</v>
      </c>
      <c r="BF694" t="s">
        <v>8474</v>
      </c>
      <c r="BG694" t="s">
        <v>1779</v>
      </c>
      <c r="BH694" s="1">
        <v>44744.833333333336</v>
      </c>
      <c r="BI694">
        <v>40</v>
      </c>
      <c r="BJ694">
        <v>0</v>
      </c>
      <c r="BK694">
        <v>8</v>
      </c>
      <c r="BL694">
        <v>8</v>
      </c>
      <c r="BM694">
        <v>8</v>
      </c>
      <c r="BN694">
        <v>8</v>
      </c>
      <c r="BO694">
        <v>8</v>
      </c>
      <c r="BP694">
        <v>0</v>
      </c>
      <c r="BQ694" t="str">
        <f>"7:00 AM"</f>
        <v>7:00 AM</v>
      </c>
      <c r="BR694" t="str">
        <f>"4:00 PM"</f>
        <v>4:00 PM</v>
      </c>
      <c r="BS694" t="s">
        <v>133</v>
      </c>
      <c r="BT694">
        <v>0</v>
      </c>
      <c r="BU694">
        <v>6</v>
      </c>
      <c r="BV694" t="s">
        <v>134</v>
      </c>
      <c r="BX694" s="2" t="s">
        <v>12189</v>
      </c>
      <c r="BY694" t="s">
        <v>12190</v>
      </c>
      <c r="CA694" t="s">
        <v>12191</v>
      </c>
      <c r="CB694" t="s">
        <v>1779</v>
      </c>
      <c r="CC694" s="4" t="str">
        <f>"00745"</f>
        <v>00745</v>
      </c>
      <c r="CD694" t="s">
        <v>11686</v>
      </c>
      <c r="CE694" t="s">
        <v>1785</v>
      </c>
      <c r="CF694" s="6">
        <v>9.39</v>
      </c>
      <c r="CJ694" t="s">
        <v>137</v>
      </c>
      <c r="CK694" t="s">
        <v>12192</v>
      </c>
      <c r="CL694" t="s">
        <v>12193</v>
      </c>
      <c r="CO694" t="s">
        <v>138</v>
      </c>
      <c r="CP694" t="s">
        <v>114</v>
      </c>
      <c r="CQ694" t="s">
        <v>114</v>
      </c>
      <c r="CR694" t="s">
        <v>134</v>
      </c>
      <c r="CS694" t="s">
        <v>114</v>
      </c>
      <c r="CT694" t="s">
        <v>114</v>
      </c>
      <c r="CU694" t="s">
        <v>134</v>
      </c>
      <c r="CV694" s="2" t="s">
        <v>12194</v>
      </c>
      <c r="CW694" s="5" t="str">
        <f>"+17877250777"</f>
        <v>+17877250777</v>
      </c>
      <c r="CX694" t="s">
        <v>12188</v>
      </c>
      <c r="CY694" t="s">
        <v>138</v>
      </c>
      <c r="CZ694" t="s">
        <v>139</v>
      </c>
      <c r="DA694" t="s">
        <v>134</v>
      </c>
      <c r="DB694" t="s">
        <v>134</v>
      </c>
      <c r="DC694" t="s">
        <v>114</v>
      </c>
      <c r="DD694" t="s">
        <v>134</v>
      </c>
    </row>
    <row r="695" spans="1:113" ht="15" customHeight="1" x14ac:dyDescent="0.25">
      <c r="A695" t="s">
        <v>5004</v>
      </c>
      <c r="B695" t="s">
        <v>165</v>
      </c>
      <c r="C695" s="1">
        <v>44852.405025231485</v>
      </c>
      <c r="D695" s="1">
        <v>44879</v>
      </c>
      <c r="E695" t="s">
        <v>134</v>
      </c>
      <c r="F695" t="s">
        <v>5005</v>
      </c>
      <c r="G695" t="str">
        <f>"35-3023.00"</f>
        <v>35-3023.00</v>
      </c>
      <c r="H695" t="s">
        <v>555</v>
      </c>
      <c r="I695">
        <v>20</v>
      </c>
      <c r="J695">
        <v>20</v>
      </c>
      <c r="K695" s="1">
        <v>44939</v>
      </c>
      <c r="L695" s="1">
        <v>45243</v>
      </c>
      <c r="M695" s="1">
        <v>44939</v>
      </c>
      <c r="N695" s="1">
        <v>45243</v>
      </c>
      <c r="O695" t="s">
        <v>199</v>
      </c>
      <c r="P695" t="s">
        <v>5006</v>
      </c>
      <c r="Q695" t="s">
        <v>5007</v>
      </c>
      <c r="R695" t="s">
        <v>5008</v>
      </c>
      <c r="T695" t="s">
        <v>2776</v>
      </c>
      <c r="U695" t="s">
        <v>154</v>
      </c>
      <c r="V695" s="4" t="str">
        <f>"33578"</f>
        <v>33578</v>
      </c>
      <c r="W695" t="s">
        <v>120</v>
      </c>
      <c r="Y695" s="5">
        <v>18133409659</v>
      </c>
      <c r="AA695">
        <v>722330</v>
      </c>
      <c r="AB695" t="s">
        <v>5009</v>
      </c>
      <c r="AC695" t="s">
        <v>1659</v>
      </c>
      <c r="AE695" t="s">
        <v>424</v>
      </c>
      <c r="AF695" t="s">
        <v>5008</v>
      </c>
      <c r="AH695" t="s">
        <v>2776</v>
      </c>
      <c r="AI695" t="s">
        <v>154</v>
      </c>
      <c r="AJ695" s="4" t="str">
        <f>"33578"</f>
        <v>33578</v>
      </c>
      <c r="AK695" t="s">
        <v>120</v>
      </c>
      <c r="AM695" s="5">
        <v>18133409659</v>
      </c>
      <c r="AO695" t="s">
        <v>5010</v>
      </c>
      <c r="AP695" t="s">
        <v>122</v>
      </c>
      <c r="AQ695" t="s">
        <v>369</v>
      </c>
      <c r="AR695" t="s">
        <v>370</v>
      </c>
      <c r="AS695" t="s">
        <v>371</v>
      </c>
      <c r="AT695" t="s">
        <v>372</v>
      </c>
      <c r="AU695" t="s">
        <v>373</v>
      </c>
      <c r="AV695" t="s">
        <v>374</v>
      </c>
      <c r="AW695" t="s">
        <v>339</v>
      </c>
      <c r="AX695" s="4" t="str">
        <f>"21401"</f>
        <v>21401</v>
      </c>
      <c r="AY695" t="s">
        <v>120</v>
      </c>
      <c r="BA695" s="5">
        <v>14105739955</v>
      </c>
      <c r="BB695">
        <v>0</v>
      </c>
      <c r="BC695" t="s">
        <v>375</v>
      </c>
      <c r="BD695" t="s">
        <v>376</v>
      </c>
      <c r="BE695" t="s">
        <v>339</v>
      </c>
      <c r="BF695" t="s">
        <v>377</v>
      </c>
      <c r="BG695" t="s">
        <v>154</v>
      </c>
      <c r="BH695" s="1">
        <v>44815.833333333336</v>
      </c>
      <c r="BI695">
        <v>35</v>
      </c>
      <c r="BJ695">
        <v>6</v>
      </c>
      <c r="BK695">
        <v>0</v>
      </c>
      <c r="BL695">
        <v>5</v>
      </c>
      <c r="BM695">
        <v>6</v>
      </c>
      <c r="BN695">
        <v>6</v>
      </c>
      <c r="BO695">
        <v>6</v>
      </c>
      <c r="BP695">
        <v>6</v>
      </c>
      <c r="BQ695" t="str">
        <f>"1:00 PM"</f>
        <v>1:00 PM</v>
      </c>
      <c r="BR695" t="str">
        <f>"11:00 PM"</f>
        <v>11:00 PM</v>
      </c>
      <c r="BS695" t="s">
        <v>133</v>
      </c>
      <c r="BT695">
        <v>0</v>
      </c>
      <c r="BU695">
        <v>0</v>
      </c>
      <c r="BV695" t="s">
        <v>134</v>
      </c>
      <c r="BX695" s="2" t="s">
        <v>5011</v>
      </c>
      <c r="BY695" t="s">
        <v>5012</v>
      </c>
      <c r="CA695" t="s">
        <v>2106</v>
      </c>
      <c r="CB695" t="s">
        <v>154</v>
      </c>
      <c r="CC695" s="4" t="str">
        <f>"33534"</f>
        <v>33534</v>
      </c>
      <c r="CD695" t="s">
        <v>566</v>
      </c>
      <c r="CE695" t="s">
        <v>567</v>
      </c>
      <c r="CF695" s="6">
        <v>8.94</v>
      </c>
      <c r="CG695" s="6">
        <v>13.49</v>
      </c>
      <c r="CJ695" t="s">
        <v>137</v>
      </c>
      <c r="CK695" t="s">
        <v>5013</v>
      </c>
      <c r="CL695" t="s">
        <v>5014</v>
      </c>
      <c r="CO695" t="s">
        <v>138</v>
      </c>
      <c r="CP695" t="s">
        <v>114</v>
      </c>
      <c r="CQ695" t="s">
        <v>134</v>
      </c>
      <c r="CR695" t="s">
        <v>134</v>
      </c>
      <c r="CS695" t="s">
        <v>114</v>
      </c>
      <c r="CT695" t="s">
        <v>114</v>
      </c>
      <c r="CU695" t="s">
        <v>114</v>
      </c>
      <c r="CV695" t="s">
        <v>5015</v>
      </c>
      <c r="CW695" s="5" t="str">
        <f>"+18133409659"</f>
        <v>+18133409659</v>
      </c>
      <c r="CX695" t="s">
        <v>5010</v>
      </c>
      <c r="CY695" t="s">
        <v>138</v>
      </c>
      <c r="CZ695" t="s">
        <v>139</v>
      </c>
      <c r="DA695" t="s">
        <v>134</v>
      </c>
      <c r="DB695" t="s">
        <v>114</v>
      </c>
      <c r="DC695" t="s">
        <v>114</v>
      </c>
      <c r="DD695" t="s">
        <v>134</v>
      </c>
    </row>
    <row r="696" spans="1:113" ht="15" customHeight="1" x14ac:dyDescent="0.25">
      <c r="A696" t="s">
        <v>15372</v>
      </c>
      <c r="B696" t="s">
        <v>165</v>
      </c>
      <c r="C696" s="1">
        <v>44851.983040393519</v>
      </c>
      <c r="D696" s="1">
        <v>44879</v>
      </c>
      <c r="E696" t="s">
        <v>134</v>
      </c>
      <c r="F696" t="s">
        <v>1034</v>
      </c>
      <c r="G696" t="str">
        <f>"37-3011.00"</f>
        <v>37-3011.00</v>
      </c>
      <c r="H696" t="s">
        <v>335</v>
      </c>
      <c r="I696">
        <v>120</v>
      </c>
      <c r="J696">
        <v>120</v>
      </c>
      <c r="K696" s="1">
        <v>44941</v>
      </c>
      <c r="L696" s="1">
        <v>45244</v>
      </c>
      <c r="M696" s="1">
        <v>44941</v>
      </c>
      <c r="N696" s="1">
        <v>45244</v>
      </c>
      <c r="O696" t="s">
        <v>117</v>
      </c>
      <c r="P696" t="s">
        <v>1035</v>
      </c>
      <c r="Q696" t="s">
        <v>1036</v>
      </c>
      <c r="R696" t="s">
        <v>1037</v>
      </c>
      <c r="S696" t="s">
        <v>138</v>
      </c>
      <c r="T696" t="s">
        <v>1038</v>
      </c>
      <c r="U696" t="s">
        <v>214</v>
      </c>
      <c r="V696" s="4" t="str">
        <f>"70460"</f>
        <v>70460</v>
      </c>
      <c r="W696" t="s">
        <v>120</v>
      </c>
      <c r="X696" t="s">
        <v>138</v>
      </c>
      <c r="Y696" s="5">
        <v>19856432427</v>
      </c>
      <c r="AA696">
        <v>5617</v>
      </c>
      <c r="AB696" t="s">
        <v>1039</v>
      </c>
      <c r="AC696" t="s">
        <v>1040</v>
      </c>
      <c r="AE696" t="s">
        <v>845</v>
      </c>
      <c r="AF696" t="s">
        <v>1037</v>
      </c>
      <c r="AH696" t="s">
        <v>1038</v>
      </c>
      <c r="AI696" t="s">
        <v>214</v>
      </c>
      <c r="AJ696" s="4" t="str">
        <f>"70460"</f>
        <v>70460</v>
      </c>
      <c r="AK696" t="s">
        <v>120</v>
      </c>
      <c r="AM696" s="5">
        <v>19856432427</v>
      </c>
      <c r="AN696">
        <v>132</v>
      </c>
      <c r="AO696" t="s">
        <v>1041</v>
      </c>
      <c r="AP696" t="s">
        <v>256</v>
      </c>
      <c r="AQ696" t="s">
        <v>1042</v>
      </c>
      <c r="AR696" t="s">
        <v>1043</v>
      </c>
      <c r="AT696" t="s">
        <v>1044</v>
      </c>
      <c r="AU696" t="s">
        <v>1045</v>
      </c>
      <c r="AV696" t="s">
        <v>587</v>
      </c>
      <c r="AW696" t="s">
        <v>530</v>
      </c>
      <c r="AX696" s="4" t="str">
        <f>"85048"</f>
        <v>85048</v>
      </c>
      <c r="AY696" t="s">
        <v>120</v>
      </c>
      <c r="BA696" s="5">
        <v>14809411885</v>
      </c>
      <c r="BC696" t="s">
        <v>1046</v>
      </c>
      <c r="BD696" t="s">
        <v>1047</v>
      </c>
      <c r="BG696" t="s">
        <v>214</v>
      </c>
      <c r="BH696" s="1">
        <v>44850.833333333336</v>
      </c>
      <c r="BI696">
        <v>40</v>
      </c>
      <c r="BJ696">
        <v>0</v>
      </c>
      <c r="BK696">
        <v>8</v>
      </c>
      <c r="BL696">
        <v>8</v>
      </c>
      <c r="BM696">
        <v>8</v>
      </c>
      <c r="BN696">
        <v>8</v>
      </c>
      <c r="BO696">
        <v>8</v>
      </c>
      <c r="BP696">
        <v>0</v>
      </c>
      <c r="BQ696" t="str">
        <f>"6:00 AM"</f>
        <v>6:00 AM</v>
      </c>
      <c r="BR696" t="str">
        <f>"2:30 PM"</f>
        <v>2:30 PM</v>
      </c>
      <c r="BS696" t="s">
        <v>133</v>
      </c>
      <c r="BT696">
        <v>3</v>
      </c>
      <c r="BU696">
        <v>3</v>
      </c>
      <c r="BV696" t="s">
        <v>134</v>
      </c>
      <c r="BX696" s="2" t="s">
        <v>11158</v>
      </c>
      <c r="BY696" t="s">
        <v>15373</v>
      </c>
      <c r="CA696" t="s">
        <v>4176</v>
      </c>
      <c r="CB696" t="s">
        <v>214</v>
      </c>
      <c r="CC696" s="4" t="str">
        <f>"70601"</f>
        <v>70601</v>
      </c>
      <c r="CD696" t="s">
        <v>6942</v>
      </c>
      <c r="CE696" t="s">
        <v>6943</v>
      </c>
      <c r="CF696" s="6">
        <v>14.19</v>
      </c>
      <c r="CG696" s="6">
        <v>14.19</v>
      </c>
      <c r="CH696" s="6">
        <v>21.29</v>
      </c>
      <c r="CI696" s="6">
        <v>21.29</v>
      </c>
      <c r="CJ696" t="s">
        <v>137</v>
      </c>
      <c r="CK696" t="s">
        <v>1053</v>
      </c>
      <c r="CL696" t="s">
        <v>15374</v>
      </c>
      <c r="CO696" t="s">
        <v>138</v>
      </c>
      <c r="CP696" t="s">
        <v>114</v>
      </c>
      <c r="CQ696" t="s">
        <v>114</v>
      </c>
      <c r="CR696" t="s">
        <v>114</v>
      </c>
      <c r="CS696" t="s">
        <v>114</v>
      </c>
      <c r="CT696" t="s">
        <v>114</v>
      </c>
      <c r="CU696" t="s">
        <v>114</v>
      </c>
      <c r="CV696" t="s">
        <v>1055</v>
      </c>
      <c r="CW696" s="5" t="str">
        <f>"+19856432427"</f>
        <v>+19856432427</v>
      </c>
      <c r="CX696" t="s">
        <v>1041</v>
      </c>
      <c r="CY696" t="s">
        <v>138</v>
      </c>
      <c r="CZ696" t="s">
        <v>139</v>
      </c>
      <c r="DA696" t="s">
        <v>134</v>
      </c>
      <c r="DB696" t="s">
        <v>114</v>
      </c>
      <c r="DC696" t="s">
        <v>114</v>
      </c>
      <c r="DD696" t="s">
        <v>134</v>
      </c>
    </row>
    <row r="697" spans="1:113" ht="15" customHeight="1" x14ac:dyDescent="0.25">
      <c r="A697" t="s">
        <v>15992</v>
      </c>
      <c r="B697" t="s">
        <v>165</v>
      </c>
      <c r="C697" s="1">
        <v>44851.981591435186</v>
      </c>
      <c r="D697" s="1">
        <v>44879</v>
      </c>
      <c r="E697" t="s">
        <v>134</v>
      </c>
      <c r="F697" t="s">
        <v>1034</v>
      </c>
      <c r="G697" t="str">
        <f>"37-3011.00"</f>
        <v>37-3011.00</v>
      </c>
      <c r="H697" t="s">
        <v>335</v>
      </c>
      <c r="I697">
        <v>150</v>
      </c>
      <c r="J697">
        <v>150</v>
      </c>
      <c r="K697" s="1">
        <v>44941</v>
      </c>
      <c r="L697" s="1">
        <v>45244</v>
      </c>
      <c r="M697" s="1">
        <v>44941</v>
      </c>
      <c r="N697" s="1">
        <v>45244</v>
      </c>
      <c r="O697" t="s">
        <v>117</v>
      </c>
      <c r="P697" t="s">
        <v>1035</v>
      </c>
      <c r="Q697" t="s">
        <v>1036</v>
      </c>
      <c r="R697" t="s">
        <v>1037</v>
      </c>
      <c r="S697" t="s">
        <v>138</v>
      </c>
      <c r="T697" t="s">
        <v>1038</v>
      </c>
      <c r="U697" t="s">
        <v>214</v>
      </c>
      <c r="V697" s="4" t="str">
        <f>"70460"</f>
        <v>70460</v>
      </c>
      <c r="W697" t="s">
        <v>120</v>
      </c>
      <c r="X697" t="s">
        <v>138</v>
      </c>
      <c r="Y697" s="5">
        <v>19856432427</v>
      </c>
      <c r="AA697">
        <v>5617</v>
      </c>
      <c r="AB697" t="s">
        <v>1039</v>
      </c>
      <c r="AC697" t="s">
        <v>1040</v>
      </c>
      <c r="AE697" t="s">
        <v>845</v>
      </c>
      <c r="AF697" t="s">
        <v>1037</v>
      </c>
      <c r="AH697" t="s">
        <v>1038</v>
      </c>
      <c r="AI697" t="s">
        <v>214</v>
      </c>
      <c r="AJ697" s="4" t="str">
        <f>"70460"</f>
        <v>70460</v>
      </c>
      <c r="AK697" t="s">
        <v>120</v>
      </c>
      <c r="AM697" s="5">
        <v>19856432427</v>
      </c>
      <c r="AN697">
        <v>132</v>
      </c>
      <c r="AO697" t="s">
        <v>1041</v>
      </c>
      <c r="AP697" t="s">
        <v>256</v>
      </c>
      <c r="AQ697" t="s">
        <v>1042</v>
      </c>
      <c r="AR697" t="s">
        <v>1043</v>
      </c>
      <c r="AT697" t="s">
        <v>1044</v>
      </c>
      <c r="AU697" t="s">
        <v>1045</v>
      </c>
      <c r="AV697" t="s">
        <v>587</v>
      </c>
      <c r="AW697" t="s">
        <v>530</v>
      </c>
      <c r="AX697" s="4" t="str">
        <f>"85048"</f>
        <v>85048</v>
      </c>
      <c r="AY697" t="s">
        <v>120</v>
      </c>
      <c r="BA697" s="5">
        <v>14809411885</v>
      </c>
      <c r="BC697" t="s">
        <v>1046</v>
      </c>
      <c r="BD697" t="s">
        <v>1047</v>
      </c>
      <c r="BG697" t="s">
        <v>154</v>
      </c>
      <c r="BH697" s="1">
        <v>44850.833333333336</v>
      </c>
      <c r="BI697">
        <v>40</v>
      </c>
      <c r="BJ697">
        <v>0</v>
      </c>
      <c r="BK697">
        <v>8</v>
      </c>
      <c r="BL697">
        <v>8</v>
      </c>
      <c r="BM697">
        <v>8</v>
      </c>
      <c r="BN697">
        <v>8</v>
      </c>
      <c r="BO697">
        <v>8</v>
      </c>
      <c r="BP697">
        <v>0</v>
      </c>
      <c r="BQ697" t="str">
        <f>"6:00 AM"</f>
        <v>6:00 AM</v>
      </c>
      <c r="BR697" t="str">
        <f>"2:30 PM"</f>
        <v>2:30 PM</v>
      </c>
      <c r="BS697" t="s">
        <v>133</v>
      </c>
      <c r="BT697">
        <v>3</v>
      </c>
      <c r="BU697">
        <v>3</v>
      </c>
      <c r="BV697" t="s">
        <v>134</v>
      </c>
      <c r="BX697" s="2" t="s">
        <v>11158</v>
      </c>
      <c r="BY697" t="s">
        <v>15993</v>
      </c>
      <c r="CA697" t="s">
        <v>2171</v>
      </c>
      <c r="CB697" t="s">
        <v>154</v>
      </c>
      <c r="CC697" s="4" t="str">
        <f>"32413"</f>
        <v>32413</v>
      </c>
      <c r="CD697" t="s">
        <v>2172</v>
      </c>
      <c r="CE697" t="s">
        <v>2173</v>
      </c>
      <c r="CF697" s="6">
        <v>15.01</v>
      </c>
      <c r="CG697" s="6">
        <v>15.01</v>
      </c>
      <c r="CH697" s="6">
        <v>22.52</v>
      </c>
      <c r="CI697" s="6">
        <v>22.52</v>
      </c>
      <c r="CJ697" t="s">
        <v>137</v>
      </c>
      <c r="CK697" t="s">
        <v>1053</v>
      </c>
      <c r="CL697" t="s">
        <v>15994</v>
      </c>
      <c r="CO697" t="s">
        <v>138</v>
      </c>
      <c r="CP697" t="s">
        <v>114</v>
      </c>
      <c r="CQ697" t="s">
        <v>114</v>
      </c>
      <c r="CR697" t="s">
        <v>114</v>
      </c>
      <c r="CS697" t="s">
        <v>114</v>
      </c>
      <c r="CT697" t="s">
        <v>114</v>
      </c>
      <c r="CU697" t="s">
        <v>114</v>
      </c>
      <c r="CV697" t="s">
        <v>1055</v>
      </c>
      <c r="CW697" s="5" t="str">
        <f>"+19856432427"</f>
        <v>+19856432427</v>
      </c>
      <c r="CX697" t="s">
        <v>1041</v>
      </c>
      <c r="CY697" t="s">
        <v>138</v>
      </c>
      <c r="CZ697" t="s">
        <v>139</v>
      </c>
      <c r="DA697" t="s">
        <v>134</v>
      </c>
      <c r="DB697" t="s">
        <v>114</v>
      </c>
      <c r="DC697" t="s">
        <v>114</v>
      </c>
      <c r="DD697" t="s">
        <v>134</v>
      </c>
    </row>
    <row r="698" spans="1:113" ht="15" customHeight="1" x14ac:dyDescent="0.25">
      <c r="A698" t="s">
        <v>13863</v>
      </c>
      <c r="B698" t="s">
        <v>165</v>
      </c>
      <c r="C698" s="1">
        <v>44851.980178356484</v>
      </c>
      <c r="D698" s="1">
        <v>44879</v>
      </c>
      <c r="E698" t="s">
        <v>134</v>
      </c>
      <c r="F698" t="s">
        <v>1034</v>
      </c>
      <c r="G698" t="str">
        <f>"37-3011.00"</f>
        <v>37-3011.00</v>
      </c>
      <c r="H698" t="s">
        <v>335</v>
      </c>
      <c r="I698">
        <v>60</v>
      </c>
      <c r="J698">
        <v>60</v>
      </c>
      <c r="K698" s="1">
        <v>44941</v>
      </c>
      <c r="L698" s="1">
        <v>45244</v>
      </c>
      <c r="M698" s="1">
        <v>44941</v>
      </c>
      <c r="N698" s="1">
        <v>45244</v>
      </c>
      <c r="O698" t="s">
        <v>117</v>
      </c>
      <c r="P698" t="s">
        <v>1035</v>
      </c>
      <c r="Q698" t="s">
        <v>1036</v>
      </c>
      <c r="R698" t="s">
        <v>1037</v>
      </c>
      <c r="S698" t="s">
        <v>138</v>
      </c>
      <c r="T698" t="s">
        <v>1038</v>
      </c>
      <c r="U698" t="s">
        <v>214</v>
      </c>
      <c r="V698" s="4" t="str">
        <f>"70460"</f>
        <v>70460</v>
      </c>
      <c r="W698" t="s">
        <v>120</v>
      </c>
      <c r="X698" t="s">
        <v>138</v>
      </c>
      <c r="Y698" s="5">
        <v>19856432427</v>
      </c>
      <c r="AA698">
        <v>5617</v>
      </c>
      <c r="AB698" t="s">
        <v>1039</v>
      </c>
      <c r="AC698" t="s">
        <v>1040</v>
      </c>
      <c r="AE698" t="s">
        <v>845</v>
      </c>
      <c r="AF698" t="s">
        <v>1037</v>
      </c>
      <c r="AH698" t="s">
        <v>1038</v>
      </c>
      <c r="AI698" t="s">
        <v>214</v>
      </c>
      <c r="AJ698" s="4" t="str">
        <f>"70460"</f>
        <v>70460</v>
      </c>
      <c r="AK698" t="s">
        <v>120</v>
      </c>
      <c r="AM698" s="5">
        <v>19856432427</v>
      </c>
      <c r="AN698">
        <v>132</v>
      </c>
      <c r="AO698" t="s">
        <v>1041</v>
      </c>
      <c r="AP698" t="s">
        <v>256</v>
      </c>
      <c r="AQ698" t="s">
        <v>1042</v>
      </c>
      <c r="AR698" t="s">
        <v>1043</v>
      </c>
      <c r="AT698" t="s">
        <v>1044</v>
      </c>
      <c r="AU698" t="s">
        <v>1045</v>
      </c>
      <c r="AV698" t="s">
        <v>587</v>
      </c>
      <c r="AW698" t="s">
        <v>530</v>
      </c>
      <c r="AX698" s="4" t="str">
        <f>"85048"</f>
        <v>85048</v>
      </c>
      <c r="AY698" t="s">
        <v>120</v>
      </c>
      <c r="BA698" s="5">
        <v>14809411885</v>
      </c>
      <c r="BC698" t="s">
        <v>1046</v>
      </c>
      <c r="BD698" t="s">
        <v>1047</v>
      </c>
      <c r="BG698" t="s">
        <v>154</v>
      </c>
      <c r="BH698" s="1">
        <v>44850.833333333336</v>
      </c>
      <c r="BI698">
        <v>40</v>
      </c>
      <c r="BJ698">
        <v>0</v>
      </c>
      <c r="BK698">
        <v>8</v>
      </c>
      <c r="BL698">
        <v>8</v>
      </c>
      <c r="BM698">
        <v>8</v>
      </c>
      <c r="BN698">
        <v>8</v>
      </c>
      <c r="BO698">
        <v>8</v>
      </c>
      <c r="BP698">
        <v>0</v>
      </c>
      <c r="BQ698" t="str">
        <f>"6:00 AM"</f>
        <v>6:00 AM</v>
      </c>
      <c r="BR698" t="str">
        <f>"2:30 PM"</f>
        <v>2:30 PM</v>
      </c>
      <c r="BS698" t="s">
        <v>133</v>
      </c>
      <c r="BT698">
        <v>3</v>
      </c>
      <c r="BU698">
        <v>3</v>
      </c>
      <c r="BV698" t="s">
        <v>134</v>
      </c>
      <c r="BX698" s="2" t="s">
        <v>11158</v>
      </c>
      <c r="BY698" t="s">
        <v>13864</v>
      </c>
      <c r="CA698" t="s">
        <v>2169</v>
      </c>
      <c r="CB698" t="s">
        <v>154</v>
      </c>
      <c r="CC698" s="4" t="str">
        <f>"32459"</f>
        <v>32459</v>
      </c>
      <c r="CD698" t="s">
        <v>2474</v>
      </c>
      <c r="CE698" t="s">
        <v>2356</v>
      </c>
      <c r="CF698" s="6">
        <v>15.46</v>
      </c>
      <c r="CG698" s="6">
        <v>15.46</v>
      </c>
      <c r="CH698" s="6">
        <v>23.19</v>
      </c>
      <c r="CI698" s="6">
        <v>23.19</v>
      </c>
      <c r="CJ698" t="s">
        <v>137</v>
      </c>
      <c r="CK698" t="s">
        <v>1053</v>
      </c>
      <c r="CL698" t="s">
        <v>13865</v>
      </c>
      <c r="CO698" t="s">
        <v>138</v>
      </c>
      <c r="CP698" t="s">
        <v>114</v>
      </c>
      <c r="CQ698" t="s">
        <v>114</v>
      </c>
      <c r="CR698" t="s">
        <v>114</v>
      </c>
      <c r="CS698" t="s">
        <v>114</v>
      </c>
      <c r="CT698" t="s">
        <v>114</v>
      </c>
      <c r="CU698" t="s">
        <v>114</v>
      </c>
      <c r="CV698" t="s">
        <v>1055</v>
      </c>
      <c r="CW698" s="5" t="str">
        <f>"+19856432427"</f>
        <v>+19856432427</v>
      </c>
      <c r="CX698" t="s">
        <v>1041</v>
      </c>
      <c r="CY698" t="s">
        <v>138</v>
      </c>
      <c r="CZ698" t="s">
        <v>139</v>
      </c>
      <c r="DA698" t="s">
        <v>134</v>
      </c>
      <c r="DB698" t="s">
        <v>114</v>
      </c>
      <c r="DC698" t="s">
        <v>114</v>
      </c>
      <c r="DD698" t="s">
        <v>134</v>
      </c>
    </row>
    <row r="699" spans="1:113" ht="15" customHeight="1" x14ac:dyDescent="0.25">
      <c r="A699" t="s">
        <v>978</v>
      </c>
      <c r="B699" t="s">
        <v>165</v>
      </c>
      <c r="C699" s="1">
        <v>44845.999365625001</v>
      </c>
      <c r="D699" s="1">
        <v>44879</v>
      </c>
      <c r="E699" t="s">
        <v>134</v>
      </c>
      <c r="F699" t="s">
        <v>979</v>
      </c>
      <c r="G699" t="str">
        <f>"37-1011.00"</f>
        <v>37-1011.00</v>
      </c>
      <c r="H699" t="s">
        <v>980</v>
      </c>
      <c r="I699">
        <v>3</v>
      </c>
      <c r="J699">
        <v>3</v>
      </c>
      <c r="K699" s="1">
        <v>44920</v>
      </c>
      <c r="L699" s="1">
        <v>45149</v>
      </c>
      <c r="M699" s="1">
        <v>44920</v>
      </c>
      <c r="N699" s="1">
        <v>45149</v>
      </c>
      <c r="O699" t="s">
        <v>199</v>
      </c>
      <c r="P699" t="s">
        <v>981</v>
      </c>
      <c r="Q699" t="s">
        <v>981</v>
      </c>
      <c r="R699" t="s">
        <v>982</v>
      </c>
      <c r="S699" t="s">
        <v>983</v>
      </c>
      <c r="T699" t="s">
        <v>984</v>
      </c>
      <c r="U699" t="s">
        <v>154</v>
      </c>
      <c r="V699" s="4" t="str">
        <f>"32408"</f>
        <v>32408</v>
      </c>
      <c r="W699" t="s">
        <v>120</v>
      </c>
      <c r="Y699" s="5">
        <v>17864929774</v>
      </c>
      <c r="AA699">
        <v>561720</v>
      </c>
      <c r="AB699" t="s">
        <v>985</v>
      </c>
      <c r="AC699" t="s">
        <v>986</v>
      </c>
      <c r="AE699" t="s">
        <v>342</v>
      </c>
      <c r="AF699" t="s">
        <v>982</v>
      </c>
      <c r="AH699" t="s">
        <v>984</v>
      </c>
      <c r="AI699" t="s">
        <v>154</v>
      </c>
      <c r="AJ699" s="4" t="str">
        <f>"32408"</f>
        <v>32408</v>
      </c>
      <c r="AK699" t="s">
        <v>120</v>
      </c>
      <c r="AM699" s="5">
        <v>17864929774</v>
      </c>
      <c r="AO699" t="s">
        <v>987</v>
      </c>
      <c r="AX699" s="4" t="str">
        <f>""</f>
        <v/>
      </c>
      <c r="BG699" t="s">
        <v>988</v>
      </c>
      <c r="BH699" s="1">
        <v>44844.833333333336</v>
      </c>
      <c r="BI699">
        <v>35</v>
      </c>
      <c r="BJ699">
        <v>5</v>
      </c>
      <c r="BK699">
        <v>5</v>
      </c>
      <c r="BL699">
        <v>5</v>
      </c>
      <c r="BM699">
        <v>5</v>
      </c>
      <c r="BN699">
        <v>5</v>
      </c>
      <c r="BO699">
        <v>5</v>
      </c>
      <c r="BP699">
        <v>5</v>
      </c>
      <c r="BQ699" t="str">
        <f>"8:00 AM"</f>
        <v>8:00 AM</v>
      </c>
      <c r="BR699" t="str">
        <f>"4:00 PM"</f>
        <v>4:00 PM</v>
      </c>
      <c r="BS699" t="s">
        <v>295</v>
      </c>
      <c r="BT699">
        <v>0</v>
      </c>
      <c r="BU699">
        <v>12</v>
      </c>
      <c r="BV699" t="s">
        <v>114</v>
      </c>
      <c r="BW699">
        <v>100</v>
      </c>
      <c r="BX699" s="2" t="s">
        <v>989</v>
      </c>
      <c r="BY699" t="s">
        <v>990</v>
      </c>
      <c r="CA699" t="s">
        <v>991</v>
      </c>
      <c r="CB699" t="s">
        <v>988</v>
      </c>
      <c r="CC699" s="4" t="str">
        <f>"89449"</f>
        <v>89449</v>
      </c>
      <c r="CD699" t="s">
        <v>992</v>
      </c>
      <c r="CE699" t="s">
        <v>993</v>
      </c>
      <c r="CF699" s="6">
        <v>17.100000000000001</v>
      </c>
      <c r="CG699" s="6">
        <v>17.5</v>
      </c>
      <c r="CH699" s="6">
        <v>25.65</v>
      </c>
      <c r="CI699" s="6">
        <v>26.25</v>
      </c>
      <c r="CJ699" t="s">
        <v>137</v>
      </c>
      <c r="CK699" t="s">
        <v>994</v>
      </c>
      <c r="CL699" t="s">
        <v>995</v>
      </c>
      <c r="CO699" t="s">
        <v>138</v>
      </c>
      <c r="CP699" t="s">
        <v>114</v>
      </c>
      <c r="CQ699" t="s">
        <v>134</v>
      </c>
      <c r="CR699" t="s">
        <v>114</v>
      </c>
      <c r="CS699" t="s">
        <v>134</v>
      </c>
      <c r="CT699" t="s">
        <v>114</v>
      </c>
      <c r="CU699" t="s">
        <v>114</v>
      </c>
      <c r="CV699" s="2" t="s">
        <v>996</v>
      </c>
      <c r="CW699" s="5" t="str">
        <f>"+17869429774"</f>
        <v>+17869429774</v>
      </c>
      <c r="CX699" t="s">
        <v>997</v>
      </c>
      <c r="CY699" t="s">
        <v>138</v>
      </c>
      <c r="CZ699" t="s">
        <v>139</v>
      </c>
      <c r="DA699" t="s">
        <v>134</v>
      </c>
      <c r="DB699" t="s">
        <v>134</v>
      </c>
      <c r="DC699" t="s">
        <v>114</v>
      </c>
      <c r="DD699" t="s">
        <v>134</v>
      </c>
    </row>
    <row r="700" spans="1:113" ht="15" customHeight="1" x14ac:dyDescent="0.25">
      <c r="A700" t="s">
        <v>12321</v>
      </c>
      <c r="B700" t="s">
        <v>165</v>
      </c>
      <c r="C700" s="1">
        <v>44842.70413460648</v>
      </c>
      <c r="D700" s="1">
        <v>44879</v>
      </c>
      <c r="E700" t="s">
        <v>114</v>
      </c>
      <c r="F700" t="s">
        <v>12322</v>
      </c>
      <c r="G700" t="str">
        <f>"27-1013.00"</f>
        <v>27-1013.00</v>
      </c>
      <c r="H700" t="s">
        <v>12323</v>
      </c>
      <c r="I700">
        <v>15</v>
      </c>
      <c r="J700">
        <v>15</v>
      </c>
      <c r="K700" s="1">
        <v>44927</v>
      </c>
      <c r="L700" s="1">
        <v>45199</v>
      </c>
      <c r="M700" s="1">
        <v>44927</v>
      </c>
      <c r="N700" s="1">
        <v>45199</v>
      </c>
      <c r="O700" t="s">
        <v>168</v>
      </c>
      <c r="P700" t="s">
        <v>12324</v>
      </c>
      <c r="R700" t="s">
        <v>12325</v>
      </c>
      <c r="T700" t="s">
        <v>11713</v>
      </c>
      <c r="U700" t="s">
        <v>657</v>
      </c>
      <c r="V700" s="4" t="str">
        <f>"38116"</f>
        <v>38116</v>
      </c>
      <c r="W700" t="s">
        <v>120</v>
      </c>
      <c r="Y700" s="5">
        <v>19016547470</v>
      </c>
      <c r="AA700">
        <v>813110</v>
      </c>
      <c r="AB700" t="s">
        <v>12326</v>
      </c>
      <c r="AC700" t="s">
        <v>12327</v>
      </c>
      <c r="AD700" t="s">
        <v>12328</v>
      </c>
      <c r="AE700" t="s">
        <v>342</v>
      </c>
      <c r="AF700" t="s">
        <v>12325</v>
      </c>
      <c r="AH700" t="s">
        <v>5506</v>
      </c>
      <c r="AI700" t="s">
        <v>657</v>
      </c>
      <c r="AJ700" s="4" t="str">
        <f>"38116"</f>
        <v>38116</v>
      </c>
      <c r="AK700" t="s">
        <v>120</v>
      </c>
      <c r="AM700" s="5">
        <v>19016547470</v>
      </c>
      <c r="AO700" t="s">
        <v>12329</v>
      </c>
      <c r="AP700" t="s">
        <v>122</v>
      </c>
      <c r="AQ700" t="s">
        <v>12330</v>
      </c>
      <c r="AR700" t="s">
        <v>12331</v>
      </c>
      <c r="AS700" t="s">
        <v>12332</v>
      </c>
      <c r="AT700" t="s">
        <v>12333</v>
      </c>
      <c r="AU700" t="s">
        <v>1492</v>
      </c>
      <c r="AV700" t="s">
        <v>12334</v>
      </c>
      <c r="AW700" t="s">
        <v>848</v>
      </c>
      <c r="AX700" s="4" t="str">
        <f>"10956"</f>
        <v>10956</v>
      </c>
      <c r="AY700" t="s">
        <v>120</v>
      </c>
      <c r="BA700" s="5">
        <v>12125423940</v>
      </c>
      <c r="BC700" t="s">
        <v>12335</v>
      </c>
      <c r="BD700" t="s">
        <v>12336</v>
      </c>
      <c r="BE700" t="s">
        <v>848</v>
      </c>
      <c r="BF700" t="s">
        <v>12337</v>
      </c>
      <c r="BG700" t="s">
        <v>657</v>
      </c>
      <c r="BH700" s="1">
        <v>44836.833333333336</v>
      </c>
      <c r="BI700">
        <v>35</v>
      </c>
      <c r="BJ700">
        <v>0</v>
      </c>
      <c r="BK700">
        <v>7</v>
      </c>
      <c r="BL700">
        <v>7</v>
      </c>
      <c r="BM700">
        <v>7</v>
      </c>
      <c r="BN700">
        <v>7</v>
      </c>
      <c r="BO700">
        <v>7</v>
      </c>
      <c r="BP700">
        <v>0</v>
      </c>
      <c r="BQ700" t="str">
        <f>"9:00 AM"</f>
        <v>9:00 AM</v>
      </c>
      <c r="BR700" t="str">
        <f>"5:00 PM"</f>
        <v>5:00 PM</v>
      </c>
      <c r="BS700" t="s">
        <v>133</v>
      </c>
      <c r="BT700">
        <v>0</v>
      </c>
      <c r="BU700">
        <v>24</v>
      </c>
      <c r="BV700" t="s">
        <v>134</v>
      </c>
      <c r="BX700" t="s">
        <v>133</v>
      </c>
      <c r="BY700" t="s">
        <v>12325</v>
      </c>
      <c r="CA700" t="s">
        <v>11713</v>
      </c>
      <c r="CB700" t="s">
        <v>657</v>
      </c>
      <c r="CC700" s="4" t="str">
        <f>"38116"</f>
        <v>38116</v>
      </c>
      <c r="CD700" t="s">
        <v>4017</v>
      </c>
      <c r="CE700" t="s">
        <v>5551</v>
      </c>
      <c r="CF700" s="6">
        <v>18.7</v>
      </c>
      <c r="CJ700" t="s">
        <v>137</v>
      </c>
      <c r="CL700" t="s">
        <v>12338</v>
      </c>
      <c r="CO700" t="s">
        <v>138</v>
      </c>
      <c r="CP700" t="s">
        <v>134</v>
      </c>
      <c r="CQ700" t="s">
        <v>114</v>
      </c>
      <c r="CR700" t="s">
        <v>134</v>
      </c>
      <c r="CS700" t="s">
        <v>134</v>
      </c>
      <c r="CT700" t="s">
        <v>114</v>
      </c>
      <c r="CU700" t="s">
        <v>114</v>
      </c>
      <c r="CV700" t="s">
        <v>12339</v>
      </c>
      <c r="CW700" s="5" t="str">
        <f>"+19016547470"</f>
        <v>+19016547470</v>
      </c>
      <c r="CX700" t="s">
        <v>12329</v>
      </c>
      <c r="CY700" t="s">
        <v>138</v>
      </c>
      <c r="CZ700" t="s">
        <v>139</v>
      </c>
      <c r="DA700" t="s">
        <v>134</v>
      </c>
      <c r="DB700" t="s">
        <v>134</v>
      </c>
      <c r="DC700" t="s">
        <v>114</v>
      </c>
      <c r="DD700" t="s">
        <v>134</v>
      </c>
      <c r="DE700" t="s">
        <v>12330</v>
      </c>
      <c r="DF700" t="s">
        <v>12340</v>
      </c>
      <c r="DG700" t="s">
        <v>4044</v>
      </c>
      <c r="DH700" t="s">
        <v>12336</v>
      </c>
      <c r="DI700" t="s">
        <v>12335</v>
      </c>
    </row>
    <row r="701" spans="1:113" ht="15" customHeight="1" x14ac:dyDescent="0.25">
      <c r="A701" t="s">
        <v>10591</v>
      </c>
      <c r="B701" t="s">
        <v>165</v>
      </c>
      <c r="C701" s="1">
        <v>44841.391481134262</v>
      </c>
      <c r="D701" s="1">
        <v>44879</v>
      </c>
      <c r="E701" t="s">
        <v>114</v>
      </c>
      <c r="F701" t="s">
        <v>10592</v>
      </c>
      <c r="G701" t="str">
        <f>"51-3092.00"</f>
        <v>51-3092.00</v>
      </c>
      <c r="H701" t="s">
        <v>2816</v>
      </c>
      <c r="I701">
        <v>6</v>
      </c>
      <c r="J701">
        <v>6</v>
      </c>
      <c r="K701" s="1">
        <v>44931</v>
      </c>
      <c r="L701" s="1">
        <v>45046</v>
      </c>
      <c r="M701" s="1">
        <v>44931</v>
      </c>
      <c r="N701" s="1">
        <v>45046</v>
      </c>
      <c r="O701" t="s">
        <v>199</v>
      </c>
      <c r="P701" t="s">
        <v>10593</v>
      </c>
      <c r="R701" t="s">
        <v>10594</v>
      </c>
      <c r="T701" t="s">
        <v>1632</v>
      </c>
      <c r="U701" t="s">
        <v>792</v>
      </c>
      <c r="V701" s="4" t="str">
        <f>"98119"</f>
        <v>98119</v>
      </c>
      <c r="W701" t="s">
        <v>120</v>
      </c>
      <c r="Y701" s="5">
        <v>12062868584</v>
      </c>
      <c r="AA701">
        <v>3117</v>
      </c>
      <c r="AB701" t="s">
        <v>10595</v>
      </c>
      <c r="AC701" t="s">
        <v>10596</v>
      </c>
      <c r="AE701" t="s">
        <v>342</v>
      </c>
      <c r="AF701" t="s">
        <v>10594</v>
      </c>
      <c r="AH701" t="s">
        <v>1632</v>
      </c>
      <c r="AI701" t="s">
        <v>792</v>
      </c>
      <c r="AJ701" s="4" t="str">
        <f>"98119"</f>
        <v>98119</v>
      </c>
      <c r="AK701" t="s">
        <v>120</v>
      </c>
      <c r="AM701" s="5">
        <v>12062868584</v>
      </c>
      <c r="AO701" t="s">
        <v>10597</v>
      </c>
      <c r="AP701" t="s">
        <v>122</v>
      </c>
      <c r="AQ701" t="s">
        <v>843</v>
      </c>
      <c r="AR701" t="s">
        <v>9023</v>
      </c>
      <c r="AS701" t="s">
        <v>1723</v>
      </c>
      <c r="AT701" t="s">
        <v>10598</v>
      </c>
      <c r="AU701" t="s">
        <v>4078</v>
      </c>
      <c r="AV701" t="s">
        <v>1632</v>
      </c>
      <c r="AW701" t="s">
        <v>792</v>
      </c>
      <c r="AX701" s="4" t="str">
        <f>"98104"</f>
        <v>98104</v>
      </c>
      <c r="AY701" t="s">
        <v>120</v>
      </c>
      <c r="BA701" s="5">
        <v>12067578354</v>
      </c>
      <c r="BC701" t="s">
        <v>10599</v>
      </c>
      <c r="BD701" t="s">
        <v>10600</v>
      </c>
      <c r="BE701" t="s">
        <v>792</v>
      </c>
      <c r="BF701" t="s">
        <v>793</v>
      </c>
      <c r="BG701" t="s">
        <v>821</v>
      </c>
      <c r="BH701" s="1">
        <v>44840.833333333336</v>
      </c>
      <c r="BI701">
        <v>84</v>
      </c>
      <c r="BJ701">
        <v>12</v>
      </c>
      <c r="BK701">
        <v>12</v>
      </c>
      <c r="BL701">
        <v>12</v>
      </c>
      <c r="BM701">
        <v>12</v>
      </c>
      <c r="BN701">
        <v>12</v>
      </c>
      <c r="BO701">
        <v>12</v>
      </c>
      <c r="BP701">
        <v>12</v>
      </c>
      <c r="BQ701" t="str">
        <f>"6:00 AM"</f>
        <v>6:00 AM</v>
      </c>
      <c r="BR701" t="str">
        <f>"6:00 PM"</f>
        <v>6:00 PM</v>
      </c>
      <c r="BS701" t="s">
        <v>133</v>
      </c>
      <c r="BT701">
        <v>0</v>
      </c>
      <c r="BU701">
        <v>24</v>
      </c>
      <c r="BV701" t="s">
        <v>134</v>
      </c>
      <c r="BX701" s="2" t="s">
        <v>10601</v>
      </c>
      <c r="BY701" t="s">
        <v>10602</v>
      </c>
      <c r="BZ701" t="s">
        <v>10603</v>
      </c>
      <c r="CA701" t="s">
        <v>6652</v>
      </c>
      <c r="CB701" t="s">
        <v>821</v>
      </c>
      <c r="CC701" s="4" t="str">
        <f>"99692"</f>
        <v>99692</v>
      </c>
      <c r="CD701" t="s">
        <v>5273</v>
      </c>
      <c r="CE701" t="s">
        <v>832</v>
      </c>
      <c r="CF701" s="6">
        <v>23.99</v>
      </c>
      <c r="CH701" s="6">
        <v>35.99</v>
      </c>
      <c r="CJ701" t="s">
        <v>137</v>
      </c>
      <c r="CK701" t="s">
        <v>10604</v>
      </c>
      <c r="CL701" t="s">
        <v>10605</v>
      </c>
      <c r="CO701" t="s">
        <v>138</v>
      </c>
      <c r="CP701" t="s">
        <v>134</v>
      </c>
      <c r="CQ701" t="s">
        <v>134</v>
      </c>
      <c r="CR701" t="s">
        <v>114</v>
      </c>
      <c r="CS701" t="s">
        <v>134</v>
      </c>
      <c r="CT701" t="s">
        <v>114</v>
      </c>
      <c r="CU701" t="s">
        <v>134</v>
      </c>
      <c r="CV701" t="s">
        <v>10606</v>
      </c>
      <c r="CW701" s="5" t="str">
        <f>"N/A"</f>
        <v>N/A</v>
      </c>
      <c r="CX701" t="s">
        <v>10607</v>
      </c>
      <c r="CY701" t="s">
        <v>10608</v>
      </c>
      <c r="CZ701" t="s">
        <v>139</v>
      </c>
      <c r="DA701" t="s">
        <v>134</v>
      </c>
      <c r="DB701" t="s">
        <v>134</v>
      </c>
      <c r="DC701" t="s">
        <v>114</v>
      </c>
      <c r="DD701" t="s">
        <v>134</v>
      </c>
    </row>
    <row r="702" spans="1:113" ht="15" customHeight="1" x14ac:dyDescent="0.25">
      <c r="A702" t="s">
        <v>13834</v>
      </c>
      <c r="B702" t="s">
        <v>165</v>
      </c>
      <c r="C702" s="1">
        <v>44840.495037499997</v>
      </c>
      <c r="D702" s="1">
        <v>44879</v>
      </c>
      <c r="E702" t="s">
        <v>114</v>
      </c>
      <c r="F702" t="s">
        <v>13835</v>
      </c>
      <c r="G702" t="str">
        <f>"51-3092.00"</f>
        <v>51-3092.00</v>
      </c>
      <c r="H702" t="s">
        <v>2816</v>
      </c>
      <c r="I702">
        <v>5</v>
      </c>
      <c r="J702">
        <v>5</v>
      </c>
      <c r="K702" s="1">
        <v>44930</v>
      </c>
      <c r="L702" s="1">
        <v>45046</v>
      </c>
      <c r="M702" s="1">
        <v>44930</v>
      </c>
      <c r="N702" s="1">
        <v>45046</v>
      </c>
      <c r="O702" t="s">
        <v>199</v>
      </c>
      <c r="P702" t="s">
        <v>5266</v>
      </c>
      <c r="R702" t="s">
        <v>11296</v>
      </c>
      <c r="S702" t="s">
        <v>789</v>
      </c>
      <c r="T702" t="s">
        <v>5268</v>
      </c>
      <c r="U702" t="s">
        <v>792</v>
      </c>
      <c r="V702" s="4" t="str">
        <f>"98004"</f>
        <v>98004</v>
      </c>
      <c r="W702" t="s">
        <v>120</v>
      </c>
      <c r="Y702" s="5">
        <v>12066825949</v>
      </c>
      <c r="AA702">
        <v>3117</v>
      </c>
      <c r="AB702" t="s">
        <v>2065</v>
      </c>
      <c r="AC702" t="s">
        <v>924</v>
      </c>
      <c r="AE702" t="s">
        <v>13836</v>
      </c>
      <c r="AF702" t="s">
        <v>11298</v>
      </c>
      <c r="AG702" t="s">
        <v>11299</v>
      </c>
      <c r="AH702" t="s">
        <v>8123</v>
      </c>
      <c r="AI702" t="s">
        <v>792</v>
      </c>
      <c r="AJ702" s="4" t="str">
        <f>"98004"</f>
        <v>98004</v>
      </c>
      <c r="AK702" t="s">
        <v>120</v>
      </c>
      <c r="AM702" s="5">
        <v>12066825949</v>
      </c>
      <c r="AO702" t="s">
        <v>5269</v>
      </c>
      <c r="AP702" t="s">
        <v>122</v>
      </c>
      <c r="AQ702" t="s">
        <v>843</v>
      </c>
      <c r="AR702" t="s">
        <v>9023</v>
      </c>
      <c r="AS702" t="s">
        <v>1723</v>
      </c>
      <c r="AT702" t="s">
        <v>10598</v>
      </c>
      <c r="AU702" t="s">
        <v>4078</v>
      </c>
      <c r="AV702" t="s">
        <v>1632</v>
      </c>
      <c r="AW702" t="s">
        <v>792</v>
      </c>
      <c r="AX702" s="4" t="str">
        <f>"98104"</f>
        <v>98104</v>
      </c>
      <c r="AY702" t="s">
        <v>120</v>
      </c>
      <c r="BA702" s="5">
        <v>12067578354</v>
      </c>
      <c r="BC702" t="s">
        <v>10599</v>
      </c>
      <c r="BD702" t="s">
        <v>10600</v>
      </c>
      <c r="BE702" t="s">
        <v>792</v>
      </c>
      <c r="BF702" t="s">
        <v>793</v>
      </c>
      <c r="BG702" t="s">
        <v>821</v>
      </c>
      <c r="BH702" s="1">
        <v>44839.833333333336</v>
      </c>
      <c r="BI702">
        <v>84</v>
      </c>
      <c r="BJ702">
        <v>12</v>
      </c>
      <c r="BK702">
        <v>12</v>
      </c>
      <c r="BL702">
        <v>12</v>
      </c>
      <c r="BM702">
        <v>12</v>
      </c>
      <c r="BN702">
        <v>12</v>
      </c>
      <c r="BO702">
        <v>12</v>
      </c>
      <c r="BP702">
        <v>12</v>
      </c>
      <c r="BQ702" t="str">
        <f>"6:00 AM"</f>
        <v>6:00 AM</v>
      </c>
      <c r="BR702" t="str">
        <f>"6:00 PM"</f>
        <v>6:00 PM</v>
      </c>
      <c r="BS702" t="s">
        <v>133</v>
      </c>
      <c r="BT702">
        <v>0</v>
      </c>
      <c r="BU702">
        <v>24</v>
      </c>
      <c r="BV702" t="s">
        <v>134</v>
      </c>
      <c r="BX702" s="2" t="s">
        <v>13837</v>
      </c>
      <c r="BY702" t="s">
        <v>13838</v>
      </c>
      <c r="CA702" t="s">
        <v>6652</v>
      </c>
      <c r="CB702" t="s">
        <v>821</v>
      </c>
      <c r="CC702" s="4" t="str">
        <f>"99692"</f>
        <v>99692</v>
      </c>
      <c r="CD702" t="s">
        <v>5273</v>
      </c>
      <c r="CE702" t="s">
        <v>832</v>
      </c>
      <c r="CF702" s="6">
        <v>23.99</v>
      </c>
      <c r="CG702" s="6">
        <v>40</v>
      </c>
      <c r="CH702" s="6">
        <v>35.99</v>
      </c>
      <c r="CI702" s="6">
        <v>60</v>
      </c>
      <c r="CJ702" t="s">
        <v>137</v>
      </c>
      <c r="CK702" t="s">
        <v>11302</v>
      </c>
      <c r="CL702" t="s">
        <v>13839</v>
      </c>
      <c r="CO702" t="s">
        <v>138</v>
      </c>
      <c r="CP702" t="s">
        <v>114</v>
      </c>
      <c r="CQ702" t="s">
        <v>134</v>
      </c>
      <c r="CR702" t="s">
        <v>114</v>
      </c>
      <c r="CS702" t="s">
        <v>134</v>
      </c>
      <c r="CT702" t="s">
        <v>114</v>
      </c>
      <c r="CU702" t="s">
        <v>114</v>
      </c>
      <c r="CV702" t="s">
        <v>13840</v>
      </c>
      <c r="CW702" s="5" t="str">
        <f>"N/A"</f>
        <v>N/A</v>
      </c>
      <c r="CX702" t="s">
        <v>10607</v>
      </c>
      <c r="CY702" t="s">
        <v>10608</v>
      </c>
      <c r="CZ702" t="s">
        <v>139</v>
      </c>
      <c r="DA702" t="s">
        <v>134</v>
      </c>
      <c r="DB702" t="s">
        <v>134</v>
      </c>
      <c r="DC702" t="s">
        <v>114</v>
      </c>
      <c r="DD702" t="s">
        <v>134</v>
      </c>
    </row>
    <row r="703" spans="1:113" ht="15" customHeight="1" x14ac:dyDescent="0.25">
      <c r="A703" t="s">
        <v>6523</v>
      </c>
      <c r="B703" t="s">
        <v>165</v>
      </c>
      <c r="C703" s="1">
        <v>44823.404531597225</v>
      </c>
      <c r="D703" s="1">
        <v>44879</v>
      </c>
      <c r="E703" t="s">
        <v>134</v>
      </c>
      <c r="F703" t="s">
        <v>6524</v>
      </c>
      <c r="G703" t="str">
        <f>"51-2092.00"</f>
        <v>51-2092.00</v>
      </c>
      <c r="H703" t="s">
        <v>167</v>
      </c>
      <c r="I703">
        <v>6</v>
      </c>
      <c r="J703">
        <v>6</v>
      </c>
      <c r="K703" s="1">
        <v>44898</v>
      </c>
      <c r="L703" s="1">
        <v>45565</v>
      </c>
      <c r="M703" s="1">
        <v>44898</v>
      </c>
      <c r="N703" s="1">
        <v>45565</v>
      </c>
      <c r="O703" t="s">
        <v>168</v>
      </c>
      <c r="P703" t="s">
        <v>6525</v>
      </c>
      <c r="R703" t="s">
        <v>6526</v>
      </c>
      <c r="T703" t="s">
        <v>2767</v>
      </c>
      <c r="U703" t="s">
        <v>2057</v>
      </c>
      <c r="V703" s="4" t="str">
        <f>"57201"</f>
        <v>57201</v>
      </c>
      <c r="W703" t="s">
        <v>120</v>
      </c>
      <c r="Y703" s="5">
        <v>16057535022</v>
      </c>
      <c r="AA703">
        <v>336214</v>
      </c>
      <c r="AB703" t="s">
        <v>6527</v>
      </c>
      <c r="AC703" t="s">
        <v>865</v>
      </c>
      <c r="AE703" t="s">
        <v>342</v>
      </c>
      <c r="AF703" t="s">
        <v>6526</v>
      </c>
      <c r="AH703" t="s">
        <v>2767</v>
      </c>
      <c r="AI703" t="s">
        <v>2057</v>
      </c>
      <c r="AJ703" s="4" t="str">
        <f>"57201"</f>
        <v>57201</v>
      </c>
      <c r="AK703" t="s">
        <v>120</v>
      </c>
      <c r="AM703" s="5">
        <v>16057535022</v>
      </c>
      <c r="AO703" t="s">
        <v>6528</v>
      </c>
      <c r="AP703" t="s">
        <v>122</v>
      </c>
      <c r="AQ703" t="s">
        <v>1379</v>
      </c>
      <c r="AR703" t="s">
        <v>1380</v>
      </c>
      <c r="AT703" t="s">
        <v>1381</v>
      </c>
      <c r="AV703" t="s">
        <v>684</v>
      </c>
      <c r="AW703" t="s">
        <v>232</v>
      </c>
      <c r="AX703" s="4" t="str">
        <f>"78737"</f>
        <v>78737</v>
      </c>
      <c r="AY703" t="s">
        <v>120</v>
      </c>
      <c r="BA703" s="5">
        <v>15128942128</v>
      </c>
      <c r="BC703" t="s">
        <v>1382</v>
      </c>
      <c r="BD703" t="s">
        <v>1383</v>
      </c>
      <c r="BE703" t="s">
        <v>232</v>
      </c>
      <c r="BF703" t="s">
        <v>870</v>
      </c>
      <c r="BG703" t="s">
        <v>2057</v>
      </c>
      <c r="BH703" s="1">
        <v>44819.833333333336</v>
      </c>
      <c r="BI703">
        <v>40</v>
      </c>
      <c r="BJ703">
        <v>0</v>
      </c>
      <c r="BK703">
        <v>7</v>
      </c>
      <c r="BL703">
        <v>7</v>
      </c>
      <c r="BM703">
        <v>7</v>
      </c>
      <c r="BN703">
        <v>7</v>
      </c>
      <c r="BO703">
        <v>7</v>
      </c>
      <c r="BP703">
        <v>5</v>
      </c>
      <c r="BQ703" t="str">
        <f>"7:00 AM"</f>
        <v>7:00 AM</v>
      </c>
      <c r="BR703" t="str">
        <f>"4:00 PM"</f>
        <v>4:00 PM</v>
      </c>
      <c r="BS703" t="s">
        <v>133</v>
      </c>
      <c r="BT703">
        <v>0</v>
      </c>
      <c r="BU703">
        <v>0</v>
      </c>
      <c r="BV703" t="s">
        <v>134</v>
      </c>
      <c r="BX703" s="2" t="s">
        <v>6529</v>
      </c>
      <c r="BY703" t="s">
        <v>6530</v>
      </c>
      <c r="CA703" t="s">
        <v>2767</v>
      </c>
      <c r="CB703" t="s">
        <v>2057</v>
      </c>
      <c r="CC703" s="4" t="str">
        <f>"57201"</f>
        <v>57201</v>
      </c>
      <c r="CD703" t="s">
        <v>4403</v>
      </c>
      <c r="CE703" t="s">
        <v>2066</v>
      </c>
      <c r="CF703" s="6">
        <v>15.44</v>
      </c>
      <c r="CG703" s="6">
        <v>15.44</v>
      </c>
      <c r="CH703" s="6">
        <v>23.16</v>
      </c>
      <c r="CI703" s="6">
        <v>23.16</v>
      </c>
      <c r="CJ703" t="s">
        <v>137</v>
      </c>
      <c r="CK703" t="s">
        <v>6531</v>
      </c>
      <c r="CL703" t="s">
        <v>6532</v>
      </c>
      <c r="CO703" t="s">
        <v>138</v>
      </c>
      <c r="CP703" t="s">
        <v>134</v>
      </c>
      <c r="CQ703" t="s">
        <v>134</v>
      </c>
      <c r="CR703" t="s">
        <v>114</v>
      </c>
      <c r="CS703" t="s">
        <v>114</v>
      </c>
      <c r="CT703" t="s">
        <v>114</v>
      </c>
      <c r="CU703" t="s">
        <v>134</v>
      </c>
      <c r="CV703" t="s">
        <v>4294</v>
      </c>
      <c r="CW703" s="5" t="str">
        <f>"+16057535022"</f>
        <v>+16057535022</v>
      </c>
      <c r="CX703" t="s">
        <v>6528</v>
      </c>
      <c r="CY703" t="s">
        <v>138</v>
      </c>
      <c r="CZ703" t="s">
        <v>139</v>
      </c>
      <c r="DA703" t="s">
        <v>134</v>
      </c>
      <c r="DB703" t="s">
        <v>134</v>
      </c>
      <c r="DC703" t="s">
        <v>114</v>
      </c>
      <c r="DD703" t="s">
        <v>134</v>
      </c>
    </row>
    <row r="704" spans="1:113" ht="15" customHeight="1" x14ac:dyDescent="0.25">
      <c r="A704" t="s">
        <v>12935</v>
      </c>
      <c r="B704" t="s">
        <v>165</v>
      </c>
      <c r="C704" s="1">
        <v>44817.698035069443</v>
      </c>
      <c r="D704" s="1">
        <v>44879</v>
      </c>
      <c r="E704" t="s">
        <v>134</v>
      </c>
      <c r="F704" t="s">
        <v>3806</v>
      </c>
      <c r="G704" t="str">
        <f>"37-3011.00"</f>
        <v>37-3011.00</v>
      </c>
      <c r="H704" t="s">
        <v>335</v>
      </c>
      <c r="I704">
        <v>40</v>
      </c>
      <c r="J704">
        <v>40</v>
      </c>
      <c r="K704" s="1">
        <v>44893</v>
      </c>
      <c r="L704" s="1">
        <v>45016</v>
      </c>
      <c r="M704" s="1">
        <v>44893</v>
      </c>
      <c r="N704" s="1">
        <v>45016</v>
      </c>
      <c r="O704" t="s">
        <v>199</v>
      </c>
      <c r="P704" t="s">
        <v>12936</v>
      </c>
      <c r="R704" t="s">
        <v>12937</v>
      </c>
      <c r="T704" t="s">
        <v>12938</v>
      </c>
      <c r="U704" t="s">
        <v>232</v>
      </c>
      <c r="V704" s="4" t="str">
        <f>"75071"</f>
        <v>75071</v>
      </c>
      <c r="W704" t="s">
        <v>120</v>
      </c>
      <c r="Y704" s="5">
        <v>12148785120</v>
      </c>
      <c r="AA704">
        <v>56173</v>
      </c>
      <c r="AB704" t="s">
        <v>2914</v>
      </c>
      <c r="AC704" t="s">
        <v>473</v>
      </c>
      <c r="AD704" t="s">
        <v>177</v>
      </c>
      <c r="AE704" t="s">
        <v>12939</v>
      </c>
      <c r="AF704" t="s">
        <v>12937</v>
      </c>
      <c r="AH704" t="s">
        <v>1080</v>
      </c>
      <c r="AI704" t="s">
        <v>232</v>
      </c>
      <c r="AJ704" s="4" t="str">
        <f>"78071"</f>
        <v>78071</v>
      </c>
      <c r="AK704" t="s">
        <v>120</v>
      </c>
      <c r="AM704" s="5">
        <v>12148785120</v>
      </c>
      <c r="AO704" t="s">
        <v>138</v>
      </c>
      <c r="AP704" t="s">
        <v>122</v>
      </c>
      <c r="AQ704" t="s">
        <v>864</v>
      </c>
      <c r="AR704" t="s">
        <v>865</v>
      </c>
      <c r="AS704" t="s">
        <v>370</v>
      </c>
      <c r="AT704" t="s">
        <v>11592</v>
      </c>
      <c r="AV704" t="s">
        <v>684</v>
      </c>
      <c r="AW704" t="s">
        <v>232</v>
      </c>
      <c r="AX704" s="4" t="str">
        <f>"78748"</f>
        <v>78748</v>
      </c>
      <c r="AY704" t="s">
        <v>120</v>
      </c>
      <c r="BA704" s="5">
        <v>15123470007</v>
      </c>
      <c r="BC704" t="s">
        <v>12940</v>
      </c>
      <c r="BD704" t="s">
        <v>2111</v>
      </c>
      <c r="BE704" t="s">
        <v>232</v>
      </c>
      <c r="BF704" t="s">
        <v>870</v>
      </c>
      <c r="BG704" t="s">
        <v>232</v>
      </c>
      <c r="BH704" s="1">
        <v>44816.833333333336</v>
      </c>
      <c r="BI704">
        <v>40</v>
      </c>
      <c r="BJ704">
        <v>0</v>
      </c>
      <c r="BK704">
        <v>8</v>
      </c>
      <c r="BL704">
        <v>8</v>
      </c>
      <c r="BM704">
        <v>8</v>
      </c>
      <c r="BN704">
        <v>8</v>
      </c>
      <c r="BO704">
        <v>8</v>
      </c>
      <c r="BP704">
        <v>0</v>
      </c>
      <c r="BQ704" t="str">
        <f>"8:00 AM"</f>
        <v>8:00 AM</v>
      </c>
      <c r="BR704" t="str">
        <f>"5:00 PM"</f>
        <v>5:00 PM</v>
      </c>
      <c r="BS704" t="s">
        <v>133</v>
      </c>
      <c r="BT704">
        <v>0</v>
      </c>
      <c r="BU704">
        <v>0</v>
      </c>
      <c r="BV704" t="s">
        <v>134</v>
      </c>
      <c r="BX704" t="s">
        <v>138</v>
      </c>
      <c r="BY704" t="s">
        <v>12937</v>
      </c>
      <c r="CA704" t="s">
        <v>1080</v>
      </c>
      <c r="CB704" t="s">
        <v>232</v>
      </c>
      <c r="CC704" s="4" t="str">
        <f>"75071"</f>
        <v>75071</v>
      </c>
      <c r="CD704" t="s">
        <v>3860</v>
      </c>
      <c r="CE704" t="s">
        <v>1528</v>
      </c>
      <c r="CF704" s="6">
        <v>16.3</v>
      </c>
      <c r="CH704" s="6">
        <v>24.45</v>
      </c>
      <c r="CJ704" t="s">
        <v>137</v>
      </c>
      <c r="CK704" t="s">
        <v>2113</v>
      </c>
      <c r="CL704" t="s">
        <v>12941</v>
      </c>
      <c r="CO704" t="s">
        <v>138</v>
      </c>
      <c r="CP704" t="s">
        <v>134</v>
      </c>
      <c r="CQ704" t="s">
        <v>114</v>
      </c>
      <c r="CR704" t="s">
        <v>114</v>
      </c>
      <c r="CS704" t="s">
        <v>114</v>
      </c>
      <c r="CT704" t="s">
        <v>114</v>
      </c>
      <c r="CU704" t="s">
        <v>114</v>
      </c>
      <c r="CV704" s="2" t="s">
        <v>12942</v>
      </c>
      <c r="CW704" s="5" t="str">
        <f>"+12148785120"</f>
        <v>+12148785120</v>
      </c>
      <c r="CX704" t="s">
        <v>12943</v>
      </c>
      <c r="CY704" t="s">
        <v>138</v>
      </c>
      <c r="CZ704" t="s">
        <v>139</v>
      </c>
      <c r="DA704" t="s">
        <v>134</v>
      </c>
      <c r="DB704" t="s">
        <v>134</v>
      </c>
      <c r="DC704" t="s">
        <v>114</v>
      </c>
      <c r="DD704" t="s">
        <v>134</v>
      </c>
    </row>
    <row r="705" spans="1:113" ht="15" customHeight="1" x14ac:dyDescent="0.25">
      <c r="A705" t="s">
        <v>7580</v>
      </c>
      <c r="B705" t="s">
        <v>165</v>
      </c>
      <c r="C705" s="1">
        <v>44851.80941238426</v>
      </c>
      <c r="D705" s="1">
        <v>44875</v>
      </c>
      <c r="E705" t="s">
        <v>134</v>
      </c>
      <c r="F705" t="s">
        <v>1658</v>
      </c>
      <c r="G705" t="str">
        <f>"37-3011.00"</f>
        <v>37-3011.00</v>
      </c>
      <c r="H705" t="s">
        <v>335</v>
      </c>
      <c r="I705">
        <v>38</v>
      </c>
      <c r="J705">
        <v>38</v>
      </c>
      <c r="K705" s="1">
        <v>44941</v>
      </c>
      <c r="L705" s="1">
        <v>45229</v>
      </c>
      <c r="M705" s="1">
        <v>44941</v>
      </c>
      <c r="N705" s="1">
        <v>45229</v>
      </c>
      <c r="O705" t="s">
        <v>199</v>
      </c>
      <c r="P705" t="s">
        <v>7581</v>
      </c>
      <c r="R705" t="s">
        <v>7582</v>
      </c>
      <c r="T705" t="s">
        <v>6947</v>
      </c>
      <c r="U705" t="s">
        <v>697</v>
      </c>
      <c r="V705" s="4" t="str">
        <f>"63043"</f>
        <v>63043</v>
      </c>
      <c r="W705" t="s">
        <v>120</v>
      </c>
      <c r="Y705" s="5">
        <v>13144349527</v>
      </c>
      <c r="AA705">
        <v>56173</v>
      </c>
      <c r="AB705" t="s">
        <v>7583</v>
      </c>
      <c r="AC705" t="s">
        <v>7584</v>
      </c>
      <c r="AE705" t="s">
        <v>342</v>
      </c>
      <c r="AF705" t="s">
        <v>7582</v>
      </c>
      <c r="AH705" t="s">
        <v>6947</v>
      </c>
      <c r="AI705" t="s">
        <v>697</v>
      </c>
      <c r="AJ705" s="4" t="str">
        <f>"63043"</f>
        <v>63043</v>
      </c>
      <c r="AK705" t="s">
        <v>120</v>
      </c>
      <c r="AM705" s="5">
        <v>13144349527</v>
      </c>
      <c r="AO705" t="s">
        <v>7585</v>
      </c>
      <c r="AP705" t="s">
        <v>256</v>
      </c>
      <c r="AQ705" t="s">
        <v>2121</v>
      </c>
      <c r="AR705" t="s">
        <v>2122</v>
      </c>
      <c r="AS705" t="s">
        <v>138</v>
      </c>
      <c r="AT705" t="s">
        <v>1422</v>
      </c>
      <c r="AU705" t="s">
        <v>347</v>
      </c>
      <c r="AV705" t="s">
        <v>828</v>
      </c>
      <c r="AW705" t="s">
        <v>349</v>
      </c>
      <c r="AX705" s="4" t="str">
        <f>"83814"</f>
        <v>83814</v>
      </c>
      <c r="AY705" t="s">
        <v>120</v>
      </c>
      <c r="BA705" s="5">
        <v>12087772654</v>
      </c>
      <c r="BC705" t="s">
        <v>2123</v>
      </c>
      <c r="BD705" t="s">
        <v>351</v>
      </c>
      <c r="BG705" t="s">
        <v>697</v>
      </c>
      <c r="BH705" s="1">
        <v>44780.833333333336</v>
      </c>
      <c r="BI705">
        <v>40</v>
      </c>
      <c r="BJ705">
        <v>0</v>
      </c>
      <c r="BK705">
        <v>8</v>
      </c>
      <c r="BL705">
        <v>8</v>
      </c>
      <c r="BM705">
        <v>8</v>
      </c>
      <c r="BN705">
        <v>8</v>
      </c>
      <c r="BO705">
        <v>8</v>
      </c>
      <c r="BP705">
        <v>0</v>
      </c>
      <c r="BQ705" t="str">
        <f>"8:00 AM"</f>
        <v>8:00 AM</v>
      </c>
      <c r="BR705" t="str">
        <f>"4:30 PM"</f>
        <v>4:30 PM</v>
      </c>
      <c r="BS705" t="s">
        <v>133</v>
      </c>
      <c r="BT705">
        <v>0</v>
      </c>
      <c r="BU705">
        <v>0</v>
      </c>
      <c r="BV705" t="s">
        <v>134</v>
      </c>
      <c r="BX705" s="2" t="s">
        <v>1836</v>
      </c>
      <c r="BY705" t="s">
        <v>7586</v>
      </c>
      <c r="CA705" t="s">
        <v>6947</v>
      </c>
      <c r="CB705" t="s">
        <v>697</v>
      </c>
      <c r="CC705" s="4" t="str">
        <f>"63043"</f>
        <v>63043</v>
      </c>
      <c r="CD705" t="s">
        <v>712</v>
      </c>
      <c r="CE705" t="s">
        <v>713</v>
      </c>
      <c r="CF705" s="6">
        <v>16.96</v>
      </c>
      <c r="CG705" s="6">
        <v>20</v>
      </c>
      <c r="CH705" s="6">
        <v>25.44</v>
      </c>
      <c r="CI705" s="6">
        <v>30</v>
      </c>
      <c r="CJ705" t="s">
        <v>137</v>
      </c>
      <c r="CK705" t="s">
        <v>356</v>
      </c>
      <c r="CL705" t="s">
        <v>7587</v>
      </c>
      <c r="CO705" t="s">
        <v>138</v>
      </c>
      <c r="CP705" t="s">
        <v>114</v>
      </c>
      <c r="CQ705" t="s">
        <v>114</v>
      </c>
      <c r="CR705" t="s">
        <v>114</v>
      </c>
      <c r="CS705" t="s">
        <v>114</v>
      </c>
      <c r="CT705" t="s">
        <v>114</v>
      </c>
      <c r="CU705" t="s">
        <v>134</v>
      </c>
      <c r="CV705" t="s">
        <v>358</v>
      </c>
      <c r="CW705" s="5" t="str">
        <f>"+13144349527"</f>
        <v>+13144349527</v>
      </c>
      <c r="CX705" t="s">
        <v>7585</v>
      </c>
      <c r="CY705" t="s">
        <v>1987</v>
      </c>
      <c r="CZ705" t="s">
        <v>139</v>
      </c>
      <c r="DA705" t="s">
        <v>134</v>
      </c>
      <c r="DB705" t="s">
        <v>114</v>
      </c>
      <c r="DC705" t="s">
        <v>114</v>
      </c>
      <c r="DD705" t="s">
        <v>134</v>
      </c>
    </row>
    <row r="706" spans="1:113" ht="15" customHeight="1" x14ac:dyDescent="0.25">
      <c r="A706" t="s">
        <v>6375</v>
      </c>
      <c r="B706" t="s">
        <v>165</v>
      </c>
      <c r="C706" s="1">
        <v>44851.605668055556</v>
      </c>
      <c r="D706" s="1">
        <v>44875</v>
      </c>
      <c r="E706" t="s">
        <v>134</v>
      </c>
      <c r="F706" t="s">
        <v>6376</v>
      </c>
      <c r="G706" t="str">
        <f>"41-9091.00"</f>
        <v>41-9091.00</v>
      </c>
      <c r="H706" t="s">
        <v>1688</v>
      </c>
      <c r="I706">
        <v>12</v>
      </c>
      <c r="J706">
        <v>12</v>
      </c>
      <c r="K706" s="1">
        <v>44941</v>
      </c>
      <c r="L706" s="1">
        <v>45214</v>
      </c>
      <c r="M706" s="1">
        <v>44941</v>
      </c>
      <c r="N706" s="1">
        <v>45214</v>
      </c>
      <c r="O706" t="s">
        <v>199</v>
      </c>
      <c r="P706" t="s">
        <v>6377</v>
      </c>
      <c r="Q706" t="s">
        <v>6378</v>
      </c>
      <c r="R706" t="s">
        <v>6379</v>
      </c>
      <c r="T706" t="s">
        <v>6380</v>
      </c>
      <c r="U706" t="s">
        <v>1003</v>
      </c>
      <c r="V706" s="4" t="str">
        <f>"08033"</f>
        <v>08033</v>
      </c>
      <c r="W706" t="s">
        <v>120</v>
      </c>
      <c r="Y706" s="5">
        <v>18562005168</v>
      </c>
      <c r="AA706">
        <v>722330</v>
      </c>
      <c r="AB706" t="s">
        <v>6381</v>
      </c>
      <c r="AC706" t="s">
        <v>1841</v>
      </c>
      <c r="AE706" t="s">
        <v>6382</v>
      </c>
      <c r="AF706" t="s">
        <v>6379</v>
      </c>
      <c r="AH706" t="s">
        <v>6380</v>
      </c>
      <c r="AI706" t="s">
        <v>1003</v>
      </c>
      <c r="AJ706" s="4" t="str">
        <f>"08033"</f>
        <v>08033</v>
      </c>
      <c r="AK706" t="s">
        <v>120</v>
      </c>
      <c r="AM706" s="5">
        <v>18562005168</v>
      </c>
      <c r="AO706" t="s">
        <v>6383</v>
      </c>
      <c r="AP706" t="s">
        <v>122</v>
      </c>
      <c r="AQ706" t="s">
        <v>6384</v>
      </c>
      <c r="AR706" t="s">
        <v>4289</v>
      </c>
      <c r="AS706" t="s">
        <v>536</v>
      </c>
      <c r="AT706" t="s">
        <v>6385</v>
      </c>
      <c r="AV706" t="s">
        <v>6386</v>
      </c>
      <c r="AW706" t="s">
        <v>281</v>
      </c>
      <c r="AX706" s="4" t="str">
        <f>"01776-3033"</f>
        <v>01776-3033</v>
      </c>
      <c r="AY706" t="s">
        <v>120</v>
      </c>
      <c r="BA706" s="5">
        <v>15088723573</v>
      </c>
      <c r="BC706" t="s">
        <v>6387</v>
      </c>
      <c r="BD706" t="s">
        <v>6388</v>
      </c>
      <c r="BE706" t="s">
        <v>2970</v>
      </c>
      <c r="BF706" t="s">
        <v>1484</v>
      </c>
      <c r="BG706" t="s">
        <v>1003</v>
      </c>
      <c r="BH706" s="1">
        <v>44835.833333333336</v>
      </c>
      <c r="BI706">
        <v>35</v>
      </c>
      <c r="BJ706">
        <v>0</v>
      </c>
      <c r="BK706">
        <v>7</v>
      </c>
      <c r="BL706">
        <v>7</v>
      </c>
      <c r="BM706">
        <v>7</v>
      </c>
      <c r="BN706">
        <v>7</v>
      </c>
      <c r="BO706">
        <v>7</v>
      </c>
      <c r="BP706">
        <v>0</v>
      </c>
      <c r="BQ706" t="str">
        <f>"1:00 PM"</f>
        <v>1:00 PM</v>
      </c>
      <c r="BR706" t="str">
        <f>"8:00 PM"</f>
        <v>8:00 PM</v>
      </c>
      <c r="BS706" t="s">
        <v>133</v>
      </c>
      <c r="BT706">
        <v>0</v>
      </c>
      <c r="BU706">
        <v>0</v>
      </c>
      <c r="BV706" t="s">
        <v>134</v>
      </c>
      <c r="BX706" t="s">
        <v>2314</v>
      </c>
      <c r="BY706" t="s">
        <v>6389</v>
      </c>
      <c r="CA706" t="s">
        <v>6390</v>
      </c>
      <c r="CB706" t="s">
        <v>1003</v>
      </c>
      <c r="CC706" s="4" t="str">
        <f>"08638"</f>
        <v>08638</v>
      </c>
      <c r="CD706" t="s">
        <v>4321</v>
      </c>
      <c r="CE706" t="s">
        <v>6391</v>
      </c>
      <c r="CF706" s="6">
        <v>20.69</v>
      </c>
      <c r="CJ706" t="s">
        <v>137</v>
      </c>
      <c r="CL706" t="s">
        <v>6392</v>
      </c>
      <c r="CO706" t="s">
        <v>138</v>
      </c>
      <c r="CP706" t="s">
        <v>114</v>
      </c>
      <c r="CQ706" t="s">
        <v>134</v>
      </c>
      <c r="CR706" t="s">
        <v>134</v>
      </c>
      <c r="CS706" t="s">
        <v>114</v>
      </c>
      <c r="CT706" t="s">
        <v>114</v>
      </c>
      <c r="CU706" t="s">
        <v>134</v>
      </c>
      <c r="CV706" t="s">
        <v>4156</v>
      </c>
      <c r="CW706" s="5" t="str">
        <f>"+18562005168"</f>
        <v>+18562005168</v>
      </c>
      <c r="CX706" t="s">
        <v>6383</v>
      </c>
      <c r="CY706" t="s">
        <v>138</v>
      </c>
      <c r="CZ706" t="s">
        <v>139</v>
      </c>
      <c r="DA706" t="s">
        <v>134</v>
      </c>
      <c r="DB706" t="s">
        <v>114</v>
      </c>
      <c r="DC706" t="s">
        <v>114</v>
      </c>
      <c r="DD706" t="s">
        <v>134</v>
      </c>
    </row>
    <row r="707" spans="1:113" ht="15" customHeight="1" x14ac:dyDescent="0.25">
      <c r="A707" t="s">
        <v>13731</v>
      </c>
      <c r="B707" t="s">
        <v>165</v>
      </c>
      <c r="C707" s="1">
        <v>44851.410289120373</v>
      </c>
      <c r="D707" s="1">
        <v>44875</v>
      </c>
      <c r="E707" t="s">
        <v>134</v>
      </c>
      <c r="F707" t="s">
        <v>3920</v>
      </c>
      <c r="G707" t="str">
        <f>"35-3023.00"</f>
        <v>35-3023.00</v>
      </c>
      <c r="H707" t="s">
        <v>555</v>
      </c>
      <c r="I707">
        <v>33</v>
      </c>
      <c r="J707">
        <v>33</v>
      </c>
      <c r="K707" s="1">
        <v>44939</v>
      </c>
      <c r="L707" s="1">
        <v>45242</v>
      </c>
      <c r="M707" s="1">
        <v>44939</v>
      </c>
      <c r="N707" s="1">
        <v>45242</v>
      </c>
      <c r="O707" t="s">
        <v>199</v>
      </c>
      <c r="P707" t="s">
        <v>13732</v>
      </c>
      <c r="R707" t="s">
        <v>13733</v>
      </c>
      <c r="S707" t="s">
        <v>13734</v>
      </c>
      <c r="T707" t="s">
        <v>3346</v>
      </c>
      <c r="U707" t="s">
        <v>154</v>
      </c>
      <c r="V707" s="4" t="str">
        <f>"33534"</f>
        <v>33534</v>
      </c>
      <c r="W707" t="s">
        <v>120</v>
      </c>
      <c r="Y707" s="5">
        <v>18136718828</v>
      </c>
      <c r="Z707">
        <v>0</v>
      </c>
      <c r="AA707">
        <v>7139</v>
      </c>
      <c r="AB707" t="s">
        <v>532</v>
      </c>
      <c r="AC707" t="s">
        <v>1676</v>
      </c>
      <c r="AE707" t="s">
        <v>424</v>
      </c>
      <c r="AF707" t="s">
        <v>13733</v>
      </c>
      <c r="AG707" t="s">
        <v>13734</v>
      </c>
      <c r="AH707" t="s">
        <v>3346</v>
      </c>
      <c r="AI707" t="s">
        <v>154</v>
      </c>
      <c r="AJ707" s="4" t="str">
        <f>"33534"</f>
        <v>33534</v>
      </c>
      <c r="AK707" t="s">
        <v>120</v>
      </c>
      <c r="AM707" s="5">
        <v>18138464032</v>
      </c>
      <c r="AN707">
        <v>0</v>
      </c>
      <c r="AO707" t="s">
        <v>13735</v>
      </c>
      <c r="AP707" t="s">
        <v>256</v>
      </c>
      <c r="AQ707" t="s">
        <v>535</v>
      </c>
      <c r="AR707" t="s">
        <v>536</v>
      </c>
      <c r="AS707" t="s">
        <v>537</v>
      </c>
      <c r="AT707" t="s">
        <v>538</v>
      </c>
      <c r="AU707" t="s">
        <v>539</v>
      </c>
      <c r="AV707" t="s">
        <v>540</v>
      </c>
      <c r="AW707" t="s">
        <v>232</v>
      </c>
      <c r="AX707" s="4" t="str">
        <f>"78550"</f>
        <v>78550</v>
      </c>
      <c r="AY707" t="s">
        <v>120</v>
      </c>
      <c r="AZ707" t="s">
        <v>2835</v>
      </c>
      <c r="BA707" s="5">
        <v>19564408720</v>
      </c>
      <c r="BB707">
        <v>0</v>
      </c>
      <c r="BC707" t="s">
        <v>542</v>
      </c>
      <c r="BD707" t="s">
        <v>543</v>
      </c>
      <c r="BG707" t="s">
        <v>154</v>
      </c>
      <c r="BH707" s="1">
        <v>44844.833333333336</v>
      </c>
      <c r="BI707">
        <v>40</v>
      </c>
      <c r="BJ707">
        <v>8</v>
      </c>
      <c r="BK707">
        <v>0</v>
      </c>
      <c r="BL707">
        <v>0</v>
      </c>
      <c r="BM707">
        <v>8</v>
      </c>
      <c r="BN707">
        <v>8</v>
      </c>
      <c r="BO707">
        <v>8</v>
      </c>
      <c r="BP707">
        <v>8</v>
      </c>
      <c r="BQ707" t="str">
        <f>"1:00 PM"</f>
        <v>1:00 PM</v>
      </c>
      <c r="BR707" t="str">
        <f>"10:00 PM"</f>
        <v>10:00 PM</v>
      </c>
      <c r="BS707" t="s">
        <v>133</v>
      </c>
      <c r="BT707">
        <v>0</v>
      </c>
      <c r="BU707">
        <v>0</v>
      </c>
      <c r="BV707" t="s">
        <v>134</v>
      </c>
      <c r="BX707" s="2" t="s">
        <v>1324</v>
      </c>
      <c r="BY707" t="s">
        <v>13736</v>
      </c>
      <c r="CA707" t="s">
        <v>2106</v>
      </c>
      <c r="CB707" t="s">
        <v>154</v>
      </c>
      <c r="CC707" s="4" t="str">
        <f>"33534"</f>
        <v>33534</v>
      </c>
      <c r="CD707" t="s">
        <v>566</v>
      </c>
      <c r="CE707" t="s">
        <v>567</v>
      </c>
      <c r="CF707" s="6">
        <v>9.25</v>
      </c>
      <c r="CG707" s="6">
        <v>13.66</v>
      </c>
      <c r="CH707" s="6">
        <v>0</v>
      </c>
      <c r="CI707" s="6">
        <v>0</v>
      </c>
      <c r="CJ707" t="s">
        <v>137</v>
      </c>
      <c r="CK707" t="s">
        <v>549</v>
      </c>
      <c r="CL707" t="s">
        <v>13737</v>
      </c>
      <c r="CO707" t="s">
        <v>138</v>
      </c>
      <c r="CP707" t="s">
        <v>114</v>
      </c>
      <c r="CQ707" t="s">
        <v>114</v>
      </c>
      <c r="CR707" t="s">
        <v>134</v>
      </c>
      <c r="CS707" t="s">
        <v>114</v>
      </c>
      <c r="CT707" t="s">
        <v>114</v>
      </c>
      <c r="CU707" t="s">
        <v>114</v>
      </c>
      <c r="CV707" t="s">
        <v>7209</v>
      </c>
      <c r="CW707" s="5" t="str">
        <f>"+18136718828"</f>
        <v>+18136718828</v>
      </c>
      <c r="CX707" t="s">
        <v>13735</v>
      </c>
      <c r="CY707" t="s">
        <v>138</v>
      </c>
      <c r="CZ707" t="s">
        <v>139</v>
      </c>
      <c r="DA707" t="s">
        <v>134</v>
      </c>
      <c r="DB707" t="s">
        <v>114</v>
      </c>
      <c r="DC707" t="s">
        <v>114</v>
      </c>
      <c r="DD707" t="s">
        <v>134</v>
      </c>
    </row>
    <row r="708" spans="1:113" ht="15" customHeight="1" x14ac:dyDescent="0.25">
      <c r="A708" t="s">
        <v>13764</v>
      </c>
      <c r="B708" t="s">
        <v>165</v>
      </c>
      <c r="C708" s="1">
        <v>44850.359207638889</v>
      </c>
      <c r="D708" s="1">
        <v>44875</v>
      </c>
      <c r="E708" t="s">
        <v>134</v>
      </c>
      <c r="F708" t="s">
        <v>334</v>
      </c>
      <c r="G708" t="str">
        <f>"37-3011.00"</f>
        <v>37-3011.00</v>
      </c>
      <c r="H708" t="s">
        <v>335</v>
      </c>
      <c r="I708">
        <v>42</v>
      </c>
      <c r="J708">
        <v>42</v>
      </c>
      <c r="K708" s="1">
        <v>44940</v>
      </c>
      <c r="L708" s="1">
        <v>45243</v>
      </c>
      <c r="M708" s="1">
        <v>44940</v>
      </c>
      <c r="N708" s="1">
        <v>45243</v>
      </c>
      <c r="O708" t="s">
        <v>117</v>
      </c>
      <c r="P708" t="s">
        <v>10019</v>
      </c>
      <c r="R708" t="s">
        <v>10020</v>
      </c>
      <c r="S708" t="s">
        <v>10021</v>
      </c>
      <c r="T708" t="s">
        <v>2252</v>
      </c>
      <c r="U708" t="s">
        <v>214</v>
      </c>
      <c r="V708" s="4" t="str">
        <f>"70815"</f>
        <v>70815</v>
      </c>
      <c r="W708" t="s">
        <v>120</v>
      </c>
      <c r="X708" t="s">
        <v>138</v>
      </c>
      <c r="Y708" s="5">
        <v>12257724183</v>
      </c>
      <c r="AA708">
        <v>561730</v>
      </c>
      <c r="AB708" t="s">
        <v>1713</v>
      </c>
      <c r="AC708" t="s">
        <v>10022</v>
      </c>
      <c r="AD708" t="s">
        <v>423</v>
      </c>
      <c r="AE708" t="s">
        <v>342</v>
      </c>
      <c r="AF708" t="s">
        <v>10020</v>
      </c>
      <c r="AG708" t="s">
        <v>10021</v>
      </c>
      <c r="AH708" t="s">
        <v>2252</v>
      </c>
      <c r="AI708" t="s">
        <v>214</v>
      </c>
      <c r="AJ708" s="4" t="str">
        <f>"70815"</f>
        <v>70815</v>
      </c>
      <c r="AK708" t="s">
        <v>120</v>
      </c>
      <c r="AM708" s="5">
        <v>12257724183</v>
      </c>
      <c r="AO708" t="s">
        <v>10023</v>
      </c>
      <c r="AP708" t="s">
        <v>256</v>
      </c>
      <c r="AQ708" t="s">
        <v>4312</v>
      </c>
      <c r="AR708" t="s">
        <v>4313</v>
      </c>
      <c r="AS708" t="s">
        <v>4044</v>
      </c>
      <c r="AT708" t="s">
        <v>1284</v>
      </c>
      <c r="AU708" t="s">
        <v>138</v>
      </c>
      <c r="AV708" t="s">
        <v>1285</v>
      </c>
      <c r="AW708" t="s">
        <v>232</v>
      </c>
      <c r="AX708" s="4" t="str">
        <f>"77414"</f>
        <v>77414</v>
      </c>
      <c r="AY708" t="s">
        <v>120</v>
      </c>
      <c r="BA708" s="5">
        <v>19793187277</v>
      </c>
      <c r="BC708" t="s">
        <v>4314</v>
      </c>
      <c r="BD708" t="s">
        <v>1287</v>
      </c>
      <c r="BG708" t="s">
        <v>214</v>
      </c>
      <c r="BH708" s="1">
        <v>44849.833333333336</v>
      </c>
      <c r="BI708">
        <v>50</v>
      </c>
      <c r="BJ708">
        <v>0</v>
      </c>
      <c r="BK708">
        <v>10</v>
      </c>
      <c r="BL708">
        <v>10</v>
      </c>
      <c r="BM708">
        <v>10</v>
      </c>
      <c r="BN708">
        <v>10</v>
      </c>
      <c r="BO708">
        <v>10</v>
      </c>
      <c r="BP708">
        <v>0</v>
      </c>
      <c r="BQ708" t="str">
        <f>"7:00 AM"</f>
        <v>7:00 AM</v>
      </c>
      <c r="BR708" t="str">
        <f>"5:30 PM"</f>
        <v>5:30 PM</v>
      </c>
      <c r="BS708" t="s">
        <v>133</v>
      </c>
      <c r="BT708">
        <v>0</v>
      </c>
      <c r="BU708">
        <v>0</v>
      </c>
      <c r="BV708" t="s">
        <v>134</v>
      </c>
      <c r="BX708" s="2" t="s">
        <v>13765</v>
      </c>
      <c r="BY708" t="s">
        <v>10024</v>
      </c>
      <c r="BZ708" t="s">
        <v>138</v>
      </c>
      <c r="CA708" t="s">
        <v>2252</v>
      </c>
      <c r="CB708" t="s">
        <v>214</v>
      </c>
      <c r="CC708" s="4" t="str">
        <f>"70815"</f>
        <v>70815</v>
      </c>
      <c r="CD708" t="s">
        <v>2247</v>
      </c>
      <c r="CE708" t="s">
        <v>737</v>
      </c>
      <c r="CF708" s="6">
        <v>14.87</v>
      </c>
      <c r="CG708" s="6">
        <v>15.13</v>
      </c>
      <c r="CH708" s="6">
        <v>22.31</v>
      </c>
      <c r="CI708" s="6">
        <v>22.7</v>
      </c>
      <c r="CJ708" t="s">
        <v>137</v>
      </c>
      <c r="CK708" t="s">
        <v>9156</v>
      </c>
      <c r="CL708" t="s">
        <v>10025</v>
      </c>
      <c r="CO708" t="s">
        <v>138</v>
      </c>
      <c r="CP708" t="s">
        <v>114</v>
      </c>
      <c r="CQ708" t="s">
        <v>114</v>
      </c>
      <c r="CR708" t="s">
        <v>114</v>
      </c>
      <c r="CS708" t="s">
        <v>114</v>
      </c>
      <c r="CT708" t="s">
        <v>114</v>
      </c>
      <c r="CU708" t="s">
        <v>134</v>
      </c>
      <c r="CV708" t="s">
        <v>2056</v>
      </c>
      <c r="CW708" s="5" t="str">
        <f>"+12257724183"</f>
        <v>+12257724183</v>
      </c>
      <c r="CX708" t="s">
        <v>10023</v>
      </c>
      <c r="CY708" t="s">
        <v>138</v>
      </c>
      <c r="CZ708" t="s">
        <v>139</v>
      </c>
      <c r="DA708" t="s">
        <v>134</v>
      </c>
      <c r="DB708" t="s">
        <v>134</v>
      </c>
      <c r="DC708" t="s">
        <v>114</v>
      </c>
      <c r="DD708" t="s">
        <v>134</v>
      </c>
    </row>
    <row r="709" spans="1:113" ht="15" customHeight="1" x14ac:dyDescent="0.25">
      <c r="A709" t="s">
        <v>8646</v>
      </c>
      <c r="B709" t="s">
        <v>165</v>
      </c>
      <c r="C709" s="1">
        <v>44832.747939814813</v>
      </c>
      <c r="D709" s="1">
        <v>44875</v>
      </c>
      <c r="E709" t="s">
        <v>114</v>
      </c>
      <c r="F709" t="s">
        <v>388</v>
      </c>
      <c r="G709" t="str">
        <f>"35-3031.00"</f>
        <v>35-3031.00</v>
      </c>
      <c r="H709" t="s">
        <v>389</v>
      </c>
      <c r="I709">
        <v>4</v>
      </c>
      <c r="J709">
        <v>4</v>
      </c>
      <c r="K709" s="1">
        <v>44907</v>
      </c>
      <c r="L709" s="1">
        <v>45179</v>
      </c>
      <c r="M709" s="1">
        <v>44907</v>
      </c>
      <c r="N709" s="1">
        <v>45179</v>
      </c>
      <c r="O709" t="s">
        <v>117</v>
      </c>
      <c r="P709" t="s">
        <v>744</v>
      </c>
      <c r="Q709" t="s">
        <v>745</v>
      </c>
      <c r="R709" t="s">
        <v>746</v>
      </c>
      <c r="T709" t="s">
        <v>747</v>
      </c>
      <c r="U709" t="s">
        <v>748</v>
      </c>
      <c r="V709" s="4" t="str">
        <f>"16803"</f>
        <v>16803</v>
      </c>
      <c r="W709" t="s">
        <v>120</v>
      </c>
      <c r="Y709" s="5">
        <v>18142344460</v>
      </c>
      <c r="AA709">
        <v>721110</v>
      </c>
      <c r="AB709" t="s">
        <v>749</v>
      </c>
      <c r="AC709" t="s">
        <v>750</v>
      </c>
      <c r="AE709" t="s">
        <v>751</v>
      </c>
      <c r="AF709" t="s">
        <v>746</v>
      </c>
      <c r="AH709" t="s">
        <v>747</v>
      </c>
      <c r="AI709" t="s">
        <v>748</v>
      </c>
      <c r="AJ709" s="4" t="str">
        <f>"16803"</f>
        <v>16803</v>
      </c>
      <c r="AK709" t="s">
        <v>120</v>
      </c>
      <c r="AM709" s="5">
        <v>18142787582</v>
      </c>
      <c r="AO709" t="s">
        <v>752</v>
      </c>
      <c r="AP709" t="s">
        <v>122</v>
      </c>
      <c r="AQ709" t="s">
        <v>753</v>
      </c>
      <c r="AR709" t="s">
        <v>754</v>
      </c>
      <c r="AS709" t="s">
        <v>755</v>
      </c>
      <c r="AT709" t="s">
        <v>756</v>
      </c>
      <c r="AU709" t="s">
        <v>757</v>
      </c>
      <c r="AV709" t="s">
        <v>758</v>
      </c>
      <c r="AW709" t="s">
        <v>281</v>
      </c>
      <c r="AX709" s="4" t="str">
        <f>"01701"</f>
        <v>01701</v>
      </c>
      <c r="AY709" t="s">
        <v>120</v>
      </c>
      <c r="BA709" s="5">
        <v>16179399444</v>
      </c>
      <c r="BC709" t="s">
        <v>759</v>
      </c>
      <c r="BD709" t="s">
        <v>760</v>
      </c>
      <c r="BE709" t="s">
        <v>281</v>
      </c>
      <c r="BF709" t="s">
        <v>761</v>
      </c>
      <c r="BG709" t="s">
        <v>154</v>
      </c>
      <c r="BH709" s="1">
        <v>44831.833333333336</v>
      </c>
      <c r="BI709">
        <v>40</v>
      </c>
      <c r="BJ709">
        <v>0</v>
      </c>
      <c r="BK709">
        <v>8</v>
      </c>
      <c r="BL709">
        <v>8</v>
      </c>
      <c r="BM709">
        <v>8</v>
      </c>
      <c r="BN709">
        <v>8</v>
      </c>
      <c r="BO709">
        <v>8</v>
      </c>
      <c r="BP709">
        <v>0</v>
      </c>
      <c r="BQ709" t="str">
        <f>"11:00 AM"</f>
        <v>11:00 AM</v>
      </c>
      <c r="BR709" t="str">
        <f>"7:00 PM"</f>
        <v>7:00 PM</v>
      </c>
      <c r="BS709" t="s">
        <v>133</v>
      </c>
      <c r="BT709">
        <v>0</v>
      </c>
      <c r="BU709">
        <v>12</v>
      </c>
      <c r="BV709" t="s">
        <v>134</v>
      </c>
      <c r="BX709" s="2" t="s">
        <v>8647</v>
      </c>
      <c r="BY709" t="s">
        <v>763</v>
      </c>
      <c r="CA709" t="s">
        <v>8648</v>
      </c>
      <c r="CB709" t="s">
        <v>154</v>
      </c>
      <c r="CC709" s="4" t="str">
        <f>"33050"</f>
        <v>33050</v>
      </c>
      <c r="CD709" t="s">
        <v>765</v>
      </c>
      <c r="CE709" t="s">
        <v>766</v>
      </c>
      <c r="CF709" s="6">
        <v>14.2</v>
      </c>
      <c r="CH709" s="6">
        <v>21.3</v>
      </c>
      <c r="CJ709" t="s">
        <v>137</v>
      </c>
      <c r="CK709" t="s">
        <v>8649</v>
      </c>
      <c r="CL709" t="s">
        <v>8650</v>
      </c>
      <c r="CO709" t="s">
        <v>138</v>
      </c>
      <c r="CP709" t="s">
        <v>114</v>
      </c>
      <c r="CQ709" t="s">
        <v>134</v>
      </c>
      <c r="CR709" t="s">
        <v>114</v>
      </c>
      <c r="CS709" t="s">
        <v>114</v>
      </c>
      <c r="CT709" t="s">
        <v>114</v>
      </c>
      <c r="CU709" t="s">
        <v>114</v>
      </c>
      <c r="CV709" s="2" t="s">
        <v>8651</v>
      </c>
      <c r="CW709" s="5" t="str">
        <f>"+13052044065"</f>
        <v>+13052044065</v>
      </c>
      <c r="CX709" t="s">
        <v>770</v>
      </c>
      <c r="CY709" t="s">
        <v>138</v>
      </c>
      <c r="CZ709" t="s">
        <v>139</v>
      </c>
      <c r="DA709" t="s">
        <v>134</v>
      </c>
      <c r="DB709" t="s">
        <v>134</v>
      </c>
      <c r="DC709" t="s">
        <v>114</v>
      </c>
      <c r="DD709" t="s">
        <v>134</v>
      </c>
    </row>
    <row r="710" spans="1:113" ht="15" customHeight="1" x14ac:dyDescent="0.25">
      <c r="A710" t="s">
        <v>9725</v>
      </c>
      <c r="B710" t="s">
        <v>165</v>
      </c>
      <c r="C710" s="1">
        <v>44832.726321064816</v>
      </c>
      <c r="D710" s="1">
        <v>44875</v>
      </c>
      <c r="E710" t="s">
        <v>114</v>
      </c>
      <c r="F710" t="s">
        <v>836</v>
      </c>
      <c r="G710" t="str">
        <f>"43-4081.00"</f>
        <v>43-4081.00</v>
      </c>
      <c r="H710" t="s">
        <v>2463</v>
      </c>
      <c r="I710">
        <v>3</v>
      </c>
      <c r="J710">
        <v>3</v>
      </c>
      <c r="K710" s="1">
        <v>44907</v>
      </c>
      <c r="L710" s="1">
        <v>45179</v>
      </c>
      <c r="M710" s="1">
        <v>44907</v>
      </c>
      <c r="N710" s="1">
        <v>45179</v>
      </c>
      <c r="O710" t="s">
        <v>117</v>
      </c>
      <c r="P710" t="s">
        <v>744</v>
      </c>
      <c r="Q710" t="s">
        <v>745</v>
      </c>
      <c r="R710" t="s">
        <v>746</v>
      </c>
      <c r="T710" t="s">
        <v>747</v>
      </c>
      <c r="U710" t="s">
        <v>748</v>
      </c>
      <c r="V710" s="4" t="str">
        <f>"16803"</f>
        <v>16803</v>
      </c>
      <c r="W710" t="s">
        <v>120</v>
      </c>
      <c r="Y710" s="5">
        <v>18142344460</v>
      </c>
      <c r="AA710">
        <v>721110</v>
      </c>
      <c r="AB710" t="s">
        <v>749</v>
      </c>
      <c r="AC710" t="s">
        <v>750</v>
      </c>
      <c r="AE710" t="s">
        <v>751</v>
      </c>
      <c r="AF710" t="s">
        <v>746</v>
      </c>
      <c r="AH710" t="s">
        <v>747</v>
      </c>
      <c r="AI710" t="s">
        <v>748</v>
      </c>
      <c r="AJ710" s="4" t="str">
        <f>"16803"</f>
        <v>16803</v>
      </c>
      <c r="AK710" t="s">
        <v>120</v>
      </c>
      <c r="AM710" s="5">
        <v>18142787582</v>
      </c>
      <c r="AO710" t="s">
        <v>752</v>
      </c>
      <c r="AP710" t="s">
        <v>122</v>
      </c>
      <c r="AQ710" t="s">
        <v>753</v>
      </c>
      <c r="AR710" t="s">
        <v>754</v>
      </c>
      <c r="AS710" t="s">
        <v>755</v>
      </c>
      <c r="AT710" t="s">
        <v>756</v>
      </c>
      <c r="AU710" t="s">
        <v>757</v>
      </c>
      <c r="AV710" t="s">
        <v>758</v>
      </c>
      <c r="AW710" t="s">
        <v>281</v>
      </c>
      <c r="AX710" s="4" t="str">
        <f>"01701"</f>
        <v>01701</v>
      </c>
      <c r="AY710" t="s">
        <v>120</v>
      </c>
      <c r="BA710" s="5">
        <v>16179399444</v>
      </c>
      <c r="BC710" t="s">
        <v>759</v>
      </c>
      <c r="BD710" t="s">
        <v>760</v>
      </c>
      <c r="BE710" t="s">
        <v>281</v>
      </c>
      <c r="BF710" t="s">
        <v>761</v>
      </c>
      <c r="BG710" t="s">
        <v>154</v>
      </c>
      <c r="BH710" s="1">
        <v>44831.833333333336</v>
      </c>
      <c r="BI710">
        <v>40</v>
      </c>
      <c r="BJ710">
        <v>0</v>
      </c>
      <c r="BK710">
        <v>8</v>
      </c>
      <c r="BL710">
        <v>8</v>
      </c>
      <c r="BM710">
        <v>8</v>
      </c>
      <c r="BN710">
        <v>8</v>
      </c>
      <c r="BO710">
        <v>8</v>
      </c>
      <c r="BP710">
        <v>0</v>
      </c>
      <c r="BQ710" t="str">
        <f>"7:30 AM"</f>
        <v>7:30 AM</v>
      </c>
      <c r="BR710" t="str">
        <f>"3:30 PM"</f>
        <v>3:30 PM</v>
      </c>
      <c r="BS710" t="s">
        <v>133</v>
      </c>
      <c r="BT710">
        <v>0</v>
      </c>
      <c r="BU710">
        <v>12</v>
      </c>
      <c r="BV710" t="s">
        <v>134</v>
      </c>
      <c r="BX710" s="2" t="s">
        <v>9726</v>
      </c>
      <c r="BY710" t="s">
        <v>763</v>
      </c>
      <c r="CA710" t="s">
        <v>764</v>
      </c>
      <c r="CB710" t="s">
        <v>154</v>
      </c>
      <c r="CC710" s="4" t="str">
        <f>"33050"</f>
        <v>33050</v>
      </c>
      <c r="CD710" t="s">
        <v>765</v>
      </c>
      <c r="CE710" t="s">
        <v>766</v>
      </c>
      <c r="CF710" s="6">
        <v>16</v>
      </c>
      <c r="CG710" s="6">
        <v>17</v>
      </c>
      <c r="CH710" s="6">
        <v>24</v>
      </c>
      <c r="CI710" s="6">
        <v>25.5</v>
      </c>
      <c r="CJ710" t="s">
        <v>137</v>
      </c>
      <c r="CK710" t="s">
        <v>9727</v>
      </c>
      <c r="CL710" t="s">
        <v>9728</v>
      </c>
      <c r="CO710" t="s">
        <v>138</v>
      </c>
      <c r="CP710" t="s">
        <v>114</v>
      </c>
      <c r="CQ710" t="s">
        <v>134</v>
      </c>
      <c r="CR710" t="s">
        <v>114</v>
      </c>
      <c r="CS710" t="s">
        <v>114</v>
      </c>
      <c r="CT710" t="s">
        <v>114</v>
      </c>
      <c r="CU710" t="s">
        <v>114</v>
      </c>
      <c r="CV710" s="2" t="s">
        <v>769</v>
      </c>
      <c r="CW710" s="5" t="str">
        <f>"+13052044065"</f>
        <v>+13052044065</v>
      </c>
      <c r="CX710" t="s">
        <v>770</v>
      </c>
      <c r="CY710" t="s">
        <v>138</v>
      </c>
      <c r="CZ710" t="s">
        <v>139</v>
      </c>
      <c r="DA710" t="s">
        <v>134</v>
      </c>
      <c r="DB710" t="s">
        <v>134</v>
      </c>
      <c r="DC710" t="s">
        <v>114</v>
      </c>
      <c r="DD710" t="s">
        <v>134</v>
      </c>
    </row>
    <row r="711" spans="1:113" ht="15" customHeight="1" x14ac:dyDescent="0.25">
      <c r="A711" t="s">
        <v>3425</v>
      </c>
      <c r="B711" t="s">
        <v>165</v>
      </c>
      <c r="C711" s="1">
        <v>44806.7574662037</v>
      </c>
      <c r="D711" s="1">
        <v>44875</v>
      </c>
      <c r="E711" t="s">
        <v>134</v>
      </c>
      <c r="F711" t="s">
        <v>1697</v>
      </c>
      <c r="G711" t="str">
        <f>"35-2014.00"</f>
        <v>35-2014.00</v>
      </c>
      <c r="H711" t="s">
        <v>915</v>
      </c>
      <c r="I711">
        <v>5</v>
      </c>
      <c r="J711">
        <v>5</v>
      </c>
      <c r="K711" s="1">
        <v>44896</v>
      </c>
      <c r="L711" s="1">
        <v>45092</v>
      </c>
      <c r="M711" s="1">
        <v>44896</v>
      </c>
      <c r="N711" s="1">
        <v>45092</v>
      </c>
      <c r="O711" t="s">
        <v>117</v>
      </c>
      <c r="P711" t="s">
        <v>3426</v>
      </c>
      <c r="R711" t="s">
        <v>3427</v>
      </c>
      <c r="T711" t="s">
        <v>3428</v>
      </c>
      <c r="U711" t="s">
        <v>214</v>
      </c>
      <c r="V711" s="4" t="str">
        <f>"71055"</f>
        <v>71055</v>
      </c>
      <c r="W711" t="s">
        <v>120</v>
      </c>
      <c r="Y711" s="5">
        <v>13182181546</v>
      </c>
      <c r="AA711">
        <v>722513</v>
      </c>
      <c r="AB711" t="s">
        <v>3429</v>
      </c>
      <c r="AC711" t="s">
        <v>2593</v>
      </c>
      <c r="AE711" t="s">
        <v>424</v>
      </c>
      <c r="AF711" t="s">
        <v>3430</v>
      </c>
      <c r="AH711" t="s">
        <v>3428</v>
      </c>
      <c r="AI711" t="s">
        <v>214</v>
      </c>
      <c r="AJ711" s="4" t="str">
        <f>"71055"</f>
        <v>71055</v>
      </c>
      <c r="AK711" t="s">
        <v>120</v>
      </c>
      <c r="AM711" s="5">
        <v>13182181546</v>
      </c>
      <c r="AO711" t="s">
        <v>3431</v>
      </c>
      <c r="AP711" t="s">
        <v>122</v>
      </c>
      <c r="AQ711" t="s">
        <v>725</v>
      </c>
      <c r="AR711" t="s">
        <v>726</v>
      </c>
      <c r="AS711" t="s">
        <v>727</v>
      </c>
      <c r="AT711" t="s">
        <v>728</v>
      </c>
      <c r="AV711" t="s">
        <v>730</v>
      </c>
      <c r="AW711" t="s">
        <v>214</v>
      </c>
      <c r="AX711" s="4" t="str">
        <f>"70535"</f>
        <v>70535</v>
      </c>
      <c r="AY711" t="s">
        <v>120</v>
      </c>
      <c r="BA711" s="5">
        <v>13374663722</v>
      </c>
      <c r="BC711" t="s">
        <v>731</v>
      </c>
      <c r="BD711" t="s">
        <v>732</v>
      </c>
      <c r="BE711" t="s">
        <v>214</v>
      </c>
      <c r="BF711" t="s">
        <v>733</v>
      </c>
      <c r="BG711" t="s">
        <v>214</v>
      </c>
      <c r="BH711" s="1">
        <v>44805.833333333336</v>
      </c>
      <c r="BI711">
        <v>40</v>
      </c>
      <c r="BJ711">
        <v>0</v>
      </c>
      <c r="BK711">
        <v>7</v>
      </c>
      <c r="BL711">
        <v>7</v>
      </c>
      <c r="BM711">
        <v>7</v>
      </c>
      <c r="BN711">
        <v>7</v>
      </c>
      <c r="BO711">
        <v>7</v>
      </c>
      <c r="BP711">
        <v>5</v>
      </c>
      <c r="BQ711" t="str">
        <f>"10:00 AM"</f>
        <v>10:00 AM</v>
      </c>
      <c r="BR711" t="str">
        <f>"9:00 PM"</f>
        <v>9:00 PM</v>
      </c>
      <c r="BS711" t="s">
        <v>133</v>
      </c>
      <c r="BT711">
        <v>0</v>
      </c>
      <c r="BU711">
        <v>0</v>
      </c>
      <c r="BV711" t="s">
        <v>134</v>
      </c>
      <c r="BX711" s="2" t="s">
        <v>3432</v>
      </c>
      <c r="BY711" t="s">
        <v>3433</v>
      </c>
      <c r="CA711" t="s">
        <v>3428</v>
      </c>
      <c r="CB711" t="s">
        <v>214</v>
      </c>
      <c r="CC711" s="4" t="str">
        <f>"71055"</f>
        <v>71055</v>
      </c>
      <c r="CD711" t="s">
        <v>2084</v>
      </c>
      <c r="CE711" t="s">
        <v>1647</v>
      </c>
      <c r="CF711" s="6">
        <v>12.33</v>
      </c>
      <c r="CG711" s="6">
        <v>12.33</v>
      </c>
      <c r="CH711" s="6">
        <v>18.5</v>
      </c>
      <c r="CI711" s="6">
        <v>18.5</v>
      </c>
      <c r="CJ711" t="s">
        <v>137</v>
      </c>
      <c r="CK711" t="s">
        <v>3434</v>
      </c>
      <c r="CL711" t="s">
        <v>3435</v>
      </c>
      <c r="CO711" t="s">
        <v>138</v>
      </c>
      <c r="CP711" t="s">
        <v>134</v>
      </c>
      <c r="CQ711" t="s">
        <v>134</v>
      </c>
      <c r="CR711" t="s">
        <v>114</v>
      </c>
      <c r="CS711" t="s">
        <v>114</v>
      </c>
      <c r="CT711" t="s">
        <v>114</v>
      </c>
      <c r="CU711" t="s">
        <v>114</v>
      </c>
      <c r="CV711" s="2" t="s">
        <v>3436</v>
      </c>
      <c r="CW711" s="5" t="str">
        <f>"+13182181546"</f>
        <v>+13182181546</v>
      </c>
      <c r="CX711" t="s">
        <v>3431</v>
      </c>
      <c r="CY711" t="s">
        <v>138</v>
      </c>
      <c r="CZ711" t="s">
        <v>139</v>
      </c>
      <c r="DA711" t="s">
        <v>134</v>
      </c>
      <c r="DB711" t="s">
        <v>134</v>
      </c>
      <c r="DC711" t="s">
        <v>114</v>
      </c>
      <c r="DD711" t="s">
        <v>134</v>
      </c>
    </row>
    <row r="712" spans="1:113" ht="15" customHeight="1" x14ac:dyDescent="0.25">
      <c r="A712" t="s">
        <v>12140</v>
      </c>
      <c r="B712" t="s">
        <v>165</v>
      </c>
      <c r="C712" s="1">
        <v>44760.480075231484</v>
      </c>
      <c r="D712" s="1">
        <v>44875</v>
      </c>
      <c r="E712" t="s">
        <v>134</v>
      </c>
      <c r="F712" t="s">
        <v>6914</v>
      </c>
      <c r="G712" t="str">
        <f>"51-4121.00"</f>
        <v>51-4121.00</v>
      </c>
      <c r="H712" t="s">
        <v>303</v>
      </c>
      <c r="I712">
        <v>50</v>
      </c>
      <c r="J712">
        <v>50</v>
      </c>
      <c r="K712" s="1">
        <v>44835</v>
      </c>
      <c r="L712" s="1">
        <v>45078</v>
      </c>
      <c r="M712" s="1">
        <v>44835</v>
      </c>
      <c r="N712" s="1">
        <v>45078</v>
      </c>
      <c r="O712" t="s">
        <v>117</v>
      </c>
      <c r="P712" t="s">
        <v>12141</v>
      </c>
      <c r="Q712" t="s">
        <v>12142</v>
      </c>
      <c r="R712" t="s">
        <v>12143</v>
      </c>
      <c r="T712" t="s">
        <v>5808</v>
      </c>
      <c r="U712" t="s">
        <v>232</v>
      </c>
      <c r="V712" s="4" t="str">
        <f>"77642"</f>
        <v>77642</v>
      </c>
      <c r="W712" t="s">
        <v>120</v>
      </c>
      <c r="Y712" s="5">
        <v>14099416200</v>
      </c>
      <c r="AA712">
        <v>336611</v>
      </c>
      <c r="AB712" t="s">
        <v>4095</v>
      </c>
      <c r="AC712" t="s">
        <v>2672</v>
      </c>
      <c r="AD712" t="s">
        <v>5960</v>
      </c>
      <c r="AE712" t="s">
        <v>12144</v>
      </c>
      <c r="AF712" t="s">
        <v>12145</v>
      </c>
      <c r="AH712" t="s">
        <v>11741</v>
      </c>
      <c r="AI712" t="s">
        <v>232</v>
      </c>
      <c r="AJ712" s="4" t="str">
        <f>"77554"</f>
        <v>77554</v>
      </c>
      <c r="AK712" t="s">
        <v>120</v>
      </c>
      <c r="AM712" s="5">
        <v>14099416200</v>
      </c>
      <c r="AO712" t="s">
        <v>12146</v>
      </c>
      <c r="AP712" t="s">
        <v>122</v>
      </c>
      <c r="AQ712" t="s">
        <v>12147</v>
      </c>
      <c r="AR712" t="s">
        <v>2689</v>
      </c>
      <c r="AS712" t="s">
        <v>4443</v>
      </c>
      <c r="AT712" t="s">
        <v>12148</v>
      </c>
      <c r="AU712" t="s">
        <v>12149</v>
      </c>
      <c r="AV712" t="s">
        <v>1545</v>
      </c>
      <c r="AW712" t="s">
        <v>232</v>
      </c>
      <c r="AX712" s="4" t="str">
        <f>"77057"</f>
        <v>77057</v>
      </c>
      <c r="AY712" t="s">
        <v>120</v>
      </c>
      <c r="BA712" s="5">
        <v>17137810071</v>
      </c>
      <c r="BC712" t="s">
        <v>12150</v>
      </c>
      <c r="BD712" t="s">
        <v>122</v>
      </c>
      <c r="BE712" t="s">
        <v>232</v>
      </c>
      <c r="BF712" t="s">
        <v>2207</v>
      </c>
      <c r="BG712" t="s">
        <v>232</v>
      </c>
      <c r="BH712" s="1">
        <v>44759.833333333336</v>
      </c>
      <c r="BI712">
        <v>60</v>
      </c>
      <c r="BJ712">
        <v>0</v>
      </c>
      <c r="BK712">
        <v>10</v>
      </c>
      <c r="BL712">
        <v>10</v>
      </c>
      <c r="BM712">
        <v>10</v>
      </c>
      <c r="BN712">
        <v>10</v>
      </c>
      <c r="BO712">
        <v>10</v>
      </c>
      <c r="BP712">
        <v>10</v>
      </c>
      <c r="BQ712" t="str">
        <f>"6:00 AM"</f>
        <v>6:00 AM</v>
      </c>
      <c r="BR712" t="str">
        <f>"4:30 PM"</f>
        <v>4:30 PM</v>
      </c>
      <c r="BS712" t="s">
        <v>295</v>
      </c>
      <c r="BT712">
        <v>0</v>
      </c>
      <c r="BU712">
        <v>6</v>
      </c>
      <c r="BV712" t="s">
        <v>134</v>
      </c>
      <c r="BX712" s="2" t="s">
        <v>12151</v>
      </c>
      <c r="BY712" t="s">
        <v>12145</v>
      </c>
      <c r="CA712" t="s">
        <v>11741</v>
      </c>
      <c r="CB712" t="s">
        <v>232</v>
      </c>
      <c r="CC712" s="4" t="str">
        <f>"77554"</f>
        <v>77554</v>
      </c>
      <c r="CD712" t="s">
        <v>5824</v>
      </c>
      <c r="CE712" t="s">
        <v>873</v>
      </c>
      <c r="CF712" s="6">
        <v>25.64</v>
      </c>
      <c r="CH712" s="6">
        <v>38.46</v>
      </c>
      <c r="CJ712" t="s">
        <v>137</v>
      </c>
      <c r="CL712" t="s">
        <v>12152</v>
      </c>
      <c r="CO712" t="s">
        <v>138</v>
      </c>
      <c r="CP712" t="s">
        <v>134</v>
      </c>
      <c r="CQ712" t="s">
        <v>134</v>
      </c>
      <c r="CR712" t="s">
        <v>114</v>
      </c>
      <c r="CS712" t="s">
        <v>134</v>
      </c>
      <c r="CT712" t="s">
        <v>114</v>
      </c>
      <c r="CU712" t="s">
        <v>134</v>
      </c>
      <c r="CV712" t="s">
        <v>7929</v>
      </c>
      <c r="CW712" s="5" t="str">
        <f>"+14099499055"</f>
        <v>+14099499055</v>
      </c>
      <c r="CX712" t="s">
        <v>12153</v>
      </c>
      <c r="CY712" t="s">
        <v>12154</v>
      </c>
      <c r="CZ712" t="s">
        <v>139</v>
      </c>
      <c r="DA712" t="s">
        <v>134</v>
      </c>
      <c r="DB712" t="s">
        <v>134</v>
      </c>
      <c r="DC712" t="s">
        <v>114</v>
      </c>
      <c r="DD712" t="s">
        <v>134</v>
      </c>
      <c r="DE712" t="s">
        <v>12155</v>
      </c>
      <c r="DF712" t="s">
        <v>2689</v>
      </c>
      <c r="DG712" t="s">
        <v>2253</v>
      </c>
      <c r="DH712" t="s">
        <v>12156</v>
      </c>
      <c r="DI712" t="s">
        <v>12150</v>
      </c>
    </row>
    <row r="713" spans="1:113" ht="15" customHeight="1" x14ac:dyDescent="0.25">
      <c r="A713" t="s">
        <v>5159</v>
      </c>
      <c r="B713" t="s">
        <v>165</v>
      </c>
      <c r="C713" s="1">
        <v>44851.437034490744</v>
      </c>
      <c r="D713" s="1">
        <v>44874</v>
      </c>
      <c r="E713" t="s">
        <v>134</v>
      </c>
      <c r="F713" t="s">
        <v>361</v>
      </c>
      <c r="G713" t="str">
        <f>"39-3091.00"</f>
        <v>39-3091.00</v>
      </c>
      <c r="H713" t="s">
        <v>362</v>
      </c>
      <c r="I713">
        <v>40</v>
      </c>
      <c r="J713">
        <v>40</v>
      </c>
      <c r="K713" s="1">
        <v>44940</v>
      </c>
      <c r="L713" s="1">
        <v>45244</v>
      </c>
      <c r="M713" s="1">
        <v>44940</v>
      </c>
      <c r="N713" s="1">
        <v>45244</v>
      </c>
      <c r="O713" t="s">
        <v>199</v>
      </c>
      <c r="P713" t="s">
        <v>5160</v>
      </c>
      <c r="R713" t="s">
        <v>5161</v>
      </c>
      <c r="T713" t="s">
        <v>4302</v>
      </c>
      <c r="U713" t="s">
        <v>154</v>
      </c>
      <c r="V713" s="4" t="str">
        <f>"34990"</f>
        <v>34990</v>
      </c>
      <c r="W713" t="s">
        <v>120</v>
      </c>
      <c r="Y713" s="5">
        <v>17722152225</v>
      </c>
      <c r="Z713">
        <v>0</v>
      </c>
      <c r="AA713">
        <v>71399</v>
      </c>
      <c r="AB713" t="s">
        <v>5162</v>
      </c>
      <c r="AC713" t="s">
        <v>451</v>
      </c>
      <c r="AD713" t="s">
        <v>4044</v>
      </c>
      <c r="AE713" t="s">
        <v>342</v>
      </c>
      <c r="AF713" t="s">
        <v>5161</v>
      </c>
      <c r="AH713" t="s">
        <v>4302</v>
      </c>
      <c r="AI713" t="s">
        <v>154</v>
      </c>
      <c r="AJ713" s="4" t="str">
        <f>"34990"</f>
        <v>34990</v>
      </c>
      <c r="AK713" t="s">
        <v>120</v>
      </c>
      <c r="AM713" s="5">
        <v>17722152225</v>
      </c>
      <c r="AN713">
        <v>0</v>
      </c>
      <c r="AO713" t="s">
        <v>5163</v>
      </c>
      <c r="AP713" t="s">
        <v>122</v>
      </c>
      <c r="AQ713" t="s">
        <v>369</v>
      </c>
      <c r="AR713" t="s">
        <v>370</v>
      </c>
      <c r="AS713" t="s">
        <v>371</v>
      </c>
      <c r="AT713" t="s">
        <v>372</v>
      </c>
      <c r="AU713" t="s">
        <v>373</v>
      </c>
      <c r="AV713" t="s">
        <v>374</v>
      </c>
      <c r="AW713" t="s">
        <v>339</v>
      </c>
      <c r="AX713" s="4" t="str">
        <f>"21401"</f>
        <v>21401</v>
      </c>
      <c r="AY713" t="s">
        <v>120</v>
      </c>
      <c r="BA713" s="5">
        <v>14105739955</v>
      </c>
      <c r="BB713">
        <v>0</v>
      </c>
      <c r="BC713" t="s">
        <v>375</v>
      </c>
      <c r="BD713" t="s">
        <v>376</v>
      </c>
      <c r="BE713" t="s">
        <v>339</v>
      </c>
      <c r="BF713" t="s">
        <v>377</v>
      </c>
      <c r="BG713" t="s">
        <v>154</v>
      </c>
      <c r="BH713" s="1">
        <v>44846.833333333336</v>
      </c>
      <c r="BI713">
        <v>35</v>
      </c>
      <c r="BJ713">
        <v>7</v>
      </c>
      <c r="BK713">
        <v>0</v>
      </c>
      <c r="BL713">
        <v>0</v>
      </c>
      <c r="BM713">
        <v>7</v>
      </c>
      <c r="BN713">
        <v>7</v>
      </c>
      <c r="BO713">
        <v>7</v>
      </c>
      <c r="BP713">
        <v>7</v>
      </c>
      <c r="BQ713" t="str">
        <f>"4:00 PM"</f>
        <v>4:00 PM</v>
      </c>
      <c r="BR713" t="str">
        <f>"11:00 PM"</f>
        <v>11:00 PM</v>
      </c>
      <c r="BS713" t="s">
        <v>133</v>
      </c>
      <c r="BT713">
        <v>0</v>
      </c>
      <c r="BU713">
        <v>0</v>
      </c>
      <c r="BV713" t="s">
        <v>134</v>
      </c>
      <c r="BX713" s="2" t="s">
        <v>5164</v>
      </c>
      <c r="BY713" t="s">
        <v>5165</v>
      </c>
      <c r="CA713" t="s">
        <v>5166</v>
      </c>
      <c r="CB713" t="s">
        <v>154</v>
      </c>
      <c r="CC713" s="4" t="str">
        <f>"33411"</f>
        <v>33411</v>
      </c>
      <c r="CD713" t="s">
        <v>3882</v>
      </c>
      <c r="CE713" t="s">
        <v>1742</v>
      </c>
      <c r="CF713" s="6">
        <v>9.9600000000000009</v>
      </c>
      <c r="CG713" s="6">
        <v>14.2</v>
      </c>
      <c r="CJ713" t="s">
        <v>137</v>
      </c>
      <c r="CK713" t="s">
        <v>5013</v>
      </c>
      <c r="CL713" t="s">
        <v>5167</v>
      </c>
      <c r="CO713" t="s">
        <v>138</v>
      </c>
      <c r="CP713" t="s">
        <v>114</v>
      </c>
      <c r="CQ713" t="s">
        <v>134</v>
      </c>
      <c r="CR713" t="s">
        <v>134</v>
      </c>
      <c r="CS713" t="s">
        <v>114</v>
      </c>
      <c r="CT713" t="s">
        <v>114</v>
      </c>
      <c r="CU713" t="s">
        <v>114</v>
      </c>
      <c r="CV713" t="s">
        <v>5168</v>
      </c>
      <c r="CW713" s="5" t="str">
        <f>"+17724083400"</f>
        <v>+17724083400</v>
      </c>
      <c r="CX713" t="s">
        <v>5169</v>
      </c>
      <c r="CY713" t="s">
        <v>138</v>
      </c>
      <c r="CZ713" t="s">
        <v>139</v>
      </c>
      <c r="DA713" t="s">
        <v>134</v>
      </c>
      <c r="DB713" t="s">
        <v>114</v>
      </c>
      <c r="DC713" t="s">
        <v>114</v>
      </c>
      <c r="DD713" t="s">
        <v>134</v>
      </c>
    </row>
    <row r="714" spans="1:113" ht="15" customHeight="1" x14ac:dyDescent="0.25">
      <c r="A714" t="s">
        <v>6365</v>
      </c>
      <c r="B714" t="s">
        <v>165</v>
      </c>
      <c r="C714" s="1">
        <v>44851.335843981484</v>
      </c>
      <c r="D714" s="1">
        <v>44874</v>
      </c>
      <c r="E714" t="s">
        <v>134</v>
      </c>
      <c r="F714" t="s">
        <v>1357</v>
      </c>
      <c r="G714" t="str">
        <f>"39-3091.00"</f>
        <v>39-3091.00</v>
      </c>
      <c r="H714" t="s">
        <v>362</v>
      </c>
      <c r="I714">
        <v>32</v>
      </c>
      <c r="J714">
        <v>32</v>
      </c>
      <c r="K714" s="1">
        <v>44941</v>
      </c>
      <c r="L714" s="1">
        <v>45244</v>
      </c>
      <c r="M714" s="1">
        <v>44941</v>
      </c>
      <c r="N714" s="1">
        <v>45244</v>
      </c>
      <c r="O714" t="s">
        <v>199</v>
      </c>
      <c r="P714" t="s">
        <v>6366</v>
      </c>
      <c r="R714" t="s">
        <v>6367</v>
      </c>
      <c r="S714" t="s">
        <v>6368</v>
      </c>
      <c r="T714" t="s">
        <v>2108</v>
      </c>
      <c r="U714" t="s">
        <v>232</v>
      </c>
      <c r="V714" s="4" t="str">
        <f>"78260"</f>
        <v>78260</v>
      </c>
      <c r="W714" t="s">
        <v>120</v>
      </c>
      <c r="Y714" s="5">
        <v>12106022244</v>
      </c>
      <c r="AA714">
        <v>71119</v>
      </c>
      <c r="AB714" t="s">
        <v>6369</v>
      </c>
      <c r="AC714" t="s">
        <v>2132</v>
      </c>
      <c r="AE714" t="s">
        <v>342</v>
      </c>
      <c r="AF714" t="s">
        <v>6370</v>
      </c>
      <c r="AG714" t="s">
        <v>6368</v>
      </c>
      <c r="AH714" t="s">
        <v>2108</v>
      </c>
      <c r="AI714" t="s">
        <v>232</v>
      </c>
      <c r="AJ714" s="4" t="str">
        <f>"78260"</f>
        <v>78260</v>
      </c>
      <c r="AK714" t="s">
        <v>120</v>
      </c>
      <c r="AM714" s="5">
        <v>12106022244</v>
      </c>
      <c r="AO714" t="s">
        <v>6371</v>
      </c>
      <c r="AP714" t="s">
        <v>256</v>
      </c>
      <c r="AQ714" t="s">
        <v>535</v>
      </c>
      <c r="AR714" t="s">
        <v>536</v>
      </c>
      <c r="AS714" t="s">
        <v>537</v>
      </c>
      <c r="AT714" t="s">
        <v>538</v>
      </c>
      <c r="AU714" t="s">
        <v>539</v>
      </c>
      <c r="AV714" t="s">
        <v>540</v>
      </c>
      <c r="AW714" t="s">
        <v>232</v>
      </c>
      <c r="AX714" s="4" t="str">
        <f t="shared" ref="AX714:AX720" si="48">"78550"</f>
        <v>78550</v>
      </c>
      <c r="AY714" t="s">
        <v>120</v>
      </c>
      <c r="BA714" s="5">
        <v>19564408720</v>
      </c>
      <c r="BB714">
        <v>0</v>
      </c>
      <c r="BC714" t="s">
        <v>563</v>
      </c>
      <c r="BD714" t="s">
        <v>543</v>
      </c>
      <c r="BG714" t="s">
        <v>232</v>
      </c>
      <c r="BH714" s="1">
        <v>44850.833333333336</v>
      </c>
      <c r="BI714">
        <v>40</v>
      </c>
      <c r="BJ714">
        <v>8</v>
      </c>
      <c r="BK714">
        <v>0</v>
      </c>
      <c r="BL714">
        <v>0</v>
      </c>
      <c r="BM714">
        <v>8</v>
      </c>
      <c r="BN714">
        <v>8</v>
      </c>
      <c r="BO714">
        <v>8</v>
      </c>
      <c r="BP714">
        <v>8</v>
      </c>
      <c r="BQ714" t="str">
        <f t="shared" ref="BQ714:BQ720" si="49">"1:00 PM"</f>
        <v>1:00 PM</v>
      </c>
      <c r="BR714" t="str">
        <f t="shared" ref="BR714:BR720" si="50">"10:00 PM"</f>
        <v>10:00 PM</v>
      </c>
      <c r="BS714" t="s">
        <v>133</v>
      </c>
      <c r="BT714">
        <v>0</v>
      </c>
      <c r="BU714">
        <v>0</v>
      </c>
      <c r="BV714" t="s">
        <v>134</v>
      </c>
      <c r="BX714" s="2" t="s">
        <v>579</v>
      </c>
      <c r="BY714" t="s">
        <v>6372</v>
      </c>
      <c r="CA714" t="s">
        <v>6373</v>
      </c>
      <c r="CB714" t="s">
        <v>232</v>
      </c>
      <c r="CC714" s="4" t="str">
        <f>"78380"</f>
        <v>78380</v>
      </c>
      <c r="CD714" t="s">
        <v>3231</v>
      </c>
      <c r="CE714" t="s">
        <v>327</v>
      </c>
      <c r="CF714" s="6">
        <v>9.27</v>
      </c>
      <c r="CG714" s="6">
        <v>15.47</v>
      </c>
      <c r="CJ714" t="s">
        <v>137</v>
      </c>
      <c r="CK714" t="s">
        <v>549</v>
      </c>
      <c r="CL714" t="s">
        <v>6374</v>
      </c>
      <c r="CO714" t="s">
        <v>138</v>
      </c>
      <c r="CP714" t="s">
        <v>114</v>
      </c>
      <c r="CQ714" t="s">
        <v>114</v>
      </c>
      <c r="CR714" t="s">
        <v>134</v>
      </c>
      <c r="CS714" t="s">
        <v>114</v>
      </c>
      <c r="CT714" t="s">
        <v>114</v>
      </c>
      <c r="CU714" t="s">
        <v>114</v>
      </c>
      <c r="CV714" t="s">
        <v>1360</v>
      </c>
      <c r="CW714" s="5" t="str">
        <f>"+12106022244"</f>
        <v>+12106022244</v>
      </c>
      <c r="CX714" t="s">
        <v>6371</v>
      </c>
      <c r="CY714" t="s">
        <v>138</v>
      </c>
      <c r="CZ714" t="s">
        <v>139</v>
      </c>
      <c r="DA714" t="s">
        <v>134</v>
      </c>
      <c r="DB714" t="s">
        <v>114</v>
      </c>
      <c r="DC714" t="s">
        <v>114</v>
      </c>
      <c r="DD714" t="s">
        <v>134</v>
      </c>
    </row>
    <row r="715" spans="1:113" ht="15" customHeight="1" x14ac:dyDescent="0.25">
      <c r="A715" t="s">
        <v>3735</v>
      </c>
      <c r="B715" t="s">
        <v>165</v>
      </c>
      <c r="C715" s="1">
        <v>44851.334245833335</v>
      </c>
      <c r="D715" s="1">
        <v>44874</v>
      </c>
      <c r="E715" t="s">
        <v>134</v>
      </c>
      <c r="F715" t="s">
        <v>1357</v>
      </c>
      <c r="G715" t="str">
        <f>"39-3091.00"</f>
        <v>39-3091.00</v>
      </c>
      <c r="H715" t="s">
        <v>362</v>
      </c>
      <c r="I715">
        <v>6</v>
      </c>
      <c r="J715">
        <v>6</v>
      </c>
      <c r="K715" s="1">
        <v>44941</v>
      </c>
      <c r="L715" s="1">
        <v>45244</v>
      </c>
      <c r="M715" s="1">
        <v>44941</v>
      </c>
      <c r="N715" s="1">
        <v>45244</v>
      </c>
      <c r="O715" t="s">
        <v>199</v>
      </c>
      <c r="P715" t="s">
        <v>3736</v>
      </c>
      <c r="R715" t="s">
        <v>3737</v>
      </c>
      <c r="T715" t="s">
        <v>3738</v>
      </c>
      <c r="U715" t="s">
        <v>232</v>
      </c>
      <c r="V715" s="4" t="str">
        <f>"78569-2503"</f>
        <v>78569-2503</v>
      </c>
      <c r="W715" t="s">
        <v>120</v>
      </c>
      <c r="Y715" s="5">
        <v>19568931669</v>
      </c>
      <c r="AA715">
        <v>7139</v>
      </c>
      <c r="AB715" t="s">
        <v>1481</v>
      </c>
      <c r="AC715" t="s">
        <v>1321</v>
      </c>
      <c r="AD715" t="s">
        <v>3739</v>
      </c>
      <c r="AE715" t="s">
        <v>1835</v>
      </c>
      <c r="AF715" t="s">
        <v>3737</v>
      </c>
      <c r="AH715" t="s">
        <v>3738</v>
      </c>
      <c r="AI715" t="s">
        <v>232</v>
      </c>
      <c r="AJ715" s="4" t="str">
        <f>"78569-2503"</f>
        <v>78569-2503</v>
      </c>
      <c r="AK715" t="s">
        <v>120</v>
      </c>
      <c r="AM715" s="5">
        <v>19568931669</v>
      </c>
      <c r="AO715" t="s">
        <v>3740</v>
      </c>
      <c r="AP715" t="s">
        <v>256</v>
      </c>
      <c r="AQ715" t="s">
        <v>535</v>
      </c>
      <c r="AR715" t="s">
        <v>536</v>
      </c>
      <c r="AS715" t="s">
        <v>537</v>
      </c>
      <c r="AT715" t="s">
        <v>538</v>
      </c>
      <c r="AU715" t="s">
        <v>539</v>
      </c>
      <c r="AV715" t="s">
        <v>540</v>
      </c>
      <c r="AW715" t="s">
        <v>232</v>
      </c>
      <c r="AX715" s="4" t="str">
        <f t="shared" si="48"/>
        <v>78550</v>
      </c>
      <c r="AY715" t="s">
        <v>120</v>
      </c>
      <c r="BA715" s="5">
        <v>19564408720</v>
      </c>
      <c r="BB715">
        <v>0</v>
      </c>
      <c r="BC715" t="s">
        <v>563</v>
      </c>
      <c r="BD715" t="s">
        <v>543</v>
      </c>
      <c r="BG715" t="s">
        <v>232</v>
      </c>
      <c r="BH715" s="1">
        <v>44850.833333333336</v>
      </c>
      <c r="BI715">
        <v>40</v>
      </c>
      <c r="BJ715">
        <v>8</v>
      </c>
      <c r="BK715">
        <v>0</v>
      </c>
      <c r="BL715">
        <v>0</v>
      </c>
      <c r="BM715">
        <v>8</v>
      </c>
      <c r="BN715">
        <v>8</v>
      </c>
      <c r="BO715">
        <v>8</v>
      </c>
      <c r="BP715">
        <v>8</v>
      </c>
      <c r="BQ715" t="str">
        <f t="shared" si="49"/>
        <v>1:00 PM</v>
      </c>
      <c r="BR715" t="str">
        <f t="shared" si="50"/>
        <v>10:00 PM</v>
      </c>
      <c r="BS715" t="s">
        <v>133</v>
      </c>
      <c r="BT715">
        <v>0</v>
      </c>
      <c r="BU715">
        <v>0</v>
      </c>
      <c r="BV715" t="s">
        <v>134</v>
      </c>
      <c r="BX715" s="2" t="s">
        <v>3113</v>
      </c>
      <c r="BY715" t="s">
        <v>3741</v>
      </c>
      <c r="CA715" t="s">
        <v>3738</v>
      </c>
      <c r="CB715" t="s">
        <v>232</v>
      </c>
      <c r="CC715" s="4" t="str">
        <f>"78569"</f>
        <v>78569</v>
      </c>
      <c r="CD715" t="s">
        <v>3742</v>
      </c>
      <c r="CE715" t="s">
        <v>1801</v>
      </c>
      <c r="CF715" s="6">
        <v>9.5500000000000007</v>
      </c>
      <c r="CG715" s="6">
        <v>12.42</v>
      </c>
      <c r="CJ715" t="s">
        <v>137</v>
      </c>
      <c r="CK715" t="s">
        <v>549</v>
      </c>
      <c r="CL715" t="s">
        <v>3743</v>
      </c>
      <c r="CO715" t="s">
        <v>138</v>
      </c>
      <c r="CP715" t="s">
        <v>114</v>
      </c>
      <c r="CQ715" t="s">
        <v>114</v>
      </c>
      <c r="CR715" t="s">
        <v>134</v>
      </c>
      <c r="CS715" t="s">
        <v>114</v>
      </c>
      <c r="CT715" t="s">
        <v>114</v>
      </c>
      <c r="CU715" t="s">
        <v>114</v>
      </c>
      <c r="CV715" t="s">
        <v>1360</v>
      </c>
      <c r="CW715" s="5" t="str">
        <f>"+19568931669"</f>
        <v>+19568931669</v>
      </c>
      <c r="CX715" t="s">
        <v>3744</v>
      </c>
      <c r="CY715" t="s">
        <v>138</v>
      </c>
      <c r="CZ715" t="s">
        <v>139</v>
      </c>
      <c r="DA715" t="s">
        <v>134</v>
      </c>
      <c r="DB715" t="s">
        <v>114</v>
      </c>
      <c r="DC715" t="s">
        <v>114</v>
      </c>
      <c r="DD715" t="s">
        <v>134</v>
      </c>
    </row>
    <row r="716" spans="1:113" ht="15" customHeight="1" x14ac:dyDescent="0.25">
      <c r="A716" t="s">
        <v>9663</v>
      </c>
      <c r="B716" t="s">
        <v>165</v>
      </c>
      <c r="C716" s="1">
        <v>44851.331761574074</v>
      </c>
      <c r="D716" s="1">
        <v>44874</v>
      </c>
      <c r="E716" t="s">
        <v>134</v>
      </c>
      <c r="F716" t="s">
        <v>1357</v>
      </c>
      <c r="G716" t="str">
        <f>"39-3091.00"</f>
        <v>39-3091.00</v>
      </c>
      <c r="H716" t="s">
        <v>362</v>
      </c>
      <c r="I716">
        <v>12</v>
      </c>
      <c r="J716">
        <v>12</v>
      </c>
      <c r="K716" s="1">
        <v>44941</v>
      </c>
      <c r="L716" s="1">
        <v>45244</v>
      </c>
      <c r="M716" s="1">
        <v>44941</v>
      </c>
      <c r="N716" s="1">
        <v>45244</v>
      </c>
      <c r="O716" t="s">
        <v>199</v>
      </c>
      <c r="P716" t="s">
        <v>9664</v>
      </c>
      <c r="R716" t="s">
        <v>9665</v>
      </c>
      <c r="T716" t="s">
        <v>540</v>
      </c>
      <c r="U716" t="s">
        <v>232</v>
      </c>
      <c r="V716" s="4" t="str">
        <f>"78550"</f>
        <v>78550</v>
      </c>
      <c r="W716" t="s">
        <v>120</v>
      </c>
      <c r="Y716" s="5">
        <v>19562456930</v>
      </c>
      <c r="AA716">
        <v>71399</v>
      </c>
      <c r="AB716" t="s">
        <v>9666</v>
      </c>
      <c r="AC716" t="s">
        <v>9667</v>
      </c>
      <c r="AE716" t="s">
        <v>424</v>
      </c>
      <c r="AF716" t="s">
        <v>9665</v>
      </c>
      <c r="AH716" t="s">
        <v>540</v>
      </c>
      <c r="AI716" t="s">
        <v>232</v>
      </c>
      <c r="AJ716" s="4" t="str">
        <f>"78550"</f>
        <v>78550</v>
      </c>
      <c r="AK716" t="s">
        <v>120</v>
      </c>
      <c r="AM716" s="5">
        <v>19562456930</v>
      </c>
      <c r="AO716" t="s">
        <v>9668</v>
      </c>
      <c r="AP716" t="s">
        <v>256</v>
      </c>
      <c r="AQ716" t="s">
        <v>535</v>
      </c>
      <c r="AR716" t="s">
        <v>536</v>
      </c>
      <c r="AS716" t="s">
        <v>537</v>
      </c>
      <c r="AT716" t="s">
        <v>538</v>
      </c>
      <c r="AU716" t="s">
        <v>539</v>
      </c>
      <c r="AV716" t="s">
        <v>540</v>
      </c>
      <c r="AW716" t="s">
        <v>232</v>
      </c>
      <c r="AX716" s="4" t="str">
        <f t="shared" si="48"/>
        <v>78550</v>
      </c>
      <c r="AY716" t="s">
        <v>120</v>
      </c>
      <c r="BA716" s="5">
        <v>19564408720</v>
      </c>
      <c r="BB716">
        <v>0</v>
      </c>
      <c r="BC716" t="s">
        <v>563</v>
      </c>
      <c r="BD716" t="s">
        <v>543</v>
      </c>
      <c r="BG716" t="s">
        <v>232</v>
      </c>
      <c r="BH716" s="1">
        <v>44850.833333333336</v>
      </c>
      <c r="BI716">
        <v>40</v>
      </c>
      <c r="BJ716">
        <v>8</v>
      </c>
      <c r="BK716">
        <v>0</v>
      </c>
      <c r="BL716">
        <v>0</v>
      </c>
      <c r="BM716">
        <v>8</v>
      </c>
      <c r="BN716">
        <v>8</v>
      </c>
      <c r="BO716">
        <v>8</v>
      </c>
      <c r="BP716">
        <v>8</v>
      </c>
      <c r="BQ716" t="str">
        <f t="shared" si="49"/>
        <v>1:00 PM</v>
      </c>
      <c r="BR716" t="str">
        <f t="shared" si="50"/>
        <v>10:00 PM</v>
      </c>
      <c r="BS716" t="s">
        <v>133</v>
      </c>
      <c r="BT716">
        <v>0</v>
      </c>
      <c r="BU716">
        <v>0</v>
      </c>
      <c r="BV716" t="s">
        <v>134</v>
      </c>
      <c r="BX716" s="2" t="s">
        <v>3113</v>
      </c>
      <c r="BY716" t="s">
        <v>3737</v>
      </c>
      <c r="CA716" t="s">
        <v>3738</v>
      </c>
      <c r="CB716" t="s">
        <v>232</v>
      </c>
      <c r="CC716" s="4" t="str">
        <f>"78569"</f>
        <v>78569</v>
      </c>
      <c r="CD716" t="s">
        <v>3742</v>
      </c>
      <c r="CE716" t="s">
        <v>1801</v>
      </c>
      <c r="CF716" s="6">
        <v>9.5500000000000007</v>
      </c>
      <c r="CG716" s="6">
        <v>12.42</v>
      </c>
      <c r="CJ716" t="s">
        <v>137</v>
      </c>
      <c r="CK716" t="s">
        <v>549</v>
      </c>
      <c r="CL716" t="s">
        <v>9669</v>
      </c>
      <c r="CO716" t="s">
        <v>138</v>
      </c>
      <c r="CP716" t="s">
        <v>114</v>
      </c>
      <c r="CQ716" t="s">
        <v>114</v>
      </c>
      <c r="CR716" t="s">
        <v>134</v>
      </c>
      <c r="CS716" t="s">
        <v>114</v>
      </c>
      <c r="CT716" t="s">
        <v>114</v>
      </c>
      <c r="CU716" t="s">
        <v>114</v>
      </c>
      <c r="CV716" t="s">
        <v>1360</v>
      </c>
      <c r="CW716" s="5" t="str">
        <f>"+19562456930"</f>
        <v>+19562456930</v>
      </c>
      <c r="CX716" t="s">
        <v>9668</v>
      </c>
      <c r="CY716" t="s">
        <v>138</v>
      </c>
      <c r="CZ716" t="s">
        <v>139</v>
      </c>
      <c r="DA716" t="s">
        <v>134</v>
      </c>
      <c r="DB716" t="s">
        <v>114</v>
      </c>
      <c r="DC716" t="s">
        <v>114</v>
      </c>
      <c r="DD716" t="s">
        <v>134</v>
      </c>
    </row>
    <row r="717" spans="1:113" ht="15" customHeight="1" x14ac:dyDescent="0.25">
      <c r="A717" t="s">
        <v>11534</v>
      </c>
      <c r="B717" t="s">
        <v>165</v>
      </c>
      <c r="C717" s="1">
        <v>44851.330243518518</v>
      </c>
      <c r="D717" s="1">
        <v>44874</v>
      </c>
      <c r="E717" t="s">
        <v>134</v>
      </c>
      <c r="F717" t="s">
        <v>1357</v>
      </c>
      <c r="G717" t="str">
        <f>"39-3091.00"</f>
        <v>39-3091.00</v>
      </c>
      <c r="H717" t="s">
        <v>362</v>
      </c>
      <c r="I717">
        <v>27</v>
      </c>
      <c r="J717">
        <v>27</v>
      </c>
      <c r="K717" s="1">
        <v>44941</v>
      </c>
      <c r="L717" s="1">
        <v>45244</v>
      </c>
      <c r="M717" s="1">
        <v>44941</v>
      </c>
      <c r="N717" s="1">
        <v>45244</v>
      </c>
      <c r="O717" t="s">
        <v>199</v>
      </c>
      <c r="P717" t="s">
        <v>11535</v>
      </c>
      <c r="Q717" t="s">
        <v>11536</v>
      </c>
      <c r="R717" t="s">
        <v>3737</v>
      </c>
      <c r="T717" t="s">
        <v>3738</v>
      </c>
      <c r="U717" t="s">
        <v>232</v>
      </c>
      <c r="V717" s="4" t="str">
        <f>"78569"</f>
        <v>78569</v>
      </c>
      <c r="W717" t="s">
        <v>120</v>
      </c>
      <c r="Y717" s="5">
        <v>19567435422</v>
      </c>
      <c r="AA717">
        <v>71119</v>
      </c>
      <c r="AB717" t="s">
        <v>1481</v>
      </c>
      <c r="AC717" t="s">
        <v>11537</v>
      </c>
      <c r="AD717" t="s">
        <v>2935</v>
      </c>
      <c r="AE717" t="s">
        <v>424</v>
      </c>
      <c r="AF717" t="s">
        <v>3737</v>
      </c>
      <c r="AH717" t="s">
        <v>3738</v>
      </c>
      <c r="AI717" t="s">
        <v>232</v>
      </c>
      <c r="AJ717" s="4" t="str">
        <f>"78569"</f>
        <v>78569</v>
      </c>
      <c r="AK717" t="s">
        <v>120</v>
      </c>
      <c r="AM717" s="5">
        <v>19568027617</v>
      </c>
      <c r="AO717" t="s">
        <v>3740</v>
      </c>
      <c r="AP717" t="s">
        <v>256</v>
      </c>
      <c r="AQ717" t="s">
        <v>535</v>
      </c>
      <c r="AR717" t="s">
        <v>536</v>
      </c>
      <c r="AS717" t="s">
        <v>537</v>
      </c>
      <c r="AT717" t="s">
        <v>538</v>
      </c>
      <c r="AU717" t="s">
        <v>539</v>
      </c>
      <c r="AV717" t="s">
        <v>540</v>
      </c>
      <c r="AW717" t="s">
        <v>232</v>
      </c>
      <c r="AX717" s="4" t="str">
        <f t="shared" si="48"/>
        <v>78550</v>
      </c>
      <c r="AY717" t="s">
        <v>120</v>
      </c>
      <c r="BA717" s="5">
        <v>19564408720</v>
      </c>
      <c r="BB717">
        <v>0</v>
      </c>
      <c r="BC717" t="s">
        <v>563</v>
      </c>
      <c r="BD717" t="s">
        <v>543</v>
      </c>
      <c r="BG717" t="s">
        <v>232</v>
      </c>
      <c r="BH717" s="1">
        <v>44850.833333333336</v>
      </c>
      <c r="BI717">
        <v>40</v>
      </c>
      <c r="BJ717">
        <v>8</v>
      </c>
      <c r="BK717">
        <v>0</v>
      </c>
      <c r="BL717">
        <v>0</v>
      </c>
      <c r="BM717">
        <v>8</v>
      </c>
      <c r="BN717">
        <v>8</v>
      </c>
      <c r="BO717">
        <v>8</v>
      </c>
      <c r="BP717">
        <v>8</v>
      </c>
      <c r="BQ717" t="str">
        <f t="shared" si="49"/>
        <v>1:00 PM</v>
      </c>
      <c r="BR717" t="str">
        <f t="shared" si="50"/>
        <v>10:00 PM</v>
      </c>
      <c r="BS717" t="s">
        <v>133</v>
      </c>
      <c r="BT717">
        <v>0</v>
      </c>
      <c r="BU717">
        <v>0</v>
      </c>
      <c r="BV717" t="s">
        <v>134</v>
      </c>
      <c r="BX717" s="2" t="s">
        <v>3113</v>
      </c>
      <c r="BY717" t="s">
        <v>3737</v>
      </c>
      <c r="CA717" t="s">
        <v>3738</v>
      </c>
      <c r="CB717" t="s">
        <v>232</v>
      </c>
      <c r="CC717" s="4" t="str">
        <f>"78569"</f>
        <v>78569</v>
      </c>
      <c r="CD717" t="s">
        <v>3742</v>
      </c>
      <c r="CE717" t="s">
        <v>1801</v>
      </c>
      <c r="CF717" s="6">
        <v>9.5500000000000007</v>
      </c>
      <c r="CG717" s="6">
        <v>12.42</v>
      </c>
      <c r="CJ717" t="s">
        <v>137</v>
      </c>
      <c r="CK717" t="s">
        <v>549</v>
      </c>
      <c r="CL717" t="s">
        <v>11538</v>
      </c>
      <c r="CO717" t="s">
        <v>138</v>
      </c>
      <c r="CP717" t="s">
        <v>114</v>
      </c>
      <c r="CQ717" t="s">
        <v>114</v>
      </c>
      <c r="CR717" t="s">
        <v>134</v>
      </c>
      <c r="CS717" t="s">
        <v>114</v>
      </c>
      <c r="CT717" t="s">
        <v>114</v>
      </c>
      <c r="CU717" t="s">
        <v>114</v>
      </c>
      <c r="CV717" t="s">
        <v>5919</v>
      </c>
      <c r="CW717" s="5" t="str">
        <f>"+19568027617"</f>
        <v>+19568027617</v>
      </c>
      <c r="CX717" t="s">
        <v>3740</v>
      </c>
      <c r="CY717" t="s">
        <v>138</v>
      </c>
      <c r="CZ717" t="s">
        <v>139</v>
      </c>
      <c r="DA717" t="s">
        <v>134</v>
      </c>
      <c r="DB717" t="s">
        <v>114</v>
      </c>
      <c r="DC717" t="s">
        <v>114</v>
      </c>
      <c r="DD717" t="s">
        <v>134</v>
      </c>
    </row>
    <row r="718" spans="1:113" ht="15" customHeight="1" x14ac:dyDescent="0.25">
      <c r="A718" t="s">
        <v>13854</v>
      </c>
      <c r="B718" t="s">
        <v>165</v>
      </c>
      <c r="C718" s="1">
        <v>44851.328976851852</v>
      </c>
      <c r="D718" s="1">
        <v>44874</v>
      </c>
      <c r="E718" t="s">
        <v>134</v>
      </c>
      <c r="F718" t="s">
        <v>13855</v>
      </c>
      <c r="G718" t="str">
        <f>"35-3023.00"</f>
        <v>35-3023.00</v>
      </c>
      <c r="H718" t="s">
        <v>555</v>
      </c>
      <c r="I718">
        <v>45</v>
      </c>
      <c r="J718">
        <v>45</v>
      </c>
      <c r="K718" s="1">
        <v>44941</v>
      </c>
      <c r="L718" s="1">
        <v>45244</v>
      </c>
      <c r="M718" s="1">
        <v>44941</v>
      </c>
      <c r="N718" s="1">
        <v>45244</v>
      </c>
      <c r="O718" t="s">
        <v>199</v>
      </c>
      <c r="P718" t="s">
        <v>13856</v>
      </c>
      <c r="R718" t="s">
        <v>13857</v>
      </c>
      <c r="S718" t="s">
        <v>13858</v>
      </c>
      <c r="T718" t="s">
        <v>13859</v>
      </c>
      <c r="U718" t="s">
        <v>697</v>
      </c>
      <c r="V718" s="4" t="str">
        <f>"64477"</f>
        <v>64477</v>
      </c>
      <c r="W718" t="s">
        <v>120</v>
      </c>
      <c r="Y718" s="5">
        <v>18163095968</v>
      </c>
      <c r="AA718">
        <v>71119</v>
      </c>
      <c r="AB718" t="s">
        <v>4448</v>
      </c>
      <c r="AC718" t="s">
        <v>4188</v>
      </c>
      <c r="AE718" t="s">
        <v>1262</v>
      </c>
      <c r="AF718" t="s">
        <v>13857</v>
      </c>
      <c r="AG718" t="s">
        <v>13860</v>
      </c>
      <c r="AH718" t="s">
        <v>13859</v>
      </c>
      <c r="AI718" t="s">
        <v>697</v>
      </c>
      <c r="AJ718" s="4" t="str">
        <f>"64477"</f>
        <v>64477</v>
      </c>
      <c r="AK718" t="s">
        <v>120</v>
      </c>
      <c r="AM718" s="5">
        <v>18163095968</v>
      </c>
      <c r="AO718" t="s">
        <v>13861</v>
      </c>
      <c r="AP718" t="s">
        <v>256</v>
      </c>
      <c r="AQ718" t="s">
        <v>535</v>
      </c>
      <c r="AR718" t="s">
        <v>536</v>
      </c>
      <c r="AS718" t="s">
        <v>537</v>
      </c>
      <c r="AT718" t="s">
        <v>538</v>
      </c>
      <c r="AU718" t="s">
        <v>539</v>
      </c>
      <c r="AV718" t="s">
        <v>540</v>
      </c>
      <c r="AW718" t="s">
        <v>232</v>
      </c>
      <c r="AX718" s="4" t="str">
        <f t="shared" si="48"/>
        <v>78550</v>
      </c>
      <c r="AY718" t="s">
        <v>120</v>
      </c>
      <c r="BA718" s="5">
        <v>19564408720</v>
      </c>
      <c r="BB718">
        <v>0</v>
      </c>
      <c r="BC718" t="s">
        <v>563</v>
      </c>
      <c r="BD718" t="s">
        <v>543</v>
      </c>
      <c r="BG718" t="s">
        <v>697</v>
      </c>
      <c r="BH718" s="1">
        <v>44850.833333333336</v>
      </c>
      <c r="BI718">
        <v>40</v>
      </c>
      <c r="BJ718">
        <v>8</v>
      </c>
      <c r="BK718">
        <v>0</v>
      </c>
      <c r="BL718">
        <v>0</v>
      </c>
      <c r="BM718">
        <v>8</v>
      </c>
      <c r="BN718">
        <v>8</v>
      </c>
      <c r="BO718">
        <v>8</v>
      </c>
      <c r="BP718">
        <v>8</v>
      </c>
      <c r="BQ718" t="str">
        <f t="shared" si="49"/>
        <v>1:00 PM</v>
      </c>
      <c r="BR718" t="str">
        <f t="shared" si="50"/>
        <v>10:00 PM</v>
      </c>
      <c r="BS718" t="s">
        <v>133</v>
      </c>
      <c r="BT718">
        <v>0</v>
      </c>
      <c r="BU718">
        <v>0</v>
      </c>
      <c r="BV718" t="s">
        <v>134</v>
      </c>
      <c r="BX718" s="2" t="s">
        <v>579</v>
      </c>
      <c r="BY718" t="s">
        <v>13857</v>
      </c>
      <c r="CA718" t="s">
        <v>13859</v>
      </c>
      <c r="CB718" t="s">
        <v>697</v>
      </c>
      <c r="CC718" s="4" t="str">
        <f>"64477"</f>
        <v>64477</v>
      </c>
      <c r="CD718" t="s">
        <v>2018</v>
      </c>
      <c r="CE718" t="s">
        <v>1290</v>
      </c>
      <c r="CF718" s="6">
        <v>10.07</v>
      </c>
      <c r="CG718" s="6">
        <v>12.28</v>
      </c>
      <c r="CJ718" t="s">
        <v>137</v>
      </c>
      <c r="CK718" t="s">
        <v>549</v>
      </c>
      <c r="CL718" t="s">
        <v>13862</v>
      </c>
      <c r="CO718" t="s">
        <v>138</v>
      </c>
      <c r="CP718" t="s">
        <v>114</v>
      </c>
      <c r="CQ718" t="s">
        <v>114</v>
      </c>
      <c r="CR718" t="s">
        <v>134</v>
      </c>
      <c r="CS718" t="s">
        <v>114</v>
      </c>
      <c r="CT718" t="s">
        <v>114</v>
      </c>
      <c r="CU718" t="s">
        <v>114</v>
      </c>
      <c r="CV718" t="s">
        <v>1360</v>
      </c>
      <c r="CW718" s="5" t="str">
        <f>"+18163095968"</f>
        <v>+18163095968</v>
      </c>
      <c r="CX718" t="s">
        <v>13861</v>
      </c>
      <c r="CY718" t="s">
        <v>138</v>
      </c>
      <c r="CZ718" t="s">
        <v>139</v>
      </c>
      <c r="DA718" t="s">
        <v>134</v>
      </c>
      <c r="DB718" t="s">
        <v>114</v>
      </c>
      <c r="DC718" t="s">
        <v>114</v>
      </c>
      <c r="DD718" t="s">
        <v>134</v>
      </c>
    </row>
    <row r="719" spans="1:113" ht="15" customHeight="1" x14ac:dyDescent="0.25">
      <c r="A719" t="s">
        <v>570</v>
      </c>
      <c r="B719" t="s">
        <v>165</v>
      </c>
      <c r="C719" s="1">
        <v>44851.327178935186</v>
      </c>
      <c r="D719" s="1">
        <v>44874</v>
      </c>
      <c r="E719" t="s">
        <v>134</v>
      </c>
      <c r="F719" t="s">
        <v>571</v>
      </c>
      <c r="G719" t="str">
        <f>"35-3023.00"</f>
        <v>35-3023.00</v>
      </c>
      <c r="H719" t="s">
        <v>555</v>
      </c>
      <c r="I719">
        <v>25</v>
      </c>
      <c r="J719">
        <v>25</v>
      </c>
      <c r="K719" s="1">
        <v>44941</v>
      </c>
      <c r="L719" s="1">
        <v>45229</v>
      </c>
      <c r="M719" s="1">
        <v>44941</v>
      </c>
      <c r="N719" s="1">
        <v>45229</v>
      </c>
      <c r="O719" t="s">
        <v>199</v>
      </c>
      <c r="P719" t="s">
        <v>572</v>
      </c>
      <c r="R719" t="s">
        <v>573</v>
      </c>
      <c r="T719" t="s">
        <v>574</v>
      </c>
      <c r="U719" t="s">
        <v>444</v>
      </c>
      <c r="V719" s="4" t="str">
        <f>"93657"</f>
        <v>93657</v>
      </c>
      <c r="W719" t="s">
        <v>120</v>
      </c>
      <c r="Y719" s="5">
        <v>15596965471</v>
      </c>
      <c r="AA719">
        <v>71399</v>
      </c>
      <c r="AB719" t="s">
        <v>575</v>
      </c>
      <c r="AC719" t="s">
        <v>576</v>
      </c>
      <c r="AE719" t="s">
        <v>424</v>
      </c>
      <c r="AF719" t="s">
        <v>577</v>
      </c>
      <c r="AH719" t="s">
        <v>574</v>
      </c>
      <c r="AI719" t="s">
        <v>444</v>
      </c>
      <c r="AJ719" s="4" t="str">
        <f>"93657"</f>
        <v>93657</v>
      </c>
      <c r="AK719" t="s">
        <v>120</v>
      </c>
      <c r="AM719" s="5">
        <v>15596965471</v>
      </c>
      <c r="AO719" t="s">
        <v>578</v>
      </c>
      <c r="AP719" t="s">
        <v>256</v>
      </c>
      <c r="AQ719" t="s">
        <v>535</v>
      </c>
      <c r="AR719" t="s">
        <v>536</v>
      </c>
      <c r="AS719" t="s">
        <v>537</v>
      </c>
      <c r="AT719" t="s">
        <v>538</v>
      </c>
      <c r="AU719" t="s">
        <v>539</v>
      </c>
      <c r="AV719" t="s">
        <v>540</v>
      </c>
      <c r="AW719" t="s">
        <v>232</v>
      </c>
      <c r="AX719" s="4" t="str">
        <f t="shared" si="48"/>
        <v>78550</v>
      </c>
      <c r="AY719" t="s">
        <v>120</v>
      </c>
      <c r="BA719" s="5">
        <v>19564408720</v>
      </c>
      <c r="BB719">
        <v>0</v>
      </c>
      <c r="BC719" t="s">
        <v>563</v>
      </c>
      <c r="BD719" t="s">
        <v>543</v>
      </c>
      <c r="BG719" t="s">
        <v>444</v>
      </c>
      <c r="BH719" s="1">
        <v>44850.833333333336</v>
      </c>
      <c r="BI719">
        <v>40</v>
      </c>
      <c r="BJ719">
        <v>8</v>
      </c>
      <c r="BK719">
        <v>0</v>
      </c>
      <c r="BL719">
        <v>0</v>
      </c>
      <c r="BM719">
        <v>8</v>
      </c>
      <c r="BN719">
        <v>8</v>
      </c>
      <c r="BO719">
        <v>8</v>
      </c>
      <c r="BP719">
        <v>8</v>
      </c>
      <c r="BQ719" t="str">
        <f t="shared" si="49"/>
        <v>1:00 PM</v>
      </c>
      <c r="BR719" t="str">
        <f t="shared" si="50"/>
        <v>10:00 PM</v>
      </c>
      <c r="BS719" t="s">
        <v>133</v>
      </c>
      <c r="BT719">
        <v>0</v>
      </c>
      <c r="BU719">
        <v>0</v>
      </c>
      <c r="BV719" t="s">
        <v>134</v>
      </c>
      <c r="BX719" s="2" t="s">
        <v>579</v>
      </c>
      <c r="BY719" t="s">
        <v>573</v>
      </c>
      <c r="CA719" t="s">
        <v>574</v>
      </c>
      <c r="CB719" t="s">
        <v>444</v>
      </c>
      <c r="CC719" s="4" t="str">
        <f>"93657"</f>
        <v>93657</v>
      </c>
      <c r="CD719" t="s">
        <v>580</v>
      </c>
      <c r="CE719" t="s">
        <v>581</v>
      </c>
      <c r="CF719" s="6">
        <v>15.5</v>
      </c>
      <c r="CG719" s="6">
        <v>17.48</v>
      </c>
      <c r="CJ719" t="s">
        <v>137</v>
      </c>
      <c r="CK719" t="s">
        <v>549</v>
      </c>
      <c r="CL719" t="s">
        <v>582</v>
      </c>
      <c r="CO719" t="s">
        <v>138</v>
      </c>
      <c r="CP719" t="s">
        <v>114</v>
      </c>
      <c r="CQ719" t="s">
        <v>114</v>
      </c>
      <c r="CR719" t="s">
        <v>134</v>
      </c>
      <c r="CS719" t="s">
        <v>114</v>
      </c>
      <c r="CT719" t="s">
        <v>114</v>
      </c>
      <c r="CU719" t="s">
        <v>114</v>
      </c>
      <c r="CV719" t="s">
        <v>583</v>
      </c>
      <c r="CW719" s="5" t="str">
        <f>"+15596965471"</f>
        <v>+15596965471</v>
      </c>
      <c r="CX719" t="s">
        <v>578</v>
      </c>
      <c r="CY719" t="s">
        <v>138</v>
      </c>
      <c r="CZ719" t="s">
        <v>139</v>
      </c>
      <c r="DA719" t="s">
        <v>134</v>
      </c>
      <c r="DB719" t="s">
        <v>134</v>
      </c>
      <c r="DC719" t="s">
        <v>114</v>
      </c>
      <c r="DD719" t="s">
        <v>134</v>
      </c>
    </row>
    <row r="720" spans="1:113" ht="15" customHeight="1" x14ac:dyDescent="0.25">
      <c r="A720" t="s">
        <v>10298</v>
      </c>
      <c r="B720" t="s">
        <v>165</v>
      </c>
      <c r="C720" s="1">
        <v>44851.325845486113</v>
      </c>
      <c r="D720" s="1">
        <v>44874</v>
      </c>
      <c r="E720" t="s">
        <v>134</v>
      </c>
      <c r="F720" t="s">
        <v>1357</v>
      </c>
      <c r="G720" t="str">
        <f>"39-3091.00"</f>
        <v>39-3091.00</v>
      </c>
      <c r="H720" t="s">
        <v>362</v>
      </c>
      <c r="I720">
        <v>90</v>
      </c>
      <c r="J720">
        <v>90</v>
      </c>
      <c r="K720" s="1">
        <v>44941</v>
      </c>
      <c r="L720" s="1">
        <v>45244</v>
      </c>
      <c r="M720" s="1">
        <v>44941</v>
      </c>
      <c r="N720" s="1">
        <v>45244</v>
      </c>
      <c r="O720" t="s">
        <v>199</v>
      </c>
      <c r="P720" t="s">
        <v>10299</v>
      </c>
      <c r="Q720" t="s">
        <v>138</v>
      </c>
      <c r="R720" t="s">
        <v>10300</v>
      </c>
      <c r="S720" t="s">
        <v>10301</v>
      </c>
      <c r="T720" t="s">
        <v>4254</v>
      </c>
      <c r="U720" t="s">
        <v>530</v>
      </c>
      <c r="V720" s="4" t="str">
        <f>"85286"</f>
        <v>85286</v>
      </c>
      <c r="W720" t="s">
        <v>120</v>
      </c>
      <c r="X720" t="s">
        <v>138</v>
      </c>
      <c r="Y720" s="5">
        <v>16025241483</v>
      </c>
      <c r="Z720">
        <v>0</v>
      </c>
      <c r="AA720">
        <v>71119</v>
      </c>
      <c r="AB720" t="s">
        <v>4522</v>
      </c>
      <c r="AC720" t="s">
        <v>10302</v>
      </c>
      <c r="AD720" t="s">
        <v>138</v>
      </c>
      <c r="AE720" t="s">
        <v>342</v>
      </c>
      <c r="AF720" t="s">
        <v>10300</v>
      </c>
      <c r="AG720" t="s">
        <v>10301</v>
      </c>
      <c r="AH720" t="s">
        <v>4254</v>
      </c>
      <c r="AI720" t="s">
        <v>530</v>
      </c>
      <c r="AJ720" s="4" t="str">
        <f>"85286"</f>
        <v>85286</v>
      </c>
      <c r="AK720" t="s">
        <v>120</v>
      </c>
      <c r="AM720" s="5">
        <v>16027631617</v>
      </c>
      <c r="AN720">
        <v>0</v>
      </c>
      <c r="AO720" t="s">
        <v>10303</v>
      </c>
      <c r="AP720" t="s">
        <v>256</v>
      </c>
      <c r="AQ720" t="s">
        <v>535</v>
      </c>
      <c r="AR720" t="s">
        <v>536</v>
      </c>
      <c r="AS720" t="s">
        <v>537</v>
      </c>
      <c r="AT720" t="s">
        <v>538</v>
      </c>
      <c r="AU720" t="s">
        <v>539</v>
      </c>
      <c r="AV720" t="s">
        <v>540</v>
      </c>
      <c r="AW720" t="s">
        <v>232</v>
      </c>
      <c r="AX720" s="4" t="str">
        <f t="shared" si="48"/>
        <v>78550</v>
      </c>
      <c r="AY720" t="s">
        <v>120</v>
      </c>
      <c r="BA720" s="5">
        <v>19564408720</v>
      </c>
      <c r="BB720">
        <v>0</v>
      </c>
      <c r="BC720" t="s">
        <v>563</v>
      </c>
      <c r="BD720" t="s">
        <v>543</v>
      </c>
      <c r="BG720" t="s">
        <v>530</v>
      </c>
      <c r="BH720" s="1">
        <v>44850.833333333336</v>
      </c>
      <c r="BI720">
        <v>40</v>
      </c>
      <c r="BJ720">
        <v>8</v>
      </c>
      <c r="BK720">
        <v>0</v>
      </c>
      <c r="BL720">
        <v>0</v>
      </c>
      <c r="BM720">
        <v>8</v>
      </c>
      <c r="BN720">
        <v>8</v>
      </c>
      <c r="BO720">
        <v>8</v>
      </c>
      <c r="BP720">
        <v>8</v>
      </c>
      <c r="BQ720" t="str">
        <f t="shared" si="49"/>
        <v>1:00 PM</v>
      </c>
      <c r="BR720" t="str">
        <f t="shared" si="50"/>
        <v>10:00 PM</v>
      </c>
      <c r="BS720" t="s">
        <v>133</v>
      </c>
      <c r="BT720">
        <v>0</v>
      </c>
      <c r="BU720">
        <v>0</v>
      </c>
      <c r="BV720" t="s">
        <v>134</v>
      </c>
      <c r="BX720" s="2" t="s">
        <v>579</v>
      </c>
      <c r="BY720" t="s">
        <v>10300</v>
      </c>
      <c r="CA720" t="s">
        <v>10304</v>
      </c>
      <c r="CB720" t="s">
        <v>530</v>
      </c>
      <c r="CC720" s="4" t="str">
        <f>"85286"</f>
        <v>85286</v>
      </c>
      <c r="CD720" t="s">
        <v>592</v>
      </c>
      <c r="CE720" t="s">
        <v>548</v>
      </c>
      <c r="CF720" s="6">
        <v>10.51</v>
      </c>
      <c r="CG720" s="6">
        <v>16.05</v>
      </c>
      <c r="CJ720" t="s">
        <v>137</v>
      </c>
      <c r="CK720" t="s">
        <v>549</v>
      </c>
      <c r="CL720" t="s">
        <v>10305</v>
      </c>
      <c r="CO720" t="s">
        <v>138</v>
      </c>
      <c r="CP720" t="s">
        <v>114</v>
      </c>
      <c r="CQ720" t="s">
        <v>114</v>
      </c>
      <c r="CR720" t="s">
        <v>134</v>
      </c>
      <c r="CS720" t="s">
        <v>114</v>
      </c>
      <c r="CT720" t="s">
        <v>114</v>
      </c>
      <c r="CU720" t="s">
        <v>114</v>
      </c>
      <c r="CV720" t="s">
        <v>5919</v>
      </c>
      <c r="CW720" s="5" t="str">
        <f>"+16025241483"</f>
        <v>+16025241483</v>
      </c>
      <c r="CX720" t="s">
        <v>10303</v>
      </c>
      <c r="CY720" t="s">
        <v>138</v>
      </c>
      <c r="CZ720" t="s">
        <v>139</v>
      </c>
      <c r="DA720" t="s">
        <v>134</v>
      </c>
      <c r="DB720" t="s">
        <v>114</v>
      </c>
      <c r="DC720" t="s">
        <v>114</v>
      </c>
      <c r="DD720" t="s">
        <v>134</v>
      </c>
    </row>
    <row r="721" spans="1:113" ht="15" customHeight="1" x14ac:dyDescent="0.25">
      <c r="A721" t="s">
        <v>613</v>
      </c>
      <c r="B721" t="s">
        <v>165</v>
      </c>
      <c r="C721" s="1">
        <v>44838.562043287035</v>
      </c>
      <c r="D721" s="1">
        <v>44874</v>
      </c>
      <c r="E721" t="s">
        <v>134</v>
      </c>
      <c r="F721" t="s">
        <v>614</v>
      </c>
      <c r="G721" t="str">
        <f>"39-2021.00"</f>
        <v>39-2021.00</v>
      </c>
      <c r="H721" t="s">
        <v>615</v>
      </c>
      <c r="I721">
        <v>2</v>
      </c>
      <c r="J721">
        <v>2</v>
      </c>
      <c r="K721" s="1">
        <v>44927</v>
      </c>
      <c r="L721" s="1">
        <v>45229</v>
      </c>
      <c r="M721" s="1">
        <v>44927</v>
      </c>
      <c r="N721" s="1">
        <v>45229</v>
      </c>
      <c r="O721" t="s">
        <v>199</v>
      </c>
      <c r="P721" t="s">
        <v>616</v>
      </c>
      <c r="R721" t="s">
        <v>617</v>
      </c>
      <c r="T721" t="s">
        <v>618</v>
      </c>
      <c r="U721" t="s">
        <v>619</v>
      </c>
      <c r="V721" s="4" t="str">
        <f>"40068"</f>
        <v>40068</v>
      </c>
      <c r="W721" t="s">
        <v>120</v>
      </c>
      <c r="Y721" s="5">
        <v>15026087077</v>
      </c>
      <c r="AA721">
        <v>711212</v>
      </c>
      <c r="AB721" t="s">
        <v>620</v>
      </c>
      <c r="AC721" t="s">
        <v>621</v>
      </c>
      <c r="AE721" t="s">
        <v>622</v>
      </c>
      <c r="AF721" t="s">
        <v>617</v>
      </c>
      <c r="AH721" t="s">
        <v>623</v>
      </c>
      <c r="AI721" t="s">
        <v>619</v>
      </c>
      <c r="AJ721" s="4" t="str">
        <f>"40068"</f>
        <v>40068</v>
      </c>
      <c r="AK721" t="s">
        <v>120</v>
      </c>
      <c r="AM721" s="5">
        <v>15026087077</v>
      </c>
      <c r="AO721" t="s">
        <v>624</v>
      </c>
      <c r="AP721" t="s">
        <v>122</v>
      </c>
      <c r="AQ721" t="s">
        <v>625</v>
      </c>
      <c r="AR721" t="s">
        <v>626</v>
      </c>
      <c r="AS721" t="s">
        <v>627</v>
      </c>
      <c r="AT721" t="s">
        <v>628</v>
      </c>
      <c r="AU721" t="s">
        <v>629</v>
      </c>
      <c r="AV721" t="s">
        <v>630</v>
      </c>
      <c r="AW721" t="s">
        <v>631</v>
      </c>
      <c r="AX721" s="4" t="str">
        <f>"73069"</f>
        <v>73069</v>
      </c>
      <c r="AY721" t="s">
        <v>120</v>
      </c>
      <c r="BA721" s="5">
        <v>14053642525</v>
      </c>
      <c r="BC721" t="s">
        <v>632</v>
      </c>
      <c r="BD721" t="s">
        <v>633</v>
      </c>
      <c r="BE721" t="s">
        <v>631</v>
      </c>
      <c r="BF721" t="s">
        <v>634</v>
      </c>
      <c r="BG721" t="s">
        <v>154</v>
      </c>
      <c r="BH721" s="1">
        <v>44837.833333333336</v>
      </c>
      <c r="BI721">
        <v>56</v>
      </c>
      <c r="BJ721">
        <v>8</v>
      </c>
      <c r="BK721">
        <v>8</v>
      </c>
      <c r="BL721">
        <v>8</v>
      </c>
      <c r="BM721">
        <v>8</v>
      </c>
      <c r="BN721">
        <v>8</v>
      </c>
      <c r="BO721">
        <v>8</v>
      </c>
      <c r="BP721">
        <v>8</v>
      </c>
      <c r="BQ721" t="str">
        <f>"5:00 AM"</f>
        <v>5:00 AM</v>
      </c>
      <c r="BR721" t="str">
        <f>"5:00 PM"</f>
        <v>5:00 PM</v>
      </c>
      <c r="BS721" t="s">
        <v>133</v>
      </c>
      <c r="BT721">
        <v>0</v>
      </c>
      <c r="BU721">
        <v>1</v>
      </c>
      <c r="BV721" t="s">
        <v>134</v>
      </c>
      <c r="BX721" s="2" t="s">
        <v>635</v>
      </c>
      <c r="BY721" t="s">
        <v>636</v>
      </c>
      <c r="CA721" t="s">
        <v>637</v>
      </c>
      <c r="CB721" t="s">
        <v>154</v>
      </c>
      <c r="CC721" s="4" t="str">
        <f>"34481"</f>
        <v>34481</v>
      </c>
      <c r="CD721" t="s">
        <v>638</v>
      </c>
      <c r="CE721" t="s">
        <v>639</v>
      </c>
      <c r="CF721" s="6">
        <v>12.81</v>
      </c>
      <c r="CG721" s="6">
        <v>12.81</v>
      </c>
      <c r="CH721" s="6">
        <v>19.22</v>
      </c>
      <c r="CI721" s="6">
        <v>19.22</v>
      </c>
      <c r="CJ721" t="s">
        <v>137</v>
      </c>
      <c r="CL721" t="s">
        <v>640</v>
      </c>
      <c r="CO721" t="s">
        <v>138</v>
      </c>
      <c r="CP721" t="s">
        <v>134</v>
      </c>
      <c r="CQ721" t="s">
        <v>134</v>
      </c>
      <c r="CR721" t="s">
        <v>114</v>
      </c>
      <c r="CS721" t="s">
        <v>134</v>
      </c>
      <c r="CT721" t="s">
        <v>114</v>
      </c>
      <c r="CU721" t="s">
        <v>114</v>
      </c>
      <c r="CV721" t="s">
        <v>641</v>
      </c>
      <c r="CW721" s="5" t="str">
        <f>"+19546775555"</f>
        <v>+19546775555</v>
      </c>
      <c r="CX721" t="s">
        <v>642</v>
      </c>
      <c r="CY721" t="s">
        <v>138</v>
      </c>
      <c r="CZ721" t="s">
        <v>139</v>
      </c>
      <c r="DA721" t="s">
        <v>134</v>
      </c>
      <c r="DB721" t="s">
        <v>134</v>
      </c>
      <c r="DC721" t="s">
        <v>114</v>
      </c>
      <c r="DD721" t="s">
        <v>134</v>
      </c>
    </row>
    <row r="722" spans="1:113" ht="15" customHeight="1" x14ac:dyDescent="0.25">
      <c r="A722" t="s">
        <v>8833</v>
      </c>
      <c r="B722" t="s">
        <v>165</v>
      </c>
      <c r="C722" s="1">
        <v>44837.769192939813</v>
      </c>
      <c r="D722" s="1">
        <v>44874</v>
      </c>
      <c r="E722" t="s">
        <v>134</v>
      </c>
      <c r="F722" t="s">
        <v>8834</v>
      </c>
      <c r="G722" t="str">
        <f>"53-7062.00"</f>
        <v>53-7062.00</v>
      </c>
      <c r="H722" t="s">
        <v>245</v>
      </c>
      <c r="I722">
        <v>50</v>
      </c>
      <c r="J722">
        <v>50</v>
      </c>
      <c r="K722" s="1">
        <v>44927</v>
      </c>
      <c r="L722" s="1">
        <v>45230</v>
      </c>
      <c r="M722" s="1">
        <v>44927</v>
      </c>
      <c r="N722" s="1">
        <v>45230</v>
      </c>
      <c r="O722" t="s">
        <v>117</v>
      </c>
      <c r="P722" t="s">
        <v>8835</v>
      </c>
      <c r="R722" t="s">
        <v>8836</v>
      </c>
      <c r="S722" t="s">
        <v>8837</v>
      </c>
      <c r="T722" t="s">
        <v>8838</v>
      </c>
      <c r="U722" t="s">
        <v>154</v>
      </c>
      <c r="V722" s="4" t="str">
        <f>"33149"</f>
        <v>33149</v>
      </c>
      <c r="W722" t="s">
        <v>120</v>
      </c>
      <c r="Y722" s="5">
        <v>16894078017</v>
      </c>
      <c r="AA722">
        <v>532289</v>
      </c>
      <c r="AB722" t="s">
        <v>8839</v>
      </c>
      <c r="AC722" t="s">
        <v>8840</v>
      </c>
      <c r="AE722" t="s">
        <v>1654</v>
      </c>
      <c r="AF722" t="s">
        <v>8836</v>
      </c>
      <c r="AG722" t="s">
        <v>8837</v>
      </c>
      <c r="AH722" t="s">
        <v>8838</v>
      </c>
      <c r="AI722" t="s">
        <v>154</v>
      </c>
      <c r="AJ722" s="4" t="str">
        <f>"33149"</f>
        <v>33149</v>
      </c>
      <c r="AK722" t="s">
        <v>120</v>
      </c>
      <c r="AM722" s="5">
        <v>16894078017</v>
      </c>
      <c r="AO722" t="s">
        <v>8841</v>
      </c>
      <c r="AP722" t="s">
        <v>256</v>
      </c>
      <c r="AQ722" t="s">
        <v>1420</v>
      </c>
      <c r="AR722" t="s">
        <v>1421</v>
      </c>
      <c r="AT722" t="s">
        <v>1422</v>
      </c>
      <c r="AU722" t="s">
        <v>347</v>
      </c>
      <c r="AV722" t="s">
        <v>828</v>
      </c>
      <c r="AW722" t="s">
        <v>349</v>
      </c>
      <c r="AX722" s="4" t="str">
        <f>"83814"</f>
        <v>83814</v>
      </c>
      <c r="AY722" t="s">
        <v>120</v>
      </c>
      <c r="BA722" s="5">
        <v>12087772654</v>
      </c>
      <c r="BC722" t="s">
        <v>1423</v>
      </c>
      <c r="BD722" t="s">
        <v>351</v>
      </c>
      <c r="BG722" t="s">
        <v>154</v>
      </c>
      <c r="BH722" s="1">
        <v>44836.833333333336</v>
      </c>
      <c r="BI722">
        <v>40</v>
      </c>
      <c r="BJ722">
        <v>0</v>
      </c>
      <c r="BK722">
        <v>8</v>
      </c>
      <c r="BL722">
        <v>8</v>
      </c>
      <c r="BM722">
        <v>8</v>
      </c>
      <c r="BN722">
        <v>8</v>
      </c>
      <c r="BO722">
        <v>8</v>
      </c>
      <c r="BP722">
        <v>0</v>
      </c>
      <c r="BQ722" t="str">
        <f>"7:00 AM"</f>
        <v>7:00 AM</v>
      </c>
      <c r="BR722" t="str">
        <f>"4:00 PM"</f>
        <v>4:00 PM</v>
      </c>
      <c r="BS722" t="s">
        <v>133</v>
      </c>
      <c r="BT722">
        <v>0</v>
      </c>
      <c r="BU722">
        <v>0</v>
      </c>
      <c r="BV722" t="s">
        <v>134</v>
      </c>
      <c r="BX722" s="2" t="s">
        <v>8842</v>
      </c>
      <c r="BY722" t="s">
        <v>8843</v>
      </c>
      <c r="BZ722" t="s">
        <v>8844</v>
      </c>
      <c r="CA722" t="s">
        <v>8838</v>
      </c>
      <c r="CB722" t="s">
        <v>154</v>
      </c>
      <c r="CC722" s="4" t="str">
        <f>"33149"</f>
        <v>33149</v>
      </c>
      <c r="CD722" t="s">
        <v>1741</v>
      </c>
      <c r="CE722" t="s">
        <v>1742</v>
      </c>
      <c r="CF722" s="6">
        <v>16.29</v>
      </c>
      <c r="CH722" s="6">
        <v>24.44</v>
      </c>
      <c r="CJ722" t="s">
        <v>137</v>
      </c>
      <c r="CK722" t="s">
        <v>138</v>
      </c>
      <c r="CL722" t="s">
        <v>8845</v>
      </c>
      <c r="CO722" t="s">
        <v>138</v>
      </c>
      <c r="CP722" t="s">
        <v>114</v>
      </c>
      <c r="CQ722" t="s">
        <v>114</v>
      </c>
      <c r="CR722" t="s">
        <v>114</v>
      </c>
      <c r="CS722" t="s">
        <v>114</v>
      </c>
      <c r="CT722" t="s">
        <v>114</v>
      </c>
      <c r="CU722" t="s">
        <v>134</v>
      </c>
      <c r="CV722" t="s">
        <v>358</v>
      </c>
      <c r="CW722" s="5" t="str">
        <f>"+16894078017"</f>
        <v>+16894078017</v>
      </c>
      <c r="CX722" t="s">
        <v>8846</v>
      </c>
      <c r="CY722" t="s">
        <v>8847</v>
      </c>
      <c r="CZ722" t="s">
        <v>139</v>
      </c>
      <c r="DA722" t="s">
        <v>134</v>
      </c>
      <c r="DB722" t="s">
        <v>114</v>
      </c>
      <c r="DC722" t="s">
        <v>114</v>
      </c>
      <c r="DD722" t="s">
        <v>134</v>
      </c>
    </row>
    <row r="723" spans="1:113" ht="15" customHeight="1" x14ac:dyDescent="0.25">
      <c r="A723" t="s">
        <v>5394</v>
      </c>
      <c r="B723" t="s">
        <v>165</v>
      </c>
      <c r="C723" s="1">
        <v>44823.425921759263</v>
      </c>
      <c r="D723" s="1">
        <v>44874</v>
      </c>
      <c r="E723" t="s">
        <v>114</v>
      </c>
      <c r="F723" t="s">
        <v>1704</v>
      </c>
      <c r="G723" t="str">
        <f>"35-2019.00"</f>
        <v>35-2019.00</v>
      </c>
      <c r="H723" t="s">
        <v>5395</v>
      </c>
      <c r="I723">
        <v>2</v>
      </c>
      <c r="J723">
        <v>2</v>
      </c>
      <c r="K723" s="1">
        <v>44910</v>
      </c>
      <c r="L723" s="1">
        <v>45017</v>
      </c>
      <c r="M723" s="1">
        <v>44910</v>
      </c>
      <c r="N723" s="1">
        <v>45017</v>
      </c>
      <c r="O723" t="s">
        <v>168</v>
      </c>
      <c r="P723" t="s">
        <v>5396</v>
      </c>
      <c r="R723" t="s">
        <v>5397</v>
      </c>
      <c r="S723" t="s">
        <v>5398</v>
      </c>
      <c r="T723" t="s">
        <v>5399</v>
      </c>
      <c r="U723" t="s">
        <v>281</v>
      </c>
      <c r="V723" s="4" t="str">
        <f>"02539"</f>
        <v>02539</v>
      </c>
      <c r="W723" t="s">
        <v>120</v>
      </c>
      <c r="Y723" s="5">
        <v>15085608368</v>
      </c>
      <c r="AA723">
        <v>722513</v>
      </c>
      <c r="AB723" t="s">
        <v>5400</v>
      </c>
      <c r="AC723" t="s">
        <v>5401</v>
      </c>
      <c r="AE723" t="s">
        <v>424</v>
      </c>
      <c r="AF723" t="s">
        <v>5398</v>
      </c>
      <c r="AG723" t="s">
        <v>5397</v>
      </c>
      <c r="AH723" t="s">
        <v>5399</v>
      </c>
      <c r="AI723" t="s">
        <v>281</v>
      </c>
      <c r="AJ723" s="4" t="str">
        <f>"02539"</f>
        <v>02539</v>
      </c>
      <c r="AK723" t="s">
        <v>120</v>
      </c>
      <c r="AM723" s="5">
        <v>15085608368</v>
      </c>
      <c r="AO723" t="s">
        <v>5402</v>
      </c>
      <c r="AP723" t="s">
        <v>122</v>
      </c>
      <c r="AQ723" t="s">
        <v>5403</v>
      </c>
      <c r="AR723" t="s">
        <v>5404</v>
      </c>
      <c r="AS723" t="s">
        <v>2026</v>
      </c>
      <c r="AT723" t="s">
        <v>5405</v>
      </c>
      <c r="AU723" t="s">
        <v>5406</v>
      </c>
      <c r="AV723" t="s">
        <v>5399</v>
      </c>
      <c r="AW723" t="s">
        <v>281</v>
      </c>
      <c r="AX723" s="4" t="str">
        <f>"02539"</f>
        <v>02539</v>
      </c>
      <c r="AY723" t="s">
        <v>120</v>
      </c>
      <c r="BA723" s="5">
        <v>15086273322</v>
      </c>
      <c r="BC723" t="s">
        <v>5407</v>
      </c>
      <c r="BD723" t="s">
        <v>5408</v>
      </c>
      <c r="BE723" t="s">
        <v>281</v>
      </c>
      <c r="BF723" t="s">
        <v>5409</v>
      </c>
      <c r="BG723" t="s">
        <v>281</v>
      </c>
      <c r="BH723" s="1">
        <v>44822.833333333336</v>
      </c>
      <c r="BI723">
        <v>35</v>
      </c>
      <c r="BJ723">
        <v>7</v>
      </c>
      <c r="BK723">
        <v>0</v>
      </c>
      <c r="BL723">
        <v>0</v>
      </c>
      <c r="BM723">
        <v>7</v>
      </c>
      <c r="BN723">
        <v>7</v>
      </c>
      <c r="BO723">
        <v>7</v>
      </c>
      <c r="BP723">
        <v>7</v>
      </c>
      <c r="BQ723" t="str">
        <f>"7:00 AM"</f>
        <v>7:00 AM</v>
      </c>
      <c r="BR723" t="str">
        <f>"2:00 PM"</f>
        <v>2:00 PM</v>
      </c>
      <c r="BS723" t="s">
        <v>133</v>
      </c>
      <c r="BT723">
        <v>0</v>
      </c>
      <c r="BU723">
        <v>0</v>
      </c>
      <c r="BV723" t="s">
        <v>134</v>
      </c>
      <c r="BX723" t="s">
        <v>1574</v>
      </c>
      <c r="BY723" t="s">
        <v>5410</v>
      </c>
      <c r="CA723" t="s">
        <v>5399</v>
      </c>
      <c r="CB723" t="s">
        <v>281</v>
      </c>
      <c r="CC723" s="4" t="str">
        <f>"02539"</f>
        <v>02539</v>
      </c>
      <c r="CD723" t="s">
        <v>5411</v>
      </c>
      <c r="CE723" t="s">
        <v>1645</v>
      </c>
      <c r="CF723" s="6">
        <v>17.09</v>
      </c>
      <c r="CG723" s="6">
        <v>17.09</v>
      </c>
      <c r="CJ723" t="s">
        <v>137</v>
      </c>
      <c r="CK723" t="s">
        <v>5412</v>
      </c>
      <c r="CL723" t="s">
        <v>5413</v>
      </c>
      <c r="CO723" t="s">
        <v>138</v>
      </c>
      <c r="CP723" t="s">
        <v>134</v>
      </c>
      <c r="CQ723" t="s">
        <v>134</v>
      </c>
      <c r="CR723" t="s">
        <v>134</v>
      </c>
      <c r="CS723" t="s">
        <v>114</v>
      </c>
      <c r="CT723" t="s">
        <v>114</v>
      </c>
      <c r="CU723" t="s">
        <v>114</v>
      </c>
      <c r="CV723" t="s">
        <v>5414</v>
      </c>
      <c r="CW723" s="5" t="str">
        <f>"+15085608368"</f>
        <v>+15085608368</v>
      </c>
      <c r="CX723" t="s">
        <v>5402</v>
      </c>
      <c r="CY723" t="s">
        <v>138</v>
      </c>
      <c r="CZ723" t="s">
        <v>139</v>
      </c>
      <c r="DA723" t="s">
        <v>134</v>
      </c>
      <c r="DB723" t="s">
        <v>134</v>
      </c>
      <c r="DC723" t="s">
        <v>114</v>
      </c>
      <c r="DD723" t="s">
        <v>134</v>
      </c>
    </row>
    <row r="724" spans="1:113" ht="15" customHeight="1" x14ac:dyDescent="0.25">
      <c r="A724" t="s">
        <v>3805</v>
      </c>
      <c r="B724" t="s">
        <v>165</v>
      </c>
      <c r="C724" s="1">
        <v>44820.772999768516</v>
      </c>
      <c r="D724" s="1">
        <v>44874</v>
      </c>
      <c r="E724" t="s">
        <v>114</v>
      </c>
      <c r="F724" t="s">
        <v>3806</v>
      </c>
      <c r="G724" t="str">
        <f>"37-2011.00"</f>
        <v>37-2011.00</v>
      </c>
      <c r="H724" t="s">
        <v>672</v>
      </c>
      <c r="I724">
        <v>7</v>
      </c>
      <c r="J724">
        <v>7</v>
      </c>
      <c r="K724" s="1">
        <v>44895</v>
      </c>
      <c r="L724" s="1">
        <v>45016</v>
      </c>
      <c r="M724" s="1">
        <v>44895</v>
      </c>
      <c r="N724" s="1">
        <v>45016</v>
      </c>
      <c r="O724" t="s">
        <v>199</v>
      </c>
      <c r="P724" t="s">
        <v>3807</v>
      </c>
      <c r="R724" t="s">
        <v>3808</v>
      </c>
      <c r="T724" t="s">
        <v>3809</v>
      </c>
      <c r="U724" t="s">
        <v>2081</v>
      </c>
      <c r="V724" s="4" t="str">
        <f>"52240"</f>
        <v>52240</v>
      </c>
      <c r="W724" t="s">
        <v>120</v>
      </c>
      <c r="Y724" s="5">
        <v>13199367956</v>
      </c>
      <c r="AA724">
        <v>561730</v>
      </c>
      <c r="AB724" t="s">
        <v>3810</v>
      </c>
      <c r="AC724" t="s">
        <v>1566</v>
      </c>
      <c r="AD724" t="s">
        <v>1458</v>
      </c>
      <c r="AE724" t="s">
        <v>424</v>
      </c>
      <c r="AF724" t="s">
        <v>3808</v>
      </c>
      <c r="AH724" t="s">
        <v>3811</v>
      </c>
      <c r="AI724" t="s">
        <v>2081</v>
      </c>
      <c r="AJ724" s="4" t="str">
        <f>"52240"</f>
        <v>52240</v>
      </c>
      <c r="AK724" t="s">
        <v>120</v>
      </c>
      <c r="AM724" s="5">
        <v>13199367956</v>
      </c>
      <c r="AO724" t="s">
        <v>3812</v>
      </c>
      <c r="AP724" t="s">
        <v>256</v>
      </c>
      <c r="AQ724" t="s">
        <v>3813</v>
      </c>
      <c r="AR724" t="s">
        <v>3814</v>
      </c>
      <c r="AS724" t="s">
        <v>2540</v>
      </c>
      <c r="AT724" t="s">
        <v>3815</v>
      </c>
      <c r="AV724" t="s">
        <v>3816</v>
      </c>
      <c r="AW724" t="s">
        <v>2081</v>
      </c>
      <c r="AX724" s="4" t="str">
        <f>"52761"</f>
        <v>52761</v>
      </c>
      <c r="AY724" t="s">
        <v>120</v>
      </c>
      <c r="BA724" s="5">
        <v>13194000335</v>
      </c>
      <c r="BC724" t="s">
        <v>3817</v>
      </c>
      <c r="BD724" t="s">
        <v>3818</v>
      </c>
      <c r="BG724" t="s">
        <v>2081</v>
      </c>
      <c r="BH724" s="1">
        <v>44815.833333333336</v>
      </c>
      <c r="BI724">
        <v>40</v>
      </c>
      <c r="BJ724">
        <v>0</v>
      </c>
      <c r="BK724">
        <v>8</v>
      </c>
      <c r="BL724">
        <v>8</v>
      </c>
      <c r="BM724">
        <v>8</v>
      </c>
      <c r="BN724">
        <v>8</v>
      </c>
      <c r="BO724">
        <v>8</v>
      </c>
      <c r="BP724">
        <v>0</v>
      </c>
      <c r="BQ724" t="str">
        <f>"7:00 AM"</f>
        <v>7:00 AM</v>
      </c>
      <c r="BR724" t="str">
        <f>"3:00 PM"</f>
        <v>3:00 PM</v>
      </c>
      <c r="BS724" t="s">
        <v>133</v>
      </c>
      <c r="BT724">
        <v>0</v>
      </c>
      <c r="BU724">
        <v>0</v>
      </c>
      <c r="BV724" t="s">
        <v>134</v>
      </c>
      <c r="BX724" t="s">
        <v>138</v>
      </c>
      <c r="BY724" t="s">
        <v>3808</v>
      </c>
      <c r="CA724" t="s">
        <v>3809</v>
      </c>
      <c r="CB724" t="s">
        <v>2081</v>
      </c>
      <c r="CC724" s="4" t="str">
        <f>"52240"</f>
        <v>52240</v>
      </c>
      <c r="CD724" t="s">
        <v>1289</v>
      </c>
      <c r="CE724" t="s">
        <v>2286</v>
      </c>
      <c r="CF724" s="6">
        <v>16.77</v>
      </c>
      <c r="CG724" s="6">
        <v>16.77</v>
      </c>
      <c r="CH724" s="6">
        <v>25.16</v>
      </c>
      <c r="CI724" s="6">
        <v>25.16</v>
      </c>
      <c r="CJ724" t="s">
        <v>137</v>
      </c>
      <c r="CK724" t="s">
        <v>138</v>
      </c>
      <c r="CL724" t="s">
        <v>3819</v>
      </c>
      <c r="CO724" t="s">
        <v>138</v>
      </c>
      <c r="CP724" t="s">
        <v>114</v>
      </c>
      <c r="CQ724" t="s">
        <v>134</v>
      </c>
      <c r="CR724" t="s">
        <v>134</v>
      </c>
      <c r="CS724" t="s">
        <v>134</v>
      </c>
      <c r="CT724" t="s">
        <v>114</v>
      </c>
      <c r="CU724" t="s">
        <v>134</v>
      </c>
      <c r="CV724" s="2" t="s">
        <v>3820</v>
      </c>
      <c r="CW724" s="5" t="str">
        <f>"+13199367956"</f>
        <v>+13199367956</v>
      </c>
      <c r="CX724" t="s">
        <v>3812</v>
      </c>
      <c r="CY724" t="s">
        <v>138</v>
      </c>
      <c r="CZ724" t="s">
        <v>139</v>
      </c>
      <c r="DA724" t="s">
        <v>134</v>
      </c>
      <c r="DB724" t="s">
        <v>114</v>
      </c>
      <c r="DC724" t="s">
        <v>114</v>
      </c>
      <c r="DD724" t="s">
        <v>134</v>
      </c>
    </row>
    <row r="725" spans="1:113" ht="15" customHeight="1" x14ac:dyDescent="0.25">
      <c r="A725" t="s">
        <v>11514</v>
      </c>
      <c r="B725" t="s">
        <v>165</v>
      </c>
      <c r="C725" s="1">
        <v>44790.532049768517</v>
      </c>
      <c r="D725" s="1">
        <v>44874</v>
      </c>
      <c r="E725" t="s">
        <v>134</v>
      </c>
      <c r="F725" t="s">
        <v>614</v>
      </c>
      <c r="G725" t="str">
        <f>"39-2021.00"</f>
        <v>39-2021.00</v>
      </c>
      <c r="H725" t="s">
        <v>615</v>
      </c>
      <c r="I725">
        <v>3</v>
      </c>
      <c r="J725">
        <v>3</v>
      </c>
      <c r="K725" s="1">
        <v>44880</v>
      </c>
      <c r="L725" s="1">
        <v>45046</v>
      </c>
      <c r="M725" s="1">
        <v>44880</v>
      </c>
      <c r="N725" s="1">
        <v>45046</v>
      </c>
      <c r="O725" t="s">
        <v>199</v>
      </c>
      <c r="P725" t="s">
        <v>11515</v>
      </c>
      <c r="R725" t="s">
        <v>11516</v>
      </c>
      <c r="T725" t="s">
        <v>1711</v>
      </c>
      <c r="U725" t="s">
        <v>232</v>
      </c>
      <c r="V725" s="4" t="str">
        <f>"79922"</f>
        <v>79922</v>
      </c>
      <c r="W725" t="s">
        <v>120</v>
      </c>
      <c r="Y725" s="5">
        <v>19155495077</v>
      </c>
      <c r="AA725">
        <v>711212</v>
      </c>
      <c r="AB725" t="s">
        <v>5893</v>
      </c>
      <c r="AC725" t="s">
        <v>1280</v>
      </c>
      <c r="AE725" t="s">
        <v>622</v>
      </c>
      <c r="AF725" t="s">
        <v>11516</v>
      </c>
      <c r="AH725" t="s">
        <v>5699</v>
      </c>
      <c r="AI725" t="s">
        <v>232</v>
      </c>
      <c r="AJ725" s="4" t="str">
        <f>"79922"</f>
        <v>79922</v>
      </c>
      <c r="AK725" t="s">
        <v>120</v>
      </c>
      <c r="AM725" s="5">
        <v>19155495077</v>
      </c>
      <c r="AO725" t="s">
        <v>11517</v>
      </c>
      <c r="AP725" t="s">
        <v>122</v>
      </c>
      <c r="AQ725" t="s">
        <v>625</v>
      </c>
      <c r="AR725" t="s">
        <v>626</v>
      </c>
      <c r="AS725" t="s">
        <v>627</v>
      </c>
      <c r="AT725" t="s">
        <v>628</v>
      </c>
      <c r="AU725" t="s">
        <v>629</v>
      </c>
      <c r="AV725" t="s">
        <v>630</v>
      </c>
      <c r="AW725" t="s">
        <v>631</v>
      </c>
      <c r="AX725" s="4" t="str">
        <f>"73069"</f>
        <v>73069</v>
      </c>
      <c r="AY725" t="s">
        <v>120</v>
      </c>
      <c r="BA725" s="5">
        <v>14053642525</v>
      </c>
      <c r="BC725" t="s">
        <v>632</v>
      </c>
      <c r="BD725" t="s">
        <v>633</v>
      </c>
      <c r="BE725" t="s">
        <v>631</v>
      </c>
      <c r="BF725" t="s">
        <v>634</v>
      </c>
      <c r="BG725" t="s">
        <v>154</v>
      </c>
      <c r="BH725" s="1">
        <v>44789.833333333336</v>
      </c>
      <c r="BI725">
        <v>56</v>
      </c>
      <c r="BJ725">
        <v>8</v>
      </c>
      <c r="BK725">
        <v>8</v>
      </c>
      <c r="BL725">
        <v>8</v>
      </c>
      <c r="BM725">
        <v>8</v>
      </c>
      <c r="BN725">
        <v>8</v>
      </c>
      <c r="BO725">
        <v>8</v>
      </c>
      <c r="BP725">
        <v>8</v>
      </c>
      <c r="BQ725" t="str">
        <f>"5:00 AM"</f>
        <v>5:00 AM</v>
      </c>
      <c r="BR725" t="str">
        <f>"5:00 PM"</f>
        <v>5:00 PM</v>
      </c>
      <c r="BS725" t="s">
        <v>133</v>
      </c>
      <c r="BT725">
        <v>0</v>
      </c>
      <c r="BU725">
        <v>1</v>
      </c>
      <c r="BV725" t="s">
        <v>134</v>
      </c>
      <c r="BX725" s="2" t="s">
        <v>2930</v>
      </c>
      <c r="BY725" t="s">
        <v>7740</v>
      </c>
      <c r="BZ725" t="s">
        <v>11518</v>
      </c>
      <c r="CA725" t="s">
        <v>11519</v>
      </c>
      <c r="CB725" t="s">
        <v>154</v>
      </c>
      <c r="CC725" s="4" t="str">
        <f>"33626"</f>
        <v>33626</v>
      </c>
      <c r="CD725" t="s">
        <v>566</v>
      </c>
      <c r="CE725" t="s">
        <v>567</v>
      </c>
      <c r="CF725" s="6">
        <v>12.83</v>
      </c>
      <c r="CG725" s="6">
        <v>12.83</v>
      </c>
      <c r="CH725" s="6">
        <v>19.25</v>
      </c>
      <c r="CI725" s="6">
        <v>19.25</v>
      </c>
      <c r="CJ725" t="s">
        <v>137</v>
      </c>
      <c r="CL725" t="s">
        <v>11520</v>
      </c>
      <c r="CO725" t="s">
        <v>138</v>
      </c>
      <c r="CP725" t="s">
        <v>134</v>
      </c>
      <c r="CQ725" t="s">
        <v>134</v>
      </c>
      <c r="CR725" t="s">
        <v>114</v>
      </c>
      <c r="CS725" t="s">
        <v>134</v>
      </c>
      <c r="CT725" t="s">
        <v>114</v>
      </c>
      <c r="CU725" t="s">
        <v>114</v>
      </c>
      <c r="CV725" t="s">
        <v>2591</v>
      </c>
      <c r="CW725" s="5" t="str">
        <f>"+18139307400"</f>
        <v>+18139307400</v>
      </c>
      <c r="CX725" t="s">
        <v>11517</v>
      </c>
      <c r="CY725" t="s">
        <v>138</v>
      </c>
      <c r="CZ725" t="s">
        <v>139</v>
      </c>
      <c r="DA725" t="s">
        <v>134</v>
      </c>
      <c r="DB725" t="s">
        <v>134</v>
      </c>
      <c r="DC725" t="s">
        <v>114</v>
      </c>
      <c r="DD725" t="s">
        <v>134</v>
      </c>
    </row>
    <row r="726" spans="1:113" ht="15" customHeight="1" x14ac:dyDescent="0.25">
      <c r="A726" t="s">
        <v>5016</v>
      </c>
      <c r="B726" t="s">
        <v>165</v>
      </c>
      <c r="C726" s="1">
        <v>44848.434373958335</v>
      </c>
      <c r="D726" s="1">
        <v>44873</v>
      </c>
      <c r="E726" t="s">
        <v>134</v>
      </c>
      <c r="F726" t="s">
        <v>5017</v>
      </c>
      <c r="G726" t="str">
        <f>"39-3091.00"</f>
        <v>39-3091.00</v>
      </c>
      <c r="H726" t="s">
        <v>362</v>
      </c>
      <c r="I726">
        <v>120</v>
      </c>
      <c r="J726">
        <v>120</v>
      </c>
      <c r="K726" s="1">
        <v>44938</v>
      </c>
      <c r="L726" s="1">
        <v>45242</v>
      </c>
      <c r="M726" s="1">
        <v>44938</v>
      </c>
      <c r="N726" s="1">
        <v>45242</v>
      </c>
      <c r="O726" t="s">
        <v>199</v>
      </c>
      <c r="P726" t="s">
        <v>5018</v>
      </c>
      <c r="R726" t="s">
        <v>5019</v>
      </c>
      <c r="T726" t="s">
        <v>5020</v>
      </c>
      <c r="U726" t="s">
        <v>1411</v>
      </c>
      <c r="V726" s="4" t="str">
        <f>"45053"</f>
        <v>45053</v>
      </c>
      <c r="W726" t="s">
        <v>120</v>
      </c>
      <c r="Y726" s="5">
        <v>12052808595</v>
      </c>
      <c r="Z726">
        <v>0</v>
      </c>
      <c r="AA726">
        <v>71399</v>
      </c>
      <c r="AB726" t="s">
        <v>1906</v>
      </c>
      <c r="AC726" t="s">
        <v>5021</v>
      </c>
      <c r="AD726" t="s">
        <v>125</v>
      </c>
      <c r="AE726" t="s">
        <v>342</v>
      </c>
      <c r="AF726" t="s">
        <v>5019</v>
      </c>
      <c r="AH726" t="s">
        <v>5020</v>
      </c>
      <c r="AI726" t="s">
        <v>1411</v>
      </c>
      <c r="AJ726" s="4" t="str">
        <f>"45053"</f>
        <v>45053</v>
      </c>
      <c r="AK726" t="s">
        <v>120</v>
      </c>
      <c r="AM726" s="5">
        <v>15134103387</v>
      </c>
      <c r="AN726">
        <v>0</v>
      </c>
      <c r="AO726" t="s">
        <v>5022</v>
      </c>
      <c r="AP726" t="s">
        <v>122</v>
      </c>
      <c r="AQ726" t="s">
        <v>369</v>
      </c>
      <c r="AR726" t="s">
        <v>370</v>
      </c>
      <c r="AS726" t="s">
        <v>371</v>
      </c>
      <c r="AT726" t="s">
        <v>372</v>
      </c>
      <c r="AU726" t="s">
        <v>373</v>
      </c>
      <c r="AV726" t="s">
        <v>374</v>
      </c>
      <c r="AW726" t="s">
        <v>339</v>
      </c>
      <c r="AX726" s="4" t="str">
        <f>"21401"</f>
        <v>21401</v>
      </c>
      <c r="AY726" t="s">
        <v>120</v>
      </c>
      <c r="BA726" s="5">
        <v>14105739955</v>
      </c>
      <c r="BB726">
        <v>0</v>
      </c>
      <c r="BC726" t="s">
        <v>375</v>
      </c>
      <c r="BD726" t="s">
        <v>376</v>
      </c>
      <c r="BE726" t="s">
        <v>339</v>
      </c>
      <c r="BF726" t="s">
        <v>377</v>
      </c>
      <c r="BG726" t="s">
        <v>203</v>
      </c>
      <c r="BH726" s="1">
        <v>44843.833333333336</v>
      </c>
      <c r="BI726">
        <v>35</v>
      </c>
      <c r="BJ726">
        <v>7</v>
      </c>
      <c r="BK726">
        <v>0</v>
      </c>
      <c r="BL726">
        <v>0</v>
      </c>
      <c r="BM726">
        <v>7</v>
      </c>
      <c r="BN726">
        <v>7</v>
      </c>
      <c r="BO726">
        <v>7</v>
      </c>
      <c r="BP726">
        <v>7</v>
      </c>
      <c r="BQ726" t="str">
        <f>"4:00 PM"</f>
        <v>4:00 PM</v>
      </c>
      <c r="BR726" t="str">
        <f>"11:00 PM"</f>
        <v>11:00 PM</v>
      </c>
      <c r="BS726" t="s">
        <v>133</v>
      </c>
      <c r="BT726">
        <v>0</v>
      </c>
      <c r="BU726">
        <v>0</v>
      </c>
      <c r="BV726" t="s">
        <v>134</v>
      </c>
      <c r="BX726" t="s">
        <v>5023</v>
      </c>
      <c r="BY726" t="s">
        <v>5024</v>
      </c>
      <c r="CA726" t="s">
        <v>5025</v>
      </c>
      <c r="CB726" t="s">
        <v>203</v>
      </c>
      <c r="CC726" s="4" t="str">
        <f>"35045"</f>
        <v>35045</v>
      </c>
      <c r="CD726" t="s">
        <v>5026</v>
      </c>
      <c r="CE726" t="s">
        <v>1388</v>
      </c>
      <c r="CF726" s="6">
        <v>9.65</v>
      </c>
      <c r="CG726" s="6">
        <v>13.95</v>
      </c>
      <c r="CH726" s="6">
        <v>14.48</v>
      </c>
      <c r="CI726" s="6">
        <v>20.93</v>
      </c>
      <c r="CJ726" t="s">
        <v>137</v>
      </c>
      <c r="CK726" t="s">
        <v>5013</v>
      </c>
      <c r="CL726" t="s">
        <v>5027</v>
      </c>
      <c r="CO726" t="s">
        <v>138</v>
      </c>
      <c r="CP726" t="s">
        <v>114</v>
      </c>
      <c r="CQ726" t="s">
        <v>134</v>
      </c>
      <c r="CR726" t="s">
        <v>134</v>
      </c>
      <c r="CS726" t="s">
        <v>114</v>
      </c>
      <c r="CT726" t="s">
        <v>114</v>
      </c>
      <c r="CU726" t="s">
        <v>114</v>
      </c>
      <c r="CV726" t="s">
        <v>5028</v>
      </c>
      <c r="CW726" s="5" t="str">
        <f>"+12052808595"</f>
        <v>+12052808595</v>
      </c>
      <c r="CX726" t="s">
        <v>138</v>
      </c>
      <c r="CY726" t="s">
        <v>5029</v>
      </c>
      <c r="CZ726" t="s">
        <v>139</v>
      </c>
      <c r="DA726" t="s">
        <v>134</v>
      </c>
      <c r="DB726" t="s">
        <v>114</v>
      </c>
      <c r="DC726" t="s">
        <v>114</v>
      </c>
      <c r="DD726" t="s">
        <v>134</v>
      </c>
    </row>
    <row r="727" spans="1:113" ht="15" customHeight="1" x14ac:dyDescent="0.25">
      <c r="A727" t="s">
        <v>12002</v>
      </c>
      <c r="B727" t="s">
        <v>165</v>
      </c>
      <c r="C727" s="1">
        <v>44844.674163310185</v>
      </c>
      <c r="D727" s="1">
        <v>44873</v>
      </c>
      <c r="E727" t="s">
        <v>114</v>
      </c>
      <c r="F727" t="s">
        <v>5719</v>
      </c>
      <c r="G727" t="str">
        <f>"37-3011.00"</f>
        <v>37-3011.00</v>
      </c>
      <c r="H727" t="s">
        <v>335</v>
      </c>
      <c r="I727">
        <v>40</v>
      </c>
      <c r="J727">
        <v>40</v>
      </c>
      <c r="K727" s="1">
        <v>44927</v>
      </c>
      <c r="L727" s="1">
        <v>45230</v>
      </c>
      <c r="M727" s="1">
        <v>44927</v>
      </c>
      <c r="N727" s="1">
        <v>45230</v>
      </c>
      <c r="O727" t="s">
        <v>117</v>
      </c>
      <c r="P727" t="s">
        <v>6984</v>
      </c>
      <c r="R727" t="s">
        <v>6985</v>
      </c>
      <c r="T727" t="s">
        <v>4098</v>
      </c>
      <c r="U727" t="s">
        <v>129</v>
      </c>
      <c r="V727" s="4" t="str">
        <f>"30907"</f>
        <v>30907</v>
      </c>
      <c r="W727" t="s">
        <v>120</v>
      </c>
      <c r="Y727" s="5">
        <v>12704429723</v>
      </c>
      <c r="AA727">
        <v>71391</v>
      </c>
      <c r="AB727" t="s">
        <v>4295</v>
      </c>
      <c r="AC727" t="s">
        <v>626</v>
      </c>
      <c r="AD727" t="s">
        <v>1905</v>
      </c>
      <c r="AE727" t="s">
        <v>342</v>
      </c>
      <c r="AF727" t="s">
        <v>6985</v>
      </c>
      <c r="AH727" t="s">
        <v>4098</v>
      </c>
      <c r="AI727" t="s">
        <v>129</v>
      </c>
      <c r="AJ727" s="4" t="str">
        <f>"30907"</f>
        <v>30907</v>
      </c>
      <c r="AK727" t="s">
        <v>120</v>
      </c>
      <c r="AM727" s="5">
        <v>12704429723</v>
      </c>
      <c r="AO727" t="s">
        <v>6986</v>
      </c>
      <c r="AP727" t="s">
        <v>122</v>
      </c>
      <c r="AQ727" t="s">
        <v>1856</v>
      </c>
      <c r="AR727" t="s">
        <v>755</v>
      </c>
      <c r="AS727" t="s">
        <v>1857</v>
      </c>
      <c r="AT727" t="s">
        <v>1858</v>
      </c>
      <c r="AU727" t="s">
        <v>1859</v>
      </c>
      <c r="AV727" t="s">
        <v>1860</v>
      </c>
      <c r="AW727" t="s">
        <v>119</v>
      </c>
      <c r="AX727" s="4" t="str">
        <f>"28328"</f>
        <v>28328</v>
      </c>
      <c r="AY727" t="s">
        <v>120</v>
      </c>
      <c r="BA727" s="5">
        <v>19105924121</v>
      </c>
      <c r="BC727" t="s">
        <v>1861</v>
      </c>
      <c r="BD727" t="s">
        <v>1862</v>
      </c>
      <c r="BE727" t="s">
        <v>119</v>
      </c>
      <c r="BF727" t="s">
        <v>322</v>
      </c>
      <c r="BG727" t="s">
        <v>119</v>
      </c>
      <c r="BH727" s="1">
        <v>44843.833333333336</v>
      </c>
      <c r="BI727">
        <v>42</v>
      </c>
      <c r="BJ727">
        <v>0</v>
      </c>
      <c r="BK727">
        <v>7</v>
      </c>
      <c r="BL727">
        <v>7</v>
      </c>
      <c r="BM727">
        <v>7</v>
      </c>
      <c r="BN727">
        <v>7</v>
      </c>
      <c r="BO727">
        <v>7</v>
      </c>
      <c r="BP727">
        <v>7</v>
      </c>
      <c r="BQ727" t="str">
        <f>"8:00 AM"</f>
        <v>8:00 AM</v>
      </c>
      <c r="BR727" t="str">
        <f>"4:00 PM"</f>
        <v>4:00 PM</v>
      </c>
      <c r="BS727" t="s">
        <v>133</v>
      </c>
      <c r="BT727">
        <v>0</v>
      </c>
      <c r="BU727">
        <v>3</v>
      </c>
      <c r="BV727" t="s">
        <v>134</v>
      </c>
      <c r="BX727" s="2" t="s">
        <v>12003</v>
      </c>
      <c r="BY727" t="s">
        <v>12004</v>
      </c>
      <c r="CA727" t="s">
        <v>6923</v>
      </c>
      <c r="CB727" t="s">
        <v>394</v>
      </c>
      <c r="CC727" s="4" t="str">
        <f>"29936"</f>
        <v>29936</v>
      </c>
      <c r="CD727" t="s">
        <v>3924</v>
      </c>
      <c r="CE727" t="s">
        <v>410</v>
      </c>
      <c r="CF727" s="6">
        <v>15.36</v>
      </c>
      <c r="CG727" s="6">
        <v>15.36</v>
      </c>
      <c r="CH727" s="6">
        <v>23.04</v>
      </c>
      <c r="CI727" s="6">
        <v>23.04</v>
      </c>
      <c r="CJ727" t="s">
        <v>137</v>
      </c>
      <c r="CK727" t="s">
        <v>12005</v>
      </c>
      <c r="CL727" t="s">
        <v>12006</v>
      </c>
      <c r="CO727" t="s">
        <v>138</v>
      </c>
      <c r="CP727" t="s">
        <v>134</v>
      </c>
      <c r="CQ727" t="s">
        <v>134</v>
      </c>
      <c r="CR727" t="s">
        <v>114</v>
      </c>
      <c r="CS727" t="s">
        <v>134</v>
      </c>
      <c r="CT727" t="s">
        <v>114</v>
      </c>
      <c r="CU727" t="s">
        <v>134</v>
      </c>
      <c r="CV727" t="s">
        <v>1864</v>
      </c>
      <c r="CW727" s="5" t="str">
        <f>"+12704429723"</f>
        <v>+12704429723</v>
      </c>
      <c r="CX727" t="s">
        <v>6986</v>
      </c>
      <c r="CY727" t="s">
        <v>1247</v>
      </c>
      <c r="CZ727" t="s">
        <v>139</v>
      </c>
      <c r="DA727" t="s">
        <v>134</v>
      </c>
      <c r="DB727" t="s">
        <v>114</v>
      </c>
      <c r="DC727" t="s">
        <v>114</v>
      </c>
      <c r="DD727" t="s">
        <v>134</v>
      </c>
    </row>
    <row r="728" spans="1:113" ht="15" customHeight="1" x14ac:dyDescent="0.25">
      <c r="A728" t="s">
        <v>6517</v>
      </c>
      <c r="B728" t="s">
        <v>165</v>
      </c>
      <c r="C728" s="1">
        <v>44840.346254861113</v>
      </c>
      <c r="D728" s="1">
        <v>44873</v>
      </c>
      <c r="E728" t="s">
        <v>134</v>
      </c>
      <c r="F728" t="s">
        <v>467</v>
      </c>
      <c r="G728" t="str">
        <f>"37-3013.00"</f>
        <v>37-3013.00</v>
      </c>
      <c r="H728" t="s">
        <v>468</v>
      </c>
      <c r="I728">
        <v>40</v>
      </c>
      <c r="J728">
        <v>40</v>
      </c>
      <c r="K728" s="1">
        <v>44930</v>
      </c>
      <c r="L728" s="1">
        <v>45234</v>
      </c>
      <c r="M728" s="1">
        <v>44930</v>
      </c>
      <c r="N728" s="1">
        <v>45234</v>
      </c>
      <c r="O728" t="s">
        <v>117</v>
      </c>
      <c r="P728" t="s">
        <v>6518</v>
      </c>
      <c r="R728" t="s">
        <v>470</v>
      </c>
      <c r="T728" t="s">
        <v>471</v>
      </c>
      <c r="U728" t="s">
        <v>232</v>
      </c>
      <c r="V728" s="4" t="str">
        <f>"77598"</f>
        <v>77598</v>
      </c>
      <c r="W728" t="s">
        <v>120</v>
      </c>
      <c r="Y728" s="5">
        <v>12812801100</v>
      </c>
      <c r="AA728">
        <v>56173</v>
      </c>
      <c r="AB728" t="s">
        <v>472</v>
      </c>
      <c r="AC728" t="s">
        <v>473</v>
      </c>
      <c r="AE728" t="s">
        <v>474</v>
      </c>
      <c r="AF728" t="s">
        <v>470</v>
      </c>
      <c r="AH728" t="s">
        <v>471</v>
      </c>
      <c r="AI728" t="s">
        <v>232</v>
      </c>
      <c r="AJ728" s="4" t="str">
        <f>"77598"</f>
        <v>77598</v>
      </c>
      <c r="AK728" t="s">
        <v>120</v>
      </c>
      <c r="AM728" s="5">
        <v>12812801100</v>
      </c>
      <c r="AO728" t="s">
        <v>138</v>
      </c>
      <c r="AP728" t="s">
        <v>256</v>
      </c>
      <c r="AQ728" t="s">
        <v>475</v>
      </c>
      <c r="AR728" t="s">
        <v>476</v>
      </c>
      <c r="AT728" t="s">
        <v>477</v>
      </c>
      <c r="AV728" t="s">
        <v>478</v>
      </c>
      <c r="AW728" t="s">
        <v>479</v>
      </c>
      <c r="AX728" s="4" t="str">
        <f>"22903"</f>
        <v>22903</v>
      </c>
      <c r="AY728" t="s">
        <v>120</v>
      </c>
      <c r="BA728" s="5">
        <v>14342634300</v>
      </c>
      <c r="BC728" t="s">
        <v>480</v>
      </c>
      <c r="BD728" t="s">
        <v>481</v>
      </c>
      <c r="BG728" t="s">
        <v>154</v>
      </c>
      <c r="BH728" s="1">
        <v>44839.833333333336</v>
      </c>
      <c r="BI728">
        <v>40</v>
      </c>
      <c r="BJ728">
        <v>0</v>
      </c>
      <c r="BK728">
        <v>8</v>
      </c>
      <c r="BL728">
        <v>8</v>
      </c>
      <c r="BM728">
        <v>8</v>
      </c>
      <c r="BN728">
        <v>8</v>
      </c>
      <c r="BO728">
        <v>8</v>
      </c>
      <c r="BP728">
        <v>0</v>
      </c>
      <c r="BQ728" t="str">
        <f>"7:00 AM"</f>
        <v>7:00 AM</v>
      </c>
      <c r="BR728" t="str">
        <f>"4:00 PM"</f>
        <v>4:00 PM</v>
      </c>
      <c r="BS728" t="s">
        <v>133</v>
      </c>
      <c r="BT728">
        <v>0</v>
      </c>
      <c r="BU728">
        <v>0</v>
      </c>
      <c r="BV728" t="s">
        <v>134</v>
      </c>
      <c r="BX728" s="2" t="s">
        <v>482</v>
      </c>
      <c r="BY728" t="s">
        <v>6519</v>
      </c>
      <c r="CA728" t="s">
        <v>6520</v>
      </c>
      <c r="CB728" t="s">
        <v>154</v>
      </c>
      <c r="CC728" s="4" t="str">
        <f>"33903"</f>
        <v>33903</v>
      </c>
      <c r="CD728" t="s">
        <v>1505</v>
      </c>
      <c r="CE728" t="s">
        <v>1506</v>
      </c>
      <c r="CF728" s="6">
        <v>19.940000000000001</v>
      </c>
      <c r="CH728" s="6">
        <v>29.91</v>
      </c>
      <c r="CJ728" t="s">
        <v>137</v>
      </c>
      <c r="CK728" t="s">
        <v>487</v>
      </c>
      <c r="CL728" t="s">
        <v>6521</v>
      </c>
      <c r="CO728" t="s">
        <v>138</v>
      </c>
      <c r="CP728" t="s">
        <v>114</v>
      </c>
      <c r="CQ728" t="s">
        <v>114</v>
      </c>
      <c r="CR728" t="s">
        <v>114</v>
      </c>
      <c r="CS728" t="s">
        <v>114</v>
      </c>
      <c r="CT728" t="s">
        <v>114</v>
      </c>
      <c r="CU728" t="s">
        <v>114</v>
      </c>
      <c r="CV728" t="s">
        <v>6522</v>
      </c>
      <c r="CW728" s="5" t="str">
        <f>"N/A"</f>
        <v>N/A</v>
      </c>
      <c r="CX728" t="s">
        <v>490</v>
      </c>
      <c r="CY728" t="s">
        <v>1274</v>
      </c>
      <c r="CZ728" t="s">
        <v>139</v>
      </c>
      <c r="DA728" t="s">
        <v>134</v>
      </c>
      <c r="DB728" t="s">
        <v>114</v>
      </c>
      <c r="DC728" t="s">
        <v>114</v>
      </c>
      <c r="DD728" t="s">
        <v>134</v>
      </c>
      <c r="DE728" t="s">
        <v>492</v>
      </c>
      <c r="DF728" t="s">
        <v>493</v>
      </c>
      <c r="DH728" t="s">
        <v>481</v>
      </c>
      <c r="DI728" t="s">
        <v>480</v>
      </c>
    </row>
    <row r="729" spans="1:113" ht="15" customHeight="1" x14ac:dyDescent="0.25">
      <c r="A729" t="s">
        <v>7433</v>
      </c>
      <c r="B729" t="s">
        <v>165</v>
      </c>
      <c r="C729" s="1">
        <v>44833.80060451389</v>
      </c>
      <c r="D729" s="1">
        <v>44873</v>
      </c>
      <c r="E729" t="s">
        <v>134</v>
      </c>
      <c r="F729" t="s">
        <v>7434</v>
      </c>
      <c r="G729" t="str">
        <f>"35-3031.00"</f>
        <v>35-3031.00</v>
      </c>
      <c r="H729" t="s">
        <v>389</v>
      </c>
      <c r="I729">
        <v>24</v>
      </c>
      <c r="J729">
        <v>24</v>
      </c>
      <c r="K729" s="1">
        <v>44908</v>
      </c>
      <c r="L729" s="1">
        <v>45108</v>
      </c>
      <c r="M729" s="1">
        <v>44908</v>
      </c>
      <c r="N729" s="1">
        <v>45108</v>
      </c>
      <c r="O729" t="s">
        <v>117</v>
      </c>
      <c r="P729" t="s">
        <v>7435</v>
      </c>
      <c r="Q729" t="s">
        <v>7436</v>
      </c>
      <c r="R729" t="s">
        <v>7437</v>
      </c>
      <c r="T729" t="s">
        <v>648</v>
      </c>
      <c r="U729" t="s">
        <v>154</v>
      </c>
      <c r="V729" s="4" t="str">
        <f>"34108"</f>
        <v>34108</v>
      </c>
      <c r="W729" t="s">
        <v>120</v>
      </c>
      <c r="Y729" s="5">
        <v>12395985102</v>
      </c>
      <c r="AA729">
        <v>7211</v>
      </c>
      <c r="AB729" t="s">
        <v>7438</v>
      </c>
      <c r="AC729" t="s">
        <v>1283</v>
      </c>
      <c r="AE729" t="s">
        <v>7439</v>
      </c>
      <c r="AF729" t="s">
        <v>7437</v>
      </c>
      <c r="AH729" t="s">
        <v>648</v>
      </c>
      <c r="AI729" t="s">
        <v>154</v>
      </c>
      <c r="AJ729" s="4" t="str">
        <f>"34108"</f>
        <v>34108</v>
      </c>
      <c r="AK729" t="s">
        <v>120</v>
      </c>
      <c r="AM729" s="5">
        <v>12395985102</v>
      </c>
      <c r="AO729" t="s">
        <v>7440</v>
      </c>
      <c r="AP729" t="s">
        <v>122</v>
      </c>
      <c r="AQ729" t="s">
        <v>2938</v>
      </c>
      <c r="AR729" t="s">
        <v>2672</v>
      </c>
      <c r="AS729" t="s">
        <v>2939</v>
      </c>
      <c r="AT729" t="s">
        <v>2940</v>
      </c>
      <c r="AU729" t="s">
        <v>2013</v>
      </c>
      <c r="AV729" t="s">
        <v>2014</v>
      </c>
      <c r="AW729" t="s">
        <v>154</v>
      </c>
      <c r="AX729" s="4" t="str">
        <f>"33126"</f>
        <v>33126</v>
      </c>
      <c r="AY729" t="s">
        <v>120</v>
      </c>
      <c r="BA729" s="5">
        <v>13057745800</v>
      </c>
      <c r="BC729" t="s">
        <v>2941</v>
      </c>
      <c r="BD729" t="s">
        <v>2942</v>
      </c>
      <c r="BE729" t="s">
        <v>154</v>
      </c>
      <c r="BF729" t="s">
        <v>322</v>
      </c>
      <c r="BG729" t="s">
        <v>154</v>
      </c>
      <c r="BH729" s="1">
        <v>44832.833333333336</v>
      </c>
      <c r="BI729">
        <v>35</v>
      </c>
      <c r="BJ729">
        <v>7</v>
      </c>
      <c r="BK729">
        <v>7</v>
      </c>
      <c r="BL729">
        <v>7</v>
      </c>
      <c r="BM729">
        <v>7</v>
      </c>
      <c r="BN729">
        <v>7</v>
      </c>
      <c r="BO729">
        <v>0</v>
      </c>
      <c r="BP729">
        <v>0</v>
      </c>
      <c r="BQ729" t="str">
        <f>"6:00 AM"</f>
        <v>6:00 AM</v>
      </c>
      <c r="BR729" t="str">
        <f>"12:00 PM"</f>
        <v>12:00 PM</v>
      </c>
      <c r="BS729" t="s">
        <v>133</v>
      </c>
      <c r="BT729">
        <v>0</v>
      </c>
      <c r="BU729">
        <v>1</v>
      </c>
      <c r="BV729" t="s">
        <v>134</v>
      </c>
      <c r="BX729" t="s">
        <v>7441</v>
      </c>
      <c r="BY729" t="s">
        <v>7437</v>
      </c>
      <c r="CA729" t="s">
        <v>648</v>
      </c>
      <c r="CB729" t="s">
        <v>154</v>
      </c>
      <c r="CC729" s="4" t="str">
        <f>"34108"</f>
        <v>34108</v>
      </c>
      <c r="CD729" t="s">
        <v>1432</v>
      </c>
      <c r="CE729" t="s">
        <v>1433</v>
      </c>
      <c r="CF729" s="6">
        <v>15.02</v>
      </c>
      <c r="CH729" s="6">
        <v>22.53</v>
      </c>
      <c r="CJ729" t="s">
        <v>137</v>
      </c>
      <c r="CK729" t="s">
        <v>7442</v>
      </c>
      <c r="CL729" t="s">
        <v>7443</v>
      </c>
      <c r="CO729" t="s">
        <v>138</v>
      </c>
      <c r="CP729" t="s">
        <v>134</v>
      </c>
      <c r="CQ729" t="s">
        <v>134</v>
      </c>
      <c r="CR729" t="s">
        <v>114</v>
      </c>
      <c r="CS729" t="s">
        <v>134</v>
      </c>
      <c r="CT729" t="s">
        <v>114</v>
      </c>
      <c r="CU729" t="s">
        <v>134</v>
      </c>
      <c r="CV729" t="s">
        <v>7444</v>
      </c>
      <c r="CW729" s="5" t="str">
        <f>"+12395985102"</f>
        <v>+12395985102</v>
      </c>
      <c r="CX729" t="s">
        <v>7445</v>
      </c>
      <c r="CY729" t="s">
        <v>138</v>
      </c>
      <c r="CZ729" t="s">
        <v>139</v>
      </c>
      <c r="DA729" t="s">
        <v>134</v>
      </c>
      <c r="DB729" t="s">
        <v>114</v>
      </c>
      <c r="DC729" t="s">
        <v>114</v>
      </c>
      <c r="DD729" t="s">
        <v>134</v>
      </c>
    </row>
    <row r="730" spans="1:113" ht="15" customHeight="1" x14ac:dyDescent="0.25">
      <c r="A730" t="s">
        <v>13651</v>
      </c>
      <c r="B730" t="s">
        <v>165</v>
      </c>
      <c r="C730" s="1">
        <v>44820.563105787034</v>
      </c>
      <c r="D730" s="1">
        <v>44873</v>
      </c>
      <c r="E730" t="s">
        <v>134</v>
      </c>
      <c r="F730" t="s">
        <v>2320</v>
      </c>
      <c r="G730" t="str">
        <f>"37-3011.00"</f>
        <v>37-3011.00</v>
      </c>
      <c r="H730" t="s">
        <v>335</v>
      </c>
      <c r="I730">
        <v>24</v>
      </c>
      <c r="J730">
        <v>24</v>
      </c>
      <c r="K730" s="1">
        <v>44895</v>
      </c>
      <c r="L730" s="1">
        <v>45016</v>
      </c>
      <c r="M730" s="1">
        <v>44895</v>
      </c>
      <c r="N730" s="1">
        <v>45016</v>
      </c>
      <c r="O730" t="s">
        <v>199</v>
      </c>
      <c r="P730" t="s">
        <v>13652</v>
      </c>
      <c r="R730" t="s">
        <v>7100</v>
      </c>
      <c r="T730" t="s">
        <v>4184</v>
      </c>
      <c r="U730" t="s">
        <v>232</v>
      </c>
      <c r="V730" s="4" t="str">
        <f>"78602"</f>
        <v>78602</v>
      </c>
      <c r="W730" t="s">
        <v>120</v>
      </c>
      <c r="Y730" s="5">
        <v>15127857207</v>
      </c>
      <c r="AA730">
        <v>56173</v>
      </c>
      <c r="AB730" t="s">
        <v>1781</v>
      </c>
      <c r="AC730" t="s">
        <v>13653</v>
      </c>
      <c r="AE730" t="s">
        <v>424</v>
      </c>
      <c r="AF730" t="s">
        <v>7100</v>
      </c>
      <c r="AH730" t="s">
        <v>4184</v>
      </c>
      <c r="AI730" t="s">
        <v>232</v>
      </c>
      <c r="AJ730" s="4" t="str">
        <f>"78602"</f>
        <v>78602</v>
      </c>
      <c r="AK730" t="s">
        <v>120</v>
      </c>
      <c r="AM730" s="5">
        <v>15127857207</v>
      </c>
      <c r="AO730" t="s">
        <v>138</v>
      </c>
      <c r="AP730" t="s">
        <v>122</v>
      </c>
      <c r="AQ730" t="s">
        <v>864</v>
      </c>
      <c r="AR730" t="s">
        <v>865</v>
      </c>
      <c r="AS730" t="s">
        <v>370</v>
      </c>
      <c r="AT730" t="s">
        <v>12308</v>
      </c>
      <c r="AU730" t="s">
        <v>867</v>
      </c>
      <c r="AV730" t="s">
        <v>707</v>
      </c>
      <c r="AW730" t="s">
        <v>232</v>
      </c>
      <c r="AX730" s="4" t="str">
        <f>"78758"</f>
        <v>78758</v>
      </c>
      <c r="AY730" t="s">
        <v>120</v>
      </c>
      <c r="BA730" s="5">
        <v>15123470007</v>
      </c>
      <c r="BC730" t="s">
        <v>868</v>
      </c>
      <c r="BD730" t="s">
        <v>2669</v>
      </c>
      <c r="BE730" t="s">
        <v>232</v>
      </c>
      <c r="BF730" t="s">
        <v>870</v>
      </c>
      <c r="BG730" t="s">
        <v>232</v>
      </c>
      <c r="BH730" s="1">
        <v>44819.833333333336</v>
      </c>
      <c r="BI730">
        <v>40</v>
      </c>
      <c r="BJ730">
        <v>0</v>
      </c>
      <c r="BK730">
        <v>8</v>
      </c>
      <c r="BL730">
        <v>8</v>
      </c>
      <c r="BM730">
        <v>8</v>
      </c>
      <c r="BN730">
        <v>8</v>
      </c>
      <c r="BO730">
        <v>8</v>
      </c>
      <c r="BP730">
        <v>0</v>
      </c>
      <c r="BQ730" t="str">
        <f>"8:00 AM"</f>
        <v>8:00 AM</v>
      </c>
      <c r="BR730" t="str">
        <f>"5:00 PM"</f>
        <v>5:00 PM</v>
      </c>
      <c r="BS730" t="s">
        <v>133</v>
      </c>
      <c r="BT730">
        <v>0</v>
      </c>
      <c r="BU730">
        <v>3</v>
      </c>
      <c r="BV730" t="s">
        <v>134</v>
      </c>
      <c r="BX730" t="s">
        <v>133</v>
      </c>
      <c r="BY730" t="s">
        <v>7100</v>
      </c>
      <c r="CA730" t="s">
        <v>4184</v>
      </c>
      <c r="CB730" t="s">
        <v>232</v>
      </c>
      <c r="CC730" s="4" t="str">
        <f>"78602"</f>
        <v>78602</v>
      </c>
      <c r="CD730" t="s">
        <v>3556</v>
      </c>
      <c r="CE730" t="s">
        <v>949</v>
      </c>
      <c r="CF730" s="6">
        <v>16.079999999999998</v>
      </c>
      <c r="CH730" s="6">
        <v>24.12</v>
      </c>
      <c r="CJ730" t="s">
        <v>137</v>
      </c>
      <c r="CL730" t="s">
        <v>13654</v>
      </c>
      <c r="CO730" t="s">
        <v>138</v>
      </c>
      <c r="CP730" t="s">
        <v>114</v>
      </c>
      <c r="CQ730" t="s">
        <v>114</v>
      </c>
      <c r="CR730" t="s">
        <v>114</v>
      </c>
      <c r="CS730" t="s">
        <v>114</v>
      </c>
      <c r="CT730" t="s">
        <v>114</v>
      </c>
      <c r="CU730" t="s">
        <v>134</v>
      </c>
      <c r="CV730" t="s">
        <v>875</v>
      </c>
      <c r="CW730" s="5" t="str">
        <f>"+15127857207"</f>
        <v>+15127857207</v>
      </c>
      <c r="CX730" t="s">
        <v>7101</v>
      </c>
      <c r="CY730" t="s">
        <v>138</v>
      </c>
      <c r="CZ730" t="s">
        <v>139</v>
      </c>
      <c r="DA730" t="s">
        <v>134</v>
      </c>
      <c r="DB730" t="s">
        <v>134</v>
      </c>
      <c r="DC730" t="s">
        <v>114</v>
      </c>
      <c r="DD730" t="s">
        <v>134</v>
      </c>
    </row>
    <row r="731" spans="1:113" ht="15" customHeight="1" x14ac:dyDescent="0.25">
      <c r="A731" t="s">
        <v>3307</v>
      </c>
      <c r="B731" t="s">
        <v>165</v>
      </c>
      <c r="C731" s="1">
        <v>44819.761241898152</v>
      </c>
      <c r="D731" s="1">
        <v>44873</v>
      </c>
      <c r="E731" t="s">
        <v>134</v>
      </c>
      <c r="F731" t="s">
        <v>614</v>
      </c>
      <c r="G731" t="str">
        <f>"39-2021.00"</f>
        <v>39-2021.00</v>
      </c>
      <c r="H731" t="s">
        <v>615</v>
      </c>
      <c r="I731">
        <v>10</v>
      </c>
      <c r="J731">
        <v>10</v>
      </c>
      <c r="K731" s="1">
        <v>44896</v>
      </c>
      <c r="L731" s="1">
        <v>45046</v>
      </c>
      <c r="M731" s="1">
        <v>44896</v>
      </c>
      <c r="N731" s="1">
        <v>45046</v>
      </c>
      <c r="O731" t="s">
        <v>199</v>
      </c>
      <c r="P731" t="s">
        <v>3308</v>
      </c>
      <c r="R731" t="s">
        <v>3309</v>
      </c>
      <c r="T731" t="s">
        <v>1706</v>
      </c>
      <c r="U731" t="s">
        <v>619</v>
      </c>
      <c r="V731" s="4" t="str">
        <f>"40513"</f>
        <v>40513</v>
      </c>
      <c r="W731" t="s">
        <v>120</v>
      </c>
      <c r="Y731" s="5">
        <v>15028210614</v>
      </c>
      <c r="AA731">
        <v>711212</v>
      </c>
      <c r="AB731" t="s">
        <v>3310</v>
      </c>
      <c r="AC731" t="s">
        <v>3311</v>
      </c>
      <c r="AE731" t="s">
        <v>622</v>
      </c>
      <c r="AF731" t="s">
        <v>3309</v>
      </c>
      <c r="AH731" t="s">
        <v>1706</v>
      </c>
      <c r="AI731" t="s">
        <v>619</v>
      </c>
      <c r="AJ731" s="4" t="str">
        <f>"40513"</f>
        <v>40513</v>
      </c>
      <c r="AK731" t="s">
        <v>120</v>
      </c>
      <c r="AM731" s="5">
        <v>15028210614</v>
      </c>
      <c r="AO731" t="s">
        <v>3312</v>
      </c>
      <c r="AP731" t="s">
        <v>122</v>
      </c>
      <c r="AQ731" t="s">
        <v>625</v>
      </c>
      <c r="AR731" t="s">
        <v>626</v>
      </c>
      <c r="AS731" t="s">
        <v>627</v>
      </c>
      <c r="AT731" t="s">
        <v>628</v>
      </c>
      <c r="AU731" t="s">
        <v>629</v>
      </c>
      <c r="AV731" t="s">
        <v>630</v>
      </c>
      <c r="AW731" t="s">
        <v>631</v>
      </c>
      <c r="AX731" s="4" t="str">
        <f>"73069"</f>
        <v>73069</v>
      </c>
      <c r="AY731" t="s">
        <v>120</v>
      </c>
      <c r="BA731" s="5">
        <v>14053642525</v>
      </c>
      <c r="BC731" t="s">
        <v>632</v>
      </c>
      <c r="BD731" t="s">
        <v>633</v>
      </c>
      <c r="BE731" t="s">
        <v>631</v>
      </c>
      <c r="BF731" t="s">
        <v>634</v>
      </c>
      <c r="BG731" t="s">
        <v>154</v>
      </c>
      <c r="BH731" s="1">
        <v>44818.833333333336</v>
      </c>
      <c r="BI731">
        <v>56</v>
      </c>
      <c r="BJ731">
        <v>8</v>
      </c>
      <c r="BK731">
        <v>8</v>
      </c>
      <c r="BL731">
        <v>8</v>
      </c>
      <c r="BM731">
        <v>8</v>
      </c>
      <c r="BN731">
        <v>8</v>
      </c>
      <c r="BO731">
        <v>8</v>
      </c>
      <c r="BP731">
        <v>8</v>
      </c>
      <c r="BQ731" t="str">
        <f>"5:00 AM"</f>
        <v>5:00 AM</v>
      </c>
      <c r="BR731" t="str">
        <f>"5:00 PM"</f>
        <v>5:00 PM</v>
      </c>
      <c r="BS731" t="s">
        <v>133</v>
      </c>
      <c r="BT731">
        <v>0</v>
      </c>
      <c r="BU731">
        <v>1</v>
      </c>
      <c r="BV731" t="s">
        <v>134</v>
      </c>
      <c r="BX731" s="2" t="s">
        <v>3313</v>
      </c>
      <c r="BY731" t="s">
        <v>3314</v>
      </c>
      <c r="BZ731" t="s">
        <v>3315</v>
      </c>
      <c r="CA731" t="s">
        <v>3316</v>
      </c>
      <c r="CB731" t="s">
        <v>154</v>
      </c>
      <c r="CC731" s="4" t="str">
        <f>"33009"</f>
        <v>33009</v>
      </c>
      <c r="CD731" t="s">
        <v>2313</v>
      </c>
      <c r="CE731" t="s">
        <v>1742</v>
      </c>
      <c r="CF731" s="6">
        <v>14.62</v>
      </c>
      <c r="CG731" s="6">
        <v>14.62</v>
      </c>
      <c r="CH731" s="6">
        <v>21.93</v>
      </c>
      <c r="CI731" s="6">
        <v>21.93</v>
      </c>
      <c r="CJ731" t="s">
        <v>137</v>
      </c>
      <c r="CL731" t="s">
        <v>3317</v>
      </c>
      <c r="CO731" t="s">
        <v>138</v>
      </c>
      <c r="CP731" t="s">
        <v>134</v>
      </c>
      <c r="CQ731" t="s">
        <v>134</v>
      </c>
      <c r="CR731" t="s">
        <v>114</v>
      </c>
      <c r="CS731" t="s">
        <v>134</v>
      </c>
      <c r="CT731" t="s">
        <v>114</v>
      </c>
      <c r="CU731" t="s">
        <v>114</v>
      </c>
      <c r="CV731" s="2" t="s">
        <v>3318</v>
      </c>
      <c r="CW731" s="5" t="str">
        <f>"+15028210614"</f>
        <v>+15028210614</v>
      </c>
      <c r="CX731" t="s">
        <v>3312</v>
      </c>
      <c r="CY731" t="s">
        <v>138</v>
      </c>
      <c r="CZ731" t="s">
        <v>139</v>
      </c>
      <c r="DA731" t="s">
        <v>134</v>
      </c>
      <c r="DB731" t="s">
        <v>134</v>
      </c>
      <c r="DC731" t="s">
        <v>114</v>
      </c>
      <c r="DD731" t="s">
        <v>134</v>
      </c>
    </row>
    <row r="732" spans="1:113" ht="15" customHeight="1" x14ac:dyDescent="0.25">
      <c r="A732" t="s">
        <v>6777</v>
      </c>
      <c r="B732" t="s">
        <v>165</v>
      </c>
      <c r="C732" s="1">
        <v>44818.743033101855</v>
      </c>
      <c r="D732" s="1">
        <v>44873</v>
      </c>
      <c r="E732" t="s">
        <v>114</v>
      </c>
      <c r="F732" t="s">
        <v>6778</v>
      </c>
      <c r="G732" t="str">
        <f>"49-3042.00"</f>
        <v>49-3042.00</v>
      </c>
      <c r="H732" t="s">
        <v>6779</v>
      </c>
      <c r="I732">
        <v>2</v>
      </c>
      <c r="J732">
        <v>2</v>
      </c>
      <c r="K732" s="1">
        <v>44893</v>
      </c>
      <c r="L732" s="1">
        <v>45031</v>
      </c>
      <c r="M732" s="1">
        <v>44893</v>
      </c>
      <c r="N732" s="1">
        <v>45031</v>
      </c>
      <c r="O732" t="s">
        <v>117</v>
      </c>
      <c r="P732" t="s">
        <v>6780</v>
      </c>
      <c r="R732" t="s">
        <v>6781</v>
      </c>
      <c r="T732" t="s">
        <v>6782</v>
      </c>
      <c r="U732" t="s">
        <v>184</v>
      </c>
      <c r="V732" s="4" t="str">
        <f>"60118"</f>
        <v>60118</v>
      </c>
      <c r="W732" t="s">
        <v>120</v>
      </c>
      <c r="Y732" s="5">
        <v>18476950080</v>
      </c>
      <c r="AA732">
        <v>56179</v>
      </c>
      <c r="AB732" t="s">
        <v>6783</v>
      </c>
      <c r="AC732" t="s">
        <v>1486</v>
      </c>
      <c r="AE732" t="s">
        <v>6784</v>
      </c>
      <c r="AF732" t="s">
        <v>6781</v>
      </c>
      <c r="AH732" t="s">
        <v>6782</v>
      </c>
      <c r="AI732" t="s">
        <v>184</v>
      </c>
      <c r="AJ732" s="4" t="str">
        <f>"60118"</f>
        <v>60118</v>
      </c>
      <c r="AK732" t="s">
        <v>120</v>
      </c>
      <c r="AM732" s="5">
        <v>18476950080</v>
      </c>
      <c r="AN732">
        <v>7689</v>
      </c>
      <c r="AO732" t="s">
        <v>6785</v>
      </c>
      <c r="AP732" t="s">
        <v>122</v>
      </c>
      <c r="AQ732" t="s">
        <v>4167</v>
      </c>
      <c r="AR732" t="s">
        <v>173</v>
      </c>
      <c r="AS732" t="s">
        <v>3492</v>
      </c>
      <c r="AT732" t="s">
        <v>4168</v>
      </c>
      <c r="AU732" t="s">
        <v>4169</v>
      </c>
      <c r="AV732" t="s">
        <v>2748</v>
      </c>
      <c r="AW732" t="s">
        <v>420</v>
      </c>
      <c r="AX732" s="4" t="str">
        <f>"84111"</f>
        <v>84111</v>
      </c>
      <c r="AY732" t="s">
        <v>120</v>
      </c>
      <c r="BA732" s="5">
        <v>18012971290</v>
      </c>
      <c r="BC732" t="s">
        <v>4170</v>
      </c>
      <c r="BD732" t="s">
        <v>4171</v>
      </c>
      <c r="BE732" t="s">
        <v>420</v>
      </c>
      <c r="BF732" t="s">
        <v>4172</v>
      </c>
      <c r="BG732" t="s">
        <v>184</v>
      </c>
      <c r="BH732" s="1">
        <v>44817.833333333336</v>
      </c>
      <c r="BI732">
        <v>35</v>
      </c>
      <c r="BJ732">
        <v>0</v>
      </c>
      <c r="BK732">
        <v>7</v>
      </c>
      <c r="BL732">
        <v>7</v>
      </c>
      <c r="BM732">
        <v>7</v>
      </c>
      <c r="BN732">
        <v>7</v>
      </c>
      <c r="BO732">
        <v>7</v>
      </c>
      <c r="BP732">
        <v>0</v>
      </c>
      <c r="BQ732" t="str">
        <f>"10:00 AM"</f>
        <v>10:00 AM</v>
      </c>
      <c r="BR732" t="str">
        <f>"5:00 PM"</f>
        <v>5:00 PM</v>
      </c>
      <c r="BS732" t="s">
        <v>133</v>
      </c>
      <c r="BT732">
        <v>0</v>
      </c>
      <c r="BU732">
        <v>24</v>
      </c>
      <c r="BV732" t="s">
        <v>134</v>
      </c>
      <c r="BX732" s="2" t="s">
        <v>6786</v>
      </c>
      <c r="BY732" t="s">
        <v>6781</v>
      </c>
      <c r="CA732" t="s">
        <v>6782</v>
      </c>
      <c r="CB732" t="s">
        <v>184</v>
      </c>
      <c r="CC732" s="4" t="str">
        <f>"60118"</f>
        <v>60118</v>
      </c>
      <c r="CD732" t="s">
        <v>1661</v>
      </c>
      <c r="CE732" t="s">
        <v>1556</v>
      </c>
      <c r="CF732" s="6">
        <v>26.35</v>
      </c>
      <c r="CH732" s="6">
        <v>39.53</v>
      </c>
      <c r="CJ732" t="s">
        <v>137</v>
      </c>
      <c r="CL732" t="s">
        <v>6787</v>
      </c>
      <c r="CO732" t="s">
        <v>138</v>
      </c>
      <c r="CP732" t="s">
        <v>114</v>
      </c>
      <c r="CQ732" t="s">
        <v>114</v>
      </c>
      <c r="CR732" t="s">
        <v>114</v>
      </c>
      <c r="CS732" t="s">
        <v>114</v>
      </c>
      <c r="CT732" t="s">
        <v>114</v>
      </c>
      <c r="CU732" t="s">
        <v>114</v>
      </c>
      <c r="CV732" s="2" t="s">
        <v>6788</v>
      </c>
      <c r="CW732" s="5" t="str">
        <f>"+18484769500"</f>
        <v>+18484769500</v>
      </c>
      <c r="CX732" t="s">
        <v>6785</v>
      </c>
      <c r="CY732" t="s">
        <v>138</v>
      </c>
      <c r="CZ732" t="s">
        <v>139</v>
      </c>
      <c r="DA732" t="s">
        <v>134</v>
      </c>
      <c r="DB732" t="s">
        <v>134</v>
      </c>
      <c r="DC732" t="s">
        <v>114</v>
      </c>
      <c r="DD732" t="s">
        <v>134</v>
      </c>
    </row>
    <row r="733" spans="1:113" ht="15" customHeight="1" x14ac:dyDescent="0.25">
      <c r="A733" t="s">
        <v>13177</v>
      </c>
      <c r="B733" t="s">
        <v>165</v>
      </c>
      <c r="C733" s="1">
        <v>44846.734541666665</v>
      </c>
      <c r="D733" s="1">
        <v>44872</v>
      </c>
      <c r="E733" t="s">
        <v>134</v>
      </c>
      <c r="F733" t="s">
        <v>1034</v>
      </c>
      <c r="G733" t="str">
        <f>"37-3011.00"</f>
        <v>37-3011.00</v>
      </c>
      <c r="H733" t="s">
        <v>335</v>
      </c>
      <c r="I733">
        <v>70</v>
      </c>
      <c r="J733">
        <v>70</v>
      </c>
      <c r="K733" s="1">
        <v>44921</v>
      </c>
      <c r="L733" s="1">
        <v>45213</v>
      </c>
      <c r="M733" s="1">
        <v>44921</v>
      </c>
      <c r="N733" s="1">
        <v>45213</v>
      </c>
      <c r="O733" t="s">
        <v>117</v>
      </c>
      <c r="P733" t="s">
        <v>13178</v>
      </c>
      <c r="Q733" t="s">
        <v>13179</v>
      </c>
      <c r="R733" t="s">
        <v>13180</v>
      </c>
      <c r="T733" t="s">
        <v>8265</v>
      </c>
      <c r="U733" t="s">
        <v>530</v>
      </c>
      <c r="V733" s="4" t="str">
        <f>"85233"</f>
        <v>85233</v>
      </c>
      <c r="W733" t="s">
        <v>120</v>
      </c>
      <c r="X733" t="s">
        <v>138</v>
      </c>
      <c r="Y733" s="5">
        <v>14805459755</v>
      </c>
      <c r="AA733">
        <v>56173</v>
      </c>
      <c r="AB733" t="s">
        <v>5945</v>
      </c>
      <c r="AC733" t="s">
        <v>2305</v>
      </c>
      <c r="AD733" t="s">
        <v>1730</v>
      </c>
      <c r="AE733" t="s">
        <v>1845</v>
      </c>
      <c r="AF733" t="s">
        <v>13180</v>
      </c>
      <c r="AH733" t="s">
        <v>8265</v>
      </c>
      <c r="AI733" t="s">
        <v>530</v>
      </c>
      <c r="AJ733" s="4" t="str">
        <f>"85233"</f>
        <v>85233</v>
      </c>
      <c r="AK733" t="s">
        <v>120</v>
      </c>
      <c r="AM733" s="5">
        <v>14805459755</v>
      </c>
      <c r="AO733" t="s">
        <v>13181</v>
      </c>
      <c r="AP733" t="s">
        <v>256</v>
      </c>
      <c r="AQ733" t="s">
        <v>1042</v>
      </c>
      <c r="AR733" t="s">
        <v>1043</v>
      </c>
      <c r="AT733" t="s">
        <v>1044</v>
      </c>
      <c r="AU733" t="s">
        <v>1045</v>
      </c>
      <c r="AV733" t="s">
        <v>587</v>
      </c>
      <c r="AW733" t="s">
        <v>530</v>
      </c>
      <c r="AX733" s="4" t="str">
        <f>"85048"</f>
        <v>85048</v>
      </c>
      <c r="AY733" t="s">
        <v>120</v>
      </c>
      <c r="BA733" s="5">
        <v>14809411885</v>
      </c>
      <c r="BC733" t="s">
        <v>1046</v>
      </c>
      <c r="BD733" t="s">
        <v>1047</v>
      </c>
      <c r="BG733" t="s">
        <v>530</v>
      </c>
      <c r="BH733" s="1">
        <v>44844.833333333336</v>
      </c>
      <c r="BI733">
        <v>40</v>
      </c>
      <c r="BJ733">
        <v>0</v>
      </c>
      <c r="BK733">
        <v>8</v>
      </c>
      <c r="BL733">
        <v>8</v>
      </c>
      <c r="BM733">
        <v>8</v>
      </c>
      <c r="BN733">
        <v>8</v>
      </c>
      <c r="BO733">
        <v>8</v>
      </c>
      <c r="BP733">
        <v>0</v>
      </c>
      <c r="BQ733" t="str">
        <f>"6:00 AM"</f>
        <v>6:00 AM</v>
      </c>
      <c r="BR733" t="str">
        <f>"2:30 PM"</f>
        <v>2:30 PM</v>
      </c>
      <c r="BS733" t="s">
        <v>133</v>
      </c>
      <c r="BT733">
        <v>3</v>
      </c>
      <c r="BU733">
        <v>3</v>
      </c>
      <c r="BV733" t="s">
        <v>134</v>
      </c>
      <c r="BX733" s="2" t="s">
        <v>11158</v>
      </c>
      <c r="BY733" t="s">
        <v>13180</v>
      </c>
      <c r="CA733" t="s">
        <v>8265</v>
      </c>
      <c r="CB733" t="s">
        <v>530</v>
      </c>
      <c r="CC733" s="4" t="str">
        <f>"85233"</f>
        <v>85233</v>
      </c>
      <c r="CD733" t="s">
        <v>592</v>
      </c>
      <c r="CE733" t="s">
        <v>548</v>
      </c>
      <c r="CF733" s="6">
        <v>16.57</v>
      </c>
      <c r="CG733" s="6">
        <v>16.57</v>
      </c>
      <c r="CH733" s="6">
        <v>24.86</v>
      </c>
      <c r="CI733" s="6">
        <v>24.86</v>
      </c>
      <c r="CJ733" t="s">
        <v>137</v>
      </c>
      <c r="CK733" t="s">
        <v>1053</v>
      </c>
      <c r="CL733" t="s">
        <v>13182</v>
      </c>
      <c r="CO733" t="s">
        <v>138</v>
      </c>
      <c r="CP733" t="s">
        <v>114</v>
      </c>
      <c r="CQ733" t="s">
        <v>114</v>
      </c>
      <c r="CR733" t="s">
        <v>114</v>
      </c>
      <c r="CS733" t="s">
        <v>114</v>
      </c>
      <c r="CT733" t="s">
        <v>114</v>
      </c>
      <c r="CU733" t="s">
        <v>134</v>
      </c>
      <c r="CV733" t="s">
        <v>5345</v>
      </c>
      <c r="CW733" s="5" t="str">
        <f>"+14805459755"</f>
        <v>+14805459755</v>
      </c>
      <c r="CX733" t="s">
        <v>13181</v>
      </c>
      <c r="CY733" t="s">
        <v>138</v>
      </c>
      <c r="CZ733" t="s">
        <v>139</v>
      </c>
      <c r="DA733" t="s">
        <v>134</v>
      </c>
      <c r="DB733" t="s">
        <v>114</v>
      </c>
      <c r="DC733" t="s">
        <v>114</v>
      </c>
      <c r="DD733" t="s">
        <v>134</v>
      </c>
    </row>
    <row r="734" spans="1:113" ht="15" customHeight="1" x14ac:dyDescent="0.25">
      <c r="A734" t="s">
        <v>12383</v>
      </c>
      <c r="B734" t="s">
        <v>165</v>
      </c>
      <c r="C734" s="1">
        <v>44841.488980902781</v>
      </c>
      <c r="D734" s="1">
        <v>44872</v>
      </c>
      <c r="E734" t="s">
        <v>134</v>
      </c>
      <c r="F734" t="s">
        <v>1315</v>
      </c>
      <c r="G734" t="str">
        <f>"35-3023.00"</f>
        <v>35-3023.00</v>
      </c>
      <c r="H734" t="s">
        <v>555</v>
      </c>
      <c r="I734">
        <v>45</v>
      </c>
      <c r="J734">
        <v>45</v>
      </c>
      <c r="K734" s="1">
        <v>44916</v>
      </c>
      <c r="L734" s="1">
        <v>45186</v>
      </c>
      <c r="M734" s="1">
        <v>44916</v>
      </c>
      <c r="N734" s="1">
        <v>45186</v>
      </c>
      <c r="O734" t="s">
        <v>199</v>
      </c>
      <c r="P734" t="s">
        <v>12384</v>
      </c>
      <c r="Q734" t="s">
        <v>12385</v>
      </c>
      <c r="R734" t="s">
        <v>12386</v>
      </c>
      <c r="T734" t="s">
        <v>1545</v>
      </c>
      <c r="U734" t="s">
        <v>232</v>
      </c>
      <c r="V734" s="4" t="str">
        <f>"77016"</f>
        <v>77016</v>
      </c>
      <c r="W734" t="s">
        <v>120</v>
      </c>
      <c r="Y734" s="5">
        <v>19857689332</v>
      </c>
      <c r="Z734">
        <v>0</v>
      </c>
      <c r="AA734">
        <v>71399</v>
      </c>
      <c r="AB734" t="s">
        <v>12387</v>
      </c>
      <c r="AC734" t="s">
        <v>1663</v>
      </c>
      <c r="AE734" t="s">
        <v>424</v>
      </c>
      <c r="AF734" t="s">
        <v>12386</v>
      </c>
      <c r="AH734" t="s">
        <v>1545</v>
      </c>
      <c r="AI734" t="s">
        <v>232</v>
      </c>
      <c r="AJ734" s="4" t="str">
        <f>"77016"</f>
        <v>77016</v>
      </c>
      <c r="AK734" t="s">
        <v>120</v>
      </c>
      <c r="AM734" s="5">
        <v>19857689332</v>
      </c>
      <c r="AN734">
        <v>0</v>
      </c>
      <c r="AO734" t="s">
        <v>12388</v>
      </c>
      <c r="AP734" t="s">
        <v>256</v>
      </c>
      <c r="AQ734" t="s">
        <v>535</v>
      </c>
      <c r="AR734" t="s">
        <v>536</v>
      </c>
      <c r="AS734" t="s">
        <v>537</v>
      </c>
      <c r="AT734" t="s">
        <v>538</v>
      </c>
      <c r="AU734" t="s">
        <v>539</v>
      </c>
      <c r="AV734" t="s">
        <v>540</v>
      </c>
      <c r="AW734" t="s">
        <v>232</v>
      </c>
      <c r="AX734" s="4" t="str">
        <f>"78550"</f>
        <v>78550</v>
      </c>
      <c r="AY734" t="s">
        <v>120</v>
      </c>
      <c r="AZ734" t="s">
        <v>2835</v>
      </c>
      <c r="BA734" s="5">
        <v>19564408720</v>
      </c>
      <c r="BB734">
        <v>0</v>
      </c>
      <c r="BC734" t="s">
        <v>542</v>
      </c>
      <c r="BD734" t="s">
        <v>543</v>
      </c>
      <c r="BG734" t="s">
        <v>232</v>
      </c>
      <c r="BH734" s="1">
        <v>44840.833333333336</v>
      </c>
      <c r="BI734">
        <v>40</v>
      </c>
      <c r="BJ734">
        <v>0</v>
      </c>
      <c r="BK734">
        <v>8</v>
      </c>
      <c r="BL734">
        <v>8</v>
      </c>
      <c r="BM734">
        <v>8</v>
      </c>
      <c r="BN734">
        <v>8</v>
      </c>
      <c r="BO734">
        <v>8</v>
      </c>
      <c r="BP734">
        <v>0</v>
      </c>
      <c r="BQ734" t="str">
        <f>"8:00 AM"</f>
        <v>8:00 AM</v>
      </c>
      <c r="BR734" t="str">
        <f>"5:00 PM"</f>
        <v>5:00 PM</v>
      </c>
      <c r="BS734" t="s">
        <v>133</v>
      </c>
      <c r="BT734">
        <v>0</v>
      </c>
      <c r="BU734">
        <v>0</v>
      </c>
      <c r="BV734" t="s">
        <v>134</v>
      </c>
      <c r="BX734" s="2" t="s">
        <v>7168</v>
      </c>
      <c r="BY734" t="s">
        <v>12386</v>
      </c>
      <c r="CA734" t="s">
        <v>1545</v>
      </c>
      <c r="CB734" t="s">
        <v>232</v>
      </c>
      <c r="CC734" s="4" t="str">
        <f>"77016"</f>
        <v>77016</v>
      </c>
      <c r="CD734" t="s">
        <v>3290</v>
      </c>
      <c r="CE734" t="s">
        <v>873</v>
      </c>
      <c r="CF734" s="6">
        <v>9.67</v>
      </c>
      <c r="CG734" s="6">
        <v>12.25</v>
      </c>
      <c r="CH734" s="6">
        <v>0</v>
      </c>
      <c r="CI734" s="6">
        <v>0</v>
      </c>
      <c r="CJ734" t="s">
        <v>137</v>
      </c>
      <c r="CK734" t="s">
        <v>549</v>
      </c>
      <c r="CL734" t="s">
        <v>12389</v>
      </c>
      <c r="CO734" t="s">
        <v>138</v>
      </c>
      <c r="CP734" t="s">
        <v>114</v>
      </c>
      <c r="CQ734" t="s">
        <v>114</v>
      </c>
      <c r="CR734" t="s">
        <v>134</v>
      </c>
      <c r="CS734" t="s">
        <v>114</v>
      </c>
      <c r="CT734" t="s">
        <v>114</v>
      </c>
      <c r="CU734" t="s">
        <v>114</v>
      </c>
      <c r="CV734" t="s">
        <v>4912</v>
      </c>
      <c r="CW734" s="5" t="str">
        <f>"+19857689332"</f>
        <v>+19857689332</v>
      </c>
      <c r="CX734" t="s">
        <v>12388</v>
      </c>
      <c r="CY734" t="s">
        <v>138</v>
      </c>
      <c r="CZ734" t="s">
        <v>139</v>
      </c>
      <c r="DA734" t="s">
        <v>134</v>
      </c>
      <c r="DB734" t="s">
        <v>114</v>
      </c>
      <c r="DC734" t="s">
        <v>114</v>
      </c>
      <c r="DD734" t="s">
        <v>134</v>
      </c>
    </row>
    <row r="735" spans="1:113" ht="15" customHeight="1" x14ac:dyDescent="0.25">
      <c r="A735" t="s">
        <v>16636</v>
      </c>
      <c r="B735" t="s">
        <v>165</v>
      </c>
      <c r="C735" s="1">
        <v>44840.406087962961</v>
      </c>
      <c r="D735" s="1">
        <v>44872</v>
      </c>
      <c r="E735" t="s">
        <v>134</v>
      </c>
      <c r="F735" t="s">
        <v>467</v>
      </c>
      <c r="G735" t="str">
        <f>"37-3013.00"</f>
        <v>37-3013.00</v>
      </c>
      <c r="H735" t="s">
        <v>468</v>
      </c>
      <c r="I735">
        <v>50</v>
      </c>
      <c r="J735">
        <v>50</v>
      </c>
      <c r="K735" s="1">
        <v>44930</v>
      </c>
      <c r="L735" s="1">
        <v>45234</v>
      </c>
      <c r="M735" s="1">
        <v>44930</v>
      </c>
      <c r="N735" s="1">
        <v>45234</v>
      </c>
      <c r="O735" t="s">
        <v>117</v>
      </c>
      <c r="P735" t="s">
        <v>6980</v>
      </c>
      <c r="R735" t="s">
        <v>470</v>
      </c>
      <c r="T735" t="s">
        <v>471</v>
      </c>
      <c r="U735" t="s">
        <v>232</v>
      </c>
      <c r="V735" s="4" t="str">
        <f>"77598"</f>
        <v>77598</v>
      </c>
      <c r="W735" t="s">
        <v>120</v>
      </c>
      <c r="Y735" s="5">
        <v>12812801100</v>
      </c>
      <c r="AA735">
        <v>56173</v>
      </c>
      <c r="AB735" t="s">
        <v>472</v>
      </c>
      <c r="AC735" t="s">
        <v>473</v>
      </c>
      <c r="AE735" t="s">
        <v>474</v>
      </c>
      <c r="AF735" t="s">
        <v>470</v>
      </c>
      <c r="AH735" t="s">
        <v>471</v>
      </c>
      <c r="AI735" t="s">
        <v>232</v>
      </c>
      <c r="AJ735" s="4" t="str">
        <f>"77598"</f>
        <v>77598</v>
      </c>
      <c r="AK735" t="s">
        <v>120</v>
      </c>
      <c r="AM735" s="5">
        <v>12812801100</v>
      </c>
      <c r="AO735" t="s">
        <v>138</v>
      </c>
      <c r="AP735" t="s">
        <v>256</v>
      </c>
      <c r="AQ735" t="s">
        <v>475</v>
      </c>
      <c r="AR735" t="s">
        <v>476</v>
      </c>
      <c r="AT735" t="s">
        <v>477</v>
      </c>
      <c r="AV735" t="s">
        <v>478</v>
      </c>
      <c r="AW735" t="s">
        <v>479</v>
      </c>
      <c r="AX735" s="4" t="str">
        <f>"22903"</f>
        <v>22903</v>
      </c>
      <c r="AY735" t="s">
        <v>120</v>
      </c>
      <c r="BA735" s="5">
        <v>14342634300</v>
      </c>
      <c r="BC735" t="s">
        <v>480</v>
      </c>
      <c r="BD735" t="s">
        <v>481</v>
      </c>
      <c r="BG735" t="s">
        <v>479</v>
      </c>
      <c r="BH735" s="1">
        <v>44839.833333333336</v>
      </c>
      <c r="BI735">
        <v>40</v>
      </c>
      <c r="BJ735">
        <v>0</v>
      </c>
      <c r="BK735">
        <v>8</v>
      </c>
      <c r="BL735">
        <v>8</v>
      </c>
      <c r="BM735">
        <v>8</v>
      </c>
      <c r="BN735">
        <v>8</v>
      </c>
      <c r="BO735">
        <v>8</v>
      </c>
      <c r="BP735">
        <v>0</v>
      </c>
      <c r="BQ735" t="str">
        <f>"7:00 AM"</f>
        <v>7:00 AM</v>
      </c>
      <c r="BR735" t="str">
        <f>"4:00 PM"</f>
        <v>4:00 PM</v>
      </c>
      <c r="BS735" t="s">
        <v>133</v>
      </c>
      <c r="BT735">
        <v>0</v>
      </c>
      <c r="BU735">
        <v>0</v>
      </c>
      <c r="BV735" t="s">
        <v>134</v>
      </c>
      <c r="BX735" s="2" t="s">
        <v>482</v>
      </c>
      <c r="BY735" t="s">
        <v>6981</v>
      </c>
      <c r="CA735" t="s">
        <v>6982</v>
      </c>
      <c r="CB735" t="s">
        <v>479</v>
      </c>
      <c r="CC735" s="4" t="str">
        <f>"23692"</f>
        <v>23692</v>
      </c>
      <c r="CD735" t="s">
        <v>1686</v>
      </c>
      <c r="CE735" t="s">
        <v>1687</v>
      </c>
      <c r="CF735" s="6">
        <v>16.61</v>
      </c>
      <c r="CH735" s="6">
        <v>24.92</v>
      </c>
      <c r="CJ735" t="s">
        <v>137</v>
      </c>
      <c r="CK735" t="s">
        <v>487</v>
      </c>
      <c r="CL735" t="s">
        <v>16637</v>
      </c>
      <c r="CO735" t="s">
        <v>138</v>
      </c>
      <c r="CP735" t="s">
        <v>114</v>
      </c>
      <c r="CQ735" t="s">
        <v>114</v>
      </c>
      <c r="CR735" t="s">
        <v>114</v>
      </c>
      <c r="CS735" t="s">
        <v>114</v>
      </c>
      <c r="CT735" t="s">
        <v>114</v>
      </c>
      <c r="CU735" t="s">
        <v>114</v>
      </c>
      <c r="CV735" t="s">
        <v>16638</v>
      </c>
      <c r="CW735" s="5" t="str">
        <f>"N/A"</f>
        <v>N/A</v>
      </c>
      <c r="CX735" t="s">
        <v>490</v>
      </c>
      <c r="CY735" t="s">
        <v>1680</v>
      </c>
      <c r="CZ735" t="s">
        <v>139</v>
      </c>
      <c r="DA735" t="s">
        <v>134</v>
      </c>
      <c r="DB735" t="s">
        <v>114</v>
      </c>
      <c r="DC735" t="s">
        <v>114</v>
      </c>
      <c r="DD735" t="s">
        <v>134</v>
      </c>
      <c r="DE735" t="s">
        <v>492</v>
      </c>
      <c r="DF735" t="s">
        <v>493</v>
      </c>
      <c r="DH735" t="s">
        <v>481</v>
      </c>
      <c r="DI735" t="s">
        <v>480</v>
      </c>
    </row>
    <row r="736" spans="1:113" ht="15" customHeight="1" x14ac:dyDescent="0.25">
      <c r="A736" t="s">
        <v>6564</v>
      </c>
      <c r="B736" t="s">
        <v>165</v>
      </c>
      <c r="C736" s="1">
        <v>44840.401042592595</v>
      </c>
      <c r="D736" s="1">
        <v>44872</v>
      </c>
      <c r="E736" t="s">
        <v>134</v>
      </c>
      <c r="F736" t="s">
        <v>467</v>
      </c>
      <c r="G736" t="str">
        <f>"37-3013.00"</f>
        <v>37-3013.00</v>
      </c>
      <c r="H736" t="s">
        <v>468</v>
      </c>
      <c r="I736">
        <v>50</v>
      </c>
      <c r="J736">
        <v>50</v>
      </c>
      <c r="K736" s="1">
        <v>44930</v>
      </c>
      <c r="L736" s="1">
        <v>45234</v>
      </c>
      <c r="M736" s="1">
        <v>44930</v>
      </c>
      <c r="N736" s="1">
        <v>45234</v>
      </c>
      <c r="O736" t="s">
        <v>117</v>
      </c>
      <c r="P736" t="s">
        <v>6565</v>
      </c>
      <c r="R736" t="s">
        <v>470</v>
      </c>
      <c r="T736" t="s">
        <v>471</v>
      </c>
      <c r="U736" t="s">
        <v>232</v>
      </c>
      <c r="V736" s="4" t="str">
        <f>"77598"</f>
        <v>77598</v>
      </c>
      <c r="W736" t="s">
        <v>120</v>
      </c>
      <c r="Y736" s="5">
        <v>12812801100</v>
      </c>
      <c r="AA736">
        <v>56173</v>
      </c>
      <c r="AB736" t="s">
        <v>472</v>
      </c>
      <c r="AC736" t="s">
        <v>473</v>
      </c>
      <c r="AE736" t="s">
        <v>474</v>
      </c>
      <c r="AF736" t="s">
        <v>470</v>
      </c>
      <c r="AH736" t="s">
        <v>471</v>
      </c>
      <c r="AI736" t="s">
        <v>232</v>
      </c>
      <c r="AJ736" s="4" t="str">
        <f>"77598"</f>
        <v>77598</v>
      </c>
      <c r="AK736" t="s">
        <v>120</v>
      </c>
      <c r="AM736" s="5">
        <v>12812801100</v>
      </c>
      <c r="AO736" t="s">
        <v>138</v>
      </c>
      <c r="AP736" t="s">
        <v>256</v>
      </c>
      <c r="AQ736" t="s">
        <v>475</v>
      </c>
      <c r="AR736" t="s">
        <v>476</v>
      </c>
      <c r="AT736" t="s">
        <v>477</v>
      </c>
      <c r="AV736" t="s">
        <v>478</v>
      </c>
      <c r="AW736" t="s">
        <v>479</v>
      </c>
      <c r="AX736" s="4" t="str">
        <f>"22903"</f>
        <v>22903</v>
      </c>
      <c r="AY736" t="s">
        <v>120</v>
      </c>
      <c r="BA736" s="5">
        <v>14342634300</v>
      </c>
      <c r="BC736" t="s">
        <v>480</v>
      </c>
      <c r="BD736" t="s">
        <v>481</v>
      </c>
      <c r="BG736" t="s">
        <v>2371</v>
      </c>
      <c r="BH736" s="1">
        <v>44839.833333333336</v>
      </c>
      <c r="BI736">
        <v>40</v>
      </c>
      <c r="BJ736">
        <v>0</v>
      </c>
      <c r="BK736">
        <v>8</v>
      </c>
      <c r="BL736">
        <v>8</v>
      </c>
      <c r="BM736">
        <v>8</v>
      </c>
      <c r="BN736">
        <v>8</v>
      </c>
      <c r="BO736">
        <v>8</v>
      </c>
      <c r="BP736">
        <v>0</v>
      </c>
      <c r="BQ736" t="str">
        <f>"7:00 AM"</f>
        <v>7:00 AM</v>
      </c>
      <c r="BR736" t="str">
        <f>"4:00 PM"</f>
        <v>4:00 PM</v>
      </c>
      <c r="BS736" t="s">
        <v>133</v>
      </c>
      <c r="BT736">
        <v>0</v>
      </c>
      <c r="BU736">
        <v>0</v>
      </c>
      <c r="BV736" t="s">
        <v>134</v>
      </c>
      <c r="BX736" s="2" t="s">
        <v>482</v>
      </c>
      <c r="BY736" t="s">
        <v>6566</v>
      </c>
      <c r="CA736" t="s">
        <v>4016</v>
      </c>
      <c r="CB736" t="s">
        <v>2371</v>
      </c>
      <c r="CC736" s="4" t="str">
        <f>"46176"</f>
        <v>46176</v>
      </c>
      <c r="CD736" t="s">
        <v>4017</v>
      </c>
      <c r="CE736" t="s">
        <v>2372</v>
      </c>
      <c r="CF736" s="6">
        <v>23.7</v>
      </c>
      <c r="CH736" s="6">
        <v>35.549999999999997</v>
      </c>
      <c r="CJ736" t="s">
        <v>137</v>
      </c>
      <c r="CK736" t="s">
        <v>487</v>
      </c>
      <c r="CL736" t="s">
        <v>6567</v>
      </c>
      <c r="CO736" t="s">
        <v>138</v>
      </c>
      <c r="CP736" t="s">
        <v>114</v>
      </c>
      <c r="CQ736" t="s">
        <v>114</v>
      </c>
      <c r="CR736" t="s">
        <v>114</v>
      </c>
      <c r="CS736" t="s">
        <v>114</v>
      </c>
      <c r="CT736" t="s">
        <v>114</v>
      </c>
      <c r="CU736" t="s">
        <v>114</v>
      </c>
      <c r="CV736" t="s">
        <v>6568</v>
      </c>
      <c r="CW736" s="5" t="str">
        <f>"N/A"</f>
        <v>N/A</v>
      </c>
      <c r="CX736" t="s">
        <v>490</v>
      </c>
      <c r="CY736" t="s">
        <v>4561</v>
      </c>
      <c r="CZ736" t="s">
        <v>139</v>
      </c>
      <c r="DA736" t="s">
        <v>134</v>
      </c>
      <c r="DB736" t="s">
        <v>114</v>
      </c>
      <c r="DC736" t="s">
        <v>114</v>
      </c>
      <c r="DD736" t="s">
        <v>134</v>
      </c>
      <c r="DE736" t="s">
        <v>492</v>
      </c>
      <c r="DF736" t="s">
        <v>493</v>
      </c>
      <c r="DH736" t="s">
        <v>481</v>
      </c>
      <c r="DI736" t="s">
        <v>480</v>
      </c>
    </row>
    <row r="737" spans="1:113" ht="15" customHeight="1" x14ac:dyDescent="0.25">
      <c r="A737" t="s">
        <v>466</v>
      </c>
      <c r="B737" t="s">
        <v>165</v>
      </c>
      <c r="C737" s="1">
        <v>44840.371751041668</v>
      </c>
      <c r="D737" s="1">
        <v>44872</v>
      </c>
      <c r="E737" t="s">
        <v>134</v>
      </c>
      <c r="F737" t="s">
        <v>467</v>
      </c>
      <c r="G737" t="str">
        <f>"37-3013.00"</f>
        <v>37-3013.00</v>
      </c>
      <c r="H737" t="s">
        <v>468</v>
      </c>
      <c r="I737">
        <v>25</v>
      </c>
      <c r="J737">
        <v>25</v>
      </c>
      <c r="K737" s="1">
        <v>44930</v>
      </c>
      <c r="L737" s="1">
        <v>45234</v>
      </c>
      <c r="M737" s="1">
        <v>44930</v>
      </c>
      <c r="N737" s="1">
        <v>45234</v>
      </c>
      <c r="O737" t="s">
        <v>117</v>
      </c>
      <c r="P737" t="s">
        <v>469</v>
      </c>
      <c r="R737" t="s">
        <v>470</v>
      </c>
      <c r="T737" t="s">
        <v>471</v>
      </c>
      <c r="U737" t="s">
        <v>232</v>
      </c>
      <c r="V737" s="4" t="str">
        <f>"77598"</f>
        <v>77598</v>
      </c>
      <c r="W737" t="s">
        <v>120</v>
      </c>
      <c r="Y737" s="5">
        <v>12812801100</v>
      </c>
      <c r="AA737">
        <v>56173</v>
      </c>
      <c r="AB737" t="s">
        <v>472</v>
      </c>
      <c r="AC737" t="s">
        <v>473</v>
      </c>
      <c r="AE737" t="s">
        <v>474</v>
      </c>
      <c r="AF737" t="s">
        <v>470</v>
      </c>
      <c r="AH737" t="s">
        <v>471</v>
      </c>
      <c r="AI737" t="s">
        <v>232</v>
      </c>
      <c r="AJ737" s="4" t="str">
        <f>"77598"</f>
        <v>77598</v>
      </c>
      <c r="AK737" t="s">
        <v>120</v>
      </c>
      <c r="AM737" s="5">
        <v>12812801100</v>
      </c>
      <c r="AO737" t="s">
        <v>138</v>
      </c>
      <c r="AP737" t="s">
        <v>256</v>
      </c>
      <c r="AQ737" t="s">
        <v>475</v>
      </c>
      <c r="AR737" t="s">
        <v>476</v>
      </c>
      <c r="AT737" t="s">
        <v>477</v>
      </c>
      <c r="AV737" t="s">
        <v>478</v>
      </c>
      <c r="AW737" t="s">
        <v>479</v>
      </c>
      <c r="AX737" s="4" t="str">
        <f>"22903"</f>
        <v>22903</v>
      </c>
      <c r="AY737" t="s">
        <v>120</v>
      </c>
      <c r="BA737" s="5">
        <v>14342634300</v>
      </c>
      <c r="BC737" t="s">
        <v>480</v>
      </c>
      <c r="BD737" t="s">
        <v>481</v>
      </c>
      <c r="BG737" t="s">
        <v>129</v>
      </c>
      <c r="BH737" s="1">
        <v>44839.833333333336</v>
      </c>
      <c r="BI737">
        <v>40</v>
      </c>
      <c r="BJ737">
        <v>0</v>
      </c>
      <c r="BK737">
        <v>8</v>
      </c>
      <c r="BL737">
        <v>8</v>
      </c>
      <c r="BM737">
        <v>8</v>
      </c>
      <c r="BN737">
        <v>8</v>
      </c>
      <c r="BO737">
        <v>8</v>
      </c>
      <c r="BP737">
        <v>0</v>
      </c>
      <c r="BQ737" t="str">
        <f>"7:00 AM"</f>
        <v>7:00 AM</v>
      </c>
      <c r="BR737" t="str">
        <f>"4:00 PM"</f>
        <v>4:00 PM</v>
      </c>
      <c r="BS737" t="s">
        <v>133</v>
      </c>
      <c r="BT737">
        <v>0</v>
      </c>
      <c r="BU737">
        <v>0</v>
      </c>
      <c r="BV737" t="s">
        <v>134</v>
      </c>
      <c r="BX737" s="2" t="s">
        <v>482</v>
      </c>
      <c r="BY737" t="s">
        <v>483</v>
      </c>
      <c r="CA737" t="s">
        <v>484</v>
      </c>
      <c r="CB737" t="s">
        <v>129</v>
      </c>
      <c r="CC737" s="4" t="str">
        <f>"30501"</f>
        <v>30501</v>
      </c>
      <c r="CD737" t="s">
        <v>485</v>
      </c>
      <c r="CE737" t="s">
        <v>486</v>
      </c>
      <c r="CF737" s="6">
        <v>20.170000000000002</v>
      </c>
      <c r="CH737" s="6">
        <v>30.26</v>
      </c>
      <c r="CJ737" t="s">
        <v>137</v>
      </c>
      <c r="CK737" t="s">
        <v>487</v>
      </c>
      <c r="CL737" t="s">
        <v>488</v>
      </c>
      <c r="CO737" t="s">
        <v>138</v>
      </c>
      <c r="CP737" t="s">
        <v>114</v>
      </c>
      <c r="CQ737" t="s">
        <v>114</v>
      </c>
      <c r="CR737" t="s">
        <v>114</v>
      </c>
      <c r="CS737" t="s">
        <v>114</v>
      </c>
      <c r="CT737" t="s">
        <v>114</v>
      </c>
      <c r="CU737" t="s">
        <v>114</v>
      </c>
      <c r="CV737" t="s">
        <v>489</v>
      </c>
      <c r="CW737" s="5" t="str">
        <f>"N/A"</f>
        <v>N/A</v>
      </c>
      <c r="CX737" t="s">
        <v>490</v>
      </c>
      <c r="CY737" t="s">
        <v>491</v>
      </c>
      <c r="CZ737" t="s">
        <v>139</v>
      </c>
      <c r="DA737" t="s">
        <v>134</v>
      </c>
      <c r="DB737" t="s">
        <v>114</v>
      </c>
      <c r="DC737" t="s">
        <v>114</v>
      </c>
      <c r="DD737" t="s">
        <v>134</v>
      </c>
      <c r="DE737" t="s">
        <v>492</v>
      </c>
      <c r="DF737" t="s">
        <v>493</v>
      </c>
      <c r="DH737" t="s">
        <v>481</v>
      </c>
      <c r="DI737" t="s">
        <v>480</v>
      </c>
    </row>
    <row r="738" spans="1:113" ht="15" customHeight="1" x14ac:dyDescent="0.25">
      <c r="A738" t="s">
        <v>5134</v>
      </c>
      <c r="B738" t="s">
        <v>165</v>
      </c>
      <c r="C738" s="1">
        <v>44840.34002152778</v>
      </c>
      <c r="D738" s="1">
        <v>44872</v>
      </c>
      <c r="E738" t="s">
        <v>134</v>
      </c>
      <c r="F738" t="s">
        <v>467</v>
      </c>
      <c r="G738" t="str">
        <f>"37-3013.00"</f>
        <v>37-3013.00</v>
      </c>
      <c r="H738" t="s">
        <v>468</v>
      </c>
      <c r="I738">
        <v>100</v>
      </c>
      <c r="J738">
        <v>100</v>
      </c>
      <c r="K738" s="1">
        <v>44930</v>
      </c>
      <c r="L738" s="1">
        <v>45234</v>
      </c>
      <c r="M738" s="1">
        <v>44930</v>
      </c>
      <c r="N738" s="1">
        <v>45234</v>
      </c>
      <c r="O738" t="s">
        <v>117</v>
      </c>
      <c r="P738" t="s">
        <v>5135</v>
      </c>
      <c r="R738" t="s">
        <v>470</v>
      </c>
      <c r="T738" t="s">
        <v>471</v>
      </c>
      <c r="U738" t="s">
        <v>232</v>
      </c>
      <c r="V738" s="4" t="str">
        <f>"77598"</f>
        <v>77598</v>
      </c>
      <c r="W738" t="s">
        <v>120</v>
      </c>
      <c r="Y738" s="5">
        <v>12812801100</v>
      </c>
      <c r="AA738">
        <v>56173</v>
      </c>
      <c r="AB738" t="s">
        <v>472</v>
      </c>
      <c r="AC738" t="s">
        <v>473</v>
      </c>
      <c r="AE738" t="s">
        <v>474</v>
      </c>
      <c r="AF738" t="s">
        <v>470</v>
      </c>
      <c r="AH738" t="s">
        <v>471</v>
      </c>
      <c r="AI738" t="s">
        <v>232</v>
      </c>
      <c r="AJ738" s="4" t="str">
        <f>"77598"</f>
        <v>77598</v>
      </c>
      <c r="AK738" t="s">
        <v>120</v>
      </c>
      <c r="AM738" s="5">
        <v>12812801100</v>
      </c>
      <c r="AO738" t="s">
        <v>138</v>
      </c>
      <c r="AP738" t="s">
        <v>256</v>
      </c>
      <c r="AQ738" t="s">
        <v>475</v>
      </c>
      <c r="AR738" t="s">
        <v>476</v>
      </c>
      <c r="AT738" t="s">
        <v>477</v>
      </c>
      <c r="AV738" t="s">
        <v>478</v>
      </c>
      <c r="AW738" t="s">
        <v>479</v>
      </c>
      <c r="AX738" s="4" t="str">
        <f>"22903"</f>
        <v>22903</v>
      </c>
      <c r="AY738" t="s">
        <v>120</v>
      </c>
      <c r="BA738" s="5">
        <v>14342634300</v>
      </c>
      <c r="BC738" t="s">
        <v>480</v>
      </c>
      <c r="BD738" t="s">
        <v>481</v>
      </c>
      <c r="BG738" t="s">
        <v>232</v>
      </c>
      <c r="BH738" s="1">
        <v>44839.833333333336</v>
      </c>
      <c r="BI738">
        <v>40</v>
      </c>
      <c r="BJ738">
        <v>0</v>
      </c>
      <c r="BK738">
        <v>8</v>
      </c>
      <c r="BL738">
        <v>8</v>
      </c>
      <c r="BM738">
        <v>8</v>
      </c>
      <c r="BN738">
        <v>8</v>
      </c>
      <c r="BO738">
        <v>8</v>
      </c>
      <c r="BP738">
        <v>0</v>
      </c>
      <c r="BQ738" t="str">
        <f>"7:00 AM"</f>
        <v>7:00 AM</v>
      </c>
      <c r="BR738" t="str">
        <f>"4:00 PM"</f>
        <v>4:00 PM</v>
      </c>
      <c r="BS738" t="s">
        <v>133</v>
      </c>
      <c r="BT738">
        <v>0</v>
      </c>
      <c r="BU738">
        <v>0</v>
      </c>
      <c r="BV738" t="s">
        <v>134</v>
      </c>
      <c r="BX738" s="2" t="s">
        <v>482</v>
      </c>
      <c r="BY738" t="s">
        <v>5136</v>
      </c>
      <c r="CA738" t="s">
        <v>5137</v>
      </c>
      <c r="CB738" t="s">
        <v>232</v>
      </c>
      <c r="CC738" s="4" t="str">
        <f>"77303"</f>
        <v>77303</v>
      </c>
      <c r="CD738" t="s">
        <v>2007</v>
      </c>
      <c r="CE738" t="s">
        <v>873</v>
      </c>
      <c r="CF738" s="6">
        <v>16.489999999999998</v>
      </c>
      <c r="CH738" s="6">
        <v>24.74</v>
      </c>
      <c r="CJ738" t="s">
        <v>137</v>
      </c>
      <c r="CK738" t="s">
        <v>487</v>
      </c>
      <c r="CL738" t="s">
        <v>5138</v>
      </c>
      <c r="CO738" t="s">
        <v>138</v>
      </c>
      <c r="CP738" t="s">
        <v>114</v>
      </c>
      <c r="CQ738" t="s">
        <v>114</v>
      </c>
      <c r="CR738" t="s">
        <v>114</v>
      </c>
      <c r="CS738" t="s">
        <v>114</v>
      </c>
      <c r="CT738" t="s">
        <v>114</v>
      </c>
      <c r="CU738" t="s">
        <v>114</v>
      </c>
      <c r="CV738" t="s">
        <v>5139</v>
      </c>
      <c r="CW738" s="5" t="str">
        <f>"N/A"</f>
        <v>N/A</v>
      </c>
      <c r="CX738" t="s">
        <v>490</v>
      </c>
      <c r="CY738" t="s">
        <v>953</v>
      </c>
      <c r="CZ738" t="s">
        <v>139</v>
      </c>
      <c r="DA738" t="s">
        <v>134</v>
      </c>
      <c r="DB738" t="s">
        <v>114</v>
      </c>
      <c r="DC738" t="s">
        <v>114</v>
      </c>
      <c r="DD738" t="s">
        <v>134</v>
      </c>
      <c r="DE738" t="s">
        <v>492</v>
      </c>
      <c r="DF738" t="s">
        <v>493</v>
      </c>
      <c r="DH738" t="s">
        <v>481</v>
      </c>
      <c r="DI738" t="s">
        <v>480</v>
      </c>
    </row>
    <row r="739" spans="1:113" ht="15" customHeight="1" x14ac:dyDescent="0.25">
      <c r="A739" t="s">
        <v>13849</v>
      </c>
      <c r="B739" t="s">
        <v>165</v>
      </c>
      <c r="C739" s="1">
        <v>44836.006096990743</v>
      </c>
      <c r="D739" s="1">
        <v>44872</v>
      </c>
      <c r="E739" t="s">
        <v>134</v>
      </c>
      <c r="F739" t="s">
        <v>334</v>
      </c>
      <c r="G739" t="str">
        <f>"37-3011.00"</f>
        <v>37-3011.00</v>
      </c>
      <c r="H739" t="s">
        <v>335</v>
      </c>
      <c r="I739">
        <v>55</v>
      </c>
      <c r="J739">
        <v>55</v>
      </c>
      <c r="K739" s="1">
        <v>44926</v>
      </c>
      <c r="L739" s="1">
        <v>45229</v>
      </c>
      <c r="M739" s="1">
        <v>44926</v>
      </c>
      <c r="N739" s="1">
        <v>45229</v>
      </c>
      <c r="O739" t="s">
        <v>117</v>
      </c>
      <c r="P739" t="s">
        <v>4144</v>
      </c>
      <c r="R739" t="s">
        <v>4145</v>
      </c>
      <c r="T739" t="s">
        <v>1482</v>
      </c>
      <c r="U739" t="s">
        <v>232</v>
      </c>
      <c r="V739" s="4" t="str">
        <f>"75220"</f>
        <v>75220</v>
      </c>
      <c r="W739" t="s">
        <v>120</v>
      </c>
      <c r="Y739" s="5">
        <v>12143585296</v>
      </c>
      <c r="AA739">
        <v>56173</v>
      </c>
      <c r="AB739" t="s">
        <v>4146</v>
      </c>
      <c r="AC739" t="s">
        <v>4147</v>
      </c>
      <c r="AE739" t="s">
        <v>4148</v>
      </c>
      <c r="AF739" t="s">
        <v>13850</v>
      </c>
      <c r="AH739" t="s">
        <v>1525</v>
      </c>
      <c r="AI739" t="s">
        <v>232</v>
      </c>
      <c r="AJ739" s="4" t="str">
        <f>"75220"</f>
        <v>75220</v>
      </c>
      <c r="AK739" t="s">
        <v>120</v>
      </c>
      <c r="AM739" s="5">
        <v>12143585296</v>
      </c>
      <c r="AO739" t="s">
        <v>4149</v>
      </c>
      <c r="AP739" t="s">
        <v>256</v>
      </c>
      <c r="AQ739" t="s">
        <v>400</v>
      </c>
      <c r="AR739" t="s">
        <v>401</v>
      </c>
      <c r="AS739" t="s">
        <v>397</v>
      </c>
      <c r="AT739" t="s">
        <v>402</v>
      </c>
      <c r="AU739" t="s">
        <v>152</v>
      </c>
      <c r="AV739" t="s">
        <v>403</v>
      </c>
      <c r="AW739" t="s">
        <v>232</v>
      </c>
      <c r="AX739" s="4" t="str">
        <f>"75033"</f>
        <v>75033</v>
      </c>
      <c r="AY739" t="s">
        <v>120</v>
      </c>
      <c r="BA739" s="5">
        <v>19727789690</v>
      </c>
      <c r="BC739" t="s">
        <v>5956</v>
      </c>
      <c r="BD739" t="s">
        <v>405</v>
      </c>
      <c r="BG739" t="s">
        <v>232</v>
      </c>
      <c r="BH739" s="1">
        <v>44835.833333333336</v>
      </c>
      <c r="BI739">
        <v>40</v>
      </c>
      <c r="BJ739">
        <v>0</v>
      </c>
      <c r="BK739">
        <v>8</v>
      </c>
      <c r="BL739">
        <v>8</v>
      </c>
      <c r="BM739">
        <v>8</v>
      </c>
      <c r="BN739">
        <v>8</v>
      </c>
      <c r="BO739">
        <v>8</v>
      </c>
      <c r="BP739">
        <v>0</v>
      </c>
      <c r="BQ739" t="str">
        <f>"6:45 AM"</f>
        <v>6:45 AM</v>
      </c>
      <c r="BR739" t="str">
        <f>"3:45 PM"</f>
        <v>3:45 PM</v>
      </c>
      <c r="BS739" t="s">
        <v>133</v>
      </c>
      <c r="BT739">
        <v>0</v>
      </c>
      <c r="BU739">
        <v>0</v>
      </c>
      <c r="BV739" t="s">
        <v>134</v>
      </c>
      <c r="BX739" t="s">
        <v>13851</v>
      </c>
      <c r="BY739" t="s">
        <v>13850</v>
      </c>
      <c r="CA739" t="s">
        <v>1525</v>
      </c>
      <c r="CB739" t="s">
        <v>232</v>
      </c>
      <c r="CC739" s="4" t="str">
        <f>"75220"</f>
        <v>75220</v>
      </c>
      <c r="CD739" t="s">
        <v>1482</v>
      </c>
      <c r="CE739" t="s">
        <v>1528</v>
      </c>
      <c r="CF739" s="6">
        <v>16.3</v>
      </c>
      <c r="CG739" s="6">
        <v>16.3</v>
      </c>
      <c r="CH739" s="6">
        <v>24.45</v>
      </c>
      <c r="CI739" s="6">
        <v>24.45</v>
      </c>
      <c r="CJ739" t="s">
        <v>137</v>
      </c>
      <c r="CK739" t="s">
        <v>950</v>
      </c>
      <c r="CL739" t="s">
        <v>13852</v>
      </c>
      <c r="CO739" t="s">
        <v>138</v>
      </c>
      <c r="CP739" t="s">
        <v>114</v>
      </c>
      <c r="CQ739" t="s">
        <v>114</v>
      </c>
      <c r="CR739" t="s">
        <v>114</v>
      </c>
      <c r="CS739" t="s">
        <v>114</v>
      </c>
      <c r="CT739" t="s">
        <v>114</v>
      </c>
      <c r="CU739" t="s">
        <v>114</v>
      </c>
      <c r="CV739" s="2" t="s">
        <v>13853</v>
      </c>
      <c r="CW739" s="5" t="str">
        <f>"+12143585296"</f>
        <v>+12143585296</v>
      </c>
      <c r="CX739" t="s">
        <v>138</v>
      </c>
      <c r="CY739" t="s">
        <v>953</v>
      </c>
      <c r="CZ739" t="s">
        <v>139</v>
      </c>
      <c r="DA739" t="s">
        <v>134</v>
      </c>
      <c r="DB739" t="s">
        <v>114</v>
      </c>
      <c r="DC739" t="s">
        <v>114</v>
      </c>
      <c r="DD739" t="s">
        <v>134</v>
      </c>
    </row>
    <row r="740" spans="1:113" ht="15" customHeight="1" x14ac:dyDescent="0.25">
      <c r="A740" t="s">
        <v>15220</v>
      </c>
      <c r="B740" t="s">
        <v>165</v>
      </c>
      <c r="C740" s="1">
        <v>44836.005519791666</v>
      </c>
      <c r="D740" s="1">
        <v>44872</v>
      </c>
      <c r="E740" t="s">
        <v>134</v>
      </c>
      <c r="F740" t="s">
        <v>334</v>
      </c>
      <c r="G740" t="str">
        <f>"37-3011.00"</f>
        <v>37-3011.00</v>
      </c>
      <c r="H740" t="s">
        <v>335</v>
      </c>
      <c r="I740">
        <v>35</v>
      </c>
      <c r="J740">
        <v>35</v>
      </c>
      <c r="K740" s="1">
        <v>44926</v>
      </c>
      <c r="L740" s="1">
        <v>45229</v>
      </c>
      <c r="M740" s="1">
        <v>44926</v>
      </c>
      <c r="N740" s="1">
        <v>45229</v>
      </c>
      <c r="O740" t="s">
        <v>117</v>
      </c>
      <c r="P740" t="s">
        <v>4144</v>
      </c>
      <c r="R740" t="s">
        <v>4145</v>
      </c>
      <c r="T740" t="s">
        <v>1482</v>
      </c>
      <c r="U740" t="s">
        <v>232</v>
      </c>
      <c r="V740" s="4" t="str">
        <f>"75220"</f>
        <v>75220</v>
      </c>
      <c r="W740" t="s">
        <v>120</v>
      </c>
      <c r="Y740" s="5">
        <v>12143585296</v>
      </c>
      <c r="AA740">
        <v>56173</v>
      </c>
      <c r="AB740" t="s">
        <v>4146</v>
      </c>
      <c r="AC740" t="s">
        <v>4147</v>
      </c>
      <c r="AE740" t="s">
        <v>4148</v>
      </c>
      <c r="AF740" t="s">
        <v>13850</v>
      </c>
      <c r="AH740" t="s">
        <v>1525</v>
      </c>
      <c r="AI740" t="s">
        <v>232</v>
      </c>
      <c r="AJ740" s="4" t="str">
        <f>"75220"</f>
        <v>75220</v>
      </c>
      <c r="AK740" t="s">
        <v>120</v>
      </c>
      <c r="AM740" s="5">
        <v>12143585296</v>
      </c>
      <c r="AO740" t="s">
        <v>4149</v>
      </c>
      <c r="AP740" t="s">
        <v>256</v>
      </c>
      <c r="AQ740" t="s">
        <v>400</v>
      </c>
      <c r="AR740" t="s">
        <v>401</v>
      </c>
      <c r="AS740" t="s">
        <v>397</v>
      </c>
      <c r="AT740" t="s">
        <v>402</v>
      </c>
      <c r="AU740" t="s">
        <v>152</v>
      </c>
      <c r="AV740" t="s">
        <v>403</v>
      </c>
      <c r="AW740" t="s">
        <v>232</v>
      </c>
      <c r="AX740" s="4" t="str">
        <f>"75033"</f>
        <v>75033</v>
      </c>
      <c r="AY740" t="s">
        <v>120</v>
      </c>
      <c r="BA740" s="5">
        <v>19727789690</v>
      </c>
      <c r="BC740" t="s">
        <v>1534</v>
      </c>
      <c r="BD740" t="s">
        <v>405</v>
      </c>
      <c r="BG740" t="s">
        <v>631</v>
      </c>
      <c r="BH740" s="1">
        <v>44835.833333333336</v>
      </c>
      <c r="BI740">
        <v>40</v>
      </c>
      <c r="BJ740">
        <v>0</v>
      </c>
      <c r="BK740">
        <v>8</v>
      </c>
      <c r="BL740">
        <v>8</v>
      </c>
      <c r="BM740">
        <v>8</v>
      </c>
      <c r="BN740">
        <v>8</v>
      </c>
      <c r="BO740">
        <v>8</v>
      </c>
      <c r="BP740">
        <v>0</v>
      </c>
      <c r="BQ740" t="str">
        <f>"6:45 AM"</f>
        <v>6:45 AM</v>
      </c>
      <c r="BR740" t="str">
        <f>"3:45 PM"</f>
        <v>3:45 PM</v>
      </c>
      <c r="BS740" t="s">
        <v>133</v>
      </c>
      <c r="BT740">
        <v>0</v>
      </c>
      <c r="BU740">
        <v>0</v>
      </c>
      <c r="BV740" t="s">
        <v>134</v>
      </c>
      <c r="BX740" s="2" t="s">
        <v>15221</v>
      </c>
      <c r="BY740" t="s">
        <v>15222</v>
      </c>
      <c r="CA740" t="s">
        <v>4596</v>
      </c>
      <c r="CB740" t="s">
        <v>631</v>
      </c>
      <c r="CC740" s="4" t="str">
        <f>"73013"</f>
        <v>73013</v>
      </c>
      <c r="CD740" t="s">
        <v>2925</v>
      </c>
      <c r="CE740" t="s">
        <v>2926</v>
      </c>
      <c r="CF740" s="6">
        <v>15.35</v>
      </c>
      <c r="CG740" s="6">
        <v>15.35</v>
      </c>
      <c r="CH740" s="6">
        <v>23.03</v>
      </c>
      <c r="CI740" s="6">
        <v>23.03</v>
      </c>
      <c r="CJ740" t="s">
        <v>137</v>
      </c>
      <c r="CK740" t="s">
        <v>950</v>
      </c>
      <c r="CL740" t="s">
        <v>15223</v>
      </c>
      <c r="CO740" t="s">
        <v>138</v>
      </c>
      <c r="CP740" t="s">
        <v>114</v>
      </c>
      <c r="CQ740" t="s">
        <v>114</v>
      </c>
      <c r="CR740" t="s">
        <v>114</v>
      </c>
      <c r="CS740" t="s">
        <v>114</v>
      </c>
      <c r="CT740" t="s">
        <v>114</v>
      </c>
      <c r="CU740" t="s">
        <v>114</v>
      </c>
      <c r="CV740" s="2" t="s">
        <v>4151</v>
      </c>
      <c r="CW740" s="5" t="str">
        <f>"+12143585296"</f>
        <v>+12143585296</v>
      </c>
      <c r="CX740" t="s">
        <v>138</v>
      </c>
      <c r="CY740" t="s">
        <v>2708</v>
      </c>
      <c r="CZ740" t="s">
        <v>139</v>
      </c>
      <c r="DA740" t="s">
        <v>134</v>
      </c>
      <c r="DB740" t="s">
        <v>114</v>
      </c>
      <c r="DC740" t="s">
        <v>114</v>
      </c>
      <c r="DD740" t="s">
        <v>134</v>
      </c>
    </row>
    <row r="741" spans="1:113" ht="15" customHeight="1" x14ac:dyDescent="0.25">
      <c r="A741" t="s">
        <v>15299</v>
      </c>
      <c r="B741" t="s">
        <v>165</v>
      </c>
      <c r="C741" s="1">
        <v>44832.738873495371</v>
      </c>
      <c r="D741" s="1">
        <v>44872</v>
      </c>
      <c r="E741" t="s">
        <v>114</v>
      </c>
      <c r="F741" t="s">
        <v>2470</v>
      </c>
      <c r="G741" t="str">
        <f>"37-2012.00"</f>
        <v>37-2012.00</v>
      </c>
      <c r="H741" t="s">
        <v>116</v>
      </c>
      <c r="I741">
        <v>3</v>
      </c>
      <c r="J741">
        <v>3</v>
      </c>
      <c r="K741" s="1">
        <v>44907</v>
      </c>
      <c r="L741" s="1">
        <v>45179</v>
      </c>
      <c r="M741" s="1">
        <v>44907</v>
      </c>
      <c r="N741" s="1">
        <v>45179</v>
      </c>
      <c r="O741" t="s">
        <v>117</v>
      </c>
      <c r="P741" t="s">
        <v>744</v>
      </c>
      <c r="Q741" t="s">
        <v>745</v>
      </c>
      <c r="R741" t="s">
        <v>746</v>
      </c>
      <c r="T741" t="s">
        <v>747</v>
      </c>
      <c r="U741" t="s">
        <v>748</v>
      </c>
      <c r="V741" s="4" t="str">
        <f>"16803"</f>
        <v>16803</v>
      </c>
      <c r="W741" t="s">
        <v>120</v>
      </c>
      <c r="Y741" s="5">
        <v>18142344460</v>
      </c>
      <c r="AA741">
        <v>721110</v>
      </c>
      <c r="AB741" t="s">
        <v>749</v>
      </c>
      <c r="AC741" t="s">
        <v>750</v>
      </c>
      <c r="AE741" t="s">
        <v>751</v>
      </c>
      <c r="AF741" t="s">
        <v>746</v>
      </c>
      <c r="AH741" t="s">
        <v>747</v>
      </c>
      <c r="AI741" t="s">
        <v>748</v>
      </c>
      <c r="AJ741" s="4" t="str">
        <f>"16803"</f>
        <v>16803</v>
      </c>
      <c r="AK741" t="s">
        <v>120</v>
      </c>
      <c r="AM741" s="5">
        <v>18142787582</v>
      </c>
      <c r="AO741" t="s">
        <v>752</v>
      </c>
      <c r="AP741" t="s">
        <v>122</v>
      </c>
      <c r="AQ741" t="s">
        <v>753</v>
      </c>
      <c r="AR741" t="s">
        <v>754</v>
      </c>
      <c r="AS741" t="s">
        <v>755</v>
      </c>
      <c r="AT741" t="s">
        <v>756</v>
      </c>
      <c r="AU741" t="s">
        <v>757</v>
      </c>
      <c r="AV741" t="s">
        <v>758</v>
      </c>
      <c r="AW741" t="s">
        <v>281</v>
      </c>
      <c r="AX741" s="4" t="str">
        <f>"01701"</f>
        <v>01701</v>
      </c>
      <c r="AY741" t="s">
        <v>120</v>
      </c>
      <c r="BA741" s="5">
        <v>16179399444</v>
      </c>
      <c r="BC741" t="s">
        <v>759</v>
      </c>
      <c r="BD741" t="s">
        <v>760</v>
      </c>
      <c r="BE741" t="s">
        <v>281</v>
      </c>
      <c r="BF741" t="s">
        <v>761</v>
      </c>
      <c r="BG741" t="s">
        <v>154</v>
      </c>
      <c r="BH741" s="1">
        <v>44831.833333333336</v>
      </c>
      <c r="BI741">
        <v>40</v>
      </c>
      <c r="BJ741">
        <v>0</v>
      </c>
      <c r="BK741">
        <v>8</v>
      </c>
      <c r="BL741">
        <v>8</v>
      </c>
      <c r="BM741">
        <v>8</v>
      </c>
      <c r="BN741">
        <v>8</v>
      </c>
      <c r="BO741">
        <v>8</v>
      </c>
      <c r="BP741">
        <v>0</v>
      </c>
      <c r="BQ741" t="str">
        <f>"8:30 AM"</f>
        <v>8:30 AM</v>
      </c>
      <c r="BR741" t="str">
        <f>"4:30 PM"</f>
        <v>4:30 PM</v>
      </c>
      <c r="BS741" t="s">
        <v>133</v>
      </c>
      <c r="BT741">
        <v>0</v>
      </c>
      <c r="BU741">
        <v>3</v>
      </c>
      <c r="BV741" t="s">
        <v>134</v>
      </c>
      <c r="BX741" s="2" t="s">
        <v>15300</v>
      </c>
      <c r="BY741" t="s">
        <v>763</v>
      </c>
      <c r="CA741" t="s">
        <v>764</v>
      </c>
      <c r="CB741" t="s">
        <v>154</v>
      </c>
      <c r="CC741" s="4" t="str">
        <f>"33050"</f>
        <v>33050</v>
      </c>
      <c r="CD741" t="s">
        <v>765</v>
      </c>
      <c r="CE741" t="s">
        <v>766</v>
      </c>
      <c r="CF741" s="6">
        <v>17</v>
      </c>
      <c r="CG741" s="6">
        <v>18</v>
      </c>
      <c r="CH741" s="6">
        <v>25.5</v>
      </c>
      <c r="CI741" s="6">
        <v>27</v>
      </c>
      <c r="CJ741" t="s">
        <v>137</v>
      </c>
      <c r="CK741" t="s">
        <v>15301</v>
      </c>
      <c r="CL741" t="s">
        <v>15302</v>
      </c>
      <c r="CO741" t="s">
        <v>138</v>
      </c>
      <c r="CP741" t="s">
        <v>114</v>
      </c>
      <c r="CQ741" t="s">
        <v>134</v>
      </c>
      <c r="CR741" t="s">
        <v>114</v>
      </c>
      <c r="CS741" t="s">
        <v>114</v>
      </c>
      <c r="CT741" t="s">
        <v>114</v>
      </c>
      <c r="CU741" t="s">
        <v>114</v>
      </c>
      <c r="CV741" s="2" t="s">
        <v>15303</v>
      </c>
      <c r="CW741" s="5" t="str">
        <f>"+13052044065"</f>
        <v>+13052044065</v>
      </c>
      <c r="CX741" t="s">
        <v>770</v>
      </c>
      <c r="CY741" t="s">
        <v>138</v>
      </c>
      <c r="CZ741" t="s">
        <v>139</v>
      </c>
      <c r="DA741" t="s">
        <v>134</v>
      </c>
      <c r="DB741" t="s">
        <v>134</v>
      </c>
      <c r="DC741" t="s">
        <v>114</v>
      </c>
      <c r="DD741" t="s">
        <v>134</v>
      </c>
    </row>
    <row r="742" spans="1:113" ht="15" customHeight="1" x14ac:dyDescent="0.25">
      <c r="A742" t="s">
        <v>741</v>
      </c>
      <c r="B742" t="s">
        <v>165</v>
      </c>
      <c r="C742" s="1">
        <v>44832.714925462962</v>
      </c>
      <c r="D742" s="1">
        <v>44872</v>
      </c>
      <c r="E742" t="s">
        <v>114</v>
      </c>
      <c r="F742" t="s">
        <v>742</v>
      </c>
      <c r="G742" t="str">
        <f>"35-9011.00"</f>
        <v>35-9011.00</v>
      </c>
      <c r="H742" t="s">
        <v>743</v>
      </c>
      <c r="I742">
        <v>3</v>
      </c>
      <c r="J742">
        <v>3</v>
      </c>
      <c r="K742" s="1">
        <v>44907</v>
      </c>
      <c r="L742" s="1">
        <v>45179</v>
      </c>
      <c r="M742" s="1">
        <v>44907</v>
      </c>
      <c r="N742" s="1">
        <v>45179</v>
      </c>
      <c r="O742" t="s">
        <v>117</v>
      </c>
      <c r="P742" t="s">
        <v>744</v>
      </c>
      <c r="Q742" t="s">
        <v>745</v>
      </c>
      <c r="R742" t="s">
        <v>746</v>
      </c>
      <c r="T742" t="s">
        <v>747</v>
      </c>
      <c r="U742" t="s">
        <v>748</v>
      </c>
      <c r="V742" s="4" t="str">
        <f>"16803"</f>
        <v>16803</v>
      </c>
      <c r="W742" t="s">
        <v>120</v>
      </c>
      <c r="Y742" s="5">
        <v>18142344460</v>
      </c>
      <c r="AA742">
        <v>721110</v>
      </c>
      <c r="AB742" t="s">
        <v>749</v>
      </c>
      <c r="AC742" t="s">
        <v>750</v>
      </c>
      <c r="AE742" t="s">
        <v>751</v>
      </c>
      <c r="AF742" t="s">
        <v>746</v>
      </c>
      <c r="AH742" t="s">
        <v>747</v>
      </c>
      <c r="AI742" t="s">
        <v>748</v>
      </c>
      <c r="AJ742" s="4" t="str">
        <f>"16803"</f>
        <v>16803</v>
      </c>
      <c r="AK742" t="s">
        <v>120</v>
      </c>
      <c r="AM742" s="5">
        <v>18142787582</v>
      </c>
      <c r="AO742" t="s">
        <v>752</v>
      </c>
      <c r="AP742" t="s">
        <v>122</v>
      </c>
      <c r="AQ742" t="s">
        <v>753</v>
      </c>
      <c r="AR742" t="s">
        <v>754</v>
      </c>
      <c r="AS742" t="s">
        <v>755</v>
      </c>
      <c r="AT742" t="s">
        <v>756</v>
      </c>
      <c r="AU742" t="s">
        <v>757</v>
      </c>
      <c r="AV742" t="s">
        <v>758</v>
      </c>
      <c r="AW742" t="s">
        <v>281</v>
      </c>
      <c r="AX742" s="4" t="str">
        <f>"01701"</f>
        <v>01701</v>
      </c>
      <c r="AY742" t="s">
        <v>120</v>
      </c>
      <c r="BA742" s="5">
        <v>16179399444</v>
      </c>
      <c r="BC742" t="s">
        <v>759</v>
      </c>
      <c r="BD742" t="s">
        <v>760</v>
      </c>
      <c r="BE742" t="s">
        <v>281</v>
      </c>
      <c r="BF742" t="s">
        <v>761</v>
      </c>
      <c r="BG742" t="s">
        <v>154</v>
      </c>
      <c r="BH742" s="1">
        <v>44831.833333333336</v>
      </c>
      <c r="BI742">
        <v>40</v>
      </c>
      <c r="BJ742">
        <v>0</v>
      </c>
      <c r="BK742">
        <v>8</v>
      </c>
      <c r="BL742">
        <v>8</v>
      </c>
      <c r="BM742">
        <v>8</v>
      </c>
      <c r="BN742">
        <v>8</v>
      </c>
      <c r="BO742">
        <v>8</v>
      </c>
      <c r="BP742">
        <v>0</v>
      </c>
      <c r="BQ742" t="str">
        <f>"2:00 PM"</f>
        <v>2:00 PM</v>
      </c>
      <c r="BR742" t="str">
        <f>"10:00 PM"</f>
        <v>10:00 PM</v>
      </c>
      <c r="BS742" t="s">
        <v>133</v>
      </c>
      <c r="BT742">
        <v>0</v>
      </c>
      <c r="BU742">
        <v>3</v>
      </c>
      <c r="BV742" t="s">
        <v>134</v>
      </c>
      <c r="BX742" s="2" t="s">
        <v>762</v>
      </c>
      <c r="BY742" t="s">
        <v>763</v>
      </c>
      <c r="CA742" t="s">
        <v>764</v>
      </c>
      <c r="CB742" t="s">
        <v>154</v>
      </c>
      <c r="CC742" s="4" t="str">
        <f>"33050"</f>
        <v>33050</v>
      </c>
      <c r="CD742" t="s">
        <v>765</v>
      </c>
      <c r="CE742" t="s">
        <v>766</v>
      </c>
      <c r="CF742" s="6">
        <v>11.54</v>
      </c>
      <c r="CH742" s="6">
        <v>17.309999999999999</v>
      </c>
      <c r="CJ742" t="s">
        <v>137</v>
      </c>
      <c r="CK742" t="s">
        <v>767</v>
      </c>
      <c r="CL742" t="s">
        <v>768</v>
      </c>
      <c r="CO742" t="s">
        <v>138</v>
      </c>
      <c r="CP742" t="s">
        <v>114</v>
      </c>
      <c r="CQ742" t="s">
        <v>134</v>
      </c>
      <c r="CR742" t="s">
        <v>114</v>
      </c>
      <c r="CS742" t="s">
        <v>114</v>
      </c>
      <c r="CT742" t="s">
        <v>114</v>
      </c>
      <c r="CU742" t="s">
        <v>114</v>
      </c>
      <c r="CV742" s="2" t="s">
        <v>769</v>
      </c>
      <c r="CW742" s="5" t="str">
        <f>"+13052044065"</f>
        <v>+13052044065</v>
      </c>
      <c r="CX742" t="s">
        <v>770</v>
      </c>
      <c r="CY742" t="s">
        <v>138</v>
      </c>
      <c r="CZ742" t="s">
        <v>139</v>
      </c>
      <c r="DA742" t="s">
        <v>134</v>
      </c>
      <c r="DB742" t="s">
        <v>134</v>
      </c>
      <c r="DC742" t="s">
        <v>114</v>
      </c>
      <c r="DD742" t="s">
        <v>134</v>
      </c>
    </row>
    <row r="743" spans="1:113" ht="15" customHeight="1" x14ac:dyDescent="0.25">
      <c r="A743" t="s">
        <v>13646</v>
      </c>
      <c r="B743" t="s">
        <v>165</v>
      </c>
      <c r="C743" s="1">
        <v>44812.78228136574</v>
      </c>
      <c r="D743" s="1">
        <v>44872</v>
      </c>
      <c r="E743" t="s">
        <v>114</v>
      </c>
      <c r="F743" t="s">
        <v>8866</v>
      </c>
      <c r="G743" t="str">
        <f>"37-2011.00"</f>
        <v>37-2011.00</v>
      </c>
      <c r="H743" t="s">
        <v>672</v>
      </c>
      <c r="I743">
        <v>5</v>
      </c>
      <c r="J743">
        <v>5</v>
      </c>
      <c r="K743" s="1">
        <v>44887</v>
      </c>
      <c r="L743" s="1">
        <v>45031</v>
      </c>
      <c r="M743" s="1">
        <v>44887</v>
      </c>
      <c r="N743" s="1">
        <v>45031</v>
      </c>
      <c r="O743" t="s">
        <v>199</v>
      </c>
      <c r="P743" t="s">
        <v>6780</v>
      </c>
      <c r="R743" t="s">
        <v>6781</v>
      </c>
      <c r="T743" t="s">
        <v>6782</v>
      </c>
      <c r="U743" t="s">
        <v>184</v>
      </c>
      <c r="V743" s="4" t="str">
        <f>"60118"</f>
        <v>60118</v>
      </c>
      <c r="W743" t="s">
        <v>120</v>
      </c>
      <c r="Y743" s="5">
        <v>18476950080</v>
      </c>
      <c r="AA743">
        <v>56179</v>
      </c>
      <c r="AB743" t="s">
        <v>6783</v>
      </c>
      <c r="AC743" t="s">
        <v>1486</v>
      </c>
      <c r="AE743" t="s">
        <v>6784</v>
      </c>
      <c r="AF743" t="s">
        <v>6781</v>
      </c>
      <c r="AH743" t="s">
        <v>6782</v>
      </c>
      <c r="AI743" t="s">
        <v>184</v>
      </c>
      <c r="AJ743" s="4" t="str">
        <f>"60118"</f>
        <v>60118</v>
      </c>
      <c r="AK743" t="s">
        <v>120</v>
      </c>
      <c r="AM743" s="5">
        <v>18476950080</v>
      </c>
      <c r="AN743">
        <v>7689</v>
      </c>
      <c r="AO743" t="s">
        <v>6785</v>
      </c>
      <c r="AP743" t="s">
        <v>122</v>
      </c>
      <c r="AQ743" t="s">
        <v>4167</v>
      </c>
      <c r="AR743" t="s">
        <v>173</v>
      </c>
      <c r="AS743" t="s">
        <v>3492</v>
      </c>
      <c r="AT743" t="s">
        <v>4168</v>
      </c>
      <c r="AU743" t="s">
        <v>4169</v>
      </c>
      <c r="AV743" t="s">
        <v>2748</v>
      </c>
      <c r="AW743" t="s">
        <v>420</v>
      </c>
      <c r="AX743" s="4" t="str">
        <f>"84111"</f>
        <v>84111</v>
      </c>
      <c r="AY743" t="s">
        <v>120</v>
      </c>
      <c r="BA743" s="5">
        <v>18012971290</v>
      </c>
      <c r="BC743" t="s">
        <v>4170</v>
      </c>
      <c r="BD743" t="s">
        <v>4171</v>
      </c>
      <c r="BE743" t="s">
        <v>420</v>
      </c>
      <c r="BF743" t="s">
        <v>4172</v>
      </c>
      <c r="BG743" t="s">
        <v>2371</v>
      </c>
      <c r="BH743" s="1">
        <v>44811.833333333336</v>
      </c>
      <c r="BI743">
        <v>35</v>
      </c>
      <c r="BJ743">
        <v>0</v>
      </c>
      <c r="BK743">
        <v>7</v>
      </c>
      <c r="BL743">
        <v>7</v>
      </c>
      <c r="BM743">
        <v>7</v>
      </c>
      <c r="BN743">
        <v>7</v>
      </c>
      <c r="BO743">
        <v>7</v>
      </c>
      <c r="BP743">
        <v>0</v>
      </c>
      <c r="BQ743" t="str">
        <f>"10:00 AM"</f>
        <v>10:00 AM</v>
      </c>
      <c r="BR743" t="str">
        <f>"5:00 PM"</f>
        <v>5:00 PM</v>
      </c>
      <c r="BS743" t="s">
        <v>133</v>
      </c>
      <c r="BT743">
        <v>0</v>
      </c>
      <c r="BU743">
        <v>0</v>
      </c>
      <c r="BV743" t="s">
        <v>134</v>
      </c>
      <c r="BX743" s="2" t="s">
        <v>13647</v>
      </c>
      <c r="BY743" t="s">
        <v>13648</v>
      </c>
      <c r="CA743" t="s">
        <v>7753</v>
      </c>
      <c r="CB743" t="s">
        <v>2371</v>
      </c>
      <c r="CC743" s="4" t="str">
        <f>"46241"</f>
        <v>46241</v>
      </c>
      <c r="CD743" t="s">
        <v>638</v>
      </c>
      <c r="CE743" t="s">
        <v>2372</v>
      </c>
      <c r="CF743" s="6">
        <v>14.32</v>
      </c>
      <c r="CH743" s="6">
        <v>21.48</v>
      </c>
      <c r="CJ743" t="s">
        <v>137</v>
      </c>
      <c r="CL743" t="s">
        <v>13649</v>
      </c>
      <c r="CO743" t="s">
        <v>138</v>
      </c>
      <c r="CP743" t="s">
        <v>114</v>
      </c>
      <c r="CQ743" t="s">
        <v>114</v>
      </c>
      <c r="CR743" t="s">
        <v>114</v>
      </c>
      <c r="CS743" t="s">
        <v>114</v>
      </c>
      <c r="CT743" t="s">
        <v>114</v>
      </c>
      <c r="CU743" t="s">
        <v>114</v>
      </c>
      <c r="CV743" s="2" t="s">
        <v>13650</v>
      </c>
      <c r="CW743" s="5" t="str">
        <f>"+18484769500"</f>
        <v>+18484769500</v>
      </c>
      <c r="CX743" t="s">
        <v>6785</v>
      </c>
      <c r="CY743" t="s">
        <v>138</v>
      </c>
      <c r="CZ743" t="s">
        <v>139</v>
      </c>
      <c r="DA743" t="s">
        <v>134</v>
      </c>
      <c r="DB743" t="s">
        <v>134</v>
      </c>
      <c r="DC743" t="s">
        <v>114</v>
      </c>
      <c r="DD743" t="s">
        <v>134</v>
      </c>
    </row>
    <row r="744" spans="1:113" ht="15" customHeight="1" x14ac:dyDescent="0.25">
      <c r="A744" t="s">
        <v>15726</v>
      </c>
      <c r="B744" t="s">
        <v>165</v>
      </c>
      <c r="C744" s="1">
        <v>44812.747235069444</v>
      </c>
      <c r="D744" s="1">
        <v>44872</v>
      </c>
      <c r="E744" t="s">
        <v>114</v>
      </c>
      <c r="F744" t="s">
        <v>8866</v>
      </c>
      <c r="G744" t="str">
        <f>"37-2011.00"</f>
        <v>37-2011.00</v>
      </c>
      <c r="H744" t="s">
        <v>672</v>
      </c>
      <c r="I744">
        <v>10</v>
      </c>
      <c r="J744">
        <v>10</v>
      </c>
      <c r="K744" s="1">
        <v>44887</v>
      </c>
      <c r="L744" s="1">
        <v>45031</v>
      </c>
      <c r="M744" s="1">
        <v>44887</v>
      </c>
      <c r="N744" s="1">
        <v>45031</v>
      </c>
      <c r="O744" t="s">
        <v>199</v>
      </c>
      <c r="P744" t="s">
        <v>6780</v>
      </c>
      <c r="R744" t="s">
        <v>6781</v>
      </c>
      <c r="T744" t="s">
        <v>6782</v>
      </c>
      <c r="U744" t="s">
        <v>184</v>
      </c>
      <c r="V744" s="4" t="str">
        <f>"60118"</f>
        <v>60118</v>
      </c>
      <c r="W744" t="s">
        <v>120</v>
      </c>
      <c r="Y744" s="5">
        <v>18476950080</v>
      </c>
      <c r="AA744">
        <v>56179</v>
      </c>
      <c r="AB744" t="s">
        <v>6783</v>
      </c>
      <c r="AC744" t="s">
        <v>1486</v>
      </c>
      <c r="AE744" t="s">
        <v>6784</v>
      </c>
      <c r="AF744" t="s">
        <v>6781</v>
      </c>
      <c r="AH744" t="s">
        <v>6782</v>
      </c>
      <c r="AI744" t="s">
        <v>184</v>
      </c>
      <c r="AJ744" s="4" t="str">
        <f>"60118"</f>
        <v>60118</v>
      </c>
      <c r="AK744" t="s">
        <v>120</v>
      </c>
      <c r="AM744" s="5">
        <v>18476950080</v>
      </c>
      <c r="AN744">
        <v>7689</v>
      </c>
      <c r="AO744" t="s">
        <v>6785</v>
      </c>
      <c r="AP744" t="s">
        <v>122</v>
      </c>
      <c r="AQ744" t="s">
        <v>4167</v>
      </c>
      <c r="AR744" t="s">
        <v>173</v>
      </c>
      <c r="AS744" t="s">
        <v>3492</v>
      </c>
      <c r="AT744" t="s">
        <v>4168</v>
      </c>
      <c r="AU744" t="s">
        <v>4169</v>
      </c>
      <c r="AV744" t="s">
        <v>2748</v>
      </c>
      <c r="AW744" t="s">
        <v>420</v>
      </c>
      <c r="AX744" s="4" t="str">
        <f>"84111"</f>
        <v>84111</v>
      </c>
      <c r="AY744" t="s">
        <v>120</v>
      </c>
      <c r="BA744" s="5">
        <v>18012971290</v>
      </c>
      <c r="BC744" t="s">
        <v>4170</v>
      </c>
      <c r="BD744" t="s">
        <v>4171</v>
      </c>
      <c r="BE744" t="s">
        <v>420</v>
      </c>
      <c r="BF744" t="s">
        <v>4172</v>
      </c>
      <c r="BG744" t="s">
        <v>1147</v>
      </c>
      <c r="BH744" s="1">
        <v>44811.833333333336</v>
      </c>
      <c r="BI744">
        <v>35</v>
      </c>
      <c r="BJ744">
        <v>0</v>
      </c>
      <c r="BK744">
        <v>7</v>
      </c>
      <c r="BL744">
        <v>7</v>
      </c>
      <c r="BM744">
        <v>7</v>
      </c>
      <c r="BN744">
        <v>7</v>
      </c>
      <c r="BO744">
        <v>7</v>
      </c>
      <c r="BP744">
        <v>0</v>
      </c>
      <c r="BQ744" t="str">
        <f>"10:00 AM"</f>
        <v>10:00 AM</v>
      </c>
      <c r="BR744" t="str">
        <f>"5:00 PM"</f>
        <v>5:00 PM</v>
      </c>
      <c r="BS744" t="s">
        <v>133</v>
      </c>
      <c r="BT744">
        <v>0</v>
      </c>
      <c r="BU744">
        <v>0</v>
      </c>
      <c r="BV744" t="s">
        <v>134</v>
      </c>
      <c r="BX744" s="2" t="s">
        <v>15727</v>
      </c>
      <c r="BY744" t="s">
        <v>15728</v>
      </c>
      <c r="CA744" t="s">
        <v>2654</v>
      </c>
      <c r="CB744" t="s">
        <v>1147</v>
      </c>
      <c r="CC744" s="4" t="str">
        <f>"53207"</f>
        <v>53207</v>
      </c>
      <c r="CD744" t="s">
        <v>2655</v>
      </c>
      <c r="CE744" t="s">
        <v>2656</v>
      </c>
      <c r="CF744" s="6">
        <v>15.22</v>
      </c>
      <c r="CH744" s="6">
        <v>22.83</v>
      </c>
      <c r="CJ744" t="s">
        <v>137</v>
      </c>
      <c r="CL744" t="s">
        <v>15729</v>
      </c>
      <c r="CO744" t="s">
        <v>138</v>
      </c>
      <c r="CP744" t="s">
        <v>114</v>
      </c>
      <c r="CQ744" t="s">
        <v>114</v>
      </c>
      <c r="CR744" t="s">
        <v>114</v>
      </c>
      <c r="CS744" t="s">
        <v>114</v>
      </c>
      <c r="CT744" t="s">
        <v>114</v>
      </c>
      <c r="CU744" t="s">
        <v>114</v>
      </c>
      <c r="CV744" s="2" t="s">
        <v>15730</v>
      </c>
      <c r="CW744" s="5" t="str">
        <f>"+18484769500"</f>
        <v>+18484769500</v>
      </c>
      <c r="CX744" t="s">
        <v>6785</v>
      </c>
      <c r="CY744" t="s">
        <v>138</v>
      </c>
      <c r="CZ744" t="s">
        <v>139</v>
      </c>
      <c r="DA744" t="s">
        <v>134</v>
      </c>
      <c r="DB744" t="s">
        <v>134</v>
      </c>
      <c r="DC744" t="s">
        <v>114</v>
      </c>
      <c r="DD744" t="s">
        <v>134</v>
      </c>
    </row>
    <row r="745" spans="1:113" ht="15" customHeight="1" x14ac:dyDescent="0.25">
      <c r="A745" t="s">
        <v>8769</v>
      </c>
      <c r="B745" t="s">
        <v>165</v>
      </c>
      <c r="C745" s="1">
        <v>44810.812784027781</v>
      </c>
      <c r="D745" s="1">
        <v>44872</v>
      </c>
      <c r="E745" t="s">
        <v>114</v>
      </c>
      <c r="F745" t="s">
        <v>1591</v>
      </c>
      <c r="G745" t="str">
        <f>"37-2012.00"</f>
        <v>37-2012.00</v>
      </c>
      <c r="H745" t="s">
        <v>116</v>
      </c>
      <c r="I745">
        <v>25</v>
      </c>
      <c r="J745">
        <v>25</v>
      </c>
      <c r="K745" s="1">
        <v>44900</v>
      </c>
      <c r="L745" s="1">
        <v>45046</v>
      </c>
      <c r="M745" s="1">
        <v>44900</v>
      </c>
      <c r="N745" s="1">
        <v>45046</v>
      </c>
      <c r="O745" t="s">
        <v>117</v>
      </c>
      <c r="P745" t="s">
        <v>8770</v>
      </c>
      <c r="Q745" t="s">
        <v>8771</v>
      </c>
      <c r="R745" t="s">
        <v>8772</v>
      </c>
      <c r="S745" t="s">
        <v>7977</v>
      </c>
      <c r="T745" t="s">
        <v>8773</v>
      </c>
      <c r="U745" t="s">
        <v>181</v>
      </c>
      <c r="V745" s="4" t="str">
        <f>"80487"</f>
        <v>80487</v>
      </c>
      <c r="W745" t="s">
        <v>120</v>
      </c>
      <c r="Y745" s="5">
        <v>19708752854</v>
      </c>
      <c r="AA745">
        <v>53131</v>
      </c>
      <c r="AB745" t="s">
        <v>2515</v>
      </c>
      <c r="AC745" t="s">
        <v>8159</v>
      </c>
      <c r="AD745" t="s">
        <v>5033</v>
      </c>
      <c r="AE745" t="s">
        <v>8774</v>
      </c>
      <c r="AF745" t="s">
        <v>8775</v>
      </c>
      <c r="AG745" t="s">
        <v>789</v>
      </c>
      <c r="AH745" t="s">
        <v>3681</v>
      </c>
      <c r="AI745" t="s">
        <v>181</v>
      </c>
      <c r="AJ745" s="4" t="str">
        <f>"80487"</f>
        <v>80487</v>
      </c>
      <c r="AK745" t="s">
        <v>120</v>
      </c>
      <c r="AM745" s="5">
        <v>19708752854</v>
      </c>
      <c r="AO745" t="s">
        <v>8776</v>
      </c>
      <c r="AX745" s="4" t="str">
        <f>""</f>
        <v/>
      </c>
      <c r="BG745" t="s">
        <v>181</v>
      </c>
      <c r="BH745" s="1">
        <v>44809.833333333336</v>
      </c>
      <c r="BI745">
        <v>36</v>
      </c>
      <c r="BJ745">
        <v>0</v>
      </c>
      <c r="BK745">
        <v>6</v>
      </c>
      <c r="BL745">
        <v>6</v>
      </c>
      <c r="BM745">
        <v>6</v>
      </c>
      <c r="BN745">
        <v>6</v>
      </c>
      <c r="BO745">
        <v>6</v>
      </c>
      <c r="BP745">
        <v>6</v>
      </c>
      <c r="BQ745" t="str">
        <f>"9:00 AM"</f>
        <v>9:00 AM</v>
      </c>
      <c r="BR745" t="str">
        <f>"5:30 PM"</f>
        <v>5:30 PM</v>
      </c>
      <c r="BS745" t="s">
        <v>133</v>
      </c>
      <c r="BT745">
        <v>0</v>
      </c>
      <c r="BU745">
        <v>0</v>
      </c>
      <c r="BV745" t="s">
        <v>134</v>
      </c>
      <c r="BX745" s="2" t="s">
        <v>8777</v>
      </c>
      <c r="BY745" t="s">
        <v>8772</v>
      </c>
      <c r="BZ745" t="s">
        <v>7977</v>
      </c>
      <c r="CA745" t="s">
        <v>8773</v>
      </c>
      <c r="CB745" t="s">
        <v>181</v>
      </c>
      <c r="CC745" s="4" t="str">
        <f>"80487"</f>
        <v>80487</v>
      </c>
      <c r="CD745" t="s">
        <v>3692</v>
      </c>
      <c r="CE745" t="s">
        <v>1570</v>
      </c>
      <c r="CF745" s="6">
        <v>16.75</v>
      </c>
      <c r="CG745" s="6">
        <v>16.75</v>
      </c>
      <c r="CH745" s="6">
        <v>25.13</v>
      </c>
      <c r="CI745" s="6">
        <v>25.13</v>
      </c>
      <c r="CJ745" t="s">
        <v>137</v>
      </c>
      <c r="CL745" t="s">
        <v>8778</v>
      </c>
      <c r="CO745" t="s">
        <v>138</v>
      </c>
      <c r="CP745" t="s">
        <v>134</v>
      </c>
      <c r="CQ745" t="s">
        <v>114</v>
      </c>
      <c r="CR745" t="s">
        <v>114</v>
      </c>
      <c r="CS745" t="s">
        <v>114</v>
      </c>
      <c r="CT745" t="s">
        <v>114</v>
      </c>
      <c r="CU745" t="s">
        <v>114</v>
      </c>
      <c r="CV745" s="2" t="s">
        <v>8779</v>
      </c>
      <c r="CW745" s="5" t="str">
        <f>"+19708793075"</f>
        <v>+19708793075</v>
      </c>
      <c r="CX745" t="s">
        <v>8780</v>
      </c>
      <c r="CY745" t="s">
        <v>8781</v>
      </c>
      <c r="CZ745" t="s">
        <v>139</v>
      </c>
      <c r="DA745" t="s">
        <v>134</v>
      </c>
      <c r="DB745" t="s">
        <v>134</v>
      </c>
      <c r="DC745" t="s">
        <v>114</v>
      </c>
      <c r="DD745" t="s">
        <v>134</v>
      </c>
    </row>
    <row r="746" spans="1:113" ht="15" customHeight="1" x14ac:dyDescent="0.25">
      <c r="A746" t="s">
        <v>11606</v>
      </c>
      <c r="B746" t="s">
        <v>165</v>
      </c>
      <c r="C746" s="1">
        <v>44806.715560416669</v>
      </c>
      <c r="D746" s="1">
        <v>44872</v>
      </c>
      <c r="E746" t="s">
        <v>114</v>
      </c>
      <c r="F746" t="s">
        <v>2245</v>
      </c>
      <c r="G746" t="str">
        <f>"37-3011.00"</f>
        <v>37-3011.00</v>
      </c>
      <c r="H746" t="s">
        <v>335</v>
      </c>
      <c r="I746">
        <v>48</v>
      </c>
      <c r="J746">
        <v>48</v>
      </c>
      <c r="K746" s="1">
        <v>44881</v>
      </c>
      <c r="L746" s="1">
        <v>45047</v>
      </c>
      <c r="M746" s="1">
        <v>44881</v>
      </c>
      <c r="N746" s="1">
        <v>45047</v>
      </c>
      <c r="O746" t="s">
        <v>117</v>
      </c>
      <c r="P746" t="s">
        <v>11607</v>
      </c>
      <c r="Q746" t="s">
        <v>11608</v>
      </c>
      <c r="R746" t="s">
        <v>11609</v>
      </c>
      <c r="S746" t="s">
        <v>2780</v>
      </c>
      <c r="T746" t="s">
        <v>3932</v>
      </c>
      <c r="U746" t="s">
        <v>232</v>
      </c>
      <c r="V746" s="4" t="str">
        <f>"75001"</f>
        <v>75001</v>
      </c>
      <c r="W746" t="s">
        <v>120</v>
      </c>
      <c r="Y746" s="5">
        <v>14695264013</v>
      </c>
      <c r="AA746">
        <v>561730</v>
      </c>
      <c r="AB746" t="s">
        <v>11610</v>
      </c>
      <c r="AC746" t="s">
        <v>1892</v>
      </c>
      <c r="AD746" t="s">
        <v>134</v>
      </c>
      <c r="AE746" t="s">
        <v>285</v>
      </c>
      <c r="AF746" t="s">
        <v>11609</v>
      </c>
      <c r="AG746" t="s">
        <v>2780</v>
      </c>
      <c r="AH746" t="s">
        <v>3932</v>
      </c>
      <c r="AI746" t="s">
        <v>232</v>
      </c>
      <c r="AJ746" s="4" t="str">
        <f>"75001"</f>
        <v>75001</v>
      </c>
      <c r="AK746" t="s">
        <v>120</v>
      </c>
      <c r="AM746" s="5">
        <v>14695264013</v>
      </c>
      <c r="AO746" t="s">
        <v>11611</v>
      </c>
      <c r="AP746" t="s">
        <v>122</v>
      </c>
      <c r="AQ746" t="s">
        <v>680</v>
      </c>
      <c r="AR746" t="s">
        <v>370</v>
      </c>
      <c r="AS746" t="s">
        <v>681</v>
      </c>
      <c r="AT746" t="s">
        <v>682</v>
      </c>
      <c r="AU746" t="s">
        <v>683</v>
      </c>
      <c r="AV746" t="s">
        <v>684</v>
      </c>
      <c r="AW746" t="s">
        <v>232</v>
      </c>
      <c r="AX746" s="4" t="str">
        <f>"78746"</f>
        <v>78746</v>
      </c>
      <c r="AY746" t="s">
        <v>120</v>
      </c>
      <c r="BA746" s="5">
        <v>17372040093</v>
      </c>
      <c r="BC746" t="s">
        <v>685</v>
      </c>
      <c r="BD746" t="s">
        <v>4033</v>
      </c>
      <c r="BE746" t="s">
        <v>232</v>
      </c>
      <c r="BF746" t="s">
        <v>687</v>
      </c>
      <c r="BG746" t="s">
        <v>232</v>
      </c>
      <c r="BH746" s="1">
        <v>44805.833333333336</v>
      </c>
      <c r="BI746">
        <v>40</v>
      </c>
      <c r="BJ746">
        <v>0</v>
      </c>
      <c r="BK746">
        <v>8</v>
      </c>
      <c r="BL746">
        <v>8</v>
      </c>
      <c r="BM746">
        <v>8</v>
      </c>
      <c r="BN746">
        <v>8</v>
      </c>
      <c r="BO746">
        <v>8</v>
      </c>
      <c r="BP746">
        <v>0</v>
      </c>
      <c r="BQ746" t="str">
        <f>"7:00 AM"</f>
        <v>7:00 AM</v>
      </c>
      <c r="BR746" t="str">
        <f>"4:00 PM"</f>
        <v>4:00 PM</v>
      </c>
      <c r="BS746" t="s">
        <v>133</v>
      </c>
      <c r="BT746">
        <v>0</v>
      </c>
      <c r="BU746">
        <v>0</v>
      </c>
      <c r="BV746" t="s">
        <v>134</v>
      </c>
      <c r="BX746" s="2" t="s">
        <v>11612</v>
      </c>
      <c r="BY746" t="s">
        <v>11613</v>
      </c>
      <c r="BZ746" t="s">
        <v>2780</v>
      </c>
      <c r="CA746" t="s">
        <v>3932</v>
      </c>
      <c r="CB746" t="s">
        <v>232</v>
      </c>
      <c r="CC746" s="4" t="str">
        <f>"75001"</f>
        <v>75001</v>
      </c>
      <c r="CD746" t="s">
        <v>1482</v>
      </c>
      <c r="CE746" t="s">
        <v>1528</v>
      </c>
      <c r="CF746" s="6">
        <v>16.3</v>
      </c>
      <c r="CG746" s="6">
        <v>22.5</v>
      </c>
      <c r="CH746" s="6">
        <v>24.45</v>
      </c>
      <c r="CI746" s="6">
        <v>33.75</v>
      </c>
      <c r="CJ746" t="s">
        <v>137</v>
      </c>
      <c r="CK746" t="s">
        <v>11614</v>
      </c>
      <c r="CL746" t="s">
        <v>11615</v>
      </c>
      <c r="CO746" t="s">
        <v>138</v>
      </c>
      <c r="CP746" t="s">
        <v>114</v>
      </c>
      <c r="CQ746" t="s">
        <v>114</v>
      </c>
      <c r="CR746" t="s">
        <v>114</v>
      </c>
      <c r="CS746" t="s">
        <v>114</v>
      </c>
      <c r="CT746" t="s">
        <v>114</v>
      </c>
      <c r="CU746" t="s">
        <v>114</v>
      </c>
      <c r="CV746" t="s">
        <v>11616</v>
      </c>
      <c r="CW746" s="5" t="str">
        <f>"+14695264013"</f>
        <v>+14695264013</v>
      </c>
      <c r="CX746" t="s">
        <v>11611</v>
      </c>
      <c r="CY746" t="s">
        <v>138</v>
      </c>
      <c r="CZ746" t="s">
        <v>139</v>
      </c>
      <c r="DA746" t="s">
        <v>134</v>
      </c>
      <c r="DB746" t="s">
        <v>134</v>
      </c>
      <c r="DC746" t="s">
        <v>114</v>
      </c>
      <c r="DD746" t="s">
        <v>134</v>
      </c>
    </row>
    <row r="747" spans="1:113" ht="15" customHeight="1" x14ac:dyDescent="0.25">
      <c r="A747" t="s">
        <v>12341</v>
      </c>
      <c r="B747" t="s">
        <v>165</v>
      </c>
      <c r="C747" s="1">
        <v>44805.48885011574</v>
      </c>
      <c r="D747" s="1">
        <v>44872</v>
      </c>
      <c r="E747" t="s">
        <v>134</v>
      </c>
      <c r="F747" t="s">
        <v>12342</v>
      </c>
      <c r="G747" t="str">
        <f>"35-2014.00"</f>
        <v>35-2014.00</v>
      </c>
      <c r="H747" t="s">
        <v>915</v>
      </c>
      <c r="I747">
        <v>28</v>
      </c>
      <c r="J747">
        <v>28</v>
      </c>
      <c r="K747" s="1">
        <v>44880</v>
      </c>
      <c r="L747" s="1">
        <v>45183</v>
      </c>
      <c r="M747" s="1">
        <v>44880</v>
      </c>
      <c r="N747" s="1">
        <v>45183</v>
      </c>
      <c r="O747" t="s">
        <v>117</v>
      </c>
      <c r="P747" t="s">
        <v>12343</v>
      </c>
      <c r="Q747" t="s">
        <v>3281</v>
      </c>
      <c r="R747" t="s">
        <v>12344</v>
      </c>
      <c r="T747" t="s">
        <v>2309</v>
      </c>
      <c r="U747" t="s">
        <v>154</v>
      </c>
      <c r="V747" s="4" t="str">
        <f>"33019"</f>
        <v>33019</v>
      </c>
      <c r="W747" t="s">
        <v>120</v>
      </c>
      <c r="Y747" s="5">
        <v>19548744418</v>
      </c>
      <c r="AA747">
        <v>721110</v>
      </c>
      <c r="AB747" t="s">
        <v>12345</v>
      </c>
      <c r="AC747" t="s">
        <v>9941</v>
      </c>
      <c r="AE747" t="s">
        <v>1845</v>
      </c>
      <c r="AF747" t="s">
        <v>12344</v>
      </c>
      <c r="AH747" t="s">
        <v>2309</v>
      </c>
      <c r="AI747" t="s">
        <v>154</v>
      </c>
      <c r="AJ747" s="4" t="str">
        <f>"33019"</f>
        <v>33019</v>
      </c>
      <c r="AK747" t="s">
        <v>120</v>
      </c>
      <c r="AM747" s="5">
        <v>19548744418</v>
      </c>
      <c r="AO747" t="s">
        <v>12346</v>
      </c>
      <c r="AP747" t="s">
        <v>122</v>
      </c>
      <c r="AQ747" t="s">
        <v>753</v>
      </c>
      <c r="AR747" t="s">
        <v>754</v>
      </c>
      <c r="AS747" t="s">
        <v>755</v>
      </c>
      <c r="AT747" t="s">
        <v>756</v>
      </c>
      <c r="AU747" t="s">
        <v>757</v>
      </c>
      <c r="AV747" t="s">
        <v>758</v>
      </c>
      <c r="AW747" t="s">
        <v>281</v>
      </c>
      <c r="AX747" s="4" t="str">
        <f>"01701"</f>
        <v>01701</v>
      </c>
      <c r="AY747" t="s">
        <v>120</v>
      </c>
      <c r="BA747" s="5">
        <v>16179399444</v>
      </c>
      <c r="BC747" t="s">
        <v>2487</v>
      </c>
      <c r="BD747" t="s">
        <v>760</v>
      </c>
      <c r="BE747" t="s">
        <v>281</v>
      </c>
      <c r="BF747" t="s">
        <v>761</v>
      </c>
      <c r="BG747" t="s">
        <v>154</v>
      </c>
      <c r="BH747" s="1">
        <v>44789.833333333336</v>
      </c>
      <c r="BI747">
        <v>40</v>
      </c>
      <c r="BJ747">
        <v>0</v>
      </c>
      <c r="BK747">
        <v>8</v>
      </c>
      <c r="BL747">
        <v>8</v>
      </c>
      <c r="BM747">
        <v>8</v>
      </c>
      <c r="BN747">
        <v>8</v>
      </c>
      <c r="BO747">
        <v>8</v>
      </c>
      <c r="BP747">
        <v>0</v>
      </c>
      <c r="BQ747" t="str">
        <f>"7:00 AM"</f>
        <v>7:00 AM</v>
      </c>
      <c r="BR747" t="str">
        <f>"3:30 PM"</f>
        <v>3:30 PM</v>
      </c>
      <c r="BS747" t="s">
        <v>133</v>
      </c>
      <c r="BT747">
        <v>0</v>
      </c>
      <c r="BU747">
        <v>6</v>
      </c>
      <c r="BV747" t="s">
        <v>134</v>
      </c>
      <c r="BX747" s="2" t="s">
        <v>12347</v>
      </c>
      <c r="BY747" t="s">
        <v>12348</v>
      </c>
      <c r="CA747" t="s">
        <v>2309</v>
      </c>
      <c r="CB747" t="s">
        <v>154</v>
      </c>
      <c r="CC747" s="4" t="str">
        <f>"33019"</f>
        <v>33019</v>
      </c>
      <c r="CD747" t="s">
        <v>2313</v>
      </c>
      <c r="CE747" t="s">
        <v>1742</v>
      </c>
      <c r="CF747" s="6">
        <v>15.49</v>
      </c>
      <c r="CH747" s="6">
        <v>23.24</v>
      </c>
      <c r="CJ747" t="s">
        <v>137</v>
      </c>
      <c r="CK747" t="s">
        <v>12349</v>
      </c>
      <c r="CL747" t="s">
        <v>12350</v>
      </c>
      <c r="CO747" t="s">
        <v>138</v>
      </c>
      <c r="CP747" t="s">
        <v>134</v>
      </c>
      <c r="CQ747" t="s">
        <v>134</v>
      </c>
      <c r="CR747" t="s">
        <v>114</v>
      </c>
      <c r="CS747" t="s">
        <v>114</v>
      </c>
      <c r="CT747" t="s">
        <v>114</v>
      </c>
      <c r="CU747" t="s">
        <v>114</v>
      </c>
      <c r="CV747" s="2" t="s">
        <v>12351</v>
      </c>
      <c r="CW747" s="5" t="str">
        <f>"+19548744418"</f>
        <v>+19548744418</v>
      </c>
      <c r="CX747" t="s">
        <v>12352</v>
      </c>
      <c r="CY747" t="s">
        <v>138</v>
      </c>
      <c r="CZ747" t="s">
        <v>139</v>
      </c>
      <c r="DA747" t="s">
        <v>134</v>
      </c>
      <c r="DB747" t="s">
        <v>114</v>
      </c>
      <c r="DC747" t="s">
        <v>114</v>
      </c>
      <c r="DD747" t="s">
        <v>134</v>
      </c>
    </row>
    <row r="748" spans="1:113" ht="15" customHeight="1" x14ac:dyDescent="0.25">
      <c r="A748" t="s">
        <v>8553</v>
      </c>
      <c r="B748" t="s">
        <v>165</v>
      </c>
      <c r="C748" s="1">
        <v>44846.424168171296</v>
      </c>
      <c r="D748" s="1">
        <v>44869</v>
      </c>
      <c r="E748" t="s">
        <v>134</v>
      </c>
      <c r="F748" t="s">
        <v>2308</v>
      </c>
      <c r="G748" t="str">
        <f>"39-3091.00"</f>
        <v>39-3091.00</v>
      </c>
      <c r="H748" t="s">
        <v>362</v>
      </c>
      <c r="I748">
        <v>45</v>
      </c>
      <c r="J748">
        <v>45</v>
      </c>
      <c r="K748" s="1">
        <v>44936</v>
      </c>
      <c r="L748" s="1">
        <v>45227</v>
      </c>
      <c r="M748" s="1">
        <v>44936</v>
      </c>
      <c r="N748" s="1">
        <v>45227</v>
      </c>
      <c r="O748" t="s">
        <v>199</v>
      </c>
      <c r="P748" t="s">
        <v>8554</v>
      </c>
      <c r="Q748" t="s">
        <v>8555</v>
      </c>
      <c r="R748" t="s">
        <v>8556</v>
      </c>
      <c r="S748" t="s">
        <v>8557</v>
      </c>
      <c r="T748" t="s">
        <v>8558</v>
      </c>
      <c r="U748" t="s">
        <v>232</v>
      </c>
      <c r="V748" s="4" t="str">
        <f>"76640"</f>
        <v>76640</v>
      </c>
      <c r="W748" t="s">
        <v>120</v>
      </c>
      <c r="Y748" s="5">
        <v>12544950527</v>
      </c>
      <c r="AA748">
        <v>7139</v>
      </c>
      <c r="AB748" t="s">
        <v>8559</v>
      </c>
      <c r="AC748" t="s">
        <v>1614</v>
      </c>
      <c r="AE748" t="s">
        <v>1526</v>
      </c>
      <c r="AF748" t="s">
        <v>8556</v>
      </c>
      <c r="AG748" t="s">
        <v>8557</v>
      </c>
      <c r="AH748" t="s">
        <v>8558</v>
      </c>
      <c r="AI748" t="s">
        <v>232</v>
      </c>
      <c r="AJ748" s="4" t="str">
        <f>"76640"</f>
        <v>76640</v>
      </c>
      <c r="AK748" t="s">
        <v>120</v>
      </c>
      <c r="AM748" s="5">
        <v>12544950527</v>
      </c>
      <c r="AO748" t="s">
        <v>8560</v>
      </c>
      <c r="AP748" t="s">
        <v>256</v>
      </c>
      <c r="AQ748" t="s">
        <v>535</v>
      </c>
      <c r="AR748" t="s">
        <v>536</v>
      </c>
      <c r="AS748" t="s">
        <v>537</v>
      </c>
      <c r="AT748" t="s">
        <v>538</v>
      </c>
      <c r="AU748" t="s">
        <v>539</v>
      </c>
      <c r="AV748" t="s">
        <v>540</v>
      </c>
      <c r="AW748" t="s">
        <v>232</v>
      </c>
      <c r="AX748" s="4" t="str">
        <f>"78550"</f>
        <v>78550</v>
      </c>
      <c r="AY748" t="s">
        <v>120</v>
      </c>
      <c r="BA748" s="5">
        <v>19564408720</v>
      </c>
      <c r="BB748">
        <v>0</v>
      </c>
      <c r="BC748" t="s">
        <v>1022</v>
      </c>
      <c r="BD748" t="s">
        <v>543</v>
      </c>
      <c r="BG748" t="s">
        <v>232</v>
      </c>
      <c r="BH748" s="1">
        <v>44845.833333333336</v>
      </c>
      <c r="BI748">
        <v>40</v>
      </c>
      <c r="BJ748">
        <v>8</v>
      </c>
      <c r="BK748">
        <v>0</v>
      </c>
      <c r="BL748">
        <v>0</v>
      </c>
      <c r="BM748">
        <v>8</v>
      </c>
      <c r="BN748">
        <v>8</v>
      </c>
      <c r="BO748">
        <v>8</v>
      </c>
      <c r="BP748">
        <v>8</v>
      </c>
      <c r="BQ748" t="str">
        <f>"1:00 PM"</f>
        <v>1:00 PM</v>
      </c>
      <c r="BR748" t="str">
        <f>"10:00 PM"</f>
        <v>10:00 PM</v>
      </c>
      <c r="BS748" t="s">
        <v>133</v>
      </c>
      <c r="BT748">
        <v>0</v>
      </c>
      <c r="BU748">
        <v>0</v>
      </c>
      <c r="BV748" t="s">
        <v>134</v>
      </c>
      <c r="BX748" s="2" t="s">
        <v>579</v>
      </c>
      <c r="BY748" t="s">
        <v>8561</v>
      </c>
      <c r="CA748" t="s">
        <v>8562</v>
      </c>
      <c r="CB748" t="s">
        <v>232</v>
      </c>
      <c r="CC748" s="4" t="str">
        <f>"78363"</f>
        <v>78363</v>
      </c>
      <c r="CD748" t="s">
        <v>8563</v>
      </c>
      <c r="CE748" t="s">
        <v>1801</v>
      </c>
      <c r="CF748" s="6">
        <v>9.3000000000000007</v>
      </c>
      <c r="CG748" s="6">
        <v>11.53</v>
      </c>
      <c r="CJ748" t="s">
        <v>137</v>
      </c>
      <c r="CK748" t="s">
        <v>549</v>
      </c>
      <c r="CL748" t="s">
        <v>8564</v>
      </c>
      <c r="CO748" t="s">
        <v>138</v>
      </c>
      <c r="CP748" t="s">
        <v>114</v>
      </c>
      <c r="CQ748" t="s">
        <v>114</v>
      </c>
      <c r="CR748" t="s">
        <v>134</v>
      </c>
      <c r="CS748" t="s">
        <v>114</v>
      </c>
      <c r="CT748" t="s">
        <v>114</v>
      </c>
      <c r="CU748" t="s">
        <v>114</v>
      </c>
      <c r="CV748" t="s">
        <v>7355</v>
      </c>
      <c r="CW748" s="5" t="str">
        <f>"+12544950527"</f>
        <v>+12544950527</v>
      </c>
      <c r="CX748" t="s">
        <v>8565</v>
      </c>
      <c r="CY748" t="s">
        <v>138</v>
      </c>
      <c r="CZ748" t="s">
        <v>139</v>
      </c>
      <c r="DA748" t="s">
        <v>134</v>
      </c>
      <c r="DB748" t="s">
        <v>114</v>
      </c>
      <c r="DC748" t="s">
        <v>114</v>
      </c>
      <c r="DD748" t="s">
        <v>134</v>
      </c>
    </row>
    <row r="749" spans="1:113" ht="15" customHeight="1" x14ac:dyDescent="0.25">
      <c r="A749" t="s">
        <v>16478</v>
      </c>
      <c r="B749" t="s">
        <v>165</v>
      </c>
      <c r="C749" s="1">
        <v>44846.324931365743</v>
      </c>
      <c r="D749" s="1">
        <v>44869</v>
      </c>
      <c r="E749" t="s">
        <v>134</v>
      </c>
      <c r="F749" t="s">
        <v>1357</v>
      </c>
      <c r="G749" t="str">
        <f>"39-3091.00"</f>
        <v>39-3091.00</v>
      </c>
      <c r="H749" t="s">
        <v>362</v>
      </c>
      <c r="I749">
        <v>20</v>
      </c>
      <c r="J749">
        <v>20</v>
      </c>
      <c r="K749" s="1">
        <v>44936</v>
      </c>
      <c r="L749" s="1">
        <v>45228</v>
      </c>
      <c r="M749" s="1">
        <v>44936</v>
      </c>
      <c r="N749" s="1">
        <v>45228</v>
      </c>
      <c r="O749" t="s">
        <v>199</v>
      </c>
      <c r="P749" t="s">
        <v>16479</v>
      </c>
      <c r="R749" t="s">
        <v>16480</v>
      </c>
      <c r="S749" t="s">
        <v>16481</v>
      </c>
      <c r="T749" t="s">
        <v>4196</v>
      </c>
      <c r="U749" t="s">
        <v>184</v>
      </c>
      <c r="V749" s="4" t="str">
        <f>"62208"</f>
        <v>62208</v>
      </c>
      <c r="W749" t="s">
        <v>120</v>
      </c>
      <c r="Y749" s="5">
        <v>16184073044</v>
      </c>
      <c r="AA749">
        <v>71399</v>
      </c>
      <c r="AB749" t="s">
        <v>16482</v>
      </c>
      <c r="AC749" t="s">
        <v>755</v>
      </c>
      <c r="AE749" t="s">
        <v>342</v>
      </c>
      <c r="AF749" t="s">
        <v>16480</v>
      </c>
      <c r="AG749" t="s">
        <v>16481</v>
      </c>
      <c r="AH749" t="s">
        <v>4196</v>
      </c>
      <c r="AI749" t="s">
        <v>184</v>
      </c>
      <c r="AJ749" s="4" t="str">
        <f>"62208"</f>
        <v>62208</v>
      </c>
      <c r="AK749" t="s">
        <v>120</v>
      </c>
      <c r="AM749" s="5">
        <v>16184073044</v>
      </c>
      <c r="AO749" t="s">
        <v>16483</v>
      </c>
      <c r="AP749" t="s">
        <v>256</v>
      </c>
      <c r="AQ749" t="s">
        <v>535</v>
      </c>
      <c r="AR749" t="s">
        <v>536</v>
      </c>
      <c r="AS749" t="s">
        <v>537</v>
      </c>
      <c r="AT749" t="s">
        <v>538</v>
      </c>
      <c r="AU749" t="s">
        <v>539</v>
      </c>
      <c r="AV749" t="s">
        <v>540</v>
      </c>
      <c r="AW749" t="s">
        <v>232</v>
      </c>
      <c r="AX749" s="4" t="str">
        <f>"78550"</f>
        <v>78550</v>
      </c>
      <c r="AY749" t="s">
        <v>120</v>
      </c>
      <c r="BA749" s="5">
        <v>19564408720</v>
      </c>
      <c r="BB749">
        <v>0</v>
      </c>
      <c r="BC749" t="s">
        <v>563</v>
      </c>
      <c r="BD749" t="s">
        <v>543</v>
      </c>
      <c r="BG749" t="s">
        <v>184</v>
      </c>
      <c r="BH749" s="1">
        <v>44845.833333333336</v>
      </c>
      <c r="BI749">
        <v>40</v>
      </c>
      <c r="BJ749">
        <v>8</v>
      </c>
      <c r="BK749">
        <v>0</v>
      </c>
      <c r="BL749">
        <v>0</v>
      </c>
      <c r="BM749">
        <v>8</v>
      </c>
      <c r="BN749">
        <v>8</v>
      </c>
      <c r="BO749">
        <v>8</v>
      </c>
      <c r="BP749">
        <v>8</v>
      </c>
      <c r="BQ749" t="str">
        <f>"1:00 PM"</f>
        <v>1:00 PM</v>
      </c>
      <c r="BR749" t="str">
        <f>"10:00 PM"</f>
        <v>10:00 PM</v>
      </c>
      <c r="BS749" t="s">
        <v>133</v>
      </c>
      <c r="BT749">
        <v>0</v>
      </c>
      <c r="BU749">
        <v>0</v>
      </c>
      <c r="BV749" t="s">
        <v>134</v>
      </c>
      <c r="BX749" s="2" t="s">
        <v>579</v>
      </c>
      <c r="BY749" t="s">
        <v>14125</v>
      </c>
      <c r="CA749" t="s">
        <v>2706</v>
      </c>
      <c r="CB749" t="s">
        <v>184</v>
      </c>
      <c r="CC749" s="4" t="str">
        <f>"62232"</f>
        <v>62232</v>
      </c>
      <c r="CD749" t="s">
        <v>2374</v>
      </c>
      <c r="CE749" t="s">
        <v>713</v>
      </c>
      <c r="CF749" s="6">
        <v>10.220000000000001</v>
      </c>
      <c r="CG749" s="6">
        <v>13.42</v>
      </c>
      <c r="CJ749" t="s">
        <v>137</v>
      </c>
      <c r="CK749" t="s">
        <v>549</v>
      </c>
      <c r="CL749" t="s">
        <v>16484</v>
      </c>
      <c r="CO749" t="s">
        <v>138</v>
      </c>
      <c r="CP749" t="s">
        <v>114</v>
      </c>
      <c r="CQ749" t="s">
        <v>114</v>
      </c>
      <c r="CR749" t="s">
        <v>134</v>
      </c>
      <c r="CS749" t="s">
        <v>114</v>
      </c>
      <c r="CT749" t="s">
        <v>114</v>
      </c>
      <c r="CU749" t="s">
        <v>114</v>
      </c>
      <c r="CV749" t="s">
        <v>1360</v>
      </c>
      <c r="CW749" s="5" t="str">
        <f>"+16184073044"</f>
        <v>+16184073044</v>
      </c>
      <c r="CX749" t="s">
        <v>16483</v>
      </c>
      <c r="CY749" t="s">
        <v>138</v>
      </c>
      <c r="CZ749" t="s">
        <v>139</v>
      </c>
      <c r="DA749" t="s">
        <v>134</v>
      </c>
      <c r="DB749" t="s">
        <v>114</v>
      </c>
      <c r="DC749" t="s">
        <v>114</v>
      </c>
      <c r="DD749" t="s">
        <v>134</v>
      </c>
    </row>
    <row r="750" spans="1:113" ht="15" customHeight="1" x14ac:dyDescent="0.25">
      <c r="A750" t="s">
        <v>3666</v>
      </c>
      <c r="B750" t="s">
        <v>165</v>
      </c>
      <c r="C750" s="1">
        <v>44845.687997222223</v>
      </c>
      <c r="D750" s="1">
        <v>44869</v>
      </c>
      <c r="E750" t="s">
        <v>134</v>
      </c>
      <c r="F750" t="s">
        <v>524</v>
      </c>
      <c r="G750" t="str">
        <f>"49-9098.00"</f>
        <v>49-9098.00</v>
      </c>
      <c r="H750" t="s">
        <v>525</v>
      </c>
      <c r="I750">
        <v>5</v>
      </c>
      <c r="J750">
        <v>5</v>
      </c>
      <c r="K750" s="1">
        <v>44920</v>
      </c>
      <c r="L750" s="1">
        <v>45017</v>
      </c>
      <c r="M750" s="1">
        <v>44920</v>
      </c>
      <c r="N750" s="1">
        <v>45017</v>
      </c>
      <c r="O750" t="s">
        <v>199</v>
      </c>
      <c r="P750" t="s">
        <v>3667</v>
      </c>
      <c r="R750" t="s">
        <v>3668</v>
      </c>
      <c r="T750" t="s">
        <v>3669</v>
      </c>
      <c r="U750" t="s">
        <v>631</v>
      </c>
      <c r="V750" s="4" t="str">
        <f>"73018"</f>
        <v>73018</v>
      </c>
      <c r="W750" t="s">
        <v>120</v>
      </c>
      <c r="Y750" s="5">
        <v>14058330012</v>
      </c>
      <c r="Z750">
        <v>0</v>
      </c>
      <c r="AA750">
        <v>71399</v>
      </c>
      <c r="AB750" t="s">
        <v>3670</v>
      </c>
      <c r="AC750" t="s">
        <v>1438</v>
      </c>
      <c r="AE750" t="s">
        <v>424</v>
      </c>
      <c r="AF750" t="s">
        <v>3668</v>
      </c>
      <c r="AH750" t="s">
        <v>3669</v>
      </c>
      <c r="AI750" t="s">
        <v>631</v>
      </c>
      <c r="AJ750" s="4" t="str">
        <f>"73018"</f>
        <v>73018</v>
      </c>
      <c r="AK750" t="s">
        <v>120</v>
      </c>
      <c r="AM750" s="5">
        <v>14058330012</v>
      </c>
      <c r="AN750">
        <v>0</v>
      </c>
      <c r="AO750" t="s">
        <v>3671</v>
      </c>
      <c r="AP750" t="s">
        <v>256</v>
      </c>
      <c r="AQ750" t="s">
        <v>535</v>
      </c>
      <c r="AR750" t="s">
        <v>536</v>
      </c>
      <c r="AS750" t="s">
        <v>537</v>
      </c>
      <c r="AT750" t="s">
        <v>538</v>
      </c>
      <c r="AU750" t="s">
        <v>539</v>
      </c>
      <c r="AV750" t="s">
        <v>540</v>
      </c>
      <c r="AW750" t="s">
        <v>232</v>
      </c>
      <c r="AX750" s="4" t="str">
        <f>"78550"</f>
        <v>78550</v>
      </c>
      <c r="AY750" t="s">
        <v>120</v>
      </c>
      <c r="AZ750" t="s">
        <v>2835</v>
      </c>
      <c r="BA750" s="5">
        <v>19564408720</v>
      </c>
      <c r="BB750">
        <v>0</v>
      </c>
      <c r="BC750" t="s">
        <v>542</v>
      </c>
      <c r="BD750" t="s">
        <v>543</v>
      </c>
      <c r="BG750" t="s">
        <v>631</v>
      </c>
      <c r="BH750" s="1">
        <v>44844.833333333336</v>
      </c>
      <c r="BI750">
        <v>40</v>
      </c>
      <c r="BJ750">
        <v>0</v>
      </c>
      <c r="BK750">
        <v>8</v>
      </c>
      <c r="BL750">
        <v>8</v>
      </c>
      <c r="BM750">
        <v>8</v>
      </c>
      <c r="BN750">
        <v>8</v>
      </c>
      <c r="BO750">
        <v>8</v>
      </c>
      <c r="BP750">
        <v>0</v>
      </c>
      <c r="BQ750" t="str">
        <f>"8:00 AM"</f>
        <v>8:00 AM</v>
      </c>
      <c r="BR750" t="str">
        <f>"5:00 PM"</f>
        <v>5:00 PM</v>
      </c>
      <c r="BS750" t="s">
        <v>133</v>
      </c>
      <c r="BT750">
        <v>0</v>
      </c>
      <c r="BU750">
        <v>0</v>
      </c>
      <c r="BV750" t="s">
        <v>134</v>
      </c>
      <c r="BX750" t="s">
        <v>3672</v>
      </c>
      <c r="BY750" t="s">
        <v>3668</v>
      </c>
      <c r="CA750" t="s">
        <v>3669</v>
      </c>
      <c r="CB750" t="s">
        <v>631</v>
      </c>
      <c r="CC750" s="4" t="str">
        <f>"73018"</f>
        <v>73018</v>
      </c>
      <c r="CD750" t="s">
        <v>3673</v>
      </c>
      <c r="CE750" t="s">
        <v>2926</v>
      </c>
      <c r="CF750" s="6">
        <v>15.77</v>
      </c>
      <c r="CG750" s="6">
        <v>15.77</v>
      </c>
      <c r="CH750" s="6">
        <v>0</v>
      </c>
      <c r="CI750" s="6">
        <v>0</v>
      </c>
      <c r="CJ750" t="s">
        <v>137</v>
      </c>
      <c r="CK750" t="s">
        <v>549</v>
      </c>
      <c r="CL750" t="s">
        <v>3674</v>
      </c>
      <c r="CO750" t="s">
        <v>138</v>
      </c>
      <c r="CP750" t="s">
        <v>134</v>
      </c>
      <c r="CQ750" t="s">
        <v>114</v>
      </c>
      <c r="CR750" t="s">
        <v>134</v>
      </c>
      <c r="CS750" t="s">
        <v>114</v>
      </c>
      <c r="CT750" t="s">
        <v>114</v>
      </c>
      <c r="CU750" t="s">
        <v>114</v>
      </c>
      <c r="CV750" t="s">
        <v>3675</v>
      </c>
      <c r="CW750" s="5" t="str">
        <f>"+14058330012"</f>
        <v>+14058330012</v>
      </c>
      <c r="CX750" t="s">
        <v>3671</v>
      </c>
      <c r="CY750" t="s">
        <v>138</v>
      </c>
      <c r="CZ750" t="s">
        <v>139</v>
      </c>
      <c r="DA750" t="s">
        <v>134</v>
      </c>
      <c r="DB750" t="s">
        <v>114</v>
      </c>
      <c r="DC750" t="s">
        <v>114</v>
      </c>
      <c r="DD750" t="s">
        <v>134</v>
      </c>
    </row>
    <row r="751" spans="1:113" ht="15" customHeight="1" x14ac:dyDescent="0.25">
      <c r="A751" t="s">
        <v>13202</v>
      </c>
      <c r="B751" t="s">
        <v>165</v>
      </c>
      <c r="C751" s="1">
        <v>44845.619640625002</v>
      </c>
      <c r="D751" s="1">
        <v>44869</v>
      </c>
      <c r="E751" t="s">
        <v>134</v>
      </c>
      <c r="F751" t="s">
        <v>1357</v>
      </c>
      <c r="G751" t="str">
        <f>"39-3091.00"</f>
        <v>39-3091.00</v>
      </c>
      <c r="H751" t="s">
        <v>362</v>
      </c>
      <c r="I751">
        <v>36</v>
      </c>
      <c r="J751">
        <v>36</v>
      </c>
      <c r="K751" s="1">
        <v>44935</v>
      </c>
      <c r="L751" s="1">
        <v>45238</v>
      </c>
      <c r="M751" s="1">
        <v>44935</v>
      </c>
      <c r="N751" s="1">
        <v>45238</v>
      </c>
      <c r="O751" t="s">
        <v>199</v>
      </c>
      <c r="P751" t="s">
        <v>13203</v>
      </c>
      <c r="R751" t="s">
        <v>13204</v>
      </c>
      <c r="S751" t="s">
        <v>13205</v>
      </c>
      <c r="T751" t="s">
        <v>13206</v>
      </c>
      <c r="U751" t="s">
        <v>1411</v>
      </c>
      <c r="V751" s="4" t="str">
        <f>"45837"</f>
        <v>45837</v>
      </c>
      <c r="W751" t="s">
        <v>120</v>
      </c>
      <c r="Y751" s="5">
        <v>19376249145</v>
      </c>
      <c r="AA751">
        <v>71119</v>
      </c>
      <c r="AB751" t="s">
        <v>13207</v>
      </c>
      <c r="AC751" t="s">
        <v>13208</v>
      </c>
      <c r="AE751" t="s">
        <v>1710</v>
      </c>
      <c r="AF751" t="s">
        <v>13209</v>
      </c>
      <c r="AG751" t="s">
        <v>13205</v>
      </c>
      <c r="AH751" t="s">
        <v>5891</v>
      </c>
      <c r="AI751" t="s">
        <v>1411</v>
      </c>
      <c r="AJ751" s="4" t="str">
        <f>"45837"</f>
        <v>45837</v>
      </c>
      <c r="AK751" t="s">
        <v>120</v>
      </c>
      <c r="AM751" s="5">
        <v>14197969124</v>
      </c>
      <c r="AO751" t="s">
        <v>13210</v>
      </c>
      <c r="AP751" t="s">
        <v>256</v>
      </c>
      <c r="AQ751" t="s">
        <v>535</v>
      </c>
      <c r="AR751" t="s">
        <v>536</v>
      </c>
      <c r="AS751" t="s">
        <v>537</v>
      </c>
      <c r="AT751" t="s">
        <v>538</v>
      </c>
      <c r="AU751" t="s">
        <v>539</v>
      </c>
      <c r="AV751" t="s">
        <v>540</v>
      </c>
      <c r="AW751" t="s">
        <v>232</v>
      </c>
      <c r="AX751" s="4" t="str">
        <f>"78550"</f>
        <v>78550</v>
      </c>
      <c r="AY751" t="s">
        <v>120</v>
      </c>
      <c r="BA751" s="5">
        <v>19564408720</v>
      </c>
      <c r="BB751">
        <v>0</v>
      </c>
      <c r="BC751" t="s">
        <v>563</v>
      </c>
      <c r="BD751" t="s">
        <v>543</v>
      </c>
      <c r="BG751" t="s">
        <v>1411</v>
      </c>
      <c r="BH751" s="1">
        <v>44844.833333333336</v>
      </c>
      <c r="BI751">
        <v>40</v>
      </c>
      <c r="BJ751">
        <v>8</v>
      </c>
      <c r="BK751">
        <v>0</v>
      </c>
      <c r="BL751">
        <v>0</v>
      </c>
      <c r="BM751">
        <v>8</v>
      </c>
      <c r="BN751">
        <v>8</v>
      </c>
      <c r="BO751">
        <v>8</v>
      </c>
      <c r="BP751">
        <v>8</v>
      </c>
      <c r="BQ751" t="str">
        <f>"1:00 PM"</f>
        <v>1:00 PM</v>
      </c>
      <c r="BR751" t="str">
        <f>"10:00 PM"</f>
        <v>10:00 PM</v>
      </c>
      <c r="BS751" t="s">
        <v>133</v>
      </c>
      <c r="BT751">
        <v>0</v>
      </c>
      <c r="BU751">
        <v>0</v>
      </c>
      <c r="BV751" t="s">
        <v>134</v>
      </c>
      <c r="BX751" s="2" t="s">
        <v>579</v>
      </c>
      <c r="BY751" t="s">
        <v>13204</v>
      </c>
      <c r="CA751" t="s">
        <v>5891</v>
      </c>
      <c r="CB751" t="s">
        <v>1411</v>
      </c>
      <c r="CC751" s="4" t="str">
        <f>"45837"</f>
        <v>45837</v>
      </c>
      <c r="CD751" t="s">
        <v>1485</v>
      </c>
      <c r="CE751" t="s">
        <v>8181</v>
      </c>
      <c r="CF751" s="6">
        <v>9.24</v>
      </c>
      <c r="CG751" s="6">
        <v>12.41</v>
      </c>
      <c r="CJ751" t="s">
        <v>137</v>
      </c>
      <c r="CK751" t="s">
        <v>549</v>
      </c>
      <c r="CL751" t="s">
        <v>13211</v>
      </c>
      <c r="CO751" t="s">
        <v>138</v>
      </c>
      <c r="CP751" t="s">
        <v>114</v>
      </c>
      <c r="CQ751" t="s">
        <v>114</v>
      </c>
      <c r="CR751" t="s">
        <v>134</v>
      </c>
      <c r="CS751" t="s">
        <v>114</v>
      </c>
      <c r="CT751" t="s">
        <v>114</v>
      </c>
      <c r="CU751" t="s">
        <v>114</v>
      </c>
      <c r="CV751" t="s">
        <v>569</v>
      </c>
      <c r="CW751" s="5" t="str">
        <f>"+14197969124"</f>
        <v>+14197969124</v>
      </c>
      <c r="CX751" t="s">
        <v>13210</v>
      </c>
      <c r="CY751" t="s">
        <v>138</v>
      </c>
      <c r="CZ751" t="s">
        <v>139</v>
      </c>
      <c r="DA751" t="s">
        <v>134</v>
      </c>
      <c r="DB751" t="s">
        <v>114</v>
      </c>
      <c r="DC751" t="s">
        <v>114</v>
      </c>
      <c r="DD751" t="s">
        <v>134</v>
      </c>
    </row>
    <row r="752" spans="1:113" ht="15" customHeight="1" x14ac:dyDescent="0.25">
      <c r="A752" t="s">
        <v>12093</v>
      </c>
      <c r="B752" t="s">
        <v>165</v>
      </c>
      <c r="C752" s="1">
        <v>44842.33069560185</v>
      </c>
      <c r="D752" s="1">
        <v>44869</v>
      </c>
      <c r="E752" t="s">
        <v>134</v>
      </c>
      <c r="F752" t="s">
        <v>1357</v>
      </c>
      <c r="G752" t="str">
        <f>"39-3091.00"</f>
        <v>39-3091.00</v>
      </c>
      <c r="H752" t="s">
        <v>362</v>
      </c>
      <c r="I752">
        <v>41</v>
      </c>
      <c r="J752">
        <v>41</v>
      </c>
      <c r="K752" s="1">
        <v>44932</v>
      </c>
      <c r="L752" s="1">
        <v>45235</v>
      </c>
      <c r="M752" s="1">
        <v>44932</v>
      </c>
      <c r="N752" s="1">
        <v>45235</v>
      </c>
      <c r="O752" t="s">
        <v>199</v>
      </c>
      <c r="P752" t="s">
        <v>12094</v>
      </c>
      <c r="Q752" t="s">
        <v>12095</v>
      </c>
      <c r="R752" t="s">
        <v>12096</v>
      </c>
      <c r="S752" t="s">
        <v>12097</v>
      </c>
      <c r="T752" t="s">
        <v>12098</v>
      </c>
      <c r="U752" t="s">
        <v>697</v>
      </c>
      <c r="V752" s="4" t="str">
        <f>"64801"</f>
        <v>64801</v>
      </c>
      <c r="W752" t="s">
        <v>120</v>
      </c>
      <c r="Y752" s="5">
        <v>12198517711</v>
      </c>
      <c r="AA752">
        <v>71119</v>
      </c>
      <c r="AB752" t="s">
        <v>2574</v>
      </c>
      <c r="AC752" t="s">
        <v>12099</v>
      </c>
      <c r="AE752" t="s">
        <v>342</v>
      </c>
      <c r="AF752" t="s">
        <v>12096</v>
      </c>
      <c r="AG752" t="s">
        <v>12097</v>
      </c>
      <c r="AH752" t="s">
        <v>12098</v>
      </c>
      <c r="AI752" t="s">
        <v>697</v>
      </c>
      <c r="AJ752" s="4" t="str">
        <f>"64801"</f>
        <v>64801</v>
      </c>
      <c r="AK752" t="s">
        <v>120</v>
      </c>
      <c r="AM752" s="5">
        <v>12198517711</v>
      </c>
      <c r="AO752" t="s">
        <v>12100</v>
      </c>
      <c r="AP752" t="s">
        <v>256</v>
      </c>
      <c r="AQ752" t="s">
        <v>535</v>
      </c>
      <c r="AR752" t="s">
        <v>536</v>
      </c>
      <c r="AS752" t="s">
        <v>537</v>
      </c>
      <c r="AT752" t="s">
        <v>538</v>
      </c>
      <c r="AU752" t="s">
        <v>539</v>
      </c>
      <c r="AV752" t="s">
        <v>540</v>
      </c>
      <c r="AW752" t="s">
        <v>232</v>
      </c>
      <c r="AX752" s="4" t="str">
        <f>"78550"</f>
        <v>78550</v>
      </c>
      <c r="AY752" t="s">
        <v>120</v>
      </c>
      <c r="BA752" s="5">
        <v>19564408720</v>
      </c>
      <c r="BB752">
        <v>0</v>
      </c>
      <c r="BC752" t="s">
        <v>563</v>
      </c>
      <c r="BD752" t="s">
        <v>543</v>
      </c>
      <c r="BG752" t="s">
        <v>697</v>
      </c>
      <c r="BH752" s="1">
        <v>44841.833333333336</v>
      </c>
      <c r="BI752">
        <v>40</v>
      </c>
      <c r="BJ752">
        <v>8</v>
      </c>
      <c r="BK752">
        <v>0</v>
      </c>
      <c r="BL752">
        <v>0</v>
      </c>
      <c r="BM752">
        <v>8</v>
      </c>
      <c r="BN752">
        <v>8</v>
      </c>
      <c r="BO752">
        <v>8</v>
      </c>
      <c r="BP752">
        <v>8</v>
      </c>
      <c r="BQ752" t="str">
        <f>"1:00 PM"</f>
        <v>1:00 PM</v>
      </c>
      <c r="BR752" t="str">
        <f>"10:00 PM"</f>
        <v>10:00 PM</v>
      </c>
      <c r="BS752" t="s">
        <v>133</v>
      </c>
      <c r="BT752">
        <v>0</v>
      </c>
      <c r="BU752">
        <v>0</v>
      </c>
      <c r="BV752" t="s">
        <v>134</v>
      </c>
      <c r="BX752" s="2" t="s">
        <v>3113</v>
      </c>
      <c r="BY752" t="s">
        <v>12096</v>
      </c>
      <c r="CA752" t="s">
        <v>12098</v>
      </c>
      <c r="CB752" t="s">
        <v>697</v>
      </c>
      <c r="CC752" s="4" t="str">
        <f>"64801"</f>
        <v>64801</v>
      </c>
      <c r="CD752" t="s">
        <v>3924</v>
      </c>
      <c r="CE752" t="s">
        <v>12101</v>
      </c>
      <c r="CF752" s="6">
        <v>9.27</v>
      </c>
      <c r="CG752" s="6">
        <v>12.28</v>
      </c>
      <c r="CJ752" t="s">
        <v>137</v>
      </c>
      <c r="CK752" t="s">
        <v>549</v>
      </c>
      <c r="CL752" t="s">
        <v>12102</v>
      </c>
      <c r="CO752" t="s">
        <v>138</v>
      </c>
      <c r="CP752" t="s">
        <v>114</v>
      </c>
      <c r="CQ752" t="s">
        <v>114</v>
      </c>
      <c r="CR752" t="s">
        <v>134</v>
      </c>
      <c r="CS752" t="s">
        <v>114</v>
      </c>
      <c r="CT752" t="s">
        <v>114</v>
      </c>
      <c r="CU752" t="s">
        <v>114</v>
      </c>
      <c r="CV752" t="s">
        <v>1360</v>
      </c>
      <c r="CW752" s="5" t="str">
        <f>"+12198517711"</f>
        <v>+12198517711</v>
      </c>
      <c r="CX752" t="s">
        <v>12100</v>
      </c>
      <c r="CY752" t="s">
        <v>138</v>
      </c>
      <c r="CZ752" t="s">
        <v>139</v>
      </c>
      <c r="DA752" t="s">
        <v>134</v>
      </c>
      <c r="DB752" t="s">
        <v>114</v>
      </c>
      <c r="DC752" t="s">
        <v>114</v>
      </c>
      <c r="DD752" t="s">
        <v>134</v>
      </c>
    </row>
    <row r="753" spans="1:113" ht="15" customHeight="1" x14ac:dyDescent="0.25">
      <c r="A753" t="s">
        <v>5334</v>
      </c>
      <c r="B753" t="s">
        <v>165</v>
      </c>
      <c r="C753" s="1">
        <v>44839.982603124998</v>
      </c>
      <c r="D753" s="1">
        <v>44869</v>
      </c>
      <c r="E753" t="s">
        <v>134</v>
      </c>
      <c r="F753" t="s">
        <v>5335</v>
      </c>
      <c r="G753" t="str">
        <f>"45-2092.00"</f>
        <v>45-2092.00</v>
      </c>
      <c r="H753" t="s">
        <v>3089</v>
      </c>
      <c r="I753">
        <v>20</v>
      </c>
      <c r="J753">
        <v>20</v>
      </c>
      <c r="K753" s="1">
        <v>44914</v>
      </c>
      <c r="L753" s="1">
        <v>45213</v>
      </c>
      <c r="M753" s="1">
        <v>44914</v>
      </c>
      <c r="N753" s="1">
        <v>45213</v>
      </c>
      <c r="O753" t="s">
        <v>117</v>
      </c>
      <c r="P753" t="s">
        <v>5336</v>
      </c>
      <c r="Q753" t="s">
        <v>5337</v>
      </c>
      <c r="R753" t="s">
        <v>5338</v>
      </c>
      <c r="T753" t="s">
        <v>587</v>
      </c>
      <c r="U753" t="s">
        <v>530</v>
      </c>
      <c r="V753" s="4" t="str">
        <f>"85050"</f>
        <v>85050</v>
      </c>
      <c r="W753" t="s">
        <v>120</v>
      </c>
      <c r="Y753" s="5">
        <v>16025696604</v>
      </c>
      <c r="AA753">
        <v>42493</v>
      </c>
      <c r="AB753" t="s">
        <v>1568</v>
      </c>
      <c r="AC753" t="s">
        <v>5339</v>
      </c>
      <c r="AD753" t="s">
        <v>1685</v>
      </c>
      <c r="AE753" t="s">
        <v>1981</v>
      </c>
      <c r="AF753" t="s">
        <v>5338</v>
      </c>
      <c r="AH753" t="s">
        <v>587</v>
      </c>
      <c r="AI753" t="s">
        <v>530</v>
      </c>
      <c r="AJ753" s="4" t="str">
        <f>"85050"</f>
        <v>85050</v>
      </c>
      <c r="AK753" t="s">
        <v>120</v>
      </c>
      <c r="AM753" s="5">
        <v>16025696604</v>
      </c>
      <c r="AO753" t="s">
        <v>5340</v>
      </c>
      <c r="AP753" t="s">
        <v>256</v>
      </c>
      <c r="AQ753" t="s">
        <v>1042</v>
      </c>
      <c r="AR753" t="s">
        <v>1043</v>
      </c>
      <c r="AT753" t="s">
        <v>1044</v>
      </c>
      <c r="AU753" t="s">
        <v>1045</v>
      </c>
      <c r="AV753" t="s">
        <v>587</v>
      </c>
      <c r="AW753" t="s">
        <v>530</v>
      </c>
      <c r="AX753" s="4" t="str">
        <f>"85048"</f>
        <v>85048</v>
      </c>
      <c r="AY753" t="s">
        <v>120</v>
      </c>
      <c r="BA753" s="5">
        <v>14809411885</v>
      </c>
      <c r="BC753" t="s">
        <v>1046</v>
      </c>
      <c r="BD753" t="s">
        <v>1047</v>
      </c>
      <c r="BG753" t="s">
        <v>530</v>
      </c>
      <c r="BH753" s="1">
        <v>44838.833333333336</v>
      </c>
      <c r="BI753">
        <v>40</v>
      </c>
      <c r="BJ753">
        <v>0</v>
      </c>
      <c r="BK753">
        <v>8</v>
      </c>
      <c r="BL753">
        <v>8</v>
      </c>
      <c r="BM753">
        <v>8</v>
      </c>
      <c r="BN753">
        <v>8</v>
      </c>
      <c r="BO753">
        <v>8</v>
      </c>
      <c r="BP753">
        <v>0</v>
      </c>
      <c r="BQ753" t="str">
        <f>"6:00 AM"</f>
        <v>6:00 AM</v>
      </c>
      <c r="BR753" t="str">
        <f>"2:30 PM"</f>
        <v>2:30 PM</v>
      </c>
      <c r="BS753" t="s">
        <v>133</v>
      </c>
      <c r="BT753">
        <v>0</v>
      </c>
      <c r="BU753">
        <v>0</v>
      </c>
      <c r="BV753" t="s">
        <v>134</v>
      </c>
      <c r="BX753" s="2" t="s">
        <v>5341</v>
      </c>
      <c r="BY753" t="s">
        <v>5342</v>
      </c>
      <c r="CA753" t="s">
        <v>5343</v>
      </c>
      <c r="CB753" t="s">
        <v>530</v>
      </c>
      <c r="CC753" s="4" t="str">
        <f>"85339"</f>
        <v>85339</v>
      </c>
      <c r="CD753" t="s">
        <v>592</v>
      </c>
      <c r="CE753" t="s">
        <v>548</v>
      </c>
      <c r="CF753" s="6">
        <v>16.05</v>
      </c>
      <c r="CG753" s="6">
        <v>16.05</v>
      </c>
      <c r="CH753" s="6">
        <v>24.08</v>
      </c>
      <c r="CI753" s="6">
        <v>24.08</v>
      </c>
      <c r="CJ753" t="s">
        <v>137</v>
      </c>
      <c r="CK753" t="s">
        <v>1053</v>
      </c>
      <c r="CL753" t="s">
        <v>5344</v>
      </c>
      <c r="CO753" t="s">
        <v>138</v>
      </c>
      <c r="CP753" t="s">
        <v>114</v>
      </c>
      <c r="CQ753" t="s">
        <v>134</v>
      </c>
      <c r="CR753" t="s">
        <v>114</v>
      </c>
      <c r="CS753" t="s">
        <v>114</v>
      </c>
      <c r="CT753" t="s">
        <v>114</v>
      </c>
      <c r="CU753" t="s">
        <v>134</v>
      </c>
      <c r="CV753" t="s">
        <v>5345</v>
      </c>
      <c r="CW753" s="5" t="str">
        <f>"+16025696604"</f>
        <v>+16025696604</v>
      </c>
      <c r="CX753" t="s">
        <v>5340</v>
      </c>
      <c r="CY753" t="s">
        <v>138</v>
      </c>
      <c r="CZ753" t="s">
        <v>139</v>
      </c>
      <c r="DA753" t="s">
        <v>134</v>
      </c>
      <c r="DB753" t="s">
        <v>114</v>
      </c>
      <c r="DC753" t="s">
        <v>114</v>
      </c>
      <c r="DD753" t="s">
        <v>134</v>
      </c>
    </row>
    <row r="754" spans="1:113" ht="15" customHeight="1" x14ac:dyDescent="0.25">
      <c r="A754" t="s">
        <v>16532</v>
      </c>
      <c r="B754" t="s">
        <v>165</v>
      </c>
      <c r="C754" s="1">
        <v>44839.437565509259</v>
      </c>
      <c r="D754" s="1">
        <v>44869</v>
      </c>
      <c r="E754" t="s">
        <v>134</v>
      </c>
      <c r="F754" t="s">
        <v>16533</v>
      </c>
      <c r="G754" t="str">
        <f>"51-3022.00"</f>
        <v>51-3022.00</v>
      </c>
      <c r="H754" t="s">
        <v>817</v>
      </c>
      <c r="I754">
        <v>102</v>
      </c>
      <c r="J754">
        <v>102</v>
      </c>
      <c r="K754" s="1">
        <v>44927</v>
      </c>
      <c r="L754" s="1">
        <v>45230</v>
      </c>
      <c r="M754" s="1">
        <v>44927</v>
      </c>
      <c r="N754" s="1">
        <v>45230</v>
      </c>
      <c r="O754" t="s">
        <v>117</v>
      </c>
      <c r="P754" t="s">
        <v>16534</v>
      </c>
      <c r="R754" t="s">
        <v>16535</v>
      </c>
      <c r="T754" t="s">
        <v>4291</v>
      </c>
      <c r="U754" t="s">
        <v>214</v>
      </c>
      <c r="V754" s="4" t="str">
        <f>"70517"</f>
        <v>70517</v>
      </c>
      <c r="W754" t="s">
        <v>120</v>
      </c>
      <c r="X754" t="s">
        <v>7675</v>
      </c>
      <c r="Y754" s="5">
        <v>13372287545</v>
      </c>
      <c r="AA754">
        <v>31171</v>
      </c>
      <c r="AB754" t="s">
        <v>16536</v>
      </c>
      <c r="AC754" t="s">
        <v>5761</v>
      </c>
      <c r="AD754" t="s">
        <v>423</v>
      </c>
      <c r="AE754" t="s">
        <v>16537</v>
      </c>
      <c r="AF754" t="s">
        <v>16538</v>
      </c>
      <c r="AH754" t="s">
        <v>4291</v>
      </c>
      <c r="AI754" t="s">
        <v>214</v>
      </c>
      <c r="AJ754" s="4" t="str">
        <f>"70517"</f>
        <v>70517</v>
      </c>
      <c r="AK754" t="s">
        <v>120</v>
      </c>
      <c r="AL754" t="s">
        <v>7675</v>
      </c>
      <c r="AM754" s="5">
        <v>13372287545</v>
      </c>
      <c r="AO754" t="s">
        <v>16539</v>
      </c>
      <c r="AP754" t="s">
        <v>256</v>
      </c>
      <c r="AQ754" t="s">
        <v>7677</v>
      </c>
      <c r="AR754" t="s">
        <v>7678</v>
      </c>
      <c r="AS754" t="s">
        <v>1856</v>
      </c>
      <c r="AT754" t="s">
        <v>7679</v>
      </c>
      <c r="AV754" t="s">
        <v>7680</v>
      </c>
      <c r="AW754" t="s">
        <v>214</v>
      </c>
      <c r="AX754" s="4" t="str">
        <f>"70760"</f>
        <v>70760</v>
      </c>
      <c r="AY754" t="s">
        <v>120</v>
      </c>
      <c r="AZ754" t="s">
        <v>7681</v>
      </c>
      <c r="BA754" s="5">
        <v>12256387218</v>
      </c>
      <c r="BC754" t="s">
        <v>7682</v>
      </c>
      <c r="BD754" t="s">
        <v>7683</v>
      </c>
      <c r="BG754" t="s">
        <v>214</v>
      </c>
      <c r="BH754" s="1">
        <v>44837.833333333336</v>
      </c>
      <c r="BI754">
        <v>40</v>
      </c>
      <c r="BJ754">
        <v>0</v>
      </c>
      <c r="BK754">
        <v>8</v>
      </c>
      <c r="BL754">
        <v>8</v>
      </c>
      <c r="BM754">
        <v>8</v>
      </c>
      <c r="BN754">
        <v>8</v>
      </c>
      <c r="BO754">
        <v>8</v>
      </c>
      <c r="BP754">
        <v>0</v>
      </c>
      <c r="BQ754" t="str">
        <f>"5:00 AM"</f>
        <v>5:00 AM</v>
      </c>
      <c r="BR754" t="str">
        <f>"1:30 PM"</f>
        <v>1:30 PM</v>
      </c>
      <c r="BS754" t="s">
        <v>133</v>
      </c>
      <c r="BT754">
        <v>0</v>
      </c>
      <c r="BU754">
        <v>0</v>
      </c>
      <c r="BV754" t="s">
        <v>134</v>
      </c>
      <c r="BX754" s="2" t="s">
        <v>16540</v>
      </c>
      <c r="BY754" t="s">
        <v>16541</v>
      </c>
      <c r="CA754" t="s">
        <v>4291</v>
      </c>
      <c r="CB754" t="s">
        <v>214</v>
      </c>
      <c r="CC754" s="4" t="str">
        <f>"70517"</f>
        <v>70517</v>
      </c>
      <c r="CD754" t="s">
        <v>4293</v>
      </c>
      <c r="CE754" t="s">
        <v>1822</v>
      </c>
      <c r="CF754" s="6">
        <v>11.2</v>
      </c>
      <c r="CG754" s="6">
        <v>11.2</v>
      </c>
      <c r="CH754" s="6">
        <v>16.8</v>
      </c>
      <c r="CI754" s="6">
        <v>16.8</v>
      </c>
      <c r="CJ754" t="s">
        <v>137</v>
      </c>
      <c r="CK754" t="s">
        <v>16542</v>
      </c>
      <c r="CL754" t="s">
        <v>16543</v>
      </c>
      <c r="CO754" t="s">
        <v>138</v>
      </c>
      <c r="CP754" t="s">
        <v>134</v>
      </c>
      <c r="CQ754" t="s">
        <v>134</v>
      </c>
      <c r="CR754" t="s">
        <v>114</v>
      </c>
      <c r="CS754" t="s">
        <v>134</v>
      </c>
      <c r="CT754" t="s">
        <v>114</v>
      </c>
      <c r="CU754" t="s">
        <v>114</v>
      </c>
      <c r="CV754" t="s">
        <v>16544</v>
      </c>
      <c r="CW754" s="5" t="str">
        <f>"+13372287545"</f>
        <v>+13372287545</v>
      </c>
      <c r="CX754" t="s">
        <v>138</v>
      </c>
      <c r="CY754" t="s">
        <v>274</v>
      </c>
      <c r="CZ754" t="s">
        <v>139</v>
      </c>
      <c r="DA754" t="s">
        <v>134</v>
      </c>
      <c r="DB754" t="s">
        <v>114</v>
      </c>
      <c r="DC754" t="s">
        <v>114</v>
      </c>
      <c r="DD754" t="s">
        <v>134</v>
      </c>
    </row>
    <row r="755" spans="1:113" ht="15" customHeight="1" x14ac:dyDescent="0.25">
      <c r="A755" t="s">
        <v>16451</v>
      </c>
      <c r="B755" t="s">
        <v>165</v>
      </c>
      <c r="C755" s="1">
        <v>44802.563358449072</v>
      </c>
      <c r="D755" s="1">
        <v>44869</v>
      </c>
      <c r="E755" t="s">
        <v>134</v>
      </c>
      <c r="F755" t="s">
        <v>16452</v>
      </c>
      <c r="G755" t="str">
        <f>"51-7011.00"</f>
        <v>51-7011.00</v>
      </c>
      <c r="H755" t="s">
        <v>16453</v>
      </c>
      <c r="I755">
        <v>10</v>
      </c>
      <c r="J755">
        <v>10</v>
      </c>
      <c r="K755" s="1">
        <v>44880</v>
      </c>
      <c r="L755" s="1">
        <v>45183</v>
      </c>
      <c r="M755" s="1">
        <v>44880</v>
      </c>
      <c r="N755" s="1">
        <v>45183</v>
      </c>
      <c r="O755" t="s">
        <v>168</v>
      </c>
      <c r="P755" t="s">
        <v>16454</v>
      </c>
      <c r="R755" t="s">
        <v>15400</v>
      </c>
      <c r="S755" t="s">
        <v>15397</v>
      </c>
      <c r="T755" t="s">
        <v>2012</v>
      </c>
      <c r="U755" t="s">
        <v>848</v>
      </c>
      <c r="V755" s="4" t="str">
        <f>"10123"</f>
        <v>10123</v>
      </c>
      <c r="W755" t="s">
        <v>120</v>
      </c>
      <c r="Y755" s="5">
        <v>18882095240</v>
      </c>
      <c r="AA755">
        <v>54141</v>
      </c>
      <c r="AB755" t="s">
        <v>15398</v>
      </c>
      <c r="AC755" t="s">
        <v>15399</v>
      </c>
      <c r="AE755" t="s">
        <v>342</v>
      </c>
      <c r="AF755" t="s">
        <v>15400</v>
      </c>
      <c r="AG755" t="s">
        <v>15397</v>
      </c>
      <c r="AH755" t="s">
        <v>2012</v>
      </c>
      <c r="AI755" t="s">
        <v>848</v>
      </c>
      <c r="AJ755" s="4" t="str">
        <f>"10123"</f>
        <v>10123</v>
      </c>
      <c r="AK755" t="s">
        <v>120</v>
      </c>
      <c r="AM755" s="5">
        <v>18882095240</v>
      </c>
      <c r="AO755" t="s">
        <v>15401</v>
      </c>
      <c r="AP755" t="s">
        <v>122</v>
      </c>
      <c r="AQ755" t="s">
        <v>9138</v>
      </c>
      <c r="AR755" t="s">
        <v>9139</v>
      </c>
      <c r="AT755" t="s">
        <v>9140</v>
      </c>
      <c r="AU755" t="s">
        <v>9141</v>
      </c>
      <c r="AV755" t="s">
        <v>2012</v>
      </c>
      <c r="AW755" t="s">
        <v>848</v>
      </c>
      <c r="AX755" s="4" t="str">
        <f>"10016"</f>
        <v>10016</v>
      </c>
      <c r="AY755" t="s">
        <v>120</v>
      </c>
      <c r="BA755" s="5">
        <v>12123555240</v>
      </c>
      <c r="BC755" t="s">
        <v>9142</v>
      </c>
      <c r="BD755" t="s">
        <v>9143</v>
      </c>
      <c r="BE755" t="s">
        <v>848</v>
      </c>
      <c r="BF755" t="s">
        <v>9144</v>
      </c>
      <c r="BG755" t="s">
        <v>848</v>
      </c>
      <c r="BH755" s="1">
        <v>44801.833333333336</v>
      </c>
      <c r="BI755">
        <v>40</v>
      </c>
      <c r="BJ755">
        <v>0</v>
      </c>
      <c r="BK755">
        <v>0</v>
      </c>
      <c r="BL755">
        <v>8</v>
      </c>
      <c r="BM755">
        <v>8</v>
      </c>
      <c r="BN755">
        <v>8</v>
      </c>
      <c r="BO755">
        <v>8</v>
      </c>
      <c r="BP755">
        <v>8</v>
      </c>
      <c r="BQ755" t="str">
        <f>"9:00 AM"</f>
        <v>9:00 AM</v>
      </c>
      <c r="BR755" t="str">
        <f>"5:00 PM"</f>
        <v>5:00 PM</v>
      </c>
      <c r="BS755" t="s">
        <v>133</v>
      </c>
      <c r="BT755">
        <v>0</v>
      </c>
      <c r="BU755">
        <v>6</v>
      </c>
      <c r="BV755" t="s">
        <v>134</v>
      </c>
      <c r="BX755" t="s">
        <v>133</v>
      </c>
      <c r="BY755" t="s">
        <v>15400</v>
      </c>
      <c r="BZ755" t="s">
        <v>15397</v>
      </c>
      <c r="CA755" t="s">
        <v>2012</v>
      </c>
      <c r="CB755" t="s">
        <v>848</v>
      </c>
      <c r="CC755" s="4" t="str">
        <f>"10123"</f>
        <v>10123</v>
      </c>
      <c r="CD755" t="s">
        <v>8029</v>
      </c>
      <c r="CE755" t="s">
        <v>1009</v>
      </c>
      <c r="CF755" s="6">
        <v>22.92</v>
      </c>
      <c r="CG755" s="6">
        <v>22.92</v>
      </c>
      <c r="CJ755" t="s">
        <v>137</v>
      </c>
      <c r="CL755" t="s">
        <v>16455</v>
      </c>
      <c r="CO755" t="s">
        <v>138</v>
      </c>
      <c r="CP755" t="s">
        <v>134</v>
      </c>
      <c r="CQ755" t="s">
        <v>134</v>
      </c>
      <c r="CR755" t="s">
        <v>134</v>
      </c>
      <c r="CS755" t="s">
        <v>134</v>
      </c>
      <c r="CT755" t="s">
        <v>114</v>
      </c>
      <c r="CU755" t="s">
        <v>134</v>
      </c>
      <c r="CV755" t="s">
        <v>9145</v>
      </c>
      <c r="CW755" s="5" t="str">
        <f>"+18882095240"</f>
        <v>+18882095240</v>
      </c>
      <c r="CX755" t="s">
        <v>15401</v>
      </c>
      <c r="CY755" t="s">
        <v>138</v>
      </c>
      <c r="CZ755" t="s">
        <v>139</v>
      </c>
      <c r="DA755" t="s">
        <v>134</v>
      </c>
      <c r="DB755" t="s">
        <v>134</v>
      </c>
      <c r="DC755" t="s">
        <v>114</v>
      </c>
      <c r="DD755" t="s">
        <v>134</v>
      </c>
    </row>
    <row r="756" spans="1:113" ht="15" customHeight="1" x14ac:dyDescent="0.25">
      <c r="A756" t="s">
        <v>14632</v>
      </c>
      <c r="B756" t="s">
        <v>165</v>
      </c>
      <c r="C756" s="1">
        <v>44771.612621990738</v>
      </c>
      <c r="D756" s="1">
        <v>44869</v>
      </c>
      <c r="E756" t="s">
        <v>134</v>
      </c>
      <c r="F756" t="s">
        <v>1994</v>
      </c>
      <c r="G756" t="str">
        <f>"47-2061.00"</f>
        <v>47-2061.00</v>
      </c>
      <c r="H756" t="s">
        <v>1625</v>
      </c>
      <c r="I756">
        <v>3</v>
      </c>
      <c r="J756">
        <v>3</v>
      </c>
      <c r="K756" s="1">
        <v>44846</v>
      </c>
      <c r="L756" s="1">
        <v>45107</v>
      </c>
      <c r="M756" s="1">
        <v>44846</v>
      </c>
      <c r="N756" s="1">
        <v>45107</v>
      </c>
      <c r="O756" t="s">
        <v>117</v>
      </c>
      <c r="P756" t="s">
        <v>14633</v>
      </c>
      <c r="R756" t="s">
        <v>14634</v>
      </c>
      <c r="T756" t="s">
        <v>12483</v>
      </c>
      <c r="U756" t="s">
        <v>203</v>
      </c>
      <c r="V756" s="4" t="str">
        <f>"35058"</f>
        <v>35058</v>
      </c>
      <c r="W756" t="s">
        <v>120</v>
      </c>
      <c r="Y756" s="5">
        <v>12566540171</v>
      </c>
      <c r="AA756">
        <v>236220</v>
      </c>
      <c r="AB756" t="s">
        <v>14635</v>
      </c>
      <c r="AC756" t="s">
        <v>370</v>
      </c>
      <c r="AE756" t="s">
        <v>1569</v>
      </c>
      <c r="AF756" t="s">
        <v>14634</v>
      </c>
      <c r="AH756" t="s">
        <v>12483</v>
      </c>
      <c r="AI756" t="s">
        <v>203</v>
      </c>
      <c r="AJ756" s="4" t="str">
        <f>"35058"</f>
        <v>35058</v>
      </c>
      <c r="AK756" t="s">
        <v>120</v>
      </c>
      <c r="AM756" s="5">
        <v>12566540171</v>
      </c>
      <c r="AO756" t="s">
        <v>14636</v>
      </c>
      <c r="AP756" t="s">
        <v>256</v>
      </c>
      <c r="AQ756" t="s">
        <v>1420</v>
      </c>
      <c r="AR756" t="s">
        <v>1421</v>
      </c>
      <c r="AT756" t="s">
        <v>1422</v>
      </c>
      <c r="AU756" t="s">
        <v>347</v>
      </c>
      <c r="AV756" t="s">
        <v>828</v>
      </c>
      <c r="AW756" t="s">
        <v>349</v>
      </c>
      <c r="AX756" s="4" t="str">
        <f>"83814"</f>
        <v>83814</v>
      </c>
      <c r="AY756" t="s">
        <v>120</v>
      </c>
      <c r="BA756" s="5">
        <v>12087772654</v>
      </c>
      <c r="BC756" t="s">
        <v>1423</v>
      </c>
      <c r="BD756" t="s">
        <v>351</v>
      </c>
      <c r="BG756" t="s">
        <v>203</v>
      </c>
      <c r="BH756" s="1">
        <v>44770.833333333336</v>
      </c>
      <c r="BI756">
        <v>40</v>
      </c>
      <c r="BJ756">
        <v>0</v>
      </c>
      <c r="BK756">
        <v>8</v>
      </c>
      <c r="BL756">
        <v>8</v>
      </c>
      <c r="BM756">
        <v>8</v>
      </c>
      <c r="BN756">
        <v>8</v>
      </c>
      <c r="BO756">
        <v>8</v>
      </c>
      <c r="BP756">
        <v>0</v>
      </c>
      <c r="BQ756" t="str">
        <f>"7:00 AM"</f>
        <v>7:00 AM</v>
      </c>
      <c r="BR756" t="str">
        <f>"3:00 PM"</f>
        <v>3:00 PM</v>
      </c>
      <c r="BS756" t="s">
        <v>133</v>
      </c>
      <c r="BT756">
        <v>0</v>
      </c>
      <c r="BU756">
        <v>3</v>
      </c>
      <c r="BV756" t="s">
        <v>134</v>
      </c>
      <c r="BX756" s="2" t="s">
        <v>14637</v>
      </c>
      <c r="BY756" t="s">
        <v>14638</v>
      </c>
      <c r="CA756" t="s">
        <v>12483</v>
      </c>
      <c r="CB756" t="s">
        <v>203</v>
      </c>
      <c r="CC756" s="4" t="str">
        <f>"35058"</f>
        <v>35058</v>
      </c>
      <c r="CD756" t="s">
        <v>12484</v>
      </c>
      <c r="CE756" t="s">
        <v>8067</v>
      </c>
      <c r="CF756" s="6">
        <v>16.09</v>
      </c>
      <c r="CG756" s="6">
        <v>25</v>
      </c>
      <c r="CH756" s="6">
        <v>24.14</v>
      </c>
      <c r="CI756" s="6">
        <v>37.5</v>
      </c>
      <c r="CJ756" t="s">
        <v>137</v>
      </c>
      <c r="CK756" t="s">
        <v>356</v>
      </c>
      <c r="CL756" t="s">
        <v>14639</v>
      </c>
      <c r="CO756" t="s">
        <v>138</v>
      </c>
      <c r="CP756" t="s">
        <v>114</v>
      </c>
      <c r="CQ756" t="s">
        <v>114</v>
      </c>
      <c r="CR756" t="s">
        <v>114</v>
      </c>
      <c r="CS756" t="s">
        <v>134</v>
      </c>
      <c r="CT756" t="s">
        <v>114</v>
      </c>
      <c r="CU756" t="s">
        <v>114</v>
      </c>
      <c r="CV756" t="s">
        <v>14640</v>
      </c>
      <c r="CW756" s="5" t="str">
        <f>"+12562971741"</f>
        <v>+12562971741</v>
      </c>
      <c r="CX756" t="s">
        <v>14636</v>
      </c>
      <c r="CY756" t="s">
        <v>1390</v>
      </c>
      <c r="CZ756" t="s">
        <v>139</v>
      </c>
      <c r="DA756" t="s">
        <v>134</v>
      </c>
      <c r="DB756" t="s">
        <v>114</v>
      </c>
      <c r="DC756" t="s">
        <v>114</v>
      </c>
      <c r="DD756" t="s">
        <v>134</v>
      </c>
    </row>
    <row r="757" spans="1:113" ht="15" customHeight="1" x14ac:dyDescent="0.25">
      <c r="A757" t="s">
        <v>16366</v>
      </c>
      <c r="B757" t="s">
        <v>165</v>
      </c>
      <c r="C757" s="1">
        <v>44845.474867013887</v>
      </c>
      <c r="D757" s="1">
        <v>44868</v>
      </c>
      <c r="E757" t="s">
        <v>134</v>
      </c>
      <c r="F757" t="s">
        <v>1315</v>
      </c>
      <c r="G757" t="str">
        <f>"39-3091.00"</f>
        <v>39-3091.00</v>
      </c>
      <c r="H757" t="s">
        <v>362</v>
      </c>
      <c r="I757">
        <v>35</v>
      </c>
      <c r="J757">
        <v>35</v>
      </c>
      <c r="K757" s="1">
        <v>44927</v>
      </c>
      <c r="L757" s="1">
        <v>45230</v>
      </c>
      <c r="M757" s="1">
        <v>44927</v>
      </c>
      <c r="N757" s="1">
        <v>45230</v>
      </c>
      <c r="O757" t="s">
        <v>199</v>
      </c>
      <c r="P757" t="s">
        <v>16367</v>
      </c>
      <c r="R757" t="s">
        <v>16368</v>
      </c>
      <c r="S757" t="s">
        <v>16369</v>
      </c>
      <c r="T757" t="s">
        <v>5186</v>
      </c>
      <c r="U757" t="s">
        <v>214</v>
      </c>
      <c r="V757" s="4" t="str">
        <f>"70458"</f>
        <v>70458</v>
      </c>
      <c r="W757" t="s">
        <v>120</v>
      </c>
      <c r="Y757" s="5">
        <v>19859603013</v>
      </c>
      <c r="Z757">
        <v>0</v>
      </c>
      <c r="AA757">
        <v>7139</v>
      </c>
      <c r="AB757" t="s">
        <v>3926</v>
      </c>
      <c r="AC757" t="s">
        <v>2485</v>
      </c>
      <c r="AE757" t="s">
        <v>5088</v>
      </c>
      <c r="AF757" t="s">
        <v>16368</v>
      </c>
      <c r="AG757" t="s">
        <v>16369</v>
      </c>
      <c r="AH757" t="s">
        <v>5186</v>
      </c>
      <c r="AI757" t="s">
        <v>214</v>
      </c>
      <c r="AJ757" s="4" t="str">
        <f>"70458"</f>
        <v>70458</v>
      </c>
      <c r="AK757" t="s">
        <v>120</v>
      </c>
      <c r="AM757" s="5">
        <v>19859603013</v>
      </c>
      <c r="AN757">
        <v>0</v>
      </c>
      <c r="AO757" t="s">
        <v>16370</v>
      </c>
      <c r="AP757" t="s">
        <v>256</v>
      </c>
      <c r="AQ757" t="s">
        <v>535</v>
      </c>
      <c r="AR757" t="s">
        <v>536</v>
      </c>
      <c r="AS757" t="s">
        <v>537</v>
      </c>
      <c r="AT757" t="s">
        <v>538</v>
      </c>
      <c r="AU757" t="s">
        <v>539</v>
      </c>
      <c r="AV757" t="s">
        <v>540</v>
      </c>
      <c r="AW757" t="s">
        <v>232</v>
      </c>
      <c r="AX757" s="4" t="str">
        <f>"78550"</f>
        <v>78550</v>
      </c>
      <c r="AY757" t="s">
        <v>120</v>
      </c>
      <c r="AZ757" t="s">
        <v>2835</v>
      </c>
      <c r="BA757" s="5">
        <v>19564408720</v>
      </c>
      <c r="BB757">
        <v>0</v>
      </c>
      <c r="BC757" t="s">
        <v>542</v>
      </c>
      <c r="BD757" t="s">
        <v>543</v>
      </c>
      <c r="BG757" t="s">
        <v>214</v>
      </c>
      <c r="BH757" s="1">
        <v>44843.833333333336</v>
      </c>
      <c r="BI757">
        <v>40</v>
      </c>
      <c r="BJ757">
        <v>8</v>
      </c>
      <c r="BK757">
        <v>0</v>
      </c>
      <c r="BL757">
        <v>0</v>
      </c>
      <c r="BM757">
        <v>8</v>
      </c>
      <c r="BN757">
        <v>8</v>
      </c>
      <c r="BO757">
        <v>8</v>
      </c>
      <c r="BP757">
        <v>8</v>
      </c>
      <c r="BQ757" t="str">
        <f>"1:00 PM"</f>
        <v>1:00 PM</v>
      </c>
      <c r="BR757" t="str">
        <f>"10:00 PM"</f>
        <v>10:00 PM</v>
      </c>
      <c r="BS757" t="s">
        <v>133</v>
      </c>
      <c r="BT757">
        <v>0</v>
      </c>
      <c r="BU757">
        <v>0</v>
      </c>
      <c r="BV757" t="s">
        <v>134</v>
      </c>
      <c r="BX757" t="s">
        <v>3921</v>
      </c>
      <c r="BY757" t="s">
        <v>16371</v>
      </c>
      <c r="CA757" t="s">
        <v>1038</v>
      </c>
      <c r="CB757" t="s">
        <v>214</v>
      </c>
      <c r="CC757" s="4" t="str">
        <f>"70458"</f>
        <v>70458</v>
      </c>
      <c r="CD757" t="s">
        <v>4589</v>
      </c>
      <c r="CE757" t="s">
        <v>2289</v>
      </c>
      <c r="CF757" s="6">
        <v>9.59</v>
      </c>
      <c r="CG757" s="6">
        <v>13.28</v>
      </c>
      <c r="CH757" s="6">
        <v>0</v>
      </c>
      <c r="CI757" s="6">
        <v>0</v>
      </c>
      <c r="CJ757" t="s">
        <v>137</v>
      </c>
      <c r="CK757" t="s">
        <v>549</v>
      </c>
      <c r="CL757" t="s">
        <v>16372</v>
      </c>
      <c r="CO757" t="s">
        <v>138</v>
      </c>
      <c r="CP757" t="s">
        <v>114</v>
      </c>
      <c r="CQ757" t="s">
        <v>114</v>
      </c>
      <c r="CR757" t="s">
        <v>134</v>
      </c>
      <c r="CS757" t="s">
        <v>114</v>
      </c>
      <c r="CT757" t="s">
        <v>114</v>
      </c>
      <c r="CU757" t="s">
        <v>114</v>
      </c>
      <c r="CV757" t="s">
        <v>1330</v>
      </c>
      <c r="CW757" s="5" t="str">
        <f>"+19859603013"</f>
        <v>+19859603013</v>
      </c>
      <c r="CX757" t="s">
        <v>16370</v>
      </c>
      <c r="CY757" t="s">
        <v>16373</v>
      </c>
      <c r="CZ757" t="s">
        <v>139</v>
      </c>
      <c r="DA757" t="s">
        <v>134</v>
      </c>
      <c r="DB757" t="s">
        <v>114</v>
      </c>
      <c r="DC757" t="s">
        <v>114</v>
      </c>
      <c r="DD757" t="s">
        <v>134</v>
      </c>
    </row>
    <row r="758" spans="1:113" ht="15" customHeight="1" x14ac:dyDescent="0.25">
      <c r="A758" t="s">
        <v>15899</v>
      </c>
      <c r="B758" t="s">
        <v>165</v>
      </c>
      <c r="C758" s="1">
        <v>44844.541954976849</v>
      </c>
      <c r="D758" s="1">
        <v>44868</v>
      </c>
      <c r="E758" t="s">
        <v>134</v>
      </c>
      <c r="F758" t="s">
        <v>5321</v>
      </c>
      <c r="G758" t="str">
        <f>"35-3023.00"</f>
        <v>35-3023.00</v>
      </c>
      <c r="H758" t="s">
        <v>555</v>
      </c>
      <c r="I758">
        <v>11</v>
      </c>
      <c r="J758">
        <v>11</v>
      </c>
      <c r="K758" s="1">
        <v>44927</v>
      </c>
      <c r="L758" s="1">
        <v>45138</v>
      </c>
      <c r="M758" s="1">
        <v>44927</v>
      </c>
      <c r="N758" s="1">
        <v>45138</v>
      </c>
      <c r="O758" t="s">
        <v>117</v>
      </c>
      <c r="P758" t="s">
        <v>15900</v>
      </c>
      <c r="Q758" t="s">
        <v>5323</v>
      </c>
      <c r="R758" t="s">
        <v>5324</v>
      </c>
      <c r="T758" t="s">
        <v>4400</v>
      </c>
      <c r="U758" t="s">
        <v>657</v>
      </c>
      <c r="V758" s="4" t="str">
        <f>"37909"</f>
        <v>37909</v>
      </c>
      <c r="W758" t="s">
        <v>120</v>
      </c>
      <c r="Y758" s="5">
        <v>18656905820</v>
      </c>
      <c r="AA758">
        <v>722513</v>
      </c>
      <c r="AB758" t="s">
        <v>15901</v>
      </c>
      <c r="AC758" t="s">
        <v>2672</v>
      </c>
      <c r="AE758" t="s">
        <v>15902</v>
      </c>
      <c r="AF758" t="s">
        <v>15903</v>
      </c>
      <c r="AG758" t="s">
        <v>2151</v>
      </c>
      <c r="AH758" t="s">
        <v>15575</v>
      </c>
      <c r="AI758" t="s">
        <v>154</v>
      </c>
      <c r="AJ758" s="4" t="str">
        <f>"33702"</f>
        <v>33702</v>
      </c>
      <c r="AK758" t="s">
        <v>120</v>
      </c>
      <c r="AM758" s="5">
        <v>17277249559</v>
      </c>
      <c r="AO758" t="s">
        <v>15904</v>
      </c>
      <c r="AP758" t="s">
        <v>122</v>
      </c>
      <c r="AQ758" t="s">
        <v>1399</v>
      </c>
      <c r="AR758" t="s">
        <v>1400</v>
      </c>
      <c r="AS758" t="s">
        <v>1401</v>
      </c>
      <c r="AT758" t="s">
        <v>1998</v>
      </c>
      <c r="AU758" t="s">
        <v>1402</v>
      </c>
      <c r="AV758" t="s">
        <v>1817</v>
      </c>
      <c r="AW758" t="s">
        <v>339</v>
      </c>
      <c r="AX758" s="4" t="str">
        <f>"21117"</f>
        <v>21117</v>
      </c>
      <c r="AY758" t="s">
        <v>120</v>
      </c>
      <c r="BA758" s="5">
        <v>14435014240</v>
      </c>
      <c r="BC758" t="s">
        <v>1818</v>
      </c>
      <c r="BD758" t="s">
        <v>1819</v>
      </c>
      <c r="BE758" t="s">
        <v>848</v>
      </c>
      <c r="BF758" t="s">
        <v>8955</v>
      </c>
      <c r="BG758" t="s">
        <v>154</v>
      </c>
      <c r="BH758" s="1">
        <v>44843.833333333336</v>
      </c>
      <c r="BI758">
        <v>35</v>
      </c>
      <c r="BJ758">
        <v>5</v>
      </c>
      <c r="BK758">
        <v>5</v>
      </c>
      <c r="BL758">
        <v>5</v>
      </c>
      <c r="BM758">
        <v>5</v>
      </c>
      <c r="BN758">
        <v>5</v>
      </c>
      <c r="BO758">
        <v>5</v>
      </c>
      <c r="BP758">
        <v>5</v>
      </c>
      <c r="BQ758" t="str">
        <f>"8:00 AM"</f>
        <v>8:00 AM</v>
      </c>
      <c r="BR758" t="str">
        <f>"11:00 PM"</f>
        <v>11:00 PM</v>
      </c>
      <c r="BS758" t="s">
        <v>133</v>
      </c>
      <c r="BT758">
        <v>0</v>
      </c>
      <c r="BU758">
        <v>0</v>
      </c>
      <c r="BV758" t="s">
        <v>134</v>
      </c>
      <c r="BX758" s="2" t="s">
        <v>15905</v>
      </c>
      <c r="BY758" t="s">
        <v>15906</v>
      </c>
      <c r="CA758" t="s">
        <v>15907</v>
      </c>
      <c r="CB758" t="s">
        <v>154</v>
      </c>
      <c r="CC758" s="4" t="str">
        <f>"34287"</f>
        <v>34287</v>
      </c>
      <c r="CD758" t="s">
        <v>3943</v>
      </c>
      <c r="CE758" t="s">
        <v>3944</v>
      </c>
      <c r="CF758" s="6">
        <v>11.59</v>
      </c>
      <c r="CH758" s="6">
        <v>17.39</v>
      </c>
      <c r="CJ758" t="s">
        <v>137</v>
      </c>
      <c r="CK758" t="s">
        <v>15908</v>
      </c>
      <c r="CL758" t="s">
        <v>15909</v>
      </c>
      <c r="CO758" t="s">
        <v>138</v>
      </c>
      <c r="CP758" t="s">
        <v>114</v>
      </c>
      <c r="CQ758" t="s">
        <v>114</v>
      </c>
      <c r="CR758" t="s">
        <v>114</v>
      </c>
      <c r="CS758" t="s">
        <v>134</v>
      </c>
      <c r="CT758" t="s">
        <v>114</v>
      </c>
      <c r="CU758" t="s">
        <v>114</v>
      </c>
      <c r="CV758" t="s">
        <v>1406</v>
      </c>
      <c r="CW758" s="5" t="str">
        <f>"+18656905820"</f>
        <v>+18656905820</v>
      </c>
      <c r="CX758" t="s">
        <v>5333</v>
      </c>
      <c r="CY758" t="s">
        <v>138</v>
      </c>
      <c r="CZ758" t="s">
        <v>139</v>
      </c>
      <c r="DA758" t="s">
        <v>134</v>
      </c>
      <c r="DB758" t="s">
        <v>114</v>
      </c>
      <c r="DC758" t="s">
        <v>114</v>
      </c>
      <c r="DD758" t="s">
        <v>134</v>
      </c>
    </row>
    <row r="759" spans="1:113" ht="15" customHeight="1" x14ac:dyDescent="0.25">
      <c r="A759" t="s">
        <v>13199</v>
      </c>
      <c r="B759" t="s">
        <v>165</v>
      </c>
      <c r="C759" s="1">
        <v>44844.498355439813</v>
      </c>
      <c r="D759" s="1">
        <v>44868</v>
      </c>
      <c r="E759" t="s">
        <v>134</v>
      </c>
      <c r="F759" t="s">
        <v>2433</v>
      </c>
      <c r="G759" t="str">
        <f>"51-3022.00"</f>
        <v>51-3022.00</v>
      </c>
      <c r="H759" t="s">
        <v>817</v>
      </c>
      <c r="I759">
        <v>125</v>
      </c>
      <c r="J759">
        <v>125</v>
      </c>
      <c r="K759" s="1">
        <v>44927</v>
      </c>
      <c r="L759" s="1">
        <v>45199</v>
      </c>
      <c r="M759" s="1">
        <v>44927</v>
      </c>
      <c r="N759" s="1">
        <v>45199</v>
      </c>
      <c r="O759" t="s">
        <v>199</v>
      </c>
      <c r="P759" t="s">
        <v>11231</v>
      </c>
      <c r="R759" t="s">
        <v>4329</v>
      </c>
      <c r="T759" t="s">
        <v>1632</v>
      </c>
      <c r="U759" t="s">
        <v>792</v>
      </c>
      <c r="V759" s="4" t="str">
        <f>"98119"</f>
        <v>98119</v>
      </c>
      <c r="W759" t="s">
        <v>120</v>
      </c>
      <c r="Y759" s="5">
        <v>12062815378</v>
      </c>
      <c r="AA759">
        <v>3117</v>
      </c>
      <c r="AB759" t="s">
        <v>4330</v>
      </c>
      <c r="AC759" t="s">
        <v>2376</v>
      </c>
      <c r="AE759" t="s">
        <v>2368</v>
      </c>
      <c r="AF759" t="s">
        <v>4329</v>
      </c>
      <c r="AH759" t="s">
        <v>1632</v>
      </c>
      <c r="AI759" t="s">
        <v>792</v>
      </c>
      <c r="AJ759" s="4" t="str">
        <f>"98119"</f>
        <v>98119</v>
      </c>
      <c r="AK759" t="s">
        <v>120</v>
      </c>
      <c r="AM759" s="5">
        <v>12062815378</v>
      </c>
      <c r="AO759" t="s">
        <v>4331</v>
      </c>
      <c r="AP759" t="s">
        <v>122</v>
      </c>
      <c r="AQ759" t="s">
        <v>1399</v>
      </c>
      <c r="AR759" t="s">
        <v>1400</v>
      </c>
      <c r="AS759" t="s">
        <v>1401</v>
      </c>
      <c r="AT759" t="s">
        <v>1998</v>
      </c>
      <c r="AU759" t="s">
        <v>1402</v>
      </c>
      <c r="AV759" t="s">
        <v>1817</v>
      </c>
      <c r="AW759" t="s">
        <v>339</v>
      </c>
      <c r="AX759" s="4" t="str">
        <f>"21117"</f>
        <v>21117</v>
      </c>
      <c r="AY759" t="s">
        <v>120</v>
      </c>
      <c r="BA759" s="5">
        <v>14435014240</v>
      </c>
      <c r="BC759" t="s">
        <v>1818</v>
      </c>
      <c r="BD759" t="s">
        <v>1819</v>
      </c>
      <c r="BE759" t="s">
        <v>848</v>
      </c>
      <c r="BF759" t="s">
        <v>1916</v>
      </c>
      <c r="BG759" t="s">
        <v>821</v>
      </c>
      <c r="BH759" s="1">
        <v>44843.833333333336</v>
      </c>
      <c r="BI759">
        <v>35</v>
      </c>
      <c r="BJ759">
        <v>5</v>
      </c>
      <c r="BK759">
        <v>5</v>
      </c>
      <c r="BL759">
        <v>5</v>
      </c>
      <c r="BM759">
        <v>5</v>
      </c>
      <c r="BN759">
        <v>5</v>
      </c>
      <c r="BO759">
        <v>5</v>
      </c>
      <c r="BP759">
        <v>5</v>
      </c>
      <c r="BQ759" t="str">
        <f>"6:00 AM"</f>
        <v>6:00 AM</v>
      </c>
      <c r="BR759" t="str">
        <f>"12:00 AM"</f>
        <v>12:00 AM</v>
      </c>
      <c r="BS759" t="s">
        <v>133</v>
      </c>
      <c r="BT759">
        <v>0</v>
      </c>
      <c r="BU759">
        <v>0</v>
      </c>
      <c r="BV759" t="s">
        <v>134</v>
      </c>
      <c r="BX759" s="2" t="s">
        <v>13200</v>
      </c>
      <c r="BY759" t="s">
        <v>11233</v>
      </c>
      <c r="CA759" t="s">
        <v>11234</v>
      </c>
      <c r="CB759" t="s">
        <v>821</v>
      </c>
      <c r="CC759" s="4" t="str">
        <f>"99664"</f>
        <v>99664</v>
      </c>
      <c r="CD759" t="s">
        <v>11235</v>
      </c>
      <c r="CE759" t="s">
        <v>832</v>
      </c>
      <c r="CF759" s="6">
        <v>18.059999999999999</v>
      </c>
      <c r="CH759" s="6">
        <v>27.09</v>
      </c>
      <c r="CJ759" t="s">
        <v>137</v>
      </c>
      <c r="CK759" t="s">
        <v>13201</v>
      </c>
      <c r="CL759" t="s">
        <v>11237</v>
      </c>
      <c r="CO759" t="s">
        <v>138</v>
      </c>
      <c r="CP759" t="s">
        <v>114</v>
      </c>
      <c r="CQ759" t="s">
        <v>114</v>
      </c>
      <c r="CR759" t="s">
        <v>114</v>
      </c>
      <c r="CS759" t="s">
        <v>134</v>
      </c>
      <c r="CT759" t="s">
        <v>114</v>
      </c>
      <c r="CU759" t="s">
        <v>114</v>
      </c>
      <c r="CV759" t="s">
        <v>5276</v>
      </c>
      <c r="CW759" s="5" t="str">
        <f>"+12062856800"</f>
        <v>+12062856800</v>
      </c>
      <c r="CX759" t="s">
        <v>4336</v>
      </c>
      <c r="CY759" t="s">
        <v>4337</v>
      </c>
      <c r="CZ759" t="s">
        <v>139</v>
      </c>
      <c r="DA759" t="s">
        <v>134</v>
      </c>
      <c r="DB759" t="s">
        <v>114</v>
      </c>
      <c r="DC759" t="s">
        <v>114</v>
      </c>
      <c r="DD759" t="s">
        <v>134</v>
      </c>
    </row>
    <row r="760" spans="1:113" ht="15" customHeight="1" x14ac:dyDescent="0.25">
      <c r="A760" t="s">
        <v>12400</v>
      </c>
      <c r="B760" t="s">
        <v>165</v>
      </c>
      <c r="C760" s="1">
        <v>44843.277686226851</v>
      </c>
      <c r="D760" s="1">
        <v>44868</v>
      </c>
      <c r="E760" t="s">
        <v>134</v>
      </c>
      <c r="F760" t="s">
        <v>1357</v>
      </c>
      <c r="G760" t="str">
        <f>"39-3091.00"</f>
        <v>39-3091.00</v>
      </c>
      <c r="H760" t="s">
        <v>362</v>
      </c>
      <c r="I760">
        <v>50</v>
      </c>
      <c r="J760">
        <v>50</v>
      </c>
      <c r="K760" s="1">
        <v>44933</v>
      </c>
      <c r="L760" s="1">
        <v>45038</v>
      </c>
      <c r="M760" s="1">
        <v>44933</v>
      </c>
      <c r="N760" s="1">
        <v>45038</v>
      </c>
      <c r="O760" t="s">
        <v>199</v>
      </c>
      <c r="P760" t="s">
        <v>12401</v>
      </c>
      <c r="Q760" t="s">
        <v>138</v>
      </c>
      <c r="R760" t="s">
        <v>12402</v>
      </c>
      <c r="S760" t="s">
        <v>12403</v>
      </c>
      <c r="T760" t="s">
        <v>12404</v>
      </c>
      <c r="U760" t="s">
        <v>154</v>
      </c>
      <c r="V760" s="4" t="str">
        <f>"32750"</f>
        <v>32750</v>
      </c>
      <c r="W760" t="s">
        <v>120</v>
      </c>
      <c r="X760" t="s">
        <v>138</v>
      </c>
      <c r="Y760" s="5">
        <v>17042392853</v>
      </c>
      <c r="Z760">
        <v>0</v>
      </c>
      <c r="AA760">
        <v>71119</v>
      </c>
      <c r="AB760" t="s">
        <v>12405</v>
      </c>
      <c r="AC760" t="s">
        <v>2534</v>
      </c>
      <c r="AD760" t="s">
        <v>138</v>
      </c>
      <c r="AE760" t="s">
        <v>342</v>
      </c>
      <c r="AF760" t="s">
        <v>12406</v>
      </c>
      <c r="AG760" t="s">
        <v>12407</v>
      </c>
      <c r="AH760" t="s">
        <v>12404</v>
      </c>
      <c r="AI760" t="s">
        <v>154</v>
      </c>
      <c r="AJ760" s="4" t="str">
        <f>"32750"</f>
        <v>32750</v>
      </c>
      <c r="AK760" t="s">
        <v>120</v>
      </c>
      <c r="AM760" s="5">
        <v>14073991831</v>
      </c>
      <c r="AN760">
        <v>0</v>
      </c>
      <c r="AO760" t="s">
        <v>12408</v>
      </c>
      <c r="AP760" t="s">
        <v>256</v>
      </c>
      <c r="AQ760" t="s">
        <v>535</v>
      </c>
      <c r="AR760" t="s">
        <v>536</v>
      </c>
      <c r="AS760" t="s">
        <v>537</v>
      </c>
      <c r="AT760" t="s">
        <v>538</v>
      </c>
      <c r="AU760" t="s">
        <v>539</v>
      </c>
      <c r="AV760" t="s">
        <v>540</v>
      </c>
      <c r="AW760" t="s">
        <v>232</v>
      </c>
      <c r="AX760" s="4" t="str">
        <f>"78550"</f>
        <v>78550</v>
      </c>
      <c r="AY760" t="s">
        <v>120</v>
      </c>
      <c r="BA760" s="5">
        <v>19564408720</v>
      </c>
      <c r="BB760">
        <v>0</v>
      </c>
      <c r="BC760" t="s">
        <v>563</v>
      </c>
      <c r="BD760" t="s">
        <v>543</v>
      </c>
      <c r="BG760" t="s">
        <v>154</v>
      </c>
      <c r="BH760" s="1">
        <v>44842.833333333336</v>
      </c>
      <c r="BI760">
        <v>40</v>
      </c>
      <c r="BJ760">
        <v>8</v>
      </c>
      <c r="BK760">
        <v>0</v>
      </c>
      <c r="BL760">
        <v>0</v>
      </c>
      <c r="BM760">
        <v>8</v>
      </c>
      <c r="BN760">
        <v>8</v>
      </c>
      <c r="BO760">
        <v>8</v>
      </c>
      <c r="BP760">
        <v>8</v>
      </c>
      <c r="BQ760" t="str">
        <f>"1:00 PM"</f>
        <v>1:00 PM</v>
      </c>
      <c r="BR760" t="str">
        <f>"10:00 PM"</f>
        <v>10:00 PM</v>
      </c>
      <c r="BS760" t="s">
        <v>133</v>
      </c>
      <c r="BT760">
        <v>0</v>
      </c>
      <c r="BU760">
        <v>0</v>
      </c>
      <c r="BV760" t="s">
        <v>134</v>
      </c>
      <c r="BX760" s="2" t="s">
        <v>3113</v>
      </c>
      <c r="BY760" t="s">
        <v>12409</v>
      </c>
      <c r="CA760" t="s">
        <v>12410</v>
      </c>
      <c r="CB760" t="s">
        <v>154</v>
      </c>
      <c r="CC760" s="4" t="str">
        <f>"34221"</f>
        <v>34221</v>
      </c>
      <c r="CD760" t="s">
        <v>8229</v>
      </c>
      <c r="CE760" t="s">
        <v>3944</v>
      </c>
      <c r="CF760" s="6">
        <v>11</v>
      </c>
      <c r="CG760" s="6">
        <v>12.28</v>
      </c>
      <c r="CJ760" t="s">
        <v>137</v>
      </c>
      <c r="CK760" t="s">
        <v>549</v>
      </c>
      <c r="CL760" t="s">
        <v>12411</v>
      </c>
      <c r="CO760" t="s">
        <v>138</v>
      </c>
      <c r="CP760" t="s">
        <v>114</v>
      </c>
      <c r="CQ760" t="s">
        <v>114</v>
      </c>
      <c r="CR760" t="s">
        <v>134</v>
      </c>
      <c r="CS760" t="s">
        <v>114</v>
      </c>
      <c r="CT760" t="s">
        <v>114</v>
      </c>
      <c r="CU760" t="s">
        <v>114</v>
      </c>
      <c r="CV760" t="s">
        <v>1360</v>
      </c>
      <c r="CW760" s="5" t="str">
        <f>"+17067419845"</f>
        <v>+17067419845</v>
      </c>
      <c r="CX760" t="s">
        <v>12408</v>
      </c>
      <c r="CY760" t="s">
        <v>138</v>
      </c>
      <c r="CZ760" t="s">
        <v>139</v>
      </c>
      <c r="DA760" t="s">
        <v>134</v>
      </c>
      <c r="DB760" t="s">
        <v>114</v>
      </c>
      <c r="DC760" t="s">
        <v>114</v>
      </c>
      <c r="DD760" t="s">
        <v>134</v>
      </c>
    </row>
    <row r="761" spans="1:113" ht="15" customHeight="1" x14ac:dyDescent="0.25">
      <c r="A761" t="s">
        <v>7643</v>
      </c>
      <c r="B761" t="s">
        <v>165</v>
      </c>
      <c r="C761" s="1">
        <v>44843.276675810186</v>
      </c>
      <c r="D761" s="1">
        <v>44868</v>
      </c>
      <c r="E761" t="s">
        <v>134</v>
      </c>
      <c r="F761" t="s">
        <v>1357</v>
      </c>
      <c r="G761" t="str">
        <f>"39-3091.00"</f>
        <v>39-3091.00</v>
      </c>
      <c r="H761" t="s">
        <v>362</v>
      </c>
      <c r="I761">
        <v>18</v>
      </c>
      <c r="J761">
        <v>18</v>
      </c>
      <c r="K761" s="1">
        <v>44933</v>
      </c>
      <c r="L761" s="1">
        <v>45236</v>
      </c>
      <c r="M761" s="1">
        <v>44933</v>
      </c>
      <c r="N761" s="1">
        <v>45236</v>
      </c>
      <c r="O761" t="s">
        <v>199</v>
      </c>
      <c r="P761" t="s">
        <v>7644</v>
      </c>
      <c r="Q761" t="s">
        <v>7645</v>
      </c>
      <c r="R761" t="s">
        <v>7646</v>
      </c>
      <c r="T761" t="s">
        <v>3227</v>
      </c>
      <c r="U761" t="s">
        <v>232</v>
      </c>
      <c r="V761" s="4" t="str">
        <f>"78415"</f>
        <v>78415</v>
      </c>
      <c r="W761" t="s">
        <v>120</v>
      </c>
      <c r="Y761" s="5">
        <v>18064381183</v>
      </c>
      <c r="AA761">
        <v>71119</v>
      </c>
      <c r="AB761" t="s">
        <v>561</v>
      </c>
      <c r="AC761" t="s">
        <v>7647</v>
      </c>
      <c r="AE761" t="s">
        <v>424</v>
      </c>
      <c r="AF761" t="s">
        <v>7646</v>
      </c>
      <c r="AH761" t="s">
        <v>3227</v>
      </c>
      <c r="AI761" t="s">
        <v>232</v>
      </c>
      <c r="AJ761" s="4" t="str">
        <f>"78415"</f>
        <v>78415</v>
      </c>
      <c r="AK761" t="s">
        <v>120</v>
      </c>
      <c r="AM761" s="5">
        <v>18064381183</v>
      </c>
      <c r="AO761" t="s">
        <v>7648</v>
      </c>
      <c r="AP761" t="s">
        <v>256</v>
      </c>
      <c r="AQ761" t="s">
        <v>535</v>
      </c>
      <c r="AR761" t="s">
        <v>536</v>
      </c>
      <c r="AS761" t="s">
        <v>537</v>
      </c>
      <c r="AT761" t="s">
        <v>538</v>
      </c>
      <c r="AU761" t="s">
        <v>539</v>
      </c>
      <c r="AV761" t="s">
        <v>540</v>
      </c>
      <c r="AW761" t="s">
        <v>232</v>
      </c>
      <c r="AX761" s="4" t="str">
        <f>"78550"</f>
        <v>78550</v>
      </c>
      <c r="AY761" t="s">
        <v>120</v>
      </c>
      <c r="BA761" s="5">
        <v>19564408720</v>
      </c>
      <c r="BB761">
        <v>0</v>
      </c>
      <c r="BC761" t="s">
        <v>563</v>
      </c>
      <c r="BD761" t="s">
        <v>543</v>
      </c>
      <c r="BG761" t="s">
        <v>232</v>
      </c>
      <c r="BH761" s="1">
        <v>44841.833333333336</v>
      </c>
      <c r="BI761">
        <v>40</v>
      </c>
      <c r="BJ761">
        <v>8</v>
      </c>
      <c r="BK761">
        <v>0</v>
      </c>
      <c r="BL761">
        <v>0</v>
      </c>
      <c r="BM761">
        <v>8</v>
      </c>
      <c r="BN761">
        <v>8</v>
      </c>
      <c r="BO761">
        <v>8</v>
      </c>
      <c r="BP761">
        <v>8</v>
      </c>
      <c r="BQ761" t="str">
        <f>"1:00 PM"</f>
        <v>1:00 PM</v>
      </c>
      <c r="BR761" t="str">
        <f>"10:00 PM"</f>
        <v>10:00 PM</v>
      </c>
      <c r="BS761" t="s">
        <v>133</v>
      </c>
      <c r="BT761">
        <v>0</v>
      </c>
      <c r="BU761">
        <v>0</v>
      </c>
      <c r="BV761" t="s">
        <v>134</v>
      </c>
      <c r="BX761" s="2" t="s">
        <v>3113</v>
      </c>
      <c r="BY761" t="s">
        <v>7646</v>
      </c>
      <c r="CA761" t="s">
        <v>3227</v>
      </c>
      <c r="CB761" t="s">
        <v>232</v>
      </c>
      <c r="CC761" s="4" t="str">
        <f>"78415"</f>
        <v>78415</v>
      </c>
      <c r="CD761" t="s">
        <v>3231</v>
      </c>
      <c r="CE761" t="s">
        <v>327</v>
      </c>
      <c r="CF761" s="6">
        <v>9.15</v>
      </c>
      <c r="CG761" s="6">
        <v>12.82</v>
      </c>
      <c r="CJ761" t="s">
        <v>137</v>
      </c>
      <c r="CK761" t="s">
        <v>549</v>
      </c>
      <c r="CL761" t="s">
        <v>7649</v>
      </c>
      <c r="CO761" t="s">
        <v>138</v>
      </c>
      <c r="CP761" t="s">
        <v>114</v>
      </c>
      <c r="CQ761" t="s">
        <v>114</v>
      </c>
      <c r="CR761" t="s">
        <v>134</v>
      </c>
      <c r="CS761" t="s">
        <v>114</v>
      </c>
      <c r="CT761" t="s">
        <v>114</v>
      </c>
      <c r="CU761" t="s">
        <v>114</v>
      </c>
      <c r="CV761" t="s">
        <v>7650</v>
      </c>
      <c r="CW761" s="5" t="str">
        <f>"+18064381183"</f>
        <v>+18064381183</v>
      </c>
      <c r="CX761" t="s">
        <v>7648</v>
      </c>
      <c r="CY761" t="s">
        <v>138</v>
      </c>
      <c r="CZ761" t="s">
        <v>139</v>
      </c>
      <c r="DA761" t="s">
        <v>134</v>
      </c>
      <c r="DB761" t="s">
        <v>114</v>
      </c>
      <c r="DC761" t="s">
        <v>114</v>
      </c>
      <c r="DD761" t="s">
        <v>134</v>
      </c>
    </row>
    <row r="762" spans="1:113" ht="15" customHeight="1" x14ac:dyDescent="0.25">
      <c r="A762" t="s">
        <v>15731</v>
      </c>
      <c r="B762" t="s">
        <v>165</v>
      </c>
      <c r="C762" s="1">
        <v>44842.41328252315</v>
      </c>
      <c r="D762" s="1">
        <v>44868</v>
      </c>
      <c r="E762" t="s">
        <v>134</v>
      </c>
      <c r="F762" t="s">
        <v>13855</v>
      </c>
      <c r="G762" t="str">
        <f>"35-3023.00"</f>
        <v>35-3023.00</v>
      </c>
      <c r="H762" t="s">
        <v>555</v>
      </c>
      <c r="I762">
        <v>50</v>
      </c>
      <c r="J762">
        <v>50</v>
      </c>
      <c r="K762" s="1">
        <v>44932</v>
      </c>
      <c r="L762" s="1">
        <v>45235</v>
      </c>
      <c r="M762" s="1">
        <v>44932</v>
      </c>
      <c r="N762" s="1">
        <v>45235</v>
      </c>
      <c r="O762" t="s">
        <v>199</v>
      </c>
      <c r="P762" t="s">
        <v>15732</v>
      </c>
      <c r="R762" t="s">
        <v>15733</v>
      </c>
      <c r="S762" t="s">
        <v>15734</v>
      </c>
      <c r="T762" t="s">
        <v>684</v>
      </c>
      <c r="U762" t="s">
        <v>232</v>
      </c>
      <c r="V762" s="4" t="str">
        <f>"78735"</f>
        <v>78735</v>
      </c>
      <c r="W762" t="s">
        <v>120</v>
      </c>
      <c r="Y762" s="5">
        <v>15122824442</v>
      </c>
      <c r="AA762">
        <v>711190</v>
      </c>
      <c r="AB762" t="s">
        <v>15735</v>
      </c>
      <c r="AC762" t="s">
        <v>975</v>
      </c>
      <c r="AE762" t="s">
        <v>342</v>
      </c>
      <c r="AF762" t="s">
        <v>15733</v>
      </c>
      <c r="AG762" t="s">
        <v>15736</v>
      </c>
      <c r="AH762" t="s">
        <v>684</v>
      </c>
      <c r="AI762" t="s">
        <v>232</v>
      </c>
      <c r="AJ762" s="4" t="str">
        <f>"78735"</f>
        <v>78735</v>
      </c>
      <c r="AK762" t="s">
        <v>120</v>
      </c>
      <c r="AM762" s="5">
        <v>15129140395</v>
      </c>
      <c r="AO762" t="s">
        <v>15737</v>
      </c>
      <c r="AP762" t="s">
        <v>256</v>
      </c>
      <c r="AQ762" t="s">
        <v>535</v>
      </c>
      <c r="AR762" t="s">
        <v>536</v>
      </c>
      <c r="AS762" t="s">
        <v>537</v>
      </c>
      <c r="AT762" t="s">
        <v>538</v>
      </c>
      <c r="AU762" t="s">
        <v>539</v>
      </c>
      <c r="AV762" t="s">
        <v>540</v>
      </c>
      <c r="AW762" t="s">
        <v>232</v>
      </c>
      <c r="AX762" s="4" t="str">
        <f>"78550"</f>
        <v>78550</v>
      </c>
      <c r="AY762" t="s">
        <v>120</v>
      </c>
      <c r="BA762" s="5">
        <v>19564408720</v>
      </c>
      <c r="BB762">
        <v>0</v>
      </c>
      <c r="BC762" t="s">
        <v>563</v>
      </c>
      <c r="BD762" t="s">
        <v>543</v>
      </c>
      <c r="BG762" t="s">
        <v>232</v>
      </c>
      <c r="BH762" s="1">
        <v>44841.833333333336</v>
      </c>
      <c r="BI762">
        <v>40</v>
      </c>
      <c r="BJ762">
        <v>8</v>
      </c>
      <c r="BK762">
        <v>0</v>
      </c>
      <c r="BL762">
        <v>0</v>
      </c>
      <c r="BM762">
        <v>8</v>
      </c>
      <c r="BN762">
        <v>8</v>
      </c>
      <c r="BO762">
        <v>8</v>
      </c>
      <c r="BP762">
        <v>8</v>
      </c>
      <c r="BQ762" t="str">
        <f>"1:00 PM"</f>
        <v>1:00 PM</v>
      </c>
      <c r="BR762" t="str">
        <f>"10:00 PM"</f>
        <v>10:00 PM</v>
      </c>
      <c r="BS762" t="s">
        <v>133</v>
      </c>
      <c r="BT762">
        <v>0</v>
      </c>
      <c r="BU762">
        <v>0</v>
      </c>
      <c r="BV762" t="s">
        <v>134</v>
      </c>
      <c r="BX762" s="2" t="s">
        <v>579</v>
      </c>
      <c r="BY762" t="s">
        <v>13978</v>
      </c>
      <c r="CA762" t="s">
        <v>13979</v>
      </c>
      <c r="CB762" t="s">
        <v>232</v>
      </c>
      <c r="CC762" s="4" t="str">
        <f>"78612"</f>
        <v>78612</v>
      </c>
      <c r="CD762" t="s">
        <v>3556</v>
      </c>
      <c r="CE762" t="s">
        <v>949</v>
      </c>
      <c r="CF762" s="6">
        <v>9.2200000000000006</v>
      </c>
      <c r="CG762" s="6">
        <v>13.26</v>
      </c>
      <c r="CJ762" t="s">
        <v>137</v>
      </c>
      <c r="CK762" t="s">
        <v>549</v>
      </c>
      <c r="CL762" t="s">
        <v>15738</v>
      </c>
      <c r="CO762" t="s">
        <v>138</v>
      </c>
      <c r="CP762" t="s">
        <v>114</v>
      </c>
      <c r="CQ762" t="s">
        <v>114</v>
      </c>
      <c r="CR762" t="s">
        <v>134</v>
      </c>
      <c r="CS762" t="s">
        <v>114</v>
      </c>
      <c r="CT762" t="s">
        <v>114</v>
      </c>
      <c r="CU762" t="s">
        <v>114</v>
      </c>
      <c r="CV762" t="s">
        <v>1360</v>
      </c>
      <c r="CW762" s="5" t="str">
        <f>"+15122824442"</f>
        <v>+15122824442</v>
      </c>
      <c r="CX762" t="s">
        <v>15737</v>
      </c>
      <c r="CY762" t="s">
        <v>138</v>
      </c>
      <c r="CZ762" t="s">
        <v>139</v>
      </c>
      <c r="DA762" t="s">
        <v>134</v>
      </c>
      <c r="DB762" t="s">
        <v>114</v>
      </c>
      <c r="DC762" t="s">
        <v>114</v>
      </c>
      <c r="DD762" t="s">
        <v>134</v>
      </c>
    </row>
    <row r="763" spans="1:113" ht="15" customHeight="1" x14ac:dyDescent="0.25">
      <c r="A763" t="s">
        <v>13972</v>
      </c>
      <c r="B763" t="s">
        <v>165</v>
      </c>
      <c r="C763" s="1">
        <v>44842.32905925926</v>
      </c>
      <c r="D763" s="1">
        <v>44868</v>
      </c>
      <c r="E763" t="s">
        <v>134</v>
      </c>
      <c r="F763" t="s">
        <v>571</v>
      </c>
      <c r="G763" t="str">
        <f>"35-3023.00"</f>
        <v>35-3023.00</v>
      </c>
      <c r="H763" t="s">
        <v>555</v>
      </c>
      <c r="I763">
        <v>16</v>
      </c>
      <c r="J763">
        <v>16</v>
      </c>
      <c r="K763" s="1">
        <v>44932</v>
      </c>
      <c r="L763" s="1">
        <v>45235</v>
      </c>
      <c r="M763" s="1">
        <v>44932</v>
      </c>
      <c r="N763" s="1">
        <v>45235</v>
      </c>
      <c r="O763" t="s">
        <v>199</v>
      </c>
      <c r="P763" t="s">
        <v>13973</v>
      </c>
      <c r="R763" t="s">
        <v>13974</v>
      </c>
      <c r="S763" t="s">
        <v>13975</v>
      </c>
      <c r="T763" t="s">
        <v>684</v>
      </c>
      <c r="U763" t="s">
        <v>232</v>
      </c>
      <c r="V763" s="4" t="str">
        <f>"78702"</f>
        <v>78702</v>
      </c>
      <c r="W763" t="s">
        <v>120</v>
      </c>
      <c r="Y763" s="5">
        <v>15126192510</v>
      </c>
      <c r="AA763">
        <v>7139</v>
      </c>
      <c r="AB763" t="s">
        <v>13976</v>
      </c>
      <c r="AC763" t="s">
        <v>4290</v>
      </c>
      <c r="AE763" t="s">
        <v>424</v>
      </c>
      <c r="AF763" t="s">
        <v>13974</v>
      </c>
      <c r="AG763" t="s">
        <v>13975</v>
      </c>
      <c r="AH763" t="s">
        <v>684</v>
      </c>
      <c r="AI763" t="s">
        <v>232</v>
      </c>
      <c r="AJ763" s="4" t="str">
        <f>"78702"</f>
        <v>78702</v>
      </c>
      <c r="AK763" t="s">
        <v>120</v>
      </c>
      <c r="AM763" s="5">
        <v>15126192510</v>
      </c>
      <c r="AO763" t="s">
        <v>13977</v>
      </c>
      <c r="AP763" t="s">
        <v>256</v>
      </c>
      <c r="AQ763" t="s">
        <v>535</v>
      </c>
      <c r="AR763" t="s">
        <v>536</v>
      </c>
      <c r="AS763" t="s">
        <v>537</v>
      </c>
      <c r="AT763" t="s">
        <v>538</v>
      </c>
      <c r="AU763" t="s">
        <v>539</v>
      </c>
      <c r="AV763" t="s">
        <v>540</v>
      </c>
      <c r="AW763" t="s">
        <v>232</v>
      </c>
      <c r="AX763" s="4" t="str">
        <f>"78550"</f>
        <v>78550</v>
      </c>
      <c r="AY763" t="s">
        <v>120</v>
      </c>
      <c r="BA763" s="5">
        <v>19564408720</v>
      </c>
      <c r="BB763">
        <v>0</v>
      </c>
      <c r="BC763" t="s">
        <v>563</v>
      </c>
      <c r="BD763" t="s">
        <v>543</v>
      </c>
      <c r="BG763" t="s">
        <v>232</v>
      </c>
      <c r="BH763" s="1">
        <v>44841.833333333336</v>
      </c>
      <c r="BI763">
        <v>40</v>
      </c>
      <c r="BJ763">
        <v>8</v>
      </c>
      <c r="BK763">
        <v>0</v>
      </c>
      <c r="BL763">
        <v>0</v>
      </c>
      <c r="BM763">
        <v>8</v>
      </c>
      <c r="BN763">
        <v>8</v>
      </c>
      <c r="BO763">
        <v>8</v>
      </c>
      <c r="BP763">
        <v>8</v>
      </c>
      <c r="BQ763" t="str">
        <f>"1:00 PM"</f>
        <v>1:00 PM</v>
      </c>
      <c r="BR763" t="str">
        <f>"10:00 PM"</f>
        <v>10:00 PM</v>
      </c>
      <c r="BS763" t="s">
        <v>133</v>
      </c>
      <c r="BT763">
        <v>0</v>
      </c>
      <c r="BU763">
        <v>0</v>
      </c>
      <c r="BV763" t="s">
        <v>134</v>
      </c>
      <c r="BX763" s="2" t="s">
        <v>3113</v>
      </c>
      <c r="BY763" t="s">
        <v>13978</v>
      </c>
      <c r="CA763" t="s">
        <v>13979</v>
      </c>
      <c r="CB763" t="s">
        <v>232</v>
      </c>
      <c r="CC763" s="4" t="str">
        <f>"78612"</f>
        <v>78612</v>
      </c>
      <c r="CD763" t="s">
        <v>3556</v>
      </c>
      <c r="CE763" t="s">
        <v>949</v>
      </c>
      <c r="CF763" s="6">
        <v>8.67</v>
      </c>
      <c r="CG763" s="6">
        <v>12.92</v>
      </c>
      <c r="CJ763" t="s">
        <v>137</v>
      </c>
      <c r="CK763" t="s">
        <v>549</v>
      </c>
      <c r="CL763" t="s">
        <v>13980</v>
      </c>
      <c r="CO763" t="s">
        <v>138</v>
      </c>
      <c r="CP763" t="s">
        <v>114</v>
      </c>
      <c r="CQ763" t="s">
        <v>114</v>
      </c>
      <c r="CR763" t="s">
        <v>134</v>
      </c>
      <c r="CS763" t="s">
        <v>114</v>
      </c>
      <c r="CT763" t="s">
        <v>114</v>
      </c>
      <c r="CU763" t="s">
        <v>114</v>
      </c>
      <c r="CV763" t="s">
        <v>1360</v>
      </c>
      <c r="CW763" s="5" t="str">
        <f>"+15126192510"</f>
        <v>+15126192510</v>
      </c>
      <c r="CX763" t="s">
        <v>13977</v>
      </c>
      <c r="CY763" t="s">
        <v>138</v>
      </c>
      <c r="CZ763" t="s">
        <v>139</v>
      </c>
      <c r="DA763" t="s">
        <v>134</v>
      </c>
      <c r="DB763" t="s">
        <v>114</v>
      </c>
      <c r="DC763" t="s">
        <v>114</v>
      </c>
      <c r="DD763" t="s">
        <v>134</v>
      </c>
    </row>
    <row r="764" spans="1:113" ht="15" customHeight="1" x14ac:dyDescent="0.25">
      <c r="A764" t="s">
        <v>10722</v>
      </c>
      <c r="B764" t="s">
        <v>165</v>
      </c>
      <c r="C764" s="1">
        <v>44842.327391666666</v>
      </c>
      <c r="D764" s="1">
        <v>44868</v>
      </c>
      <c r="E764" t="s">
        <v>134</v>
      </c>
      <c r="F764" t="s">
        <v>571</v>
      </c>
      <c r="G764" t="str">
        <f>"35-3023.00"</f>
        <v>35-3023.00</v>
      </c>
      <c r="H764" t="s">
        <v>555</v>
      </c>
      <c r="I764">
        <v>7</v>
      </c>
      <c r="J764">
        <v>7</v>
      </c>
      <c r="K764" s="1">
        <v>44932</v>
      </c>
      <c r="L764" s="1">
        <v>45235</v>
      </c>
      <c r="M764" s="1">
        <v>44932</v>
      </c>
      <c r="N764" s="1">
        <v>45235</v>
      </c>
      <c r="O764" t="s">
        <v>199</v>
      </c>
      <c r="P764" t="s">
        <v>10723</v>
      </c>
      <c r="Q764" t="s">
        <v>138</v>
      </c>
      <c r="R764" t="s">
        <v>10724</v>
      </c>
      <c r="S764" t="s">
        <v>10725</v>
      </c>
      <c r="T764" t="s">
        <v>10726</v>
      </c>
      <c r="U764" t="s">
        <v>154</v>
      </c>
      <c r="V764" s="4" t="str">
        <f>"33572"</f>
        <v>33572</v>
      </c>
      <c r="W764" t="s">
        <v>120</v>
      </c>
      <c r="X764" t="s">
        <v>138</v>
      </c>
      <c r="Y764" s="5">
        <v>15188574022</v>
      </c>
      <c r="Z764">
        <v>0</v>
      </c>
      <c r="AA764">
        <v>7139</v>
      </c>
      <c r="AB764" t="s">
        <v>10727</v>
      </c>
      <c r="AC764" t="s">
        <v>10728</v>
      </c>
      <c r="AD764" t="s">
        <v>138</v>
      </c>
      <c r="AE764" t="s">
        <v>424</v>
      </c>
      <c r="AF764" t="s">
        <v>10724</v>
      </c>
      <c r="AG764" t="s">
        <v>10729</v>
      </c>
      <c r="AH764" t="s">
        <v>10726</v>
      </c>
      <c r="AI764" t="s">
        <v>154</v>
      </c>
      <c r="AJ764" s="4" t="str">
        <f>"33572"</f>
        <v>33572</v>
      </c>
      <c r="AK764" t="s">
        <v>120</v>
      </c>
      <c r="AM764" s="5">
        <v>15188574022</v>
      </c>
      <c r="AN764">
        <v>0</v>
      </c>
      <c r="AO764" t="s">
        <v>10730</v>
      </c>
      <c r="AP764" t="s">
        <v>256</v>
      </c>
      <c r="AQ764" t="s">
        <v>535</v>
      </c>
      <c r="AR764" t="s">
        <v>536</v>
      </c>
      <c r="AS764" t="s">
        <v>537</v>
      </c>
      <c r="AT764" t="s">
        <v>538</v>
      </c>
      <c r="AU764" t="s">
        <v>539</v>
      </c>
      <c r="AV764" t="s">
        <v>540</v>
      </c>
      <c r="AW764" t="s">
        <v>232</v>
      </c>
      <c r="AX764" s="4" t="str">
        <f>"78550"</f>
        <v>78550</v>
      </c>
      <c r="AY764" t="s">
        <v>120</v>
      </c>
      <c r="BA764" s="5">
        <v>19564408720</v>
      </c>
      <c r="BB764">
        <v>0</v>
      </c>
      <c r="BC764" t="s">
        <v>1022</v>
      </c>
      <c r="BD764" t="s">
        <v>543</v>
      </c>
      <c r="BG764" t="s">
        <v>154</v>
      </c>
      <c r="BH764" s="1">
        <v>44841.833333333336</v>
      </c>
      <c r="BI764">
        <v>40</v>
      </c>
      <c r="BJ764">
        <v>8</v>
      </c>
      <c r="BK764">
        <v>0</v>
      </c>
      <c r="BL764">
        <v>0</v>
      </c>
      <c r="BM764">
        <v>8</v>
      </c>
      <c r="BN764">
        <v>8</v>
      </c>
      <c r="BO764">
        <v>8</v>
      </c>
      <c r="BP764">
        <v>8</v>
      </c>
      <c r="BQ764" t="str">
        <f>"1:00 PM"</f>
        <v>1:00 PM</v>
      </c>
      <c r="BR764" t="str">
        <f>"10:00 PM"</f>
        <v>10:00 PM</v>
      </c>
      <c r="BS764" t="s">
        <v>133</v>
      </c>
      <c r="BT764">
        <v>0</v>
      </c>
      <c r="BU764">
        <v>0</v>
      </c>
      <c r="BV764" t="s">
        <v>134</v>
      </c>
      <c r="BX764" s="2" t="s">
        <v>579</v>
      </c>
      <c r="BY764" t="s">
        <v>10724</v>
      </c>
      <c r="CA764" t="s">
        <v>10726</v>
      </c>
      <c r="CB764" t="s">
        <v>154</v>
      </c>
      <c r="CC764" s="4" t="str">
        <f>"33572"</f>
        <v>33572</v>
      </c>
      <c r="CD764" t="s">
        <v>566</v>
      </c>
      <c r="CE764" t="s">
        <v>567</v>
      </c>
      <c r="CF764" s="6">
        <v>10.37</v>
      </c>
      <c r="CG764" s="6">
        <v>15.12</v>
      </c>
      <c r="CJ764" t="s">
        <v>137</v>
      </c>
      <c r="CK764" t="s">
        <v>549</v>
      </c>
      <c r="CL764" t="s">
        <v>10731</v>
      </c>
      <c r="CO764" t="s">
        <v>138</v>
      </c>
      <c r="CP764" t="s">
        <v>114</v>
      </c>
      <c r="CQ764" t="s">
        <v>114</v>
      </c>
      <c r="CR764" t="s">
        <v>134</v>
      </c>
      <c r="CS764" t="s">
        <v>114</v>
      </c>
      <c r="CT764" t="s">
        <v>114</v>
      </c>
      <c r="CU764" t="s">
        <v>114</v>
      </c>
      <c r="CV764" t="s">
        <v>1360</v>
      </c>
      <c r="CW764" s="5" t="str">
        <f>"+15188577090"</f>
        <v>+15188577090</v>
      </c>
      <c r="CX764" t="s">
        <v>10730</v>
      </c>
      <c r="CY764" t="s">
        <v>138</v>
      </c>
      <c r="CZ764" t="s">
        <v>139</v>
      </c>
      <c r="DA764" t="s">
        <v>134</v>
      </c>
      <c r="DB764" t="s">
        <v>114</v>
      </c>
      <c r="DC764" t="s">
        <v>114</v>
      </c>
      <c r="DD764" t="s">
        <v>134</v>
      </c>
    </row>
    <row r="765" spans="1:113" ht="15" customHeight="1" x14ac:dyDescent="0.25">
      <c r="A765" t="s">
        <v>13896</v>
      </c>
      <c r="B765" t="s">
        <v>165</v>
      </c>
      <c r="C765" s="1">
        <v>44841.504964583335</v>
      </c>
      <c r="D765" s="1">
        <v>44868</v>
      </c>
      <c r="E765" t="s">
        <v>134</v>
      </c>
      <c r="F765" t="s">
        <v>13897</v>
      </c>
      <c r="G765" t="str">
        <f>"37-2011.00"</f>
        <v>37-2011.00</v>
      </c>
      <c r="H765" t="s">
        <v>672</v>
      </c>
      <c r="I765">
        <v>3</v>
      </c>
      <c r="J765">
        <v>3</v>
      </c>
      <c r="K765" s="1">
        <v>44926</v>
      </c>
      <c r="L765" s="1">
        <v>45016</v>
      </c>
      <c r="M765" s="1">
        <v>44926</v>
      </c>
      <c r="N765" s="1">
        <v>45016</v>
      </c>
      <c r="O765" t="s">
        <v>199</v>
      </c>
      <c r="P765" t="s">
        <v>13898</v>
      </c>
      <c r="R765" t="s">
        <v>13899</v>
      </c>
      <c r="S765" t="s">
        <v>13900</v>
      </c>
      <c r="T765" t="s">
        <v>2434</v>
      </c>
      <c r="U765" t="s">
        <v>748</v>
      </c>
      <c r="V765" s="4" t="str">
        <f>"15317"</f>
        <v>15317</v>
      </c>
      <c r="W765" t="s">
        <v>120</v>
      </c>
      <c r="Y765" s="5">
        <v>14122795352</v>
      </c>
      <c r="AA765">
        <v>53113</v>
      </c>
      <c r="AB765" t="s">
        <v>13901</v>
      </c>
      <c r="AC765" t="s">
        <v>2689</v>
      </c>
      <c r="AD765" t="s">
        <v>7159</v>
      </c>
      <c r="AE765" t="s">
        <v>342</v>
      </c>
      <c r="AF765" t="s">
        <v>13899</v>
      </c>
      <c r="AG765" t="s">
        <v>13900</v>
      </c>
      <c r="AH765" t="s">
        <v>2434</v>
      </c>
      <c r="AI765" t="s">
        <v>748</v>
      </c>
      <c r="AJ765" s="4" t="str">
        <f>"15317"</f>
        <v>15317</v>
      </c>
      <c r="AK765" t="s">
        <v>120</v>
      </c>
      <c r="AM765" s="5">
        <v>14122795352</v>
      </c>
      <c r="AN765">
        <v>203</v>
      </c>
      <c r="AO765" t="s">
        <v>138</v>
      </c>
      <c r="AP765" t="s">
        <v>256</v>
      </c>
      <c r="AQ765" t="s">
        <v>475</v>
      </c>
      <c r="AR765" t="s">
        <v>476</v>
      </c>
      <c r="AT765" t="s">
        <v>477</v>
      </c>
      <c r="AV765" t="s">
        <v>478</v>
      </c>
      <c r="AW765" t="s">
        <v>479</v>
      </c>
      <c r="AX765" s="4" t="str">
        <f>"22903"</f>
        <v>22903</v>
      </c>
      <c r="AY765" t="s">
        <v>120</v>
      </c>
      <c r="BA765" s="5">
        <v>14342634300</v>
      </c>
      <c r="BC765" t="s">
        <v>1842</v>
      </c>
      <c r="BD765" t="s">
        <v>481</v>
      </c>
      <c r="BG765" t="s">
        <v>748</v>
      </c>
      <c r="BH765" s="1">
        <v>44840.833333333336</v>
      </c>
      <c r="BI765">
        <v>40</v>
      </c>
      <c r="BJ765">
        <v>0</v>
      </c>
      <c r="BK765">
        <v>8</v>
      </c>
      <c r="BL765">
        <v>8</v>
      </c>
      <c r="BM765">
        <v>8</v>
      </c>
      <c r="BN765">
        <v>8</v>
      </c>
      <c r="BO765">
        <v>8</v>
      </c>
      <c r="BP765">
        <v>0</v>
      </c>
      <c r="BQ765" t="str">
        <f>"7:00 AM"</f>
        <v>7:00 AM</v>
      </c>
      <c r="BR765" t="str">
        <f>"3:30 PM"</f>
        <v>3:30 PM</v>
      </c>
      <c r="BS765" t="s">
        <v>133</v>
      </c>
      <c r="BT765">
        <v>0</v>
      </c>
      <c r="BU765">
        <v>0</v>
      </c>
      <c r="BV765" t="s">
        <v>134</v>
      </c>
      <c r="BX765" t="s">
        <v>13902</v>
      </c>
      <c r="BY765" t="s">
        <v>13899</v>
      </c>
      <c r="CA765" t="s">
        <v>2434</v>
      </c>
      <c r="CB765" t="s">
        <v>748</v>
      </c>
      <c r="CC765" s="4" t="str">
        <f>"15317"</f>
        <v>15317</v>
      </c>
      <c r="CD765" t="s">
        <v>1345</v>
      </c>
      <c r="CE765" t="s">
        <v>1346</v>
      </c>
      <c r="CF765" s="6">
        <v>15.12</v>
      </c>
      <c r="CH765" s="6">
        <v>22.68</v>
      </c>
      <c r="CJ765" t="s">
        <v>137</v>
      </c>
      <c r="CK765" t="s">
        <v>487</v>
      </c>
      <c r="CL765" t="s">
        <v>13903</v>
      </c>
      <c r="CO765" t="s">
        <v>138</v>
      </c>
      <c r="CP765" t="s">
        <v>134</v>
      </c>
      <c r="CQ765" t="s">
        <v>114</v>
      </c>
      <c r="CR765" t="s">
        <v>114</v>
      </c>
      <c r="CS765" t="s">
        <v>114</v>
      </c>
      <c r="CT765" t="s">
        <v>114</v>
      </c>
      <c r="CU765" t="s">
        <v>114</v>
      </c>
      <c r="CV765" t="s">
        <v>13904</v>
      </c>
      <c r="CW765" s="5" t="str">
        <f>"+14127792913"</f>
        <v>+14127792913</v>
      </c>
      <c r="CX765" t="s">
        <v>138</v>
      </c>
      <c r="CY765" t="s">
        <v>1476</v>
      </c>
      <c r="CZ765" t="s">
        <v>139</v>
      </c>
      <c r="DA765" t="s">
        <v>134</v>
      </c>
      <c r="DB765" t="s">
        <v>134</v>
      </c>
      <c r="DC765" t="s">
        <v>114</v>
      </c>
      <c r="DD765" t="s">
        <v>134</v>
      </c>
      <c r="DE765" t="s">
        <v>1843</v>
      </c>
      <c r="DF765" t="s">
        <v>1844</v>
      </c>
      <c r="DH765" t="s">
        <v>481</v>
      </c>
      <c r="DI765" t="s">
        <v>1842</v>
      </c>
    </row>
    <row r="766" spans="1:113" ht="15" customHeight="1" x14ac:dyDescent="0.25">
      <c r="A766" t="s">
        <v>6546</v>
      </c>
      <c r="B766" t="s">
        <v>165</v>
      </c>
      <c r="C766" s="1">
        <v>44840.39487916667</v>
      </c>
      <c r="D766" s="1">
        <v>44868</v>
      </c>
      <c r="E766" t="s">
        <v>134</v>
      </c>
      <c r="F766" t="s">
        <v>467</v>
      </c>
      <c r="G766" t="str">
        <f>"37-3013.00"</f>
        <v>37-3013.00</v>
      </c>
      <c r="H766" t="s">
        <v>468</v>
      </c>
      <c r="I766">
        <v>35</v>
      </c>
      <c r="J766">
        <v>35</v>
      </c>
      <c r="K766" s="1">
        <v>44930</v>
      </c>
      <c r="L766" s="1">
        <v>45234</v>
      </c>
      <c r="M766" s="1">
        <v>44930</v>
      </c>
      <c r="N766" s="1">
        <v>45234</v>
      </c>
      <c r="O766" t="s">
        <v>117</v>
      </c>
      <c r="P766" t="s">
        <v>5629</v>
      </c>
      <c r="R766" t="s">
        <v>470</v>
      </c>
      <c r="T766" t="s">
        <v>471</v>
      </c>
      <c r="U766" t="s">
        <v>232</v>
      </c>
      <c r="V766" s="4" t="str">
        <f>"77598"</f>
        <v>77598</v>
      </c>
      <c r="W766" t="s">
        <v>120</v>
      </c>
      <c r="Y766" s="5">
        <v>12812801100</v>
      </c>
      <c r="AA766">
        <v>56173</v>
      </c>
      <c r="AB766" t="s">
        <v>472</v>
      </c>
      <c r="AC766" t="s">
        <v>473</v>
      </c>
      <c r="AE766" t="s">
        <v>474</v>
      </c>
      <c r="AF766" t="s">
        <v>470</v>
      </c>
      <c r="AH766" t="s">
        <v>471</v>
      </c>
      <c r="AI766" t="s">
        <v>232</v>
      </c>
      <c r="AJ766" s="4" t="str">
        <f>"77598"</f>
        <v>77598</v>
      </c>
      <c r="AK766" t="s">
        <v>120</v>
      </c>
      <c r="AM766" s="5">
        <v>12812801100</v>
      </c>
      <c r="AO766" t="s">
        <v>138</v>
      </c>
      <c r="AP766" t="s">
        <v>256</v>
      </c>
      <c r="AQ766" t="s">
        <v>475</v>
      </c>
      <c r="AR766" t="s">
        <v>476</v>
      </c>
      <c r="AT766" t="s">
        <v>477</v>
      </c>
      <c r="AV766" t="s">
        <v>478</v>
      </c>
      <c r="AW766" t="s">
        <v>479</v>
      </c>
      <c r="AX766" s="4" t="str">
        <f>"22903"</f>
        <v>22903</v>
      </c>
      <c r="AY766" t="s">
        <v>120</v>
      </c>
      <c r="BA766" s="5">
        <v>14342634300</v>
      </c>
      <c r="BC766" t="s">
        <v>480</v>
      </c>
      <c r="BD766" t="s">
        <v>481</v>
      </c>
      <c r="BG766" t="s">
        <v>214</v>
      </c>
      <c r="BH766" s="1">
        <v>44839.833333333336</v>
      </c>
      <c r="BI766">
        <v>40</v>
      </c>
      <c r="BJ766">
        <v>0</v>
      </c>
      <c r="BK766">
        <v>8</v>
      </c>
      <c r="BL766">
        <v>8</v>
      </c>
      <c r="BM766">
        <v>8</v>
      </c>
      <c r="BN766">
        <v>8</v>
      </c>
      <c r="BO766">
        <v>8</v>
      </c>
      <c r="BP766">
        <v>0</v>
      </c>
      <c r="BQ766" t="str">
        <f>"7:00 AM"</f>
        <v>7:00 AM</v>
      </c>
      <c r="BR766" t="str">
        <f>"4:00 PM"</f>
        <v>4:00 PM</v>
      </c>
      <c r="BS766" t="s">
        <v>133</v>
      </c>
      <c r="BT766">
        <v>0</v>
      </c>
      <c r="BU766">
        <v>0</v>
      </c>
      <c r="BV766" t="s">
        <v>134</v>
      </c>
      <c r="BX766" s="2" t="s">
        <v>482</v>
      </c>
      <c r="BY766" t="s">
        <v>6547</v>
      </c>
      <c r="CA766" t="s">
        <v>5630</v>
      </c>
      <c r="CB766" t="s">
        <v>214</v>
      </c>
      <c r="CC766" s="4" t="str">
        <f>"70121"</f>
        <v>70121</v>
      </c>
      <c r="CD766" t="s">
        <v>5631</v>
      </c>
      <c r="CE766" t="s">
        <v>2289</v>
      </c>
      <c r="CF766" s="6">
        <v>15.33</v>
      </c>
      <c r="CH766" s="6">
        <v>23</v>
      </c>
      <c r="CJ766" t="s">
        <v>137</v>
      </c>
      <c r="CK766" t="s">
        <v>487</v>
      </c>
      <c r="CL766" t="s">
        <v>6548</v>
      </c>
      <c r="CO766" t="s">
        <v>138</v>
      </c>
      <c r="CP766" t="s">
        <v>114</v>
      </c>
      <c r="CQ766" t="s">
        <v>114</v>
      </c>
      <c r="CR766" t="s">
        <v>114</v>
      </c>
      <c r="CS766" t="s">
        <v>114</v>
      </c>
      <c r="CT766" t="s">
        <v>114</v>
      </c>
      <c r="CU766" t="s">
        <v>114</v>
      </c>
      <c r="CV766" t="s">
        <v>6549</v>
      </c>
      <c r="CW766" s="5" t="str">
        <f>"N/A"</f>
        <v>N/A</v>
      </c>
      <c r="CX766" t="s">
        <v>6550</v>
      </c>
      <c r="CY766" t="s">
        <v>2570</v>
      </c>
      <c r="CZ766" t="s">
        <v>139</v>
      </c>
      <c r="DA766" t="s">
        <v>134</v>
      </c>
      <c r="DB766" t="s">
        <v>114</v>
      </c>
      <c r="DC766" t="s">
        <v>114</v>
      </c>
      <c r="DD766" t="s">
        <v>134</v>
      </c>
      <c r="DE766" t="s">
        <v>492</v>
      </c>
      <c r="DF766" t="s">
        <v>493</v>
      </c>
      <c r="DH766" t="s">
        <v>481</v>
      </c>
      <c r="DI766" t="s">
        <v>480</v>
      </c>
    </row>
    <row r="767" spans="1:113" ht="15" customHeight="1" x14ac:dyDescent="0.25">
      <c r="A767" t="s">
        <v>6609</v>
      </c>
      <c r="B767" t="s">
        <v>165</v>
      </c>
      <c r="C767" s="1">
        <v>44840.381145601852</v>
      </c>
      <c r="D767" s="1">
        <v>44868</v>
      </c>
      <c r="E767" t="s">
        <v>134</v>
      </c>
      <c r="F767" t="s">
        <v>1552</v>
      </c>
      <c r="G767" t="str">
        <f>"37-3011.00"</f>
        <v>37-3011.00</v>
      </c>
      <c r="H767" t="s">
        <v>335</v>
      </c>
      <c r="I767">
        <v>30</v>
      </c>
      <c r="J767">
        <v>30</v>
      </c>
      <c r="K767" s="1">
        <v>44930</v>
      </c>
      <c r="L767" s="1">
        <v>45234</v>
      </c>
      <c r="M767" s="1">
        <v>44930</v>
      </c>
      <c r="N767" s="1">
        <v>45234</v>
      </c>
      <c r="O767" t="s">
        <v>117</v>
      </c>
      <c r="P767" t="s">
        <v>6610</v>
      </c>
      <c r="R767" t="s">
        <v>470</v>
      </c>
      <c r="T767" t="s">
        <v>471</v>
      </c>
      <c r="U767" t="s">
        <v>232</v>
      </c>
      <c r="V767" s="4" t="str">
        <f>"77598"</f>
        <v>77598</v>
      </c>
      <c r="W767" t="s">
        <v>120</v>
      </c>
      <c r="Y767" s="5">
        <v>12812801100</v>
      </c>
      <c r="AA767">
        <v>56173</v>
      </c>
      <c r="AB767" t="s">
        <v>472</v>
      </c>
      <c r="AC767" t="s">
        <v>473</v>
      </c>
      <c r="AE767" t="s">
        <v>474</v>
      </c>
      <c r="AF767" t="s">
        <v>470</v>
      </c>
      <c r="AH767" t="s">
        <v>471</v>
      </c>
      <c r="AI767" t="s">
        <v>232</v>
      </c>
      <c r="AJ767" s="4" t="str">
        <f>"77598"</f>
        <v>77598</v>
      </c>
      <c r="AK767" t="s">
        <v>120</v>
      </c>
      <c r="AM767" s="5">
        <v>12812801100</v>
      </c>
      <c r="AO767" t="s">
        <v>138</v>
      </c>
      <c r="AP767" t="s">
        <v>256</v>
      </c>
      <c r="AQ767" t="s">
        <v>475</v>
      </c>
      <c r="AR767" t="s">
        <v>476</v>
      </c>
      <c r="AT767" t="s">
        <v>477</v>
      </c>
      <c r="AV767" t="s">
        <v>478</v>
      </c>
      <c r="AW767" t="s">
        <v>479</v>
      </c>
      <c r="AX767" s="4" t="str">
        <f>"22903"</f>
        <v>22903</v>
      </c>
      <c r="AY767" t="s">
        <v>120</v>
      </c>
      <c r="BA767" s="5">
        <v>14342634300</v>
      </c>
      <c r="BC767" t="s">
        <v>480</v>
      </c>
      <c r="BD767" t="s">
        <v>481</v>
      </c>
      <c r="BG767" t="s">
        <v>1349</v>
      </c>
      <c r="BH767" s="1">
        <v>44839.833333333336</v>
      </c>
      <c r="BI767">
        <v>40</v>
      </c>
      <c r="BJ767">
        <v>0</v>
      </c>
      <c r="BK767">
        <v>8</v>
      </c>
      <c r="BL767">
        <v>8</v>
      </c>
      <c r="BM767">
        <v>8</v>
      </c>
      <c r="BN767">
        <v>8</v>
      </c>
      <c r="BO767">
        <v>8</v>
      </c>
      <c r="BP767">
        <v>0</v>
      </c>
      <c r="BQ767" t="str">
        <f>"7:00 AM"</f>
        <v>7:00 AM</v>
      </c>
      <c r="BR767" t="str">
        <f>"4:00 PM"</f>
        <v>4:00 PM</v>
      </c>
      <c r="BS767" t="s">
        <v>133</v>
      </c>
      <c r="BT767">
        <v>0</v>
      </c>
      <c r="BU767">
        <v>0</v>
      </c>
      <c r="BV767" t="s">
        <v>134</v>
      </c>
      <c r="BX767" s="2" t="s">
        <v>482</v>
      </c>
      <c r="BY767" t="s">
        <v>6611</v>
      </c>
      <c r="CA767" t="s">
        <v>4410</v>
      </c>
      <c r="CB767" t="s">
        <v>1349</v>
      </c>
      <c r="CC767" s="4" t="str">
        <f>"72211"</f>
        <v>72211</v>
      </c>
      <c r="CD767" t="s">
        <v>4412</v>
      </c>
      <c r="CE767" t="s">
        <v>4413</v>
      </c>
      <c r="CF767" s="6">
        <v>14.33</v>
      </c>
      <c r="CH767" s="6">
        <v>21.5</v>
      </c>
      <c r="CJ767" t="s">
        <v>137</v>
      </c>
      <c r="CK767" t="s">
        <v>487</v>
      </c>
      <c r="CL767" t="s">
        <v>6612</v>
      </c>
      <c r="CO767" t="s">
        <v>138</v>
      </c>
      <c r="CP767" t="s">
        <v>114</v>
      </c>
      <c r="CQ767" t="s">
        <v>114</v>
      </c>
      <c r="CR767" t="s">
        <v>114</v>
      </c>
      <c r="CS767" t="s">
        <v>114</v>
      </c>
      <c r="CT767" t="s">
        <v>114</v>
      </c>
      <c r="CU767" t="s">
        <v>114</v>
      </c>
      <c r="CV767" t="s">
        <v>6613</v>
      </c>
      <c r="CW767" s="5" t="str">
        <f>"N/A"</f>
        <v>N/A</v>
      </c>
      <c r="CX767" t="s">
        <v>490</v>
      </c>
      <c r="CY767" t="s">
        <v>6614</v>
      </c>
      <c r="CZ767" t="s">
        <v>139</v>
      </c>
      <c r="DA767" t="s">
        <v>134</v>
      </c>
      <c r="DB767" t="s">
        <v>114</v>
      </c>
      <c r="DC767" t="s">
        <v>114</v>
      </c>
      <c r="DD767" t="s">
        <v>134</v>
      </c>
      <c r="DE767" t="s">
        <v>492</v>
      </c>
      <c r="DF767" t="s">
        <v>493</v>
      </c>
      <c r="DH767" t="s">
        <v>481</v>
      </c>
      <c r="DI767" t="s">
        <v>480</v>
      </c>
    </row>
    <row r="768" spans="1:113" ht="15" customHeight="1" x14ac:dyDescent="0.25">
      <c r="A768" t="s">
        <v>14610</v>
      </c>
      <c r="B768" t="s">
        <v>165</v>
      </c>
      <c r="C768" s="1">
        <v>44840.329032291665</v>
      </c>
      <c r="D768" s="1">
        <v>44868</v>
      </c>
      <c r="E768" t="s">
        <v>134</v>
      </c>
      <c r="F768" t="s">
        <v>467</v>
      </c>
      <c r="G768" t="str">
        <f>"37-3013.00"</f>
        <v>37-3013.00</v>
      </c>
      <c r="H768" t="s">
        <v>468</v>
      </c>
      <c r="I768">
        <v>35</v>
      </c>
      <c r="J768">
        <v>35</v>
      </c>
      <c r="K768" s="1">
        <v>44930</v>
      </c>
      <c r="L768" s="1">
        <v>45234</v>
      </c>
      <c r="M768" s="1">
        <v>44930</v>
      </c>
      <c r="N768" s="1">
        <v>45234</v>
      </c>
      <c r="O768" t="s">
        <v>117</v>
      </c>
      <c r="P768" t="s">
        <v>11693</v>
      </c>
      <c r="R768" t="s">
        <v>470</v>
      </c>
      <c r="T768" t="s">
        <v>471</v>
      </c>
      <c r="U768" t="s">
        <v>232</v>
      </c>
      <c r="V768" s="4" t="str">
        <f>"77598"</f>
        <v>77598</v>
      </c>
      <c r="W768" t="s">
        <v>120</v>
      </c>
      <c r="Y768" s="5">
        <v>12812801100</v>
      </c>
      <c r="AA768">
        <v>56173</v>
      </c>
      <c r="AB768" t="s">
        <v>472</v>
      </c>
      <c r="AC768" t="s">
        <v>473</v>
      </c>
      <c r="AE768" t="s">
        <v>474</v>
      </c>
      <c r="AF768" t="s">
        <v>470</v>
      </c>
      <c r="AH768" t="s">
        <v>471</v>
      </c>
      <c r="AI768" t="s">
        <v>232</v>
      </c>
      <c r="AJ768" s="4" t="str">
        <f>"77598"</f>
        <v>77598</v>
      </c>
      <c r="AK768" t="s">
        <v>120</v>
      </c>
      <c r="AM768" s="5">
        <v>12812801100</v>
      </c>
      <c r="AO768" t="s">
        <v>138</v>
      </c>
      <c r="AP768" t="s">
        <v>256</v>
      </c>
      <c r="AQ768" t="s">
        <v>475</v>
      </c>
      <c r="AR768" t="s">
        <v>476</v>
      </c>
      <c r="AT768" t="s">
        <v>477</v>
      </c>
      <c r="AV768" t="s">
        <v>478</v>
      </c>
      <c r="AW768" t="s">
        <v>479</v>
      </c>
      <c r="AX768" s="4" t="str">
        <f>"22903"</f>
        <v>22903</v>
      </c>
      <c r="AY768" t="s">
        <v>120</v>
      </c>
      <c r="BA768" s="5">
        <v>14342634300</v>
      </c>
      <c r="BC768" t="s">
        <v>480</v>
      </c>
      <c r="BD768" t="s">
        <v>481</v>
      </c>
      <c r="BG768" t="s">
        <v>214</v>
      </c>
      <c r="BH768" s="1">
        <v>44839.833333333336</v>
      </c>
      <c r="BI768">
        <v>40</v>
      </c>
      <c r="BJ768">
        <v>0</v>
      </c>
      <c r="BK768">
        <v>8</v>
      </c>
      <c r="BL768">
        <v>8</v>
      </c>
      <c r="BM768">
        <v>8</v>
      </c>
      <c r="BN768">
        <v>8</v>
      </c>
      <c r="BO768">
        <v>8</v>
      </c>
      <c r="BP768">
        <v>0</v>
      </c>
      <c r="BQ768" t="str">
        <f>"7:00 AM"</f>
        <v>7:00 AM</v>
      </c>
      <c r="BR768" t="str">
        <f>"4:00 PM"</f>
        <v>4:00 PM</v>
      </c>
      <c r="BS768" t="s">
        <v>133</v>
      </c>
      <c r="BT768">
        <v>0</v>
      </c>
      <c r="BU768">
        <v>0</v>
      </c>
      <c r="BV768" t="s">
        <v>134</v>
      </c>
      <c r="BX768" s="2" t="s">
        <v>482</v>
      </c>
      <c r="BY768" t="s">
        <v>11694</v>
      </c>
      <c r="CA768" t="s">
        <v>2252</v>
      </c>
      <c r="CB768" t="s">
        <v>214</v>
      </c>
      <c r="CC768" s="4" t="str">
        <f>"70816"</f>
        <v>70816</v>
      </c>
      <c r="CD768" t="s">
        <v>2247</v>
      </c>
      <c r="CE768" t="s">
        <v>737</v>
      </c>
      <c r="CF768" s="6">
        <v>17.149999999999999</v>
      </c>
      <c r="CH768" s="6">
        <v>25.73</v>
      </c>
      <c r="CJ768" t="s">
        <v>137</v>
      </c>
      <c r="CK768" t="s">
        <v>487</v>
      </c>
      <c r="CL768" t="s">
        <v>14611</v>
      </c>
      <c r="CO768" t="s">
        <v>138</v>
      </c>
      <c r="CP768" t="s">
        <v>114</v>
      </c>
      <c r="CQ768" t="s">
        <v>114</v>
      </c>
      <c r="CR768" t="s">
        <v>114</v>
      </c>
      <c r="CS768" t="s">
        <v>114</v>
      </c>
      <c r="CT768" t="s">
        <v>114</v>
      </c>
      <c r="CU768" t="s">
        <v>114</v>
      </c>
      <c r="CV768" t="s">
        <v>14612</v>
      </c>
      <c r="CW768" s="5" t="str">
        <f>"N/A"</f>
        <v>N/A</v>
      </c>
      <c r="CX768" t="s">
        <v>490</v>
      </c>
      <c r="CY768" t="s">
        <v>2570</v>
      </c>
      <c r="CZ768" t="s">
        <v>139</v>
      </c>
      <c r="DA768" t="s">
        <v>134</v>
      </c>
      <c r="DB768" t="s">
        <v>114</v>
      </c>
      <c r="DC768" t="s">
        <v>114</v>
      </c>
      <c r="DD768" t="s">
        <v>134</v>
      </c>
      <c r="DE768" t="s">
        <v>492</v>
      </c>
      <c r="DF768" t="s">
        <v>493</v>
      </c>
      <c r="DH768" t="s">
        <v>481</v>
      </c>
      <c r="DI768" t="s">
        <v>480</v>
      </c>
    </row>
    <row r="769" spans="1:108" ht="15" customHeight="1" x14ac:dyDescent="0.25">
      <c r="A769" t="s">
        <v>12295</v>
      </c>
      <c r="B769" t="s">
        <v>165</v>
      </c>
      <c r="C769" s="1">
        <v>44839.94958148148</v>
      </c>
      <c r="D769" s="1">
        <v>44868</v>
      </c>
      <c r="E769" t="s">
        <v>134</v>
      </c>
      <c r="F769" t="s">
        <v>416</v>
      </c>
      <c r="G769" t="str">
        <f>"37-3011.00"</f>
        <v>37-3011.00</v>
      </c>
      <c r="H769" t="s">
        <v>335</v>
      </c>
      <c r="I769">
        <v>4</v>
      </c>
      <c r="J769">
        <v>4</v>
      </c>
      <c r="K769" s="1">
        <v>44914</v>
      </c>
      <c r="L769" s="1">
        <v>45016</v>
      </c>
      <c r="M769" s="1">
        <v>44914</v>
      </c>
      <c r="N769" s="1">
        <v>45016</v>
      </c>
      <c r="O769" t="s">
        <v>199</v>
      </c>
      <c r="P769" t="s">
        <v>12296</v>
      </c>
      <c r="R769" t="s">
        <v>12297</v>
      </c>
      <c r="T769" t="s">
        <v>1689</v>
      </c>
      <c r="U769" t="s">
        <v>420</v>
      </c>
      <c r="V769" s="4" t="str">
        <f>"84601"</f>
        <v>84601</v>
      </c>
      <c r="W769" t="s">
        <v>120</v>
      </c>
      <c r="Y769" s="5">
        <v>18018744711</v>
      </c>
      <c r="AA769">
        <v>56173</v>
      </c>
      <c r="AB769" t="s">
        <v>7008</v>
      </c>
      <c r="AC769" t="s">
        <v>5798</v>
      </c>
      <c r="AE769" t="s">
        <v>252</v>
      </c>
      <c r="AF769" t="s">
        <v>12297</v>
      </c>
      <c r="AH769" t="s">
        <v>1689</v>
      </c>
      <c r="AI769" t="s">
        <v>420</v>
      </c>
      <c r="AJ769" s="4" t="str">
        <f>"84601"</f>
        <v>84601</v>
      </c>
      <c r="AK769" t="s">
        <v>120</v>
      </c>
      <c r="AM769" s="5">
        <v>18018744711</v>
      </c>
      <c r="AO769" t="s">
        <v>12298</v>
      </c>
      <c r="AP769" t="s">
        <v>256</v>
      </c>
      <c r="AQ769" t="s">
        <v>426</v>
      </c>
      <c r="AR769" t="s">
        <v>427</v>
      </c>
      <c r="AT769" t="s">
        <v>428</v>
      </c>
      <c r="AV769" t="s">
        <v>4583</v>
      </c>
      <c r="AW769" t="s">
        <v>420</v>
      </c>
      <c r="AX769" s="4" t="str">
        <f>"84059"</f>
        <v>84059</v>
      </c>
      <c r="AY769" t="s">
        <v>120</v>
      </c>
      <c r="BA769" s="5">
        <v>18013677097</v>
      </c>
      <c r="BC769" t="s">
        <v>430</v>
      </c>
      <c r="BD769" t="s">
        <v>431</v>
      </c>
      <c r="BG769" t="s">
        <v>420</v>
      </c>
      <c r="BH769" s="1">
        <v>44838.833333333336</v>
      </c>
      <c r="BI769">
        <v>35</v>
      </c>
      <c r="BJ769">
        <v>0</v>
      </c>
      <c r="BK769">
        <v>7</v>
      </c>
      <c r="BL769">
        <v>7</v>
      </c>
      <c r="BM769">
        <v>7</v>
      </c>
      <c r="BN769">
        <v>7</v>
      </c>
      <c r="BO769">
        <v>7</v>
      </c>
      <c r="BP769">
        <v>0</v>
      </c>
      <c r="BQ769" t="str">
        <f>"8:00 AM"</f>
        <v>8:00 AM</v>
      </c>
      <c r="BR769" t="str">
        <f>"3:30 PM"</f>
        <v>3:30 PM</v>
      </c>
      <c r="BS769" t="s">
        <v>133</v>
      </c>
      <c r="BT769">
        <v>0</v>
      </c>
      <c r="BU769">
        <v>0</v>
      </c>
      <c r="BV769" t="s">
        <v>134</v>
      </c>
      <c r="BX769" s="2" t="s">
        <v>12299</v>
      </c>
      <c r="BY769" t="s">
        <v>12300</v>
      </c>
      <c r="CA769" t="s">
        <v>1689</v>
      </c>
      <c r="CB769" t="s">
        <v>420</v>
      </c>
      <c r="CC769" s="4" t="str">
        <f>"84601"</f>
        <v>84601</v>
      </c>
      <c r="CD769" t="s">
        <v>433</v>
      </c>
      <c r="CE769" t="s">
        <v>434</v>
      </c>
      <c r="CF769" s="6">
        <v>13.28</v>
      </c>
      <c r="CG769" s="6">
        <v>16</v>
      </c>
      <c r="CJ769" t="s">
        <v>137</v>
      </c>
      <c r="CK769" t="s">
        <v>5243</v>
      </c>
      <c r="CL769" t="s">
        <v>12301</v>
      </c>
      <c r="CO769" t="s">
        <v>138</v>
      </c>
      <c r="CP769" t="s">
        <v>114</v>
      </c>
      <c r="CQ769" t="s">
        <v>114</v>
      </c>
      <c r="CR769" t="s">
        <v>134</v>
      </c>
      <c r="CS769" t="s">
        <v>134</v>
      </c>
      <c r="CT769" t="s">
        <v>114</v>
      </c>
      <c r="CU769" t="s">
        <v>134</v>
      </c>
      <c r="CV769" t="s">
        <v>437</v>
      </c>
      <c r="CW769" s="5" t="str">
        <f>"+18018744711"</f>
        <v>+18018744711</v>
      </c>
      <c r="CX769" t="s">
        <v>12298</v>
      </c>
      <c r="CY769" t="s">
        <v>138</v>
      </c>
      <c r="CZ769" t="s">
        <v>139</v>
      </c>
      <c r="DA769" t="s">
        <v>134</v>
      </c>
      <c r="DB769" t="s">
        <v>134</v>
      </c>
      <c r="DC769" t="s">
        <v>114</v>
      </c>
      <c r="DD769" t="s">
        <v>134</v>
      </c>
    </row>
    <row r="770" spans="1:108" ht="15" customHeight="1" x14ac:dyDescent="0.25">
      <c r="A770" t="s">
        <v>1140</v>
      </c>
      <c r="B770" t="s">
        <v>165</v>
      </c>
      <c r="C770" s="1">
        <v>44838.406828935185</v>
      </c>
      <c r="D770" s="1">
        <v>44868</v>
      </c>
      <c r="E770" t="s">
        <v>134</v>
      </c>
      <c r="F770" t="s">
        <v>1141</v>
      </c>
      <c r="G770" t="str">
        <f>"33-9092.00"</f>
        <v>33-9092.00</v>
      </c>
      <c r="H770" t="s">
        <v>1142</v>
      </c>
      <c r="I770">
        <v>24</v>
      </c>
      <c r="J770">
        <v>24</v>
      </c>
      <c r="K770" s="1">
        <v>44927</v>
      </c>
      <c r="L770" s="1">
        <v>45230</v>
      </c>
      <c r="M770" s="1">
        <v>44927</v>
      </c>
      <c r="N770" s="1">
        <v>45230</v>
      </c>
      <c r="O770" t="s">
        <v>117</v>
      </c>
      <c r="P770" t="s">
        <v>1143</v>
      </c>
      <c r="Q770" t="s">
        <v>1144</v>
      </c>
      <c r="R770" t="s">
        <v>1145</v>
      </c>
      <c r="T770" t="s">
        <v>1146</v>
      </c>
      <c r="U770" t="s">
        <v>1147</v>
      </c>
      <c r="V770" s="4" t="str">
        <f>"53965"</f>
        <v>53965</v>
      </c>
      <c r="W770" t="s">
        <v>120</v>
      </c>
      <c r="Y770" s="5">
        <v>16082548366</v>
      </c>
      <c r="AA770">
        <v>721110</v>
      </c>
      <c r="AB770" t="s">
        <v>1148</v>
      </c>
      <c r="AC770" t="s">
        <v>1149</v>
      </c>
      <c r="AE770" t="s">
        <v>1150</v>
      </c>
      <c r="AF770" t="s">
        <v>1145</v>
      </c>
      <c r="AH770" t="s">
        <v>1146</v>
      </c>
      <c r="AI770" t="s">
        <v>1147</v>
      </c>
      <c r="AJ770" s="4" t="str">
        <f>"53965"</f>
        <v>53965</v>
      </c>
      <c r="AK770" t="s">
        <v>120</v>
      </c>
      <c r="AM770" s="5">
        <v>16082548366</v>
      </c>
      <c r="AO770" t="s">
        <v>1151</v>
      </c>
      <c r="AP770" t="s">
        <v>122</v>
      </c>
      <c r="AQ770" t="s">
        <v>1152</v>
      </c>
      <c r="AR770" t="s">
        <v>1153</v>
      </c>
      <c r="AS770" t="s">
        <v>1154</v>
      </c>
      <c r="AT770" t="s">
        <v>1155</v>
      </c>
      <c r="AU770" t="s">
        <v>1156</v>
      </c>
      <c r="AV770" t="s">
        <v>1157</v>
      </c>
      <c r="AW770" t="s">
        <v>154</v>
      </c>
      <c r="AX770" s="4" t="str">
        <f>"33186"</f>
        <v>33186</v>
      </c>
      <c r="AY770" t="s">
        <v>120</v>
      </c>
      <c r="BA770" s="5">
        <v>13056706767</v>
      </c>
      <c r="BC770" t="s">
        <v>1158</v>
      </c>
      <c r="BD770" t="s">
        <v>1159</v>
      </c>
      <c r="BE770" t="s">
        <v>154</v>
      </c>
      <c r="BF770" t="s">
        <v>218</v>
      </c>
      <c r="BG770" t="s">
        <v>1147</v>
      </c>
      <c r="BH770" s="1">
        <v>44836.833333333336</v>
      </c>
      <c r="BI770">
        <v>56</v>
      </c>
      <c r="BJ770">
        <v>8</v>
      </c>
      <c r="BK770">
        <v>8</v>
      </c>
      <c r="BL770">
        <v>8</v>
      </c>
      <c r="BM770">
        <v>8</v>
      </c>
      <c r="BN770">
        <v>8</v>
      </c>
      <c r="BO770">
        <v>8</v>
      </c>
      <c r="BP770">
        <v>8</v>
      </c>
      <c r="BQ770" t="str">
        <f>"9:00 AM"</f>
        <v>9:00 AM</v>
      </c>
      <c r="BR770" t="str">
        <f>"5:00 PM"</f>
        <v>5:00 PM</v>
      </c>
      <c r="BS770" t="s">
        <v>133</v>
      </c>
      <c r="BT770">
        <v>0</v>
      </c>
      <c r="BU770">
        <v>0</v>
      </c>
      <c r="BV770" t="s">
        <v>134</v>
      </c>
      <c r="BX770" s="2" t="s">
        <v>1160</v>
      </c>
      <c r="BY770" t="s">
        <v>1161</v>
      </c>
      <c r="CA770" t="s">
        <v>1162</v>
      </c>
      <c r="CB770" t="s">
        <v>1147</v>
      </c>
      <c r="CC770" s="4" t="str">
        <f>"53965"</f>
        <v>53965</v>
      </c>
      <c r="CD770" t="s">
        <v>1163</v>
      </c>
      <c r="CE770" t="s">
        <v>1164</v>
      </c>
      <c r="CF770" s="6">
        <v>10.55</v>
      </c>
      <c r="CG770" s="6">
        <v>20</v>
      </c>
      <c r="CH770" s="6">
        <v>15.83</v>
      </c>
      <c r="CI770" s="6">
        <v>30</v>
      </c>
      <c r="CJ770" t="s">
        <v>137</v>
      </c>
      <c r="CL770" t="s">
        <v>1165</v>
      </c>
      <c r="CO770" t="s">
        <v>138</v>
      </c>
      <c r="CP770" t="s">
        <v>134</v>
      </c>
      <c r="CQ770" t="s">
        <v>114</v>
      </c>
      <c r="CR770" t="s">
        <v>114</v>
      </c>
      <c r="CS770" t="s">
        <v>114</v>
      </c>
      <c r="CT770" t="s">
        <v>114</v>
      </c>
      <c r="CU770" t="s">
        <v>114</v>
      </c>
      <c r="CV770" t="s">
        <v>1166</v>
      </c>
      <c r="CW770" s="5" t="str">
        <f>"+16082548366"</f>
        <v>+16082548366</v>
      </c>
      <c r="CX770" t="s">
        <v>1167</v>
      </c>
      <c r="CY770" t="s">
        <v>138</v>
      </c>
      <c r="CZ770" t="s">
        <v>139</v>
      </c>
      <c r="DA770" t="s">
        <v>134</v>
      </c>
      <c r="DB770" t="s">
        <v>114</v>
      </c>
      <c r="DC770" t="s">
        <v>114</v>
      </c>
      <c r="DD770" t="s">
        <v>134</v>
      </c>
    </row>
    <row r="771" spans="1:108" ht="15" customHeight="1" x14ac:dyDescent="0.25">
      <c r="A771" t="s">
        <v>10479</v>
      </c>
      <c r="B771" t="s">
        <v>165</v>
      </c>
      <c r="C771" s="1">
        <v>44838.406668750002</v>
      </c>
      <c r="D771" s="1">
        <v>44868</v>
      </c>
      <c r="E771" t="s">
        <v>134</v>
      </c>
      <c r="F771" t="s">
        <v>1591</v>
      </c>
      <c r="G771" t="str">
        <f>"37-2012.00"</f>
        <v>37-2012.00</v>
      </c>
      <c r="H771" t="s">
        <v>116</v>
      </c>
      <c r="I771">
        <v>30</v>
      </c>
      <c r="J771">
        <v>30</v>
      </c>
      <c r="K771" s="1">
        <v>44927</v>
      </c>
      <c r="L771" s="1">
        <v>45230</v>
      </c>
      <c r="M771" s="1">
        <v>44927</v>
      </c>
      <c r="N771" s="1">
        <v>45230</v>
      </c>
      <c r="O771" t="s">
        <v>117</v>
      </c>
      <c r="P771" t="s">
        <v>1143</v>
      </c>
      <c r="Q771" t="s">
        <v>1144</v>
      </c>
      <c r="R771" t="s">
        <v>1145</v>
      </c>
      <c r="T771" t="s">
        <v>1146</v>
      </c>
      <c r="U771" t="s">
        <v>1147</v>
      </c>
      <c r="V771" s="4" t="str">
        <f>"53965"</f>
        <v>53965</v>
      </c>
      <c r="W771" t="s">
        <v>120</v>
      </c>
      <c r="Y771" s="5">
        <v>16082548366</v>
      </c>
      <c r="AA771">
        <v>721110</v>
      </c>
      <c r="AB771" t="s">
        <v>1148</v>
      </c>
      <c r="AC771" t="s">
        <v>1149</v>
      </c>
      <c r="AE771" t="s">
        <v>10480</v>
      </c>
      <c r="AF771" t="s">
        <v>1145</v>
      </c>
      <c r="AH771" t="s">
        <v>1146</v>
      </c>
      <c r="AI771" t="s">
        <v>1147</v>
      </c>
      <c r="AJ771" s="4" t="str">
        <f>"53965"</f>
        <v>53965</v>
      </c>
      <c r="AK771" t="s">
        <v>120</v>
      </c>
      <c r="AM771" s="5">
        <v>16082548366</v>
      </c>
      <c r="AO771" t="s">
        <v>1151</v>
      </c>
      <c r="AP771" t="s">
        <v>122</v>
      </c>
      <c r="AQ771" t="s">
        <v>1152</v>
      </c>
      <c r="AR771" t="s">
        <v>1153</v>
      </c>
      <c r="AS771" t="s">
        <v>1154</v>
      </c>
      <c r="AT771" t="s">
        <v>1155</v>
      </c>
      <c r="AU771" t="s">
        <v>1156</v>
      </c>
      <c r="AV771" t="s">
        <v>1157</v>
      </c>
      <c r="AW771" t="s">
        <v>154</v>
      </c>
      <c r="AX771" s="4" t="str">
        <f>"33186"</f>
        <v>33186</v>
      </c>
      <c r="AY771" t="s">
        <v>120</v>
      </c>
      <c r="BA771" s="5">
        <v>13056706767</v>
      </c>
      <c r="BC771" t="s">
        <v>1158</v>
      </c>
      <c r="BD771" t="s">
        <v>1159</v>
      </c>
      <c r="BE771" t="s">
        <v>154</v>
      </c>
      <c r="BF771" t="s">
        <v>218</v>
      </c>
      <c r="BG771" t="s">
        <v>1147</v>
      </c>
      <c r="BH771" s="1">
        <v>44836.833333333336</v>
      </c>
      <c r="BI771">
        <v>56</v>
      </c>
      <c r="BJ771">
        <v>8</v>
      </c>
      <c r="BK771">
        <v>8</v>
      </c>
      <c r="BL771">
        <v>8</v>
      </c>
      <c r="BM771">
        <v>8</v>
      </c>
      <c r="BN771">
        <v>8</v>
      </c>
      <c r="BO771">
        <v>8</v>
      </c>
      <c r="BP771">
        <v>8</v>
      </c>
      <c r="BQ771" t="str">
        <f>"9:00 AM"</f>
        <v>9:00 AM</v>
      </c>
      <c r="BR771" t="str">
        <f>"5:00 PM"</f>
        <v>5:00 PM</v>
      </c>
      <c r="BS771" t="s">
        <v>133</v>
      </c>
      <c r="BT771">
        <v>0</v>
      </c>
      <c r="BU771">
        <v>0</v>
      </c>
      <c r="BV771" t="s">
        <v>134</v>
      </c>
      <c r="BX771" s="2" t="s">
        <v>10481</v>
      </c>
      <c r="BY771" t="s">
        <v>1161</v>
      </c>
      <c r="CA771" t="s">
        <v>1162</v>
      </c>
      <c r="CB771" t="s">
        <v>1147</v>
      </c>
      <c r="CC771" s="4" t="str">
        <f>"53965"</f>
        <v>53965</v>
      </c>
      <c r="CD771" t="s">
        <v>1163</v>
      </c>
      <c r="CE771" t="s">
        <v>1164</v>
      </c>
      <c r="CF771" s="6">
        <v>12.63</v>
      </c>
      <c r="CG771" s="6">
        <v>14</v>
      </c>
      <c r="CH771" s="6">
        <v>18.95</v>
      </c>
      <c r="CI771" s="6">
        <v>21</v>
      </c>
      <c r="CJ771" t="s">
        <v>137</v>
      </c>
      <c r="CL771" t="s">
        <v>10482</v>
      </c>
      <c r="CO771" t="s">
        <v>138</v>
      </c>
      <c r="CP771" t="s">
        <v>134</v>
      </c>
      <c r="CQ771" t="s">
        <v>114</v>
      </c>
      <c r="CR771" t="s">
        <v>114</v>
      </c>
      <c r="CS771" t="s">
        <v>114</v>
      </c>
      <c r="CT771" t="s">
        <v>114</v>
      </c>
      <c r="CU771" t="s">
        <v>114</v>
      </c>
      <c r="CV771" s="2" t="s">
        <v>10483</v>
      </c>
      <c r="CW771" s="5" t="str">
        <f>"+16082548366"</f>
        <v>+16082548366</v>
      </c>
      <c r="CX771" t="s">
        <v>1167</v>
      </c>
      <c r="CY771" t="s">
        <v>138</v>
      </c>
      <c r="CZ771" t="s">
        <v>139</v>
      </c>
      <c r="DA771" t="s">
        <v>134</v>
      </c>
      <c r="DB771" t="s">
        <v>114</v>
      </c>
      <c r="DC771" t="s">
        <v>114</v>
      </c>
      <c r="DD771" t="s">
        <v>134</v>
      </c>
    </row>
    <row r="772" spans="1:108" ht="15" customHeight="1" x14ac:dyDescent="0.25">
      <c r="A772" t="s">
        <v>13234</v>
      </c>
      <c r="B772" t="s">
        <v>165</v>
      </c>
      <c r="C772" s="1">
        <v>44837.789992129627</v>
      </c>
      <c r="D772" s="1">
        <v>44868</v>
      </c>
      <c r="E772" t="s">
        <v>134</v>
      </c>
      <c r="F772" t="s">
        <v>13235</v>
      </c>
      <c r="G772" t="str">
        <f>"37-3011.00"</f>
        <v>37-3011.00</v>
      </c>
      <c r="H772" t="s">
        <v>335</v>
      </c>
      <c r="I772">
        <v>25</v>
      </c>
      <c r="J772">
        <v>25</v>
      </c>
      <c r="K772" s="1">
        <v>44927</v>
      </c>
      <c r="L772" s="1">
        <v>45016</v>
      </c>
      <c r="M772" s="1">
        <v>44927</v>
      </c>
      <c r="N772" s="1">
        <v>45016</v>
      </c>
      <c r="O772" t="s">
        <v>199</v>
      </c>
      <c r="P772" t="s">
        <v>13236</v>
      </c>
      <c r="R772" t="s">
        <v>13237</v>
      </c>
      <c r="S772" t="s">
        <v>13238</v>
      </c>
      <c r="T772" t="s">
        <v>1061</v>
      </c>
      <c r="U772" t="s">
        <v>420</v>
      </c>
      <c r="V772" s="4" t="str">
        <f>"84047"</f>
        <v>84047</v>
      </c>
      <c r="W772" t="s">
        <v>120</v>
      </c>
      <c r="Y772" s="5">
        <v>18012939273</v>
      </c>
      <c r="AA772">
        <v>56173</v>
      </c>
      <c r="AB772" t="s">
        <v>13239</v>
      </c>
      <c r="AC772" t="s">
        <v>13240</v>
      </c>
      <c r="AD772" t="s">
        <v>13241</v>
      </c>
      <c r="AE772" t="s">
        <v>1849</v>
      </c>
      <c r="AF772" t="s">
        <v>13237</v>
      </c>
      <c r="AG772" t="s">
        <v>13238</v>
      </c>
      <c r="AH772" t="s">
        <v>1061</v>
      </c>
      <c r="AI772" t="s">
        <v>420</v>
      </c>
      <c r="AJ772" s="4" t="str">
        <f>"84047"</f>
        <v>84047</v>
      </c>
      <c r="AK772" t="s">
        <v>120</v>
      </c>
      <c r="AM772" s="5">
        <v>18012939273</v>
      </c>
      <c r="AO772" t="s">
        <v>13242</v>
      </c>
      <c r="AX772" s="4" t="str">
        <f>""</f>
        <v/>
      </c>
      <c r="BG772" t="s">
        <v>420</v>
      </c>
      <c r="BH772" s="1">
        <v>44836.833333333336</v>
      </c>
      <c r="BI772">
        <v>40</v>
      </c>
      <c r="BJ772">
        <v>0</v>
      </c>
      <c r="BK772">
        <v>8</v>
      </c>
      <c r="BL772">
        <v>8</v>
      </c>
      <c r="BM772">
        <v>8</v>
      </c>
      <c r="BN772">
        <v>8</v>
      </c>
      <c r="BO772">
        <v>8</v>
      </c>
      <c r="BP772">
        <v>0</v>
      </c>
      <c r="BQ772" t="str">
        <f>"7:00 AM"</f>
        <v>7:00 AM</v>
      </c>
      <c r="BR772" t="str">
        <f>"3:30 PM"</f>
        <v>3:30 PM</v>
      </c>
      <c r="BS772" t="s">
        <v>133</v>
      </c>
      <c r="BT772">
        <v>0</v>
      </c>
      <c r="BU772">
        <v>0</v>
      </c>
      <c r="BV772" t="s">
        <v>134</v>
      </c>
      <c r="BX772" s="2" t="s">
        <v>13243</v>
      </c>
      <c r="BY772" t="s">
        <v>13244</v>
      </c>
      <c r="CA772" t="s">
        <v>1061</v>
      </c>
      <c r="CB772" t="s">
        <v>420</v>
      </c>
      <c r="CC772" s="4" t="str">
        <f>"84047"</f>
        <v>84047</v>
      </c>
      <c r="CD772" t="s">
        <v>688</v>
      </c>
      <c r="CE772" t="s">
        <v>689</v>
      </c>
      <c r="CF772" s="6">
        <v>17.21</v>
      </c>
      <c r="CG772" s="6">
        <v>17.21</v>
      </c>
      <c r="CH772" s="6">
        <v>25.82</v>
      </c>
      <c r="CI772" s="6">
        <v>25.82</v>
      </c>
      <c r="CJ772" t="s">
        <v>137</v>
      </c>
      <c r="CL772" t="s">
        <v>13245</v>
      </c>
      <c r="CO772" t="s">
        <v>138</v>
      </c>
      <c r="CP772" t="s">
        <v>114</v>
      </c>
      <c r="CQ772" t="s">
        <v>114</v>
      </c>
      <c r="CR772" t="s">
        <v>114</v>
      </c>
      <c r="CS772" t="s">
        <v>134</v>
      </c>
      <c r="CT772" t="s">
        <v>114</v>
      </c>
      <c r="CU772" t="s">
        <v>134</v>
      </c>
      <c r="CV772" t="s">
        <v>13246</v>
      </c>
      <c r="CW772" s="5" t="str">
        <f>"+18012939273"</f>
        <v>+18012939273</v>
      </c>
      <c r="CX772" t="s">
        <v>13242</v>
      </c>
      <c r="CY772" t="s">
        <v>138</v>
      </c>
      <c r="CZ772" t="s">
        <v>139</v>
      </c>
      <c r="DA772" t="s">
        <v>134</v>
      </c>
      <c r="DB772" t="s">
        <v>134</v>
      </c>
      <c r="DC772" t="s">
        <v>114</v>
      </c>
      <c r="DD772" t="s">
        <v>134</v>
      </c>
    </row>
    <row r="773" spans="1:108" ht="15" customHeight="1" x14ac:dyDescent="0.25">
      <c r="A773" t="s">
        <v>14487</v>
      </c>
      <c r="B773" t="s">
        <v>165</v>
      </c>
      <c r="C773" s="1">
        <v>44841.361727430558</v>
      </c>
      <c r="D773" s="1">
        <v>44867</v>
      </c>
      <c r="E773" t="s">
        <v>134</v>
      </c>
      <c r="F773" t="s">
        <v>554</v>
      </c>
      <c r="G773" t="str">
        <f>"39-3091.00"</f>
        <v>39-3091.00</v>
      </c>
      <c r="H773" t="s">
        <v>362</v>
      </c>
      <c r="I773">
        <v>10</v>
      </c>
      <c r="J773">
        <v>10</v>
      </c>
      <c r="K773" s="1">
        <v>44931</v>
      </c>
      <c r="L773" s="1">
        <v>45234</v>
      </c>
      <c r="M773" s="1">
        <v>44931</v>
      </c>
      <c r="N773" s="1">
        <v>45234</v>
      </c>
      <c r="O773" t="s">
        <v>199</v>
      </c>
      <c r="P773" t="s">
        <v>14488</v>
      </c>
      <c r="R773" t="s">
        <v>14489</v>
      </c>
      <c r="T773" t="s">
        <v>1692</v>
      </c>
      <c r="U773" t="s">
        <v>444</v>
      </c>
      <c r="V773" s="4" t="str">
        <f>"93307"</f>
        <v>93307</v>
      </c>
      <c r="W773" t="s">
        <v>120</v>
      </c>
      <c r="Y773" s="5">
        <v>16619796533</v>
      </c>
      <c r="AA773">
        <v>71399</v>
      </c>
      <c r="AB773" t="s">
        <v>14490</v>
      </c>
      <c r="AC773" t="s">
        <v>2446</v>
      </c>
      <c r="AE773" t="s">
        <v>342</v>
      </c>
      <c r="AF773" t="s">
        <v>14489</v>
      </c>
      <c r="AH773" t="s">
        <v>1692</v>
      </c>
      <c r="AI773" t="s">
        <v>444</v>
      </c>
      <c r="AJ773" s="4" t="str">
        <f>"93307"</f>
        <v>93307</v>
      </c>
      <c r="AK773" t="s">
        <v>120</v>
      </c>
      <c r="AM773" s="5">
        <v>16619796533</v>
      </c>
      <c r="AO773" t="s">
        <v>14491</v>
      </c>
      <c r="AP773" t="s">
        <v>256</v>
      </c>
      <c r="AQ773" t="s">
        <v>535</v>
      </c>
      <c r="AR773" t="s">
        <v>536</v>
      </c>
      <c r="AS773" t="s">
        <v>537</v>
      </c>
      <c r="AT773" t="s">
        <v>538</v>
      </c>
      <c r="AU773" t="s">
        <v>539</v>
      </c>
      <c r="AV773" t="s">
        <v>540</v>
      </c>
      <c r="AW773" t="s">
        <v>232</v>
      </c>
      <c r="AX773" s="4" t="str">
        <f>"78550"</f>
        <v>78550</v>
      </c>
      <c r="AY773" t="s">
        <v>120</v>
      </c>
      <c r="BA773" s="5">
        <v>19564408720</v>
      </c>
      <c r="BB773">
        <v>0</v>
      </c>
      <c r="BC773" t="s">
        <v>1022</v>
      </c>
      <c r="BD773" t="s">
        <v>543</v>
      </c>
      <c r="BG773" t="s">
        <v>444</v>
      </c>
      <c r="BH773" s="1">
        <v>44840.833333333336</v>
      </c>
      <c r="BI773">
        <v>40</v>
      </c>
      <c r="BJ773">
        <v>8</v>
      </c>
      <c r="BK773">
        <v>0</v>
      </c>
      <c r="BL773">
        <v>0</v>
      </c>
      <c r="BM773">
        <v>8</v>
      </c>
      <c r="BN773">
        <v>8</v>
      </c>
      <c r="BO773">
        <v>8</v>
      </c>
      <c r="BP773">
        <v>8</v>
      </c>
      <c r="BQ773" t="str">
        <f>"1:00 PM"</f>
        <v>1:00 PM</v>
      </c>
      <c r="BR773" t="str">
        <f>"10:00 PM"</f>
        <v>10:00 PM</v>
      </c>
      <c r="BS773" t="s">
        <v>133</v>
      </c>
      <c r="BT773">
        <v>0</v>
      </c>
      <c r="BU773">
        <v>0</v>
      </c>
      <c r="BV773" t="s">
        <v>134</v>
      </c>
      <c r="BX773" s="2" t="s">
        <v>579</v>
      </c>
      <c r="BY773" t="s">
        <v>14492</v>
      </c>
      <c r="CA773" t="s">
        <v>1692</v>
      </c>
      <c r="CB773" t="s">
        <v>444</v>
      </c>
      <c r="CC773" s="4" t="str">
        <f>"93307"</f>
        <v>93307</v>
      </c>
      <c r="CD773" t="s">
        <v>1693</v>
      </c>
      <c r="CE773" t="s">
        <v>1694</v>
      </c>
      <c r="CF773" s="6">
        <v>12.99</v>
      </c>
      <c r="CG773" s="6">
        <v>17.100000000000001</v>
      </c>
      <c r="CJ773" t="s">
        <v>137</v>
      </c>
      <c r="CK773" t="s">
        <v>549</v>
      </c>
      <c r="CL773" t="s">
        <v>14493</v>
      </c>
      <c r="CO773" t="s">
        <v>138</v>
      </c>
      <c r="CP773" t="s">
        <v>114</v>
      </c>
      <c r="CQ773" t="s">
        <v>114</v>
      </c>
      <c r="CR773" t="s">
        <v>134</v>
      </c>
      <c r="CS773" t="s">
        <v>114</v>
      </c>
      <c r="CT773" t="s">
        <v>114</v>
      </c>
      <c r="CU773" t="s">
        <v>114</v>
      </c>
      <c r="CV773" t="s">
        <v>1360</v>
      </c>
      <c r="CW773" s="5" t="str">
        <f>"+16619796533"</f>
        <v>+16619796533</v>
      </c>
      <c r="CX773" t="s">
        <v>14494</v>
      </c>
      <c r="CY773" t="s">
        <v>138</v>
      </c>
      <c r="CZ773" t="s">
        <v>139</v>
      </c>
      <c r="DA773" t="s">
        <v>134</v>
      </c>
      <c r="DB773" t="s">
        <v>134</v>
      </c>
      <c r="DC773" t="s">
        <v>114</v>
      </c>
      <c r="DD773" t="s">
        <v>134</v>
      </c>
    </row>
    <row r="774" spans="1:108" ht="15" customHeight="1" x14ac:dyDescent="0.25">
      <c r="A774" t="s">
        <v>11481</v>
      </c>
      <c r="B774" t="s">
        <v>165</v>
      </c>
      <c r="C774" s="1">
        <v>44841.342218171296</v>
      </c>
      <c r="D774" s="1">
        <v>44867</v>
      </c>
      <c r="E774" t="s">
        <v>134</v>
      </c>
      <c r="F774" t="s">
        <v>11482</v>
      </c>
      <c r="G774" t="str">
        <f>"39-3091.00"</f>
        <v>39-3091.00</v>
      </c>
      <c r="H774" t="s">
        <v>362</v>
      </c>
      <c r="I774">
        <v>7</v>
      </c>
      <c r="J774">
        <v>7</v>
      </c>
      <c r="K774" s="1">
        <v>44931</v>
      </c>
      <c r="L774" s="1">
        <v>45234</v>
      </c>
      <c r="M774" s="1">
        <v>44931</v>
      </c>
      <c r="N774" s="1">
        <v>45234</v>
      </c>
      <c r="O774" t="s">
        <v>199</v>
      </c>
      <c r="P774" t="s">
        <v>11483</v>
      </c>
      <c r="R774" t="s">
        <v>11484</v>
      </c>
      <c r="T774" t="s">
        <v>11485</v>
      </c>
      <c r="U774" t="s">
        <v>339</v>
      </c>
      <c r="V774" s="4" t="str">
        <f>"21771"</f>
        <v>21771</v>
      </c>
      <c r="W774" t="s">
        <v>120</v>
      </c>
      <c r="Y774" s="5">
        <v>13013705820</v>
      </c>
      <c r="AA774">
        <v>7139</v>
      </c>
      <c r="AB774" t="s">
        <v>11486</v>
      </c>
      <c r="AC774" t="s">
        <v>1510</v>
      </c>
      <c r="AE774" t="s">
        <v>342</v>
      </c>
      <c r="AF774" t="s">
        <v>11484</v>
      </c>
      <c r="AH774" t="s">
        <v>11485</v>
      </c>
      <c r="AI774" t="s">
        <v>339</v>
      </c>
      <c r="AJ774" s="4" t="str">
        <f>"21771"</f>
        <v>21771</v>
      </c>
      <c r="AK774" t="s">
        <v>120</v>
      </c>
      <c r="AM774" s="5">
        <v>13013705820</v>
      </c>
      <c r="AO774" t="s">
        <v>11487</v>
      </c>
      <c r="AP774" t="s">
        <v>256</v>
      </c>
      <c r="AQ774" t="s">
        <v>535</v>
      </c>
      <c r="AR774" t="s">
        <v>536</v>
      </c>
      <c r="AS774" t="s">
        <v>537</v>
      </c>
      <c r="AT774" t="s">
        <v>538</v>
      </c>
      <c r="AU774" t="s">
        <v>539</v>
      </c>
      <c r="AV774" t="s">
        <v>540</v>
      </c>
      <c r="AW774" t="s">
        <v>232</v>
      </c>
      <c r="AX774" s="4" t="str">
        <f>"78550"</f>
        <v>78550</v>
      </c>
      <c r="AY774" t="s">
        <v>120</v>
      </c>
      <c r="BA774" s="5">
        <v>19564408720</v>
      </c>
      <c r="BB774">
        <v>0</v>
      </c>
      <c r="BC774" t="s">
        <v>563</v>
      </c>
      <c r="BD774" t="s">
        <v>543</v>
      </c>
      <c r="BG774" t="s">
        <v>339</v>
      </c>
      <c r="BH774" s="1">
        <v>44840.833333333336</v>
      </c>
      <c r="BI774">
        <v>40</v>
      </c>
      <c r="BJ774">
        <v>8</v>
      </c>
      <c r="BK774">
        <v>0</v>
      </c>
      <c r="BL774">
        <v>0</v>
      </c>
      <c r="BM774">
        <v>8</v>
      </c>
      <c r="BN774">
        <v>8</v>
      </c>
      <c r="BO774">
        <v>8</v>
      </c>
      <c r="BP774">
        <v>8</v>
      </c>
      <c r="BQ774" t="str">
        <f>"1:00 PM"</f>
        <v>1:00 PM</v>
      </c>
      <c r="BR774" t="str">
        <f>"10:00 PM"</f>
        <v>10:00 PM</v>
      </c>
      <c r="BS774" t="s">
        <v>133</v>
      </c>
      <c r="BT774">
        <v>0</v>
      </c>
      <c r="BU774">
        <v>0</v>
      </c>
      <c r="BV774" t="s">
        <v>134</v>
      </c>
      <c r="BX774" s="2" t="s">
        <v>3113</v>
      </c>
      <c r="BY774" t="s">
        <v>11484</v>
      </c>
      <c r="CA774" t="s">
        <v>11485</v>
      </c>
      <c r="CB774" t="s">
        <v>339</v>
      </c>
      <c r="CC774" s="4" t="str">
        <f>"21771"</f>
        <v>21771</v>
      </c>
      <c r="CD774" t="s">
        <v>354</v>
      </c>
      <c r="CE774" t="s">
        <v>355</v>
      </c>
      <c r="CF774" s="6">
        <v>9.59</v>
      </c>
      <c r="CG774" s="6">
        <v>15.23</v>
      </c>
      <c r="CJ774" t="s">
        <v>137</v>
      </c>
      <c r="CK774" t="s">
        <v>549</v>
      </c>
      <c r="CL774" t="s">
        <v>11488</v>
      </c>
      <c r="CO774" t="s">
        <v>138</v>
      </c>
      <c r="CP774" t="s">
        <v>114</v>
      </c>
      <c r="CQ774" t="s">
        <v>114</v>
      </c>
      <c r="CR774" t="s">
        <v>134</v>
      </c>
      <c r="CS774" t="s">
        <v>114</v>
      </c>
      <c r="CT774" t="s">
        <v>114</v>
      </c>
      <c r="CU774" t="s">
        <v>114</v>
      </c>
      <c r="CV774" t="s">
        <v>1360</v>
      </c>
      <c r="CW774" s="5" t="str">
        <f>"+13013705820"</f>
        <v>+13013705820</v>
      </c>
      <c r="CX774" t="s">
        <v>11487</v>
      </c>
      <c r="CY774" t="s">
        <v>138</v>
      </c>
      <c r="CZ774" t="s">
        <v>139</v>
      </c>
      <c r="DA774" t="s">
        <v>134</v>
      </c>
      <c r="DB774" t="s">
        <v>114</v>
      </c>
      <c r="DC774" t="s">
        <v>114</v>
      </c>
      <c r="DD774" t="s">
        <v>134</v>
      </c>
    </row>
    <row r="775" spans="1:108" ht="15" customHeight="1" x14ac:dyDescent="0.25">
      <c r="A775" t="s">
        <v>7713</v>
      </c>
      <c r="B775" t="s">
        <v>165</v>
      </c>
      <c r="C775" s="1">
        <v>44841.33434976852</v>
      </c>
      <c r="D775" s="1">
        <v>44867</v>
      </c>
      <c r="E775" t="s">
        <v>134</v>
      </c>
      <c r="F775" t="s">
        <v>571</v>
      </c>
      <c r="G775" t="str">
        <f>"35-3023.00"</f>
        <v>35-3023.00</v>
      </c>
      <c r="H775" t="s">
        <v>555</v>
      </c>
      <c r="I775">
        <v>75</v>
      </c>
      <c r="J775">
        <v>75</v>
      </c>
      <c r="K775" s="1">
        <v>44931</v>
      </c>
      <c r="L775" s="1">
        <v>45234</v>
      </c>
      <c r="M775" s="1">
        <v>44931</v>
      </c>
      <c r="N775" s="1">
        <v>45234</v>
      </c>
      <c r="O775" t="s">
        <v>199</v>
      </c>
      <c r="P775" t="s">
        <v>7714</v>
      </c>
      <c r="R775" t="s">
        <v>7715</v>
      </c>
      <c r="S775" t="s">
        <v>1709</v>
      </c>
      <c r="T775" t="s">
        <v>7716</v>
      </c>
      <c r="U775" t="s">
        <v>154</v>
      </c>
      <c r="V775" s="4" t="str">
        <f>"34228"</f>
        <v>34228</v>
      </c>
      <c r="W775" t="s">
        <v>120</v>
      </c>
      <c r="Y775" s="5">
        <v>19415180859</v>
      </c>
      <c r="AA775">
        <v>71399</v>
      </c>
      <c r="AB775" t="s">
        <v>7717</v>
      </c>
      <c r="AC775" t="s">
        <v>3212</v>
      </c>
      <c r="AE775" t="s">
        <v>285</v>
      </c>
      <c r="AF775" t="s">
        <v>7718</v>
      </c>
      <c r="AH775" t="s">
        <v>7716</v>
      </c>
      <c r="AI775" t="s">
        <v>154</v>
      </c>
      <c r="AJ775" s="4" t="str">
        <f>"34228"</f>
        <v>34228</v>
      </c>
      <c r="AK775" t="s">
        <v>120</v>
      </c>
      <c r="AM775" s="5">
        <v>19415180859</v>
      </c>
      <c r="AO775" t="s">
        <v>7719</v>
      </c>
      <c r="AP775" t="s">
        <v>256</v>
      </c>
      <c r="AQ775" t="s">
        <v>535</v>
      </c>
      <c r="AR775" t="s">
        <v>536</v>
      </c>
      <c r="AS775" t="s">
        <v>537</v>
      </c>
      <c r="AT775" t="s">
        <v>538</v>
      </c>
      <c r="AU775" t="s">
        <v>539</v>
      </c>
      <c r="AV775" t="s">
        <v>540</v>
      </c>
      <c r="AW775" t="s">
        <v>232</v>
      </c>
      <c r="AX775" s="4" t="str">
        <f>"78550"</f>
        <v>78550</v>
      </c>
      <c r="AY775" t="s">
        <v>120</v>
      </c>
      <c r="BA775" s="5">
        <v>19564408720</v>
      </c>
      <c r="BB775">
        <v>0</v>
      </c>
      <c r="BC775" t="s">
        <v>1022</v>
      </c>
      <c r="BD775" t="s">
        <v>543</v>
      </c>
      <c r="BG775" t="s">
        <v>530</v>
      </c>
      <c r="BH775" s="1">
        <v>44840.833333333336</v>
      </c>
      <c r="BI775">
        <v>40</v>
      </c>
      <c r="BJ775">
        <v>8</v>
      </c>
      <c r="BK775">
        <v>0</v>
      </c>
      <c r="BL775">
        <v>0</v>
      </c>
      <c r="BM775">
        <v>8</v>
      </c>
      <c r="BN775">
        <v>8</v>
      </c>
      <c r="BO775">
        <v>8</v>
      </c>
      <c r="BP775">
        <v>8</v>
      </c>
      <c r="BQ775" t="str">
        <f>"1:00 PM"</f>
        <v>1:00 PM</v>
      </c>
      <c r="BR775" t="str">
        <f>"10:00 PM"</f>
        <v>10:00 PM</v>
      </c>
      <c r="BS775" t="s">
        <v>133</v>
      </c>
      <c r="BT775">
        <v>0</v>
      </c>
      <c r="BU775">
        <v>0</v>
      </c>
      <c r="BV775" t="s">
        <v>134</v>
      </c>
      <c r="BX775" s="2" t="s">
        <v>579</v>
      </c>
      <c r="BY775" t="s">
        <v>7720</v>
      </c>
      <c r="CA775" t="s">
        <v>4252</v>
      </c>
      <c r="CB775" t="s">
        <v>530</v>
      </c>
      <c r="CC775" s="4" t="str">
        <f>"85260"</f>
        <v>85260</v>
      </c>
      <c r="CD775" t="s">
        <v>592</v>
      </c>
      <c r="CE775" t="s">
        <v>548</v>
      </c>
      <c r="CF775" s="6">
        <v>10.86</v>
      </c>
      <c r="CG775" s="6">
        <v>17.48</v>
      </c>
      <c r="CJ775" t="s">
        <v>137</v>
      </c>
      <c r="CK775" t="s">
        <v>549</v>
      </c>
      <c r="CL775" t="s">
        <v>7721</v>
      </c>
      <c r="CO775" t="s">
        <v>138</v>
      </c>
      <c r="CP775" t="s">
        <v>114</v>
      </c>
      <c r="CQ775" t="s">
        <v>114</v>
      </c>
      <c r="CR775" t="s">
        <v>134</v>
      </c>
      <c r="CS775" t="s">
        <v>114</v>
      </c>
      <c r="CT775" t="s">
        <v>114</v>
      </c>
      <c r="CU775" t="s">
        <v>114</v>
      </c>
      <c r="CV775" t="s">
        <v>5919</v>
      </c>
      <c r="CW775" s="5" t="str">
        <f>"+19415180859"</f>
        <v>+19415180859</v>
      </c>
      <c r="CX775" t="s">
        <v>7722</v>
      </c>
      <c r="CY775" t="s">
        <v>138</v>
      </c>
      <c r="CZ775" t="s">
        <v>139</v>
      </c>
      <c r="DA775" t="s">
        <v>134</v>
      </c>
      <c r="DB775" t="s">
        <v>114</v>
      </c>
      <c r="DC775" t="s">
        <v>114</v>
      </c>
      <c r="DD775" t="s">
        <v>134</v>
      </c>
    </row>
    <row r="776" spans="1:108" ht="15" customHeight="1" x14ac:dyDescent="0.25">
      <c r="A776" t="s">
        <v>13981</v>
      </c>
      <c r="B776" t="s">
        <v>165</v>
      </c>
      <c r="C776" s="1">
        <v>44841.001318287039</v>
      </c>
      <c r="D776" s="1">
        <v>44867</v>
      </c>
      <c r="E776" t="s">
        <v>134</v>
      </c>
      <c r="F776" t="s">
        <v>361</v>
      </c>
      <c r="G776" t="str">
        <f>"35-3023.00"</f>
        <v>35-3023.00</v>
      </c>
      <c r="H776" t="s">
        <v>555</v>
      </c>
      <c r="I776">
        <v>5</v>
      </c>
      <c r="J776">
        <v>5</v>
      </c>
      <c r="K776" s="1">
        <v>44931</v>
      </c>
      <c r="L776" s="1">
        <v>45179</v>
      </c>
      <c r="M776" s="1">
        <v>44931</v>
      </c>
      <c r="N776" s="1">
        <v>45179</v>
      </c>
      <c r="O776" t="s">
        <v>199</v>
      </c>
      <c r="P776" t="s">
        <v>13982</v>
      </c>
      <c r="R776" t="s">
        <v>13983</v>
      </c>
      <c r="T776" t="s">
        <v>587</v>
      </c>
      <c r="U776" t="s">
        <v>530</v>
      </c>
      <c r="V776" s="4" t="str">
        <f>"85044"</f>
        <v>85044</v>
      </c>
      <c r="W776" t="s">
        <v>120</v>
      </c>
      <c r="Y776" s="5">
        <v>16027633188</v>
      </c>
      <c r="AA776">
        <v>7139</v>
      </c>
      <c r="AB776" t="s">
        <v>13984</v>
      </c>
      <c r="AC776" t="s">
        <v>13985</v>
      </c>
      <c r="AE776" t="s">
        <v>700</v>
      </c>
      <c r="AF776" t="s">
        <v>13983</v>
      </c>
      <c r="AH776" t="s">
        <v>12569</v>
      </c>
      <c r="AI776" t="s">
        <v>530</v>
      </c>
      <c r="AJ776" s="4" t="str">
        <f>"85044"</f>
        <v>85044</v>
      </c>
      <c r="AK776" t="s">
        <v>120</v>
      </c>
      <c r="AM776" s="5">
        <v>16027633188</v>
      </c>
      <c r="AO776" t="s">
        <v>13986</v>
      </c>
      <c r="AP776" t="s">
        <v>256</v>
      </c>
      <c r="AQ776" t="s">
        <v>400</v>
      </c>
      <c r="AR776" t="s">
        <v>401</v>
      </c>
      <c r="AS776" t="s">
        <v>397</v>
      </c>
      <c r="AT776" t="s">
        <v>402</v>
      </c>
      <c r="AU776" t="s">
        <v>152</v>
      </c>
      <c r="AV776" t="s">
        <v>403</v>
      </c>
      <c r="AW776" t="s">
        <v>232</v>
      </c>
      <c r="AX776" s="4" t="str">
        <f>"75033"</f>
        <v>75033</v>
      </c>
      <c r="AY776" t="s">
        <v>120</v>
      </c>
      <c r="BA776" s="5">
        <v>19727789690</v>
      </c>
      <c r="BC776" t="s">
        <v>946</v>
      </c>
      <c r="BD776" t="s">
        <v>405</v>
      </c>
      <c r="BG776" t="s">
        <v>530</v>
      </c>
      <c r="BH776" s="1">
        <v>44840.833333333336</v>
      </c>
      <c r="BI776">
        <v>48</v>
      </c>
      <c r="BJ776">
        <v>8</v>
      </c>
      <c r="BK776">
        <v>0</v>
      </c>
      <c r="BL776">
        <v>8</v>
      </c>
      <c r="BM776">
        <v>8</v>
      </c>
      <c r="BN776">
        <v>8</v>
      </c>
      <c r="BO776">
        <v>8</v>
      </c>
      <c r="BP776">
        <v>8</v>
      </c>
      <c r="BQ776" t="str">
        <f>"10:00 AM"</f>
        <v>10:00 AM</v>
      </c>
      <c r="BR776" t="str">
        <f>"7:00 PM"</f>
        <v>7:00 PM</v>
      </c>
      <c r="BS776" t="s">
        <v>133</v>
      </c>
      <c r="BT776">
        <v>0</v>
      </c>
      <c r="BU776">
        <v>0</v>
      </c>
      <c r="BV776" t="s">
        <v>134</v>
      </c>
      <c r="BX776" s="2" t="s">
        <v>13987</v>
      </c>
      <c r="BY776" t="s">
        <v>13988</v>
      </c>
      <c r="CA776" t="s">
        <v>587</v>
      </c>
      <c r="CB776" t="s">
        <v>530</v>
      </c>
      <c r="CC776" s="4" t="str">
        <f>"85007"</f>
        <v>85007</v>
      </c>
      <c r="CD776" t="s">
        <v>592</v>
      </c>
      <c r="CE776" t="s">
        <v>548</v>
      </c>
      <c r="CF776" s="6">
        <v>10.86</v>
      </c>
      <c r="CG776" s="6">
        <v>15.5</v>
      </c>
      <c r="CH776" s="6">
        <v>17.78</v>
      </c>
      <c r="CI776" s="6">
        <v>31</v>
      </c>
      <c r="CJ776" t="s">
        <v>137</v>
      </c>
      <c r="CK776" t="s">
        <v>1641</v>
      </c>
      <c r="CL776" t="s">
        <v>13989</v>
      </c>
      <c r="CO776" t="s">
        <v>138</v>
      </c>
      <c r="CP776" t="s">
        <v>114</v>
      </c>
      <c r="CQ776" t="s">
        <v>114</v>
      </c>
      <c r="CR776" t="s">
        <v>114</v>
      </c>
      <c r="CS776" t="s">
        <v>114</v>
      </c>
      <c r="CT776" t="s">
        <v>114</v>
      </c>
      <c r="CU776" t="s">
        <v>114</v>
      </c>
      <c r="CV776" t="s">
        <v>13990</v>
      </c>
      <c r="CW776" s="5" t="str">
        <f>"+16027633188"</f>
        <v>+16027633188</v>
      </c>
      <c r="CX776" t="s">
        <v>138</v>
      </c>
      <c r="CY776" t="s">
        <v>596</v>
      </c>
      <c r="CZ776" t="s">
        <v>139</v>
      </c>
      <c r="DA776" t="s">
        <v>134</v>
      </c>
      <c r="DB776" t="s">
        <v>114</v>
      </c>
      <c r="DC776" t="s">
        <v>114</v>
      </c>
      <c r="DD776" t="s">
        <v>134</v>
      </c>
    </row>
    <row r="777" spans="1:108" ht="15" customHeight="1" x14ac:dyDescent="0.25">
      <c r="A777" t="s">
        <v>5092</v>
      </c>
      <c r="B777" t="s">
        <v>165</v>
      </c>
      <c r="C777" s="1">
        <v>44841.001000231481</v>
      </c>
      <c r="D777" s="1">
        <v>44867</v>
      </c>
      <c r="E777" t="s">
        <v>134</v>
      </c>
      <c r="F777" t="s">
        <v>361</v>
      </c>
      <c r="G777" t="str">
        <f>"35-3023.00"</f>
        <v>35-3023.00</v>
      </c>
      <c r="H777" t="s">
        <v>555</v>
      </c>
      <c r="I777">
        <v>15</v>
      </c>
      <c r="J777">
        <v>15</v>
      </c>
      <c r="K777" s="1">
        <v>44931</v>
      </c>
      <c r="L777" s="1">
        <v>45234</v>
      </c>
      <c r="M777" s="1">
        <v>44931</v>
      </c>
      <c r="N777" s="1">
        <v>45234</v>
      </c>
      <c r="O777" t="s">
        <v>199</v>
      </c>
      <c r="P777" t="s">
        <v>5093</v>
      </c>
      <c r="R777" t="s">
        <v>5094</v>
      </c>
      <c r="S777" t="s">
        <v>5095</v>
      </c>
      <c r="T777" t="s">
        <v>5096</v>
      </c>
      <c r="U777" t="s">
        <v>530</v>
      </c>
      <c r="V777" s="4" t="str">
        <f>"85339"</f>
        <v>85339</v>
      </c>
      <c r="W777" t="s">
        <v>120</v>
      </c>
      <c r="Y777" s="5">
        <v>16027631372</v>
      </c>
      <c r="AA777">
        <v>71399</v>
      </c>
      <c r="AB777" t="s">
        <v>2120</v>
      </c>
      <c r="AC777" t="s">
        <v>1705</v>
      </c>
      <c r="AE777" t="s">
        <v>424</v>
      </c>
      <c r="AF777" t="s">
        <v>5097</v>
      </c>
      <c r="AG777" t="s">
        <v>5095</v>
      </c>
      <c r="AH777" t="s">
        <v>5096</v>
      </c>
      <c r="AI777" t="s">
        <v>530</v>
      </c>
      <c r="AJ777" s="4" t="str">
        <f>"85339"</f>
        <v>85339</v>
      </c>
      <c r="AK777" t="s">
        <v>120</v>
      </c>
      <c r="AM777" s="5">
        <v>16027631372</v>
      </c>
      <c r="AO777" t="s">
        <v>5098</v>
      </c>
      <c r="AP777" t="s">
        <v>256</v>
      </c>
      <c r="AQ777" t="s">
        <v>400</v>
      </c>
      <c r="AR777" t="s">
        <v>401</v>
      </c>
      <c r="AS777" t="s">
        <v>397</v>
      </c>
      <c r="AT777" t="s">
        <v>402</v>
      </c>
      <c r="AU777" t="s">
        <v>152</v>
      </c>
      <c r="AV777" t="s">
        <v>403</v>
      </c>
      <c r="AW777" t="s">
        <v>232</v>
      </c>
      <c r="AX777" s="4" t="str">
        <f>"75033"</f>
        <v>75033</v>
      </c>
      <c r="AY777" t="s">
        <v>120</v>
      </c>
      <c r="BA777" s="5">
        <v>19727789690</v>
      </c>
      <c r="BC777" t="s">
        <v>946</v>
      </c>
      <c r="BD777" t="s">
        <v>405</v>
      </c>
      <c r="BG777" t="s">
        <v>530</v>
      </c>
      <c r="BH777" s="1">
        <v>44840.833333333336</v>
      </c>
      <c r="BI777">
        <v>48</v>
      </c>
      <c r="BJ777">
        <v>8</v>
      </c>
      <c r="BK777">
        <v>0</v>
      </c>
      <c r="BL777">
        <v>8</v>
      </c>
      <c r="BM777">
        <v>8</v>
      </c>
      <c r="BN777">
        <v>8</v>
      </c>
      <c r="BO777">
        <v>8</v>
      </c>
      <c r="BP777">
        <v>8</v>
      </c>
      <c r="BQ777" t="str">
        <f>"10:00 AM"</f>
        <v>10:00 AM</v>
      </c>
      <c r="BR777" t="str">
        <f>"7:00 PM"</f>
        <v>7:00 PM</v>
      </c>
      <c r="BS777" t="s">
        <v>133</v>
      </c>
      <c r="BT777">
        <v>0</v>
      </c>
      <c r="BU777">
        <v>0</v>
      </c>
      <c r="BV777" t="s">
        <v>134</v>
      </c>
      <c r="BX777" s="2" t="s">
        <v>5099</v>
      </c>
      <c r="BY777" t="s">
        <v>5094</v>
      </c>
      <c r="CA777" t="s">
        <v>5096</v>
      </c>
      <c r="CB777" t="s">
        <v>530</v>
      </c>
      <c r="CC777" s="4" t="str">
        <f>"85339"</f>
        <v>85339</v>
      </c>
      <c r="CD777" t="s">
        <v>592</v>
      </c>
      <c r="CE777" t="s">
        <v>548</v>
      </c>
      <c r="CF777" s="6">
        <v>11.04</v>
      </c>
      <c r="CG777" s="6">
        <v>15.5</v>
      </c>
      <c r="CH777" s="6">
        <v>23.25</v>
      </c>
      <c r="CI777" s="6">
        <v>31</v>
      </c>
      <c r="CJ777" t="s">
        <v>137</v>
      </c>
      <c r="CK777" t="s">
        <v>1641</v>
      </c>
      <c r="CL777" t="s">
        <v>5100</v>
      </c>
      <c r="CO777" t="s">
        <v>138</v>
      </c>
      <c r="CP777" t="s">
        <v>114</v>
      </c>
      <c r="CQ777" t="s">
        <v>114</v>
      </c>
      <c r="CR777" t="s">
        <v>114</v>
      </c>
      <c r="CS777" t="s">
        <v>114</v>
      </c>
      <c r="CT777" t="s">
        <v>114</v>
      </c>
      <c r="CU777" t="s">
        <v>114</v>
      </c>
      <c r="CV777" t="s">
        <v>5101</v>
      </c>
      <c r="CW777" s="5" t="str">
        <f>"+16027631372"</f>
        <v>+16027631372</v>
      </c>
      <c r="CX777" t="s">
        <v>138</v>
      </c>
      <c r="CY777" t="s">
        <v>596</v>
      </c>
      <c r="CZ777" t="s">
        <v>139</v>
      </c>
      <c r="DA777" t="s">
        <v>134</v>
      </c>
      <c r="DB777" t="s">
        <v>114</v>
      </c>
      <c r="DC777" t="s">
        <v>114</v>
      </c>
      <c r="DD777" t="s">
        <v>134</v>
      </c>
    </row>
    <row r="778" spans="1:108" ht="15" customHeight="1" x14ac:dyDescent="0.25">
      <c r="A778" t="s">
        <v>5365</v>
      </c>
      <c r="B778" t="s">
        <v>165</v>
      </c>
      <c r="C778" s="1">
        <v>44841.00046516204</v>
      </c>
      <c r="D778" s="1">
        <v>44867</v>
      </c>
      <c r="E778" t="s">
        <v>134</v>
      </c>
      <c r="F778" t="s">
        <v>361</v>
      </c>
      <c r="G778" t="str">
        <f>"35-3023.00"</f>
        <v>35-3023.00</v>
      </c>
      <c r="H778" t="s">
        <v>555</v>
      </c>
      <c r="I778">
        <v>25</v>
      </c>
      <c r="J778">
        <v>25</v>
      </c>
      <c r="K778" s="1">
        <v>44931</v>
      </c>
      <c r="L778" s="1">
        <v>45234</v>
      </c>
      <c r="M778" s="1">
        <v>44931</v>
      </c>
      <c r="N778" s="1">
        <v>45234</v>
      </c>
      <c r="O778" t="s">
        <v>199</v>
      </c>
      <c r="P778" t="s">
        <v>5366</v>
      </c>
      <c r="R778" t="s">
        <v>5094</v>
      </c>
      <c r="T778" t="s">
        <v>5096</v>
      </c>
      <c r="U778" t="s">
        <v>530</v>
      </c>
      <c r="V778" s="4" t="str">
        <f>"85339"</f>
        <v>85339</v>
      </c>
      <c r="W778" t="s">
        <v>120</v>
      </c>
      <c r="Y778" s="5">
        <v>16027639955</v>
      </c>
      <c r="AA778">
        <v>71399</v>
      </c>
      <c r="AB778" t="s">
        <v>5367</v>
      </c>
      <c r="AC778" t="s">
        <v>3929</v>
      </c>
      <c r="AE778" t="s">
        <v>424</v>
      </c>
      <c r="AF778" t="s">
        <v>5094</v>
      </c>
      <c r="AH778" t="s">
        <v>5096</v>
      </c>
      <c r="AI778" t="s">
        <v>530</v>
      </c>
      <c r="AJ778" s="4" t="str">
        <f>"85339"</f>
        <v>85339</v>
      </c>
      <c r="AK778" t="s">
        <v>120</v>
      </c>
      <c r="AM778" s="5">
        <v>16027639955</v>
      </c>
      <c r="AO778" t="s">
        <v>5368</v>
      </c>
      <c r="AP778" t="s">
        <v>256</v>
      </c>
      <c r="AQ778" t="s">
        <v>400</v>
      </c>
      <c r="AR778" t="s">
        <v>401</v>
      </c>
      <c r="AS778" t="s">
        <v>397</v>
      </c>
      <c r="AT778" t="s">
        <v>402</v>
      </c>
      <c r="AU778" t="s">
        <v>152</v>
      </c>
      <c r="AV778" t="s">
        <v>403</v>
      </c>
      <c r="AW778" t="s">
        <v>232</v>
      </c>
      <c r="AX778" s="4" t="str">
        <f>"75033"</f>
        <v>75033</v>
      </c>
      <c r="AY778" t="s">
        <v>120</v>
      </c>
      <c r="BA778" s="5">
        <v>19727789690</v>
      </c>
      <c r="BC778" t="s">
        <v>946</v>
      </c>
      <c r="BD778" t="s">
        <v>405</v>
      </c>
      <c r="BG778" t="s">
        <v>530</v>
      </c>
      <c r="BH778" s="1">
        <v>44840.833333333336</v>
      </c>
      <c r="BI778">
        <v>48</v>
      </c>
      <c r="BJ778">
        <v>8</v>
      </c>
      <c r="BK778">
        <v>0</v>
      </c>
      <c r="BL778">
        <v>8</v>
      </c>
      <c r="BM778">
        <v>8</v>
      </c>
      <c r="BN778">
        <v>8</v>
      </c>
      <c r="BO778">
        <v>8</v>
      </c>
      <c r="BP778">
        <v>8</v>
      </c>
      <c r="BQ778" t="str">
        <f>"10:00 AM"</f>
        <v>10:00 AM</v>
      </c>
      <c r="BR778" t="str">
        <f>"7:00 PM"</f>
        <v>7:00 PM</v>
      </c>
      <c r="BS778" t="s">
        <v>133</v>
      </c>
      <c r="BT778">
        <v>0</v>
      </c>
      <c r="BU778">
        <v>0</v>
      </c>
      <c r="BV778" t="s">
        <v>134</v>
      </c>
      <c r="BX778" s="2" t="s">
        <v>5223</v>
      </c>
      <c r="BY778" t="s">
        <v>5094</v>
      </c>
      <c r="CA778" t="s">
        <v>5096</v>
      </c>
      <c r="CB778" t="s">
        <v>530</v>
      </c>
      <c r="CC778" s="4" t="str">
        <f>"85339"</f>
        <v>85339</v>
      </c>
      <c r="CD778" t="s">
        <v>592</v>
      </c>
      <c r="CE778" t="s">
        <v>548</v>
      </c>
      <c r="CF778" s="6">
        <v>10.86</v>
      </c>
      <c r="CG778" s="6">
        <v>16.649999999999999</v>
      </c>
      <c r="CH778" s="6">
        <v>17.78</v>
      </c>
      <c r="CI778" s="6">
        <v>31</v>
      </c>
      <c r="CJ778" t="s">
        <v>137</v>
      </c>
      <c r="CK778" t="s">
        <v>1641</v>
      </c>
      <c r="CL778" t="s">
        <v>5369</v>
      </c>
      <c r="CO778" t="s">
        <v>138</v>
      </c>
      <c r="CP778" t="s">
        <v>114</v>
      </c>
      <c r="CQ778" t="s">
        <v>114</v>
      </c>
      <c r="CR778" t="s">
        <v>114</v>
      </c>
      <c r="CS778" t="s">
        <v>114</v>
      </c>
      <c r="CT778" t="s">
        <v>114</v>
      </c>
      <c r="CU778" t="s">
        <v>114</v>
      </c>
      <c r="CV778" s="2" t="s">
        <v>5370</v>
      </c>
      <c r="CW778" s="5" t="str">
        <f>"+16027639955"</f>
        <v>+16027639955</v>
      </c>
      <c r="CX778" t="s">
        <v>138</v>
      </c>
      <c r="CY778" t="s">
        <v>596</v>
      </c>
      <c r="CZ778" t="s">
        <v>139</v>
      </c>
      <c r="DA778" t="s">
        <v>134</v>
      </c>
      <c r="DB778" t="s">
        <v>114</v>
      </c>
      <c r="DC778" t="s">
        <v>114</v>
      </c>
      <c r="DD778" t="s">
        <v>134</v>
      </c>
    </row>
    <row r="779" spans="1:108" ht="15" customHeight="1" x14ac:dyDescent="0.25">
      <c r="A779" t="s">
        <v>5221</v>
      </c>
      <c r="B779" t="s">
        <v>165</v>
      </c>
      <c r="C779" s="1">
        <v>44841.000197222224</v>
      </c>
      <c r="D779" s="1">
        <v>44867</v>
      </c>
      <c r="E779" t="s">
        <v>134</v>
      </c>
      <c r="F779" t="s">
        <v>361</v>
      </c>
      <c r="G779" t="str">
        <f>"35-3023.00"</f>
        <v>35-3023.00</v>
      </c>
      <c r="H779" t="s">
        <v>555</v>
      </c>
      <c r="I779">
        <v>350</v>
      </c>
      <c r="J779">
        <v>350</v>
      </c>
      <c r="K779" s="1">
        <v>44931</v>
      </c>
      <c r="L779" s="1">
        <v>45234</v>
      </c>
      <c r="M779" s="1">
        <v>44931</v>
      </c>
      <c r="N779" s="1">
        <v>45234</v>
      </c>
      <c r="O779" t="s">
        <v>199</v>
      </c>
      <c r="P779" t="s">
        <v>5222</v>
      </c>
      <c r="R779" t="s">
        <v>5094</v>
      </c>
      <c r="T779" t="s">
        <v>5096</v>
      </c>
      <c r="U779" t="s">
        <v>530</v>
      </c>
      <c r="V779" s="4" t="str">
        <f>"85339"</f>
        <v>85339</v>
      </c>
      <c r="W779" t="s">
        <v>120</v>
      </c>
      <c r="Y779" s="5">
        <v>16027632179</v>
      </c>
      <c r="AA779">
        <v>71399</v>
      </c>
      <c r="AB779" t="s">
        <v>2120</v>
      </c>
      <c r="AC779" t="s">
        <v>1705</v>
      </c>
      <c r="AE779" t="s">
        <v>1526</v>
      </c>
      <c r="AF779" t="s">
        <v>5094</v>
      </c>
      <c r="AH779" t="s">
        <v>5096</v>
      </c>
      <c r="AI779" t="s">
        <v>530</v>
      </c>
      <c r="AJ779" s="4" t="str">
        <f>"85339"</f>
        <v>85339</v>
      </c>
      <c r="AK779" t="s">
        <v>120</v>
      </c>
      <c r="AM779" s="5">
        <v>16027632179</v>
      </c>
      <c r="AO779" t="s">
        <v>5098</v>
      </c>
      <c r="AP779" t="s">
        <v>256</v>
      </c>
      <c r="AQ779" t="s">
        <v>400</v>
      </c>
      <c r="AR779" t="s">
        <v>401</v>
      </c>
      <c r="AS779" t="s">
        <v>397</v>
      </c>
      <c r="AT779" t="s">
        <v>402</v>
      </c>
      <c r="AU779" t="s">
        <v>152</v>
      </c>
      <c r="AV779" t="s">
        <v>403</v>
      </c>
      <c r="AW779" t="s">
        <v>232</v>
      </c>
      <c r="AX779" s="4" t="str">
        <f>"75033"</f>
        <v>75033</v>
      </c>
      <c r="AY779" t="s">
        <v>120</v>
      </c>
      <c r="BA779" s="5">
        <v>19727789690</v>
      </c>
      <c r="BC779" t="s">
        <v>946</v>
      </c>
      <c r="BD779" t="s">
        <v>405</v>
      </c>
      <c r="BG779" t="s">
        <v>530</v>
      </c>
      <c r="BH779" s="1">
        <v>44840.833333333336</v>
      </c>
      <c r="BI779">
        <v>48</v>
      </c>
      <c r="BJ779">
        <v>8</v>
      </c>
      <c r="BK779">
        <v>0</v>
      </c>
      <c r="BL779">
        <v>8</v>
      </c>
      <c r="BM779">
        <v>8</v>
      </c>
      <c r="BN779">
        <v>8</v>
      </c>
      <c r="BO779">
        <v>8</v>
      </c>
      <c r="BP779">
        <v>8</v>
      </c>
      <c r="BQ779" t="str">
        <f>"10:00 AM"</f>
        <v>10:00 AM</v>
      </c>
      <c r="BR779" t="str">
        <f>"7:00 PM"</f>
        <v>7:00 PM</v>
      </c>
      <c r="BS779" t="s">
        <v>133</v>
      </c>
      <c r="BT779">
        <v>0</v>
      </c>
      <c r="BU779">
        <v>0</v>
      </c>
      <c r="BV779" t="s">
        <v>134</v>
      </c>
      <c r="BX779" s="2" t="s">
        <v>5223</v>
      </c>
      <c r="BY779" t="s">
        <v>5094</v>
      </c>
      <c r="CA779" t="s">
        <v>5096</v>
      </c>
      <c r="CB779" t="s">
        <v>530</v>
      </c>
      <c r="CC779" s="4" t="str">
        <f>"85339"</f>
        <v>85339</v>
      </c>
      <c r="CD779" t="s">
        <v>592</v>
      </c>
      <c r="CE779" t="s">
        <v>548</v>
      </c>
      <c r="CF779" s="6">
        <v>10.86</v>
      </c>
      <c r="CG779" s="6">
        <v>16.649999999999999</v>
      </c>
      <c r="CH779" s="6">
        <v>17.78</v>
      </c>
      <c r="CI779" s="6">
        <v>31</v>
      </c>
      <c r="CJ779" t="s">
        <v>137</v>
      </c>
      <c r="CK779" t="s">
        <v>1641</v>
      </c>
      <c r="CL779" t="s">
        <v>5224</v>
      </c>
      <c r="CO779" t="s">
        <v>138</v>
      </c>
      <c r="CP779" t="s">
        <v>114</v>
      </c>
      <c r="CQ779" t="s">
        <v>114</v>
      </c>
      <c r="CR779" t="s">
        <v>114</v>
      </c>
      <c r="CS779" t="s">
        <v>114</v>
      </c>
      <c r="CT779" t="s">
        <v>114</v>
      </c>
      <c r="CU779" t="s">
        <v>114</v>
      </c>
      <c r="CV779" t="s">
        <v>5101</v>
      </c>
      <c r="CW779" s="5" t="str">
        <f>"+16027632179"</f>
        <v>+16027632179</v>
      </c>
      <c r="CX779" t="s">
        <v>138</v>
      </c>
      <c r="CY779" t="s">
        <v>596</v>
      </c>
      <c r="CZ779" t="s">
        <v>139</v>
      </c>
      <c r="DA779" t="s">
        <v>134</v>
      </c>
      <c r="DB779" t="s">
        <v>114</v>
      </c>
      <c r="DC779" t="s">
        <v>114</v>
      </c>
      <c r="DD779" t="s">
        <v>134</v>
      </c>
    </row>
    <row r="780" spans="1:108" ht="15" customHeight="1" x14ac:dyDescent="0.25">
      <c r="A780" t="s">
        <v>9833</v>
      </c>
      <c r="B780" t="s">
        <v>165</v>
      </c>
      <c r="C780" s="1">
        <v>44840.468950462964</v>
      </c>
      <c r="D780" s="1">
        <v>44867</v>
      </c>
      <c r="E780" t="s">
        <v>114</v>
      </c>
      <c r="F780" t="s">
        <v>5719</v>
      </c>
      <c r="G780" t="str">
        <f>"37-3011.00"</f>
        <v>37-3011.00</v>
      </c>
      <c r="H780" t="s">
        <v>335</v>
      </c>
      <c r="I780">
        <v>3</v>
      </c>
      <c r="J780">
        <v>3</v>
      </c>
      <c r="K780" s="1">
        <v>44930</v>
      </c>
      <c r="L780" s="1">
        <v>45233</v>
      </c>
      <c r="M780" s="1">
        <v>44930</v>
      </c>
      <c r="N780" s="1">
        <v>45233</v>
      </c>
      <c r="O780" t="s">
        <v>117</v>
      </c>
      <c r="P780" t="s">
        <v>9834</v>
      </c>
      <c r="Q780" t="s">
        <v>1897</v>
      </c>
      <c r="R780" t="s">
        <v>9835</v>
      </c>
      <c r="S780" t="s">
        <v>1897</v>
      </c>
      <c r="T780" t="s">
        <v>2252</v>
      </c>
      <c r="U780" t="s">
        <v>214</v>
      </c>
      <c r="V780" s="4" t="str">
        <f>"70808"</f>
        <v>70808</v>
      </c>
      <c r="W780" t="s">
        <v>120</v>
      </c>
      <c r="Y780" s="5">
        <v>12259073449</v>
      </c>
      <c r="AA780">
        <v>56173</v>
      </c>
      <c r="AB780" t="s">
        <v>9836</v>
      </c>
      <c r="AC780" t="s">
        <v>4590</v>
      </c>
      <c r="AE780" t="s">
        <v>424</v>
      </c>
      <c r="AF780" t="s">
        <v>9835</v>
      </c>
      <c r="AH780" t="s">
        <v>2252</v>
      </c>
      <c r="AI780" t="s">
        <v>214</v>
      </c>
      <c r="AJ780" s="4" t="str">
        <f>"70808"</f>
        <v>70808</v>
      </c>
      <c r="AK780" t="s">
        <v>120</v>
      </c>
      <c r="AM780" s="5">
        <v>14349173294</v>
      </c>
      <c r="AO780" t="s">
        <v>9837</v>
      </c>
      <c r="AP780" t="s">
        <v>256</v>
      </c>
      <c r="AQ780" t="s">
        <v>5959</v>
      </c>
      <c r="AR780" t="s">
        <v>5960</v>
      </c>
      <c r="AS780" t="s">
        <v>1582</v>
      </c>
      <c r="AT780" t="s">
        <v>5961</v>
      </c>
      <c r="AU780" t="s">
        <v>5962</v>
      </c>
      <c r="AV780" t="s">
        <v>4575</v>
      </c>
      <c r="AW780" t="s">
        <v>119</v>
      </c>
      <c r="AX780" s="4" t="str">
        <f>"27536"</f>
        <v>27536</v>
      </c>
      <c r="AY780" t="s">
        <v>120</v>
      </c>
      <c r="BA780" s="5">
        <v>14349173294</v>
      </c>
      <c r="BC780" t="s">
        <v>5963</v>
      </c>
      <c r="BD780" t="s">
        <v>5964</v>
      </c>
      <c r="BG780" t="s">
        <v>214</v>
      </c>
      <c r="BH780" s="1">
        <v>44839.833333333336</v>
      </c>
      <c r="BI780">
        <v>40</v>
      </c>
      <c r="BJ780">
        <v>0</v>
      </c>
      <c r="BK780">
        <v>7</v>
      </c>
      <c r="BL780">
        <v>7</v>
      </c>
      <c r="BM780">
        <v>7</v>
      </c>
      <c r="BN780">
        <v>7</v>
      </c>
      <c r="BO780">
        <v>7</v>
      </c>
      <c r="BP780">
        <v>5</v>
      </c>
      <c r="BQ780" t="str">
        <f>"7:00 AM"</f>
        <v>7:00 AM</v>
      </c>
      <c r="BR780" t="str">
        <f>"3:00 PM"</f>
        <v>3:00 PM</v>
      </c>
      <c r="BS780" t="s">
        <v>133</v>
      </c>
      <c r="BT780">
        <v>0</v>
      </c>
      <c r="BU780">
        <v>1</v>
      </c>
      <c r="BV780" t="s">
        <v>134</v>
      </c>
      <c r="BX780" s="2" t="s">
        <v>9838</v>
      </c>
      <c r="BY780" t="s">
        <v>9835</v>
      </c>
      <c r="CA780" t="s">
        <v>2252</v>
      </c>
      <c r="CB780" t="s">
        <v>214</v>
      </c>
      <c r="CC780" s="4" t="str">
        <f>"70808"</f>
        <v>70808</v>
      </c>
      <c r="CD780" t="s">
        <v>2247</v>
      </c>
      <c r="CE780" t="s">
        <v>737</v>
      </c>
      <c r="CF780" s="6">
        <v>14.87</v>
      </c>
      <c r="CG780" s="6">
        <v>14.87</v>
      </c>
      <c r="CH780" s="6">
        <v>22.31</v>
      </c>
      <c r="CI780" s="6">
        <v>22.31</v>
      </c>
      <c r="CJ780" t="s">
        <v>137</v>
      </c>
      <c r="CL780" t="s">
        <v>9839</v>
      </c>
      <c r="CO780" t="s">
        <v>138</v>
      </c>
      <c r="CP780" t="s">
        <v>134</v>
      </c>
      <c r="CQ780" t="s">
        <v>114</v>
      </c>
      <c r="CR780" t="s">
        <v>114</v>
      </c>
      <c r="CS780" t="s">
        <v>134</v>
      </c>
      <c r="CT780" t="s">
        <v>114</v>
      </c>
      <c r="CU780" t="s">
        <v>114</v>
      </c>
      <c r="CV780" t="s">
        <v>9840</v>
      </c>
      <c r="CW780" s="5" t="str">
        <f>"+12259073449"</f>
        <v>+12259073449</v>
      </c>
      <c r="CX780" t="s">
        <v>138</v>
      </c>
      <c r="CY780" t="s">
        <v>274</v>
      </c>
      <c r="CZ780" t="s">
        <v>139</v>
      </c>
      <c r="DA780" t="s">
        <v>134</v>
      </c>
      <c r="DB780" t="s">
        <v>134</v>
      </c>
      <c r="DC780" t="s">
        <v>114</v>
      </c>
      <c r="DD780" t="s">
        <v>134</v>
      </c>
    </row>
    <row r="781" spans="1:108" ht="15" customHeight="1" x14ac:dyDescent="0.25">
      <c r="A781" t="s">
        <v>11579</v>
      </c>
      <c r="B781" t="s">
        <v>165</v>
      </c>
      <c r="C781" s="1">
        <v>44839.984824884261</v>
      </c>
      <c r="D781" s="1">
        <v>44867</v>
      </c>
      <c r="E781" t="s">
        <v>134</v>
      </c>
      <c r="F781" t="s">
        <v>1034</v>
      </c>
      <c r="G781" t="str">
        <f>"37-3011.00"</f>
        <v>37-3011.00</v>
      </c>
      <c r="H781" t="s">
        <v>335</v>
      </c>
      <c r="I781">
        <v>36</v>
      </c>
      <c r="J781">
        <v>36</v>
      </c>
      <c r="K781" s="1">
        <v>44914</v>
      </c>
      <c r="L781" s="1">
        <v>45213</v>
      </c>
      <c r="M781" s="1">
        <v>44914</v>
      </c>
      <c r="N781" s="1">
        <v>45213</v>
      </c>
      <c r="O781" t="s">
        <v>117</v>
      </c>
      <c r="P781" t="s">
        <v>11580</v>
      </c>
      <c r="R781" t="s">
        <v>11581</v>
      </c>
      <c r="S781" t="s">
        <v>11582</v>
      </c>
      <c r="T781" t="s">
        <v>5887</v>
      </c>
      <c r="U781" t="s">
        <v>530</v>
      </c>
      <c r="V781" s="4" t="str">
        <f>"85203"</f>
        <v>85203</v>
      </c>
      <c r="W781" t="s">
        <v>120</v>
      </c>
      <c r="Y781" s="5">
        <v>14809466261</v>
      </c>
      <c r="AA781">
        <v>5617</v>
      </c>
      <c r="AB781" t="s">
        <v>11583</v>
      </c>
      <c r="AC781" t="s">
        <v>370</v>
      </c>
      <c r="AD781" t="s">
        <v>1900</v>
      </c>
      <c r="AE781" t="s">
        <v>977</v>
      </c>
      <c r="AF781" t="s">
        <v>11581</v>
      </c>
      <c r="AG781" t="s">
        <v>11582</v>
      </c>
      <c r="AH781" t="s">
        <v>5887</v>
      </c>
      <c r="AI781" t="s">
        <v>530</v>
      </c>
      <c r="AJ781" s="4" t="str">
        <f>"85203"</f>
        <v>85203</v>
      </c>
      <c r="AK781" t="s">
        <v>120</v>
      </c>
      <c r="AM781" s="5">
        <v>14809466261</v>
      </c>
      <c r="AO781" t="s">
        <v>11584</v>
      </c>
      <c r="AP781" t="s">
        <v>256</v>
      </c>
      <c r="AQ781" t="s">
        <v>1042</v>
      </c>
      <c r="AR781" t="s">
        <v>1043</v>
      </c>
      <c r="AT781" t="s">
        <v>1044</v>
      </c>
      <c r="AU781" t="s">
        <v>1045</v>
      </c>
      <c r="AV781" t="s">
        <v>587</v>
      </c>
      <c r="AW781" t="s">
        <v>530</v>
      </c>
      <c r="AX781" s="4" t="str">
        <f>"85048"</f>
        <v>85048</v>
      </c>
      <c r="AY781" t="s">
        <v>120</v>
      </c>
      <c r="BA781" s="5">
        <v>14809411885</v>
      </c>
      <c r="BC781" t="s">
        <v>1046</v>
      </c>
      <c r="BD781" t="s">
        <v>1047</v>
      </c>
      <c r="BG781" t="s">
        <v>530</v>
      </c>
      <c r="BH781" s="1">
        <v>44838.833333333336</v>
      </c>
      <c r="BI781">
        <v>40</v>
      </c>
      <c r="BJ781">
        <v>0</v>
      </c>
      <c r="BK781">
        <v>8</v>
      </c>
      <c r="BL781">
        <v>8</v>
      </c>
      <c r="BM781">
        <v>8</v>
      </c>
      <c r="BN781">
        <v>8</v>
      </c>
      <c r="BO781">
        <v>8</v>
      </c>
      <c r="BP781">
        <v>0</v>
      </c>
      <c r="BQ781" t="str">
        <f>"6:00 AM"</f>
        <v>6:00 AM</v>
      </c>
      <c r="BR781" t="str">
        <f>"2:30 PM"</f>
        <v>2:30 PM</v>
      </c>
      <c r="BS781" t="s">
        <v>133</v>
      </c>
      <c r="BT781">
        <v>0</v>
      </c>
      <c r="BU781">
        <v>3</v>
      </c>
      <c r="BV781" t="s">
        <v>134</v>
      </c>
      <c r="BX781" s="2" t="s">
        <v>5341</v>
      </c>
      <c r="BY781" t="s">
        <v>11585</v>
      </c>
      <c r="BZ781" t="s">
        <v>11582</v>
      </c>
      <c r="CA781" t="s">
        <v>5887</v>
      </c>
      <c r="CB781" t="s">
        <v>530</v>
      </c>
      <c r="CC781" s="4" t="str">
        <f>"85203"</f>
        <v>85203</v>
      </c>
      <c r="CD781" t="s">
        <v>592</v>
      </c>
      <c r="CE781" t="s">
        <v>548</v>
      </c>
      <c r="CF781" s="6">
        <v>16.57</v>
      </c>
      <c r="CG781" s="6">
        <v>16.57</v>
      </c>
      <c r="CH781" s="6">
        <v>24.86</v>
      </c>
      <c r="CI781" s="6">
        <v>24.86</v>
      </c>
      <c r="CJ781" t="s">
        <v>137</v>
      </c>
      <c r="CK781" t="s">
        <v>1053</v>
      </c>
      <c r="CL781" t="s">
        <v>11586</v>
      </c>
      <c r="CO781" t="s">
        <v>138</v>
      </c>
      <c r="CP781" t="s">
        <v>114</v>
      </c>
      <c r="CQ781" t="s">
        <v>114</v>
      </c>
      <c r="CR781" t="s">
        <v>114</v>
      </c>
      <c r="CS781" t="s">
        <v>134</v>
      </c>
      <c r="CT781" t="s">
        <v>114</v>
      </c>
      <c r="CU781" t="s">
        <v>134</v>
      </c>
      <c r="CV781" t="s">
        <v>5345</v>
      </c>
      <c r="CW781" s="5" t="str">
        <f>"+14809466261"</f>
        <v>+14809466261</v>
      </c>
      <c r="CX781" t="s">
        <v>11584</v>
      </c>
      <c r="CY781" t="s">
        <v>138</v>
      </c>
      <c r="CZ781" t="s">
        <v>139</v>
      </c>
      <c r="DA781" t="s">
        <v>134</v>
      </c>
      <c r="DB781" t="s">
        <v>114</v>
      </c>
      <c r="DC781" t="s">
        <v>114</v>
      </c>
      <c r="DD781" t="s">
        <v>134</v>
      </c>
    </row>
    <row r="782" spans="1:108" ht="15" customHeight="1" x14ac:dyDescent="0.25">
      <c r="A782" t="s">
        <v>16606</v>
      </c>
      <c r="B782" t="s">
        <v>165</v>
      </c>
      <c r="C782" s="1">
        <v>44837.65838645833</v>
      </c>
      <c r="D782" s="1">
        <v>44867</v>
      </c>
      <c r="E782" t="s">
        <v>134</v>
      </c>
      <c r="F782" t="s">
        <v>16607</v>
      </c>
      <c r="G782" t="str">
        <f>"51-9111.00"</f>
        <v>51-9111.00</v>
      </c>
      <c r="H782" t="s">
        <v>4327</v>
      </c>
      <c r="I782">
        <v>5</v>
      </c>
      <c r="J782">
        <v>5</v>
      </c>
      <c r="K782" s="1">
        <v>44927</v>
      </c>
      <c r="L782" s="1">
        <v>45212</v>
      </c>
      <c r="M782" s="1">
        <v>44927</v>
      </c>
      <c r="N782" s="1">
        <v>45212</v>
      </c>
      <c r="O782" t="s">
        <v>199</v>
      </c>
      <c r="P782" t="s">
        <v>16608</v>
      </c>
      <c r="R782" t="s">
        <v>16609</v>
      </c>
      <c r="T782" t="s">
        <v>13385</v>
      </c>
      <c r="U782" t="s">
        <v>214</v>
      </c>
      <c r="V782" s="4" t="str">
        <f>"70360"</f>
        <v>70360</v>
      </c>
      <c r="W782" t="s">
        <v>120</v>
      </c>
      <c r="Y782" s="5">
        <v>19858688809</v>
      </c>
      <c r="AA782">
        <v>42446</v>
      </c>
      <c r="AB782" t="s">
        <v>16610</v>
      </c>
      <c r="AC782" t="s">
        <v>16611</v>
      </c>
      <c r="AE782" t="s">
        <v>252</v>
      </c>
      <c r="AF782" t="s">
        <v>16609</v>
      </c>
      <c r="AH782" t="s">
        <v>13385</v>
      </c>
      <c r="AI782" t="s">
        <v>214</v>
      </c>
      <c r="AJ782" s="4" t="str">
        <f>"70360"</f>
        <v>70360</v>
      </c>
      <c r="AK782" t="s">
        <v>120</v>
      </c>
      <c r="AM782" s="5">
        <v>19858688809</v>
      </c>
      <c r="AO782" t="s">
        <v>16612</v>
      </c>
      <c r="AP782" t="s">
        <v>256</v>
      </c>
      <c r="AQ782" t="s">
        <v>885</v>
      </c>
      <c r="AR782" t="s">
        <v>886</v>
      </c>
      <c r="AT782" t="s">
        <v>887</v>
      </c>
      <c r="AV782" t="s">
        <v>888</v>
      </c>
      <c r="AW782" t="s">
        <v>232</v>
      </c>
      <c r="AX782" s="4" t="str">
        <f>"75098"</f>
        <v>75098</v>
      </c>
      <c r="AY782" t="s">
        <v>120</v>
      </c>
      <c r="BA782" s="5">
        <v>19724424244</v>
      </c>
      <c r="BC782" t="s">
        <v>889</v>
      </c>
      <c r="BD782" t="s">
        <v>1264</v>
      </c>
      <c r="BG782" t="s">
        <v>214</v>
      </c>
      <c r="BH782" s="1">
        <v>44836.833333333336</v>
      </c>
      <c r="BI782">
        <v>40</v>
      </c>
      <c r="BJ782">
        <v>0</v>
      </c>
      <c r="BK782">
        <v>8</v>
      </c>
      <c r="BL782">
        <v>8</v>
      </c>
      <c r="BM782">
        <v>8</v>
      </c>
      <c r="BN782">
        <v>8</v>
      </c>
      <c r="BO782">
        <v>8</v>
      </c>
      <c r="BP782">
        <v>0</v>
      </c>
      <c r="BQ782" t="str">
        <f>"5:00 AM"</f>
        <v>5:00 AM</v>
      </c>
      <c r="BR782" t="str">
        <f>"1:00 PM"</f>
        <v>1:00 PM</v>
      </c>
      <c r="BS782" t="s">
        <v>133</v>
      </c>
      <c r="BT782">
        <v>0</v>
      </c>
      <c r="BU782">
        <v>0</v>
      </c>
      <c r="BV782" t="s">
        <v>134</v>
      </c>
      <c r="BX782" t="s">
        <v>138</v>
      </c>
      <c r="BY782" t="s">
        <v>16609</v>
      </c>
      <c r="CA782" t="s">
        <v>13385</v>
      </c>
      <c r="CB782" t="s">
        <v>214</v>
      </c>
      <c r="CC782" s="4" t="str">
        <f>"70360"</f>
        <v>70360</v>
      </c>
      <c r="CD782" t="s">
        <v>9106</v>
      </c>
      <c r="CE782" t="s">
        <v>9107</v>
      </c>
      <c r="CF782" s="6">
        <v>16.53</v>
      </c>
      <c r="CG782" s="6">
        <v>18.53</v>
      </c>
      <c r="CH782" s="6">
        <v>24.8</v>
      </c>
      <c r="CI782" s="6">
        <v>27.8</v>
      </c>
      <c r="CJ782" t="s">
        <v>137</v>
      </c>
      <c r="CL782" t="s">
        <v>16613</v>
      </c>
      <c r="CO782" t="s">
        <v>138</v>
      </c>
      <c r="CP782" t="s">
        <v>134</v>
      </c>
      <c r="CQ782" t="s">
        <v>114</v>
      </c>
      <c r="CR782" t="s">
        <v>114</v>
      </c>
      <c r="CS782" t="s">
        <v>114</v>
      </c>
      <c r="CT782" t="s">
        <v>114</v>
      </c>
      <c r="CU782" t="s">
        <v>114</v>
      </c>
      <c r="CV782" t="s">
        <v>219</v>
      </c>
      <c r="CW782" s="5" t="str">
        <f>"+19858688809"</f>
        <v>+19858688809</v>
      </c>
      <c r="CX782" t="s">
        <v>138</v>
      </c>
      <c r="CY782" t="s">
        <v>2996</v>
      </c>
      <c r="CZ782" t="s">
        <v>139</v>
      </c>
      <c r="DA782" t="s">
        <v>134</v>
      </c>
      <c r="DB782" t="s">
        <v>134</v>
      </c>
      <c r="DC782" t="s">
        <v>114</v>
      </c>
      <c r="DD782" t="s">
        <v>134</v>
      </c>
    </row>
    <row r="783" spans="1:108" ht="15" customHeight="1" x14ac:dyDescent="0.25">
      <c r="A783" t="s">
        <v>6417</v>
      </c>
      <c r="B783" t="s">
        <v>165</v>
      </c>
      <c r="C783" s="1">
        <v>44836.51578321759</v>
      </c>
      <c r="D783" s="1">
        <v>44867</v>
      </c>
      <c r="E783" t="s">
        <v>114</v>
      </c>
      <c r="F783" t="s">
        <v>6418</v>
      </c>
      <c r="G783" t="str">
        <f>"37-2012.00"</f>
        <v>37-2012.00</v>
      </c>
      <c r="H783" t="s">
        <v>116</v>
      </c>
      <c r="I783">
        <v>8</v>
      </c>
      <c r="J783">
        <v>8</v>
      </c>
      <c r="K783" s="1">
        <v>44911</v>
      </c>
      <c r="L783" s="1">
        <v>45138</v>
      </c>
      <c r="M783" s="1">
        <v>44911</v>
      </c>
      <c r="N783" s="1">
        <v>45138</v>
      </c>
      <c r="O783" t="s">
        <v>199</v>
      </c>
      <c r="P783" t="s">
        <v>6419</v>
      </c>
      <c r="Q783" t="s">
        <v>6420</v>
      </c>
      <c r="R783" t="s">
        <v>6421</v>
      </c>
      <c r="T783" t="s">
        <v>5310</v>
      </c>
      <c r="U783" t="s">
        <v>1361</v>
      </c>
      <c r="V783" s="4" t="str">
        <f>"39530"</f>
        <v>39530</v>
      </c>
      <c r="W783" t="s">
        <v>120</v>
      </c>
      <c r="Y783" s="5">
        <v>12282767602</v>
      </c>
      <c r="AA783">
        <v>72112</v>
      </c>
      <c r="AB783" t="s">
        <v>6013</v>
      </c>
      <c r="AC783" t="s">
        <v>6422</v>
      </c>
      <c r="AE783" t="s">
        <v>398</v>
      </c>
      <c r="AF783" t="s">
        <v>6421</v>
      </c>
      <c r="AH783" t="s">
        <v>6423</v>
      </c>
      <c r="AI783" t="s">
        <v>1361</v>
      </c>
      <c r="AJ783" s="4" t="str">
        <f>"39530"</f>
        <v>39530</v>
      </c>
      <c r="AK783" t="s">
        <v>120</v>
      </c>
      <c r="AM783" s="5">
        <v>12282767602</v>
      </c>
      <c r="AO783" t="s">
        <v>6424</v>
      </c>
      <c r="AP783" t="s">
        <v>122</v>
      </c>
      <c r="AQ783" t="s">
        <v>2645</v>
      </c>
      <c r="AR783" t="s">
        <v>2646</v>
      </c>
      <c r="AS783" t="s">
        <v>6425</v>
      </c>
      <c r="AT783" t="s">
        <v>2647</v>
      </c>
      <c r="AU783" t="s">
        <v>5648</v>
      </c>
      <c r="AV783" t="s">
        <v>6426</v>
      </c>
      <c r="AW783" t="s">
        <v>154</v>
      </c>
      <c r="AX783" s="4" t="str">
        <f>"33316"</f>
        <v>33316</v>
      </c>
      <c r="AY783" t="s">
        <v>120</v>
      </c>
      <c r="BA783" s="5">
        <v>15613228604</v>
      </c>
      <c r="BC783" t="s">
        <v>6427</v>
      </c>
      <c r="BD783" t="s">
        <v>2651</v>
      </c>
      <c r="BE783" t="s">
        <v>444</v>
      </c>
      <c r="BF783" t="s">
        <v>6428</v>
      </c>
      <c r="BG783" t="s">
        <v>1361</v>
      </c>
      <c r="BH783" s="1">
        <v>44835.833333333336</v>
      </c>
      <c r="BI783">
        <v>35</v>
      </c>
      <c r="BJ783">
        <v>7</v>
      </c>
      <c r="BK783">
        <v>7</v>
      </c>
      <c r="BL783">
        <v>0</v>
      </c>
      <c r="BM783">
        <v>0</v>
      </c>
      <c r="BN783">
        <v>7</v>
      </c>
      <c r="BO783">
        <v>7</v>
      </c>
      <c r="BP783">
        <v>7</v>
      </c>
      <c r="BQ783" t="str">
        <f>"6:00 AM"</f>
        <v>6:00 AM</v>
      </c>
      <c r="BR783" t="str">
        <f>"10:00 PM"</f>
        <v>10:00 PM</v>
      </c>
      <c r="BS783" t="s">
        <v>133</v>
      </c>
      <c r="BT783">
        <v>0</v>
      </c>
      <c r="BU783">
        <v>3</v>
      </c>
      <c r="BV783" t="s">
        <v>134</v>
      </c>
      <c r="BX783" s="2" t="s">
        <v>6429</v>
      </c>
      <c r="BY783" t="s">
        <v>6421</v>
      </c>
      <c r="CA783" t="s">
        <v>5310</v>
      </c>
      <c r="CB783" t="s">
        <v>1361</v>
      </c>
      <c r="CC783" s="4" t="str">
        <f>"39530"</f>
        <v>39530</v>
      </c>
      <c r="CD783" t="s">
        <v>1446</v>
      </c>
      <c r="CE783" t="s">
        <v>3850</v>
      </c>
      <c r="CF783" s="6">
        <v>11.22</v>
      </c>
      <c r="CG783" s="6">
        <v>11.22</v>
      </c>
      <c r="CH783" s="6">
        <v>16.829999999999998</v>
      </c>
      <c r="CI783" s="6">
        <v>16.829999999999998</v>
      </c>
      <c r="CJ783" t="s">
        <v>137</v>
      </c>
      <c r="CK783" t="s">
        <v>6430</v>
      </c>
      <c r="CL783" t="s">
        <v>6431</v>
      </c>
      <c r="CO783" t="s">
        <v>138</v>
      </c>
      <c r="CP783" t="s">
        <v>134</v>
      </c>
      <c r="CQ783" t="s">
        <v>114</v>
      </c>
      <c r="CR783" t="s">
        <v>114</v>
      </c>
      <c r="CS783" t="s">
        <v>114</v>
      </c>
      <c r="CT783" t="s">
        <v>114</v>
      </c>
      <c r="CU783" t="s">
        <v>114</v>
      </c>
      <c r="CV783" s="2" t="s">
        <v>6432</v>
      </c>
      <c r="CW783" s="5" t="str">
        <f>"+12282767611"</f>
        <v>+12282767611</v>
      </c>
      <c r="CX783" t="s">
        <v>6433</v>
      </c>
      <c r="CY783" t="s">
        <v>138</v>
      </c>
      <c r="CZ783" t="s">
        <v>139</v>
      </c>
      <c r="DA783" t="s">
        <v>134</v>
      </c>
      <c r="DB783" t="s">
        <v>134</v>
      </c>
      <c r="DC783" t="s">
        <v>114</v>
      </c>
      <c r="DD783" t="s">
        <v>134</v>
      </c>
    </row>
    <row r="784" spans="1:108" ht="15" customHeight="1" x14ac:dyDescent="0.25">
      <c r="A784" t="s">
        <v>15868</v>
      </c>
      <c r="B784" t="s">
        <v>165</v>
      </c>
      <c r="C784" s="1">
        <v>44812.797085185186</v>
      </c>
      <c r="D784" s="1">
        <v>44867</v>
      </c>
      <c r="E784" t="s">
        <v>114</v>
      </c>
      <c r="F784" t="s">
        <v>8866</v>
      </c>
      <c r="G784" t="str">
        <f>"37-2011.00"</f>
        <v>37-2011.00</v>
      </c>
      <c r="H784" t="s">
        <v>672</v>
      </c>
      <c r="I784">
        <v>72</v>
      </c>
      <c r="J784">
        <v>72</v>
      </c>
      <c r="K784" s="1">
        <v>44888</v>
      </c>
      <c r="L784" s="1">
        <v>45031</v>
      </c>
      <c r="M784" s="1">
        <v>44888</v>
      </c>
      <c r="N784" s="1">
        <v>45031</v>
      </c>
      <c r="O784" t="s">
        <v>199</v>
      </c>
      <c r="P784" t="s">
        <v>6780</v>
      </c>
      <c r="R784" t="s">
        <v>6781</v>
      </c>
      <c r="T784" t="s">
        <v>6782</v>
      </c>
      <c r="U784" t="s">
        <v>184</v>
      </c>
      <c r="V784" s="4" t="str">
        <f>"60118"</f>
        <v>60118</v>
      </c>
      <c r="W784" t="s">
        <v>120</v>
      </c>
      <c r="Y784" s="5">
        <v>18476950080</v>
      </c>
      <c r="AA784">
        <v>56179</v>
      </c>
      <c r="AB784" t="s">
        <v>6783</v>
      </c>
      <c r="AC784" t="s">
        <v>1486</v>
      </c>
      <c r="AE784" t="s">
        <v>6784</v>
      </c>
      <c r="AF784" t="s">
        <v>6781</v>
      </c>
      <c r="AH784" t="s">
        <v>6782</v>
      </c>
      <c r="AI784" t="s">
        <v>184</v>
      </c>
      <c r="AJ784" s="4" t="str">
        <f>"60118"</f>
        <v>60118</v>
      </c>
      <c r="AK784" t="s">
        <v>120</v>
      </c>
      <c r="AM784" s="5">
        <v>18476950080</v>
      </c>
      <c r="AN784">
        <v>7689</v>
      </c>
      <c r="AO784" t="s">
        <v>6785</v>
      </c>
      <c r="AP784" t="s">
        <v>122</v>
      </c>
      <c r="AQ784" t="s">
        <v>4167</v>
      </c>
      <c r="AR784" t="s">
        <v>173</v>
      </c>
      <c r="AS784" t="s">
        <v>3492</v>
      </c>
      <c r="AT784" t="s">
        <v>4168</v>
      </c>
      <c r="AU784" t="s">
        <v>4169</v>
      </c>
      <c r="AV784" t="s">
        <v>2748</v>
      </c>
      <c r="AW784" t="s">
        <v>420</v>
      </c>
      <c r="AX784" s="4" t="str">
        <f>"84111"</f>
        <v>84111</v>
      </c>
      <c r="AY784" t="s">
        <v>120</v>
      </c>
      <c r="BA784" s="5">
        <v>18012971290</v>
      </c>
      <c r="BC784" t="s">
        <v>4170</v>
      </c>
      <c r="BD784" t="s">
        <v>4171</v>
      </c>
      <c r="BE784" t="s">
        <v>420</v>
      </c>
      <c r="BF784" t="s">
        <v>4172</v>
      </c>
      <c r="BG784" t="s">
        <v>184</v>
      </c>
      <c r="BH784" s="1">
        <v>44810.833333333336</v>
      </c>
      <c r="BI784">
        <v>35</v>
      </c>
      <c r="BJ784">
        <v>0</v>
      </c>
      <c r="BK784">
        <v>7</v>
      </c>
      <c r="BL784">
        <v>7</v>
      </c>
      <c r="BM784">
        <v>7</v>
      </c>
      <c r="BN784">
        <v>7</v>
      </c>
      <c r="BO784">
        <v>7</v>
      </c>
      <c r="BP784">
        <v>0</v>
      </c>
      <c r="BQ784" t="str">
        <f>"10:00 AM"</f>
        <v>10:00 AM</v>
      </c>
      <c r="BR784" t="str">
        <f>"5:00 PM"</f>
        <v>5:00 PM</v>
      </c>
      <c r="BS784" t="s">
        <v>133</v>
      </c>
      <c r="BT784">
        <v>0</v>
      </c>
      <c r="BU784">
        <v>0</v>
      </c>
      <c r="BV784" t="s">
        <v>134</v>
      </c>
      <c r="BX784" s="2" t="s">
        <v>15869</v>
      </c>
      <c r="BY784" t="s">
        <v>6781</v>
      </c>
      <c r="CA784" t="s">
        <v>6782</v>
      </c>
      <c r="CB784" t="s">
        <v>184</v>
      </c>
      <c r="CC784" s="4" t="str">
        <f>"60118"</f>
        <v>60118</v>
      </c>
      <c r="CD784" t="s">
        <v>1661</v>
      </c>
      <c r="CE784" t="s">
        <v>1556</v>
      </c>
      <c r="CF784" s="6">
        <v>16.329999999999998</v>
      </c>
      <c r="CH784" s="6">
        <v>24.5</v>
      </c>
      <c r="CJ784" t="s">
        <v>137</v>
      </c>
      <c r="CL784" t="s">
        <v>15870</v>
      </c>
      <c r="CO784" t="s">
        <v>138</v>
      </c>
      <c r="CP784" t="s">
        <v>114</v>
      </c>
      <c r="CQ784" t="s">
        <v>114</v>
      </c>
      <c r="CR784" t="s">
        <v>114</v>
      </c>
      <c r="CS784" t="s">
        <v>114</v>
      </c>
      <c r="CT784" t="s">
        <v>114</v>
      </c>
      <c r="CU784" t="s">
        <v>114</v>
      </c>
      <c r="CV784" t="s">
        <v>15871</v>
      </c>
      <c r="CW784" s="5" t="str">
        <f>"+18484769500"</f>
        <v>+18484769500</v>
      </c>
      <c r="CX784" t="s">
        <v>6785</v>
      </c>
      <c r="CY784" t="s">
        <v>138</v>
      </c>
      <c r="CZ784" t="s">
        <v>139</v>
      </c>
      <c r="DA784" t="s">
        <v>134</v>
      </c>
      <c r="DB784" t="s">
        <v>134</v>
      </c>
      <c r="DC784" t="s">
        <v>114</v>
      </c>
      <c r="DD784" t="s">
        <v>134</v>
      </c>
    </row>
    <row r="785" spans="1:113" ht="15" customHeight="1" x14ac:dyDescent="0.25">
      <c r="A785" t="s">
        <v>5230</v>
      </c>
      <c r="B785" t="s">
        <v>165</v>
      </c>
      <c r="C785" s="1">
        <v>44812.745473495372</v>
      </c>
      <c r="D785" s="1">
        <v>44867</v>
      </c>
      <c r="E785" t="s">
        <v>134</v>
      </c>
      <c r="F785" t="s">
        <v>5231</v>
      </c>
      <c r="G785" t="str">
        <f>"37-3013.00"</f>
        <v>37-3013.00</v>
      </c>
      <c r="H785" t="s">
        <v>468</v>
      </c>
      <c r="I785">
        <v>20</v>
      </c>
      <c r="J785">
        <v>20</v>
      </c>
      <c r="K785" s="1">
        <v>44890</v>
      </c>
      <c r="L785" s="1">
        <v>45017</v>
      </c>
      <c r="M785" s="1">
        <v>44890</v>
      </c>
      <c r="N785" s="1">
        <v>45017</v>
      </c>
      <c r="O785" t="s">
        <v>199</v>
      </c>
      <c r="P785" t="s">
        <v>5232</v>
      </c>
      <c r="R785" t="s">
        <v>5233</v>
      </c>
      <c r="T785" t="s">
        <v>5234</v>
      </c>
      <c r="U785" t="s">
        <v>232</v>
      </c>
      <c r="V785" s="4" t="str">
        <f>"76259"</f>
        <v>76259</v>
      </c>
      <c r="W785" t="s">
        <v>120</v>
      </c>
      <c r="Y785" s="5">
        <v>19728096625</v>
      </c>
      <c r="AA785">
        <v>56173</v>
      </c>
      <c r="AB785" t="s">
        <v>2070</v>
      </c>
      <c r="AC785" t="s">
        <v>5235</v>
      </c>
      <c r="AE785" t="s">
        <v>342</v>
      </c>
      <c r="AF785" t="s">
        <v>5233</v>
      </c>
      <c r="AH785" t="s">
        <v>5234</v>
      </c>
      <c r="AI785" t="s">
        <v>232</v>
      </c>
      <c r="AJ785" s="4" t="str">
        <f>"76259"</f>
        <v>76259</v>
      </c>
      <c r="AK785" t="s">
        <v>120</v>
      </c>
      <c r="AM785" s="5">
        <v>19728096625</v>
      </c>
      <c r="AO785" t="s">
        <v>5236</v>
      </c>
      <c r="AP785" t="s">
        <v>256</v>
      </c>
      <c r="AQ785" t="s">
        <v>885</v>
      </c>
      <c r="AR785" t="s">
        <v>886</v>
      </c>
      <c r="AT785" t="s">
        <v>887</v>
      </c>
      <c r="AV785" t="s">
        <v>888</v>
      </c>
      <c r="AW785" t="s">
        <v>232</v>
      </c>
      <c r="AX785" s="4" t="str">
        <f>"75098"</f>
        <v>75098</v>
      </c>
      <c r="AY785" t="s">
        <v>120</v>
      </c>
      <c r="BA785" s="5">
        <v>19724424244</v>
      </c>
      <c r="BC785" t="s">
        <v>889</v>
      </c>
      <c r="BD785" t="s">
        <v>1264</v>
      </c>
      <c r="BG785" t="s">
        <v>232</v>
      </c>
      <c r="BH785" s="1">
        <v>44811.833333333336</v>
      </c>
      <c r="BI785">
        <v>40</v>
      </c>
      <c r="BJ785">
        <v>0</v>
      </c>
      <c r="BK785">
        <v>8</v>
      </c>
      <c r="BL785">
        <v>8</v>
      </c>
      <c r="BM785">
        <v>8</v>
      </c>
      <c r="BN785">
        <v>8</v>
      </c>
      <c r="BO785">
        <v>8</v>
      </c>
      <c r="BP785">
        <v>0</v>
      </c>
      <c r="BQ785" t="str">
        <f>"7:00 AM"</f>
        <v>7:00 AM</v>
      </c>
      <c r="BR785" t="str">
        <f>"6:00 PM"</f>
        <v>6:00 PM</v>
      </c>
      <c r="BS785" t="s">
        <v>133</v>
      </c>
      <c r="BT785">
        <v>0</v>
      </c>
      <c r="BU785">
        <v>0</v>
      </c>
      <c r="BV785" t="s">
        <v>134</v>
      </c>
      <c r="BX785" s="2" t="s">
        <v>2039</v>
      </c>
      <c r="BY785" t="s">
        <v>5233</v>
      </c>
      <c r="CA785" t="s">
        <v>5234</v>
      </c>
      <c r="CB785" t="s">
        <v>232</v>
      </c>
      <c r="CC785" s="4" t="str">
        <f>"76259"</f>
        <v>76259</v>
      </c>
      <c r="CD785" t="s">
        <v>2071</v>
      </c>
      <c r="CE785" t="s">
        <v>1528</v>
      </c>
      <c r="CF785" s="6">
        <v>16.03</v>
      </c>
      <c r="CG785" s="6">
        <v>20</v>
      </c>
      <c r="CH785" s="6">
        <v>24.05</v>
      </c>
      <c r="CI785" s="6">
        <v>30</v>
      </c>
      <c r="CJ785" t="s">
        <v>137</v>
      </c>
      <c r="CL785" t="s">
        <v>5237</v>
      </c>
      <c r="CO785" t="s">
        <v>138</v>
      </c>
      <c r="CP785" t="s">
        <v>114</v>
      </c>
      <c r="CQ785" t="s">
        <v>114</v>
      </c>
      <c r="CR785" t="s">
        <v>114</v>
      </c>
      <c r="CS785" t="s">
        <v>114</v>
      </c>
      <c r="CT785" t="s">
        <v>114</v>
      </c>
      <c r="CU785" t="s">
        <v>114</v>
      </c>
      <c r="CV785" t="s">
        <v>219</v>
      </c>
      <c r="CW785" s="5" t="str">
        <f>"+19728096625"</f>
        <v>+19728096625</v>
      </c>
      <c r="CX785" t="s">
        <v>138</v>
      </c>
      <c r="CY785" t="s">
        <v>2072</v>
      </c>
      <c r="CZ785" t="s">
        <v>139</v>
      </c>
      <c r="DA785" t="s">
        <v>134</v>
      </c>
      <c r="DB785" t="s">
        <v>134</v>
      </c>
      <c r="DC785" t="s">
        <v>114</v>
      </c>
      <c r="DD785" t="s">
        <v>134</v>
      </c>
    </row>
    <row r="786" spans="1:113" ht="15" customHeight="1" x14ac:dyDescent="0.25">
      <c r="A786" t="s">
        <v>14654</v>
      </c>
      <c r="B786" t="s">
        <v>165</v>
      </c>
      <c r="C786" s="1">
        <v>44805.597531597225</v>
      </c>
      <c r="D786" s="1">
        <v>44867</v>
      </c>
      <c r="E786" t="s">
        <v>134</v>
      </c>
      <c r="F786" t="s">
        <v>115</v>
      </c>
      <c r="G786" t="str">
        <f>"37-2012.00"</f>
        <v>37-2012.00</v>
      </c>
      <c r="H786" t="s">
        <v>116</v>
      </c>
      <c r="I786">
        <v>10</v>
      </c>
      <c r="J786">
        <v>10</v>
      </c>
      <c r="K786" s="1">
        <v>44890</v>
      </c>
      <c r="L786" s="1">
        <v>45017</v>
      </c>
      <c r="M786" s="1">
        <v>44890</v>
      </c>
      <c r="N786" s="1">
        <v>45017</v>
      </c>
      <c r="O786" t="s">
        <v>117</v>
      </c>
      <c r="P786" t="s">
        <v>14655</v>
      </c>
      <c r="R786" t="s">
        <v>14656</v>
      </c>
      <c r="T786" t="s">
        <v>1856</v>
      </c>
      <c r="U786" t="s">
        <v>2164</v>
      </c>
      <c r="V786" s="4" t="str">
        <f>"83025"</f>
        <v>83025</v>
      </c>
      <c r="W786" t="s">
        <v>120</v>
      </c>
      <c r="Y786" s="5">
        <v>13072004220</v>
      </c>
      <c r="AA786">
        <v>72111</v>
      </c>
      <c r="AB786" t="s">
        <v>14657</v>
      </c>
      <c r="AC786" t="s">
        <v>1830</v>
      </c>
      <c r="AE786" t="s">
        <v>1567</v>
      </c>
      <c r="AF786" t="s">
        <v>14656</v>
      </c>
      <c r="AH786" t="s">
        <v>1856</v>
      </c>
      <c r="AI786" t="s">
        <v>2164</v>
      </c>
      <c r="AJ786" s="4" t="str">
        <f>"83025"</f>
        <v>83025</v>
      </c>
      <c r="AK786" t="s">
        <v>120</v>
      </c>
      <c r="AM786" s="5">
        <v>13072004220</v>
      </c>
      <c r="AO786" t="s">
        <v>14658</v>
      </c>
      <c r="AP786" t="s">
        <v>122</v>
      </c>
      <c r="AQ786" t="s">
        <v>753</v>
      </c>
      <c r="AR786" t="s">
        <v>754</v>
      </c>
      <c r="AS786" t="s">
        <v>755</v>
      </c>
      <c r="AT786" t="s">
        <v>756</v>
      </c>
      <c r="AU786" t="s">
        <v>757</v>
      </c>
      <c r="AV786" t="s">
        <v>758</v>
      </c>
      <c r="AW786" t="s">
        <v>281</v>
      </c>
      <c r="AX786" s="4" t="str">
        <f>"01701"</f>
        <v>01701</v>
      </c>
      <c r="AY786" t="s">
        <v>120</v>
      </c>
      <c r="BA786" s="5">
        <v>16179399444</v>
      </c>
      <c r="BC786" t="s">
        <v>2487</v>
      </c>
      <c r="BD786" t="s">
        <v>760</v>
      </c>
      <c r="BE786" t="s">
        <v>281</v>
      </c>
      <c r="BF786" t="s">
        <v>761</v>
      </c>
      <c r="BG786" t="s">
        <v>2164</v>
      </c>
      <c r="BH786" s="1">
        <v>44799.833333333336</v>
      </c>
      <c r="BI786">
        <v>40</v>
      </c>
      <c r="BJ786">
        <v>0</v>
      </c>
      <c r="BK786">
        <v>8</v>
      </c>
      <c r="BL786">
        <v>8</v>
      </c>
      <c r="BM786">
        <v>8</v>
      </c>
      <c r="BN786">
        <v>8</v>
      </c>
      <c r="BO786">
        <v>8</v>
      </c>
      <c r="BP786">
        <v>0</v>
      </c>
      <c r="BQ786" t="str">
        <f>"9:00 AM"</f>
        <v>9:00 AM</v>
      </c>
      <c r="BR786" t="str">
        <f>"5:00 PM"</f>
        <v>5:00 PM</v>
      </c>
      <c r="BS786" t="s">
        <v>133</v>
      </c>
      <c r="BT786">
        <v>0</v>
      </c>
      <c r="BU786">
        <v>3</v>
      </c>
      <c r="BV786" t="s">
        <v>134</v>
      </c>
      <c r="BX786" s="2" t="s">
        <v>14659</v>
      </c>
      <c r="BY786" t="s">
        <v>14656</v>
      </c>
      <c r="CA786" t="s">
        <v>1856</v>
      </c>
      <c r="CB786" t="s">
        <v>2164</v>
      </c>
      <c r="CC786" s="4" t="str">
        <f>"83025"</f>
        <v>83025</v>
      </c>
      <c r="CD786" t="s">
        <v>1428</v>
      </c>
      <c r="CE786" t="s">
        <v>4445</v>
      </c>
      <c r="CF786" s="6">
        <v>14.28</v>
      </c>
      <c r="CH786" s="6">
        <v>21.42</v>
      </c>
      <c r="CJ786" t="s">
        <v>137</v>
      </c>
      <c r="CK786" t="e">
        <f>+DOE. end of year bonus.</f>
        <v>#NAME?</v>
      </c>
      <c r="CL786" t="s">
        <v>14660</v>
      </c>
      <c r="CO786" t="s">
        <v>138</v>
      </c>
      <c r="CP786" t="s">
        <v>134</v>
      </c>
      <c r="CQ786" t="s">
        <v>134</v>
      </c>
      <c r="CR786" t="s">
        <v>114</v>
      </c>
      <c r="CS786" t="s">
        <v>114</v>
      </c>
      <c r="CT786" t="s">
        <v>114</v>
      </c>
      <c r="CU786" t="s">
        <v>134</v>
      </c>
      <c r="CV786" t="s">
        <v>14661</v>
      </c>
      <c r="CW786" s="5" t="str">
        <f>"+13072015365"</f>
        <v>+13072015365</v>
      </c>
      <c r="CX786" t="s">
        <v>14662</v>
      </c>
      <c r="CY786" t="s">
        <v>138</v>
      </c>
      <c r="CZ786" t="s">
        <v>139</v>
      </c>
      <c r="DA786" t="s">
        <v>134</v>
      </c>
      <c r="DB786" t="s">
        <v>134</v>
      </c>
      <c r="DC786" t="s">
        <v>114</v>
      </c>
      <c r="DD786" t="s">
        <v>134</v>
      </c>
    </row>
    <row r="787" spans="1:113" ht="15" customHeight="1" x14ac:dyDescent="0.25">
      <c r="A787" t="s">
        <v>15392</v>
      </c>
      <c r="B787" t="s">
        <v>165</v>
      </c>
      <c r="C787" s="1">
        <v>44802.547294675926</v>
      </c>
      <c r="D787" s="1">
        <v>44867</v>
      </c>
      <c r="E787" t="s">
        <v>134</v>
      </c>
      <c r="F787" t="s">
        <v>15393</v>
      </c>
      <c r="G787" t="str">
        <f>"27-1025.00"</f>
        <v>27-1025.00</v>
      </c>
      <c r="H787" t="s">
        <v>15394</v>
      </c>
      <c r="I787">
        <v>10</v>
      </c>
      <c r="J787">
        <v>10</v>
      </c>
      <c r="K787" s="1">
        <v>44880</v>
      </c>
      <c r="L787" s="1">
        <v>45183</v>
      </c>
      <c r="M787" s="1">
        <v>44880</v>
      </c>
      <c r="N787" s="1">
        <v>45183</v>
      </c>
      <c r="O787" t="s">
        <v>168</v>
      </c>
      <c r="P787" t="s">
        <v>15395</v>
      </c>
      <c r="R787" t="s">
        <v>15396</v>
      </c>
      <c r="S787" t="s">
        <v>15397</v>
      </c>
      <c r="T787" t="s">
        <v>2012</v>
      </c>
      <c r="U787" t="s">
        <v>848</v>
      </c>
      <c r="V787" s="4" t="str">
        <f>"10123"</f>
        <v>10123</v>
      </c>
      <c r="W787" t="s">
        <v>120</v>
      </c>
      <c r="Y787" s="5">
        <v>18882095240</v>
      </c>
      <c r="AA787">
        <v>54141</v>
      </c>
      <c r="AB787" t="s">
        <v>15398</v>
      </c>
      <c r="AC787" t="s">
        <v>15399</v>
      </c>
      <c r="AE787" t="s">
        <v>1855</v>
      </c>
      <c r="AF787" t="s">
        <v>15400</v>
      </c>
      <c r="AG787" t="s">
        <v>15397</v>
      </c>
      <c r="AH787" t="s">
        <v>2012</v>
      </c>
      <c r="AI787" t="s">
        <v>848</v>
      </c>
      <c r="AJ787" s="4" t="str">
        <f>"10123"</f>
        <v>10123</v>
      </c>
      <c r="AK787" t="s">
        <v>120</v>
      </c>
      <c r="AM787" s="5">
        <v>18882095240</v>
      </c>
      <c r="AO787" t="s">
        <v>15401</v>
      </c>
      <c r="AP787" t="s">
        <v>122</v>
      </c>
      <c r="AQ787" t="s">
        <v>9138</v>
      </c>
      <c r="AR787" t="s">
        <v>9139</v>
      </c>
      <c r="AT787" t="s">
        <v>9140</v>
      </c>
      <c r="AU787" t="s">
        <v>9141</v>
      </c>
      <c r="AV787" t="s">
        <v>2012</v>
      </c>
      <c r="AW787" t="s">
        <v>848</v>
      </c>
      <c r="AX787" s="4" t="str">
        <f>"10016"</f>
        <v>10016</v>
      </c>
      <c r="AY787" t="s">
        <v>120</v>
      </c>
      <c r="BA787" s="5">
        <v>12123555240</v>
      </c>
      <c r="BC787" t="s">
        <v>9142</v>
      </c>
      <c r="BD787" t="s">
        <v>9143</v>
      </c>
      <c r="BE787" t="s">
        <v>848</v>
      </c>
      <c r="BF787" t="s">
        <v>9144</v>
      </c>
      <c r="BG787" t="s">
        <v>848</v>
      </c>
      <c r="BH787" s="1">
        <v>44801.833333333336</v>
      </c>
      <c r="BI787">
        <v>40</v>
      </c>
      <c r="BJ787">
        <v>0</v>
      </c>
      <c r="BK787">
        <v>0</v>
      </c>
      <c r="BL787">
        <v>8</v>
      </c>
      <c r="BM787">
        <v>8</v>
      </c>
      <c r="BN787">
        <v>8</v>
      </c>
      <c r="BO787">
        <v>8</v>
      </c>
      <c r="BP787">
        <v>8</v>
      </c>
      <c r="BQ787" t="str">
        <f>"9:00 AM"</f>
        <v>9:00 AM</v>
      </c>
      <c r="BR787" t="str">
        <f>"5:00 PM"</f>
        <v>5:00 PM</v>
      </c>
      <c r="BS787" t="s">
        <v>133</v>
      </c>
      <c r="BT787">
        <v>0</v>
      </c>
      <c r="BU787">
        <v>12</v>
      </c>
      <c r="BV787" t="s">
        <v>134</v>
      </c>
      <c r="BX787" t="s">
        <v>133</v>
      </c>
      <c r="BY787" t="s">
        <v>15400</v>
      </c>
      <c r="BZ787" t="s">
        <v>15397</v>
      </c>
      <c r="CA787" t="s">
        <v>2012</v>
      </c>
      <c r="CB787" t="s">
        <v>848</v>
      </c>
      <c r="CC787" s="4" t="str">
        <f>"10123"</f>
        <v>10123</v>
      </c>
      <c r="CD787" t="s">
        <v>8029</v>
      </c>
      <c r="CE787" t="s">
        <v>1009</v>
      </c>
      <c r="CF787" s="6">
        <v>34.799999999999997</v>
      </c>
      <c r="CG787" s="6">
        <v>34.799999999999997</v>
      </c>
      <c r="CJ787" t="s">
        <v>137</v>
      </c>
      <c r="CL787" t="s">
        <v>15402</v>
      </c>
      <c r="CO787" t="s">
        <v>138</v>
      </c>
      <c r="CP787" t="s">
        <v>134</v>
      </c>
      <c r="CQ787" t="s">
        <v>134</v>
      </c>
      <c r="CR787" t="s">
        <v>134</v>
      </c>
      <c r="CS787" t="s">
        <v>134</v>
      </c>
      <c r="CT787" t="s">
        <v>114</v>
      </c>
      <c r="CU787" t="s">
        <v>134</v>
      </c>
      <c r="CV787" t="s">
        <v>9145</v>
      </c>
      <c r="CW787" s="5" t="str">
        <f>"+18882095240"</f>
        <v>+18882095240</v>
      </c>
      <c r="CX787" t="s">
        <v>15401</v>
      </c>
      <c r="CY787" t="s">
        <v>138</v>
      </c>
      <c r="CZ787" t="s">
        <v>139</v>
      </c>
      <c r="DA787" t="s">
        <v>134</v>
      </c>
      <c r="DB787" t="s">
        <v>134</v>
      </c>
      <c r="DC787" t="s">
        <v>114</v>
      </c>
      <c r="DD787" t="s">
        <v>134</v>
      </c>
    </row>
    <row r="788" spans="1:113" ht="15" customHeight="1" x14ac:dyDescent="0.25">
      <c r="A788" t="s">
        <v>16503</v>
      </c>
      <c r="B788" t="s">
        <v>165</v>
      </c>
      <c r="C788" s="1">
        <v>44840.489609837961</v>
      </c>
      <c r="D788" s="1">
        <v>44866</v>
      </c>
      <c r="E788" t="s">
        <v>134</v>
      </c>
      <c r="F788" t="s">
        <v>4476</v>
      </c>
      <c r="G788" t="str">
        <f>"37-3011.00"</f>
        <v>37-3011.00</v>
      </c>
      <c r="H788" t="s">
        <v>335</v>
      </c>
      <c r="I788">
        <v>30</v>
      </c>
      <c r="J788">
        <v>30</v>
      </c>
      <c r="K788" s="1">
        <v>44927</v>
      </c>
      <c r="L788" s="1">
        <v>45230</v>
      </c>
      <c r="M788" s="1">
        <v>44927</v>
      </c>
      <c r="N788" s="1">
        <v>45230</v>
      </c>
      <c r="O788" t="s">
        <v>117</v>
      </c>
      <c r="P788" t="s">
        <v>16504</v>
      </c>
      <c r="R788" t="s">
        <v>16505</v>
      </c>
      <c r="T788" t="s">
        <v>13479</v>
      </c>
      <c r="U788" t="s">
        <v>697</v>
      </c>
      <c r="V788" s="4" t="str">
        <f>"65109"</f>
        <v>65109</v>
      </c>
      <c r="W788" t="s">
        <v>120</v>
      </c>
      <c r="Y788" s="5">
        <v>15738932896</v>
      </c>
      <c r="AA788">
        <v>561730</v>
      </c>
      <c r="AB788" t="s">
        <v>16506</v>
      </c>
      <c r="AC788" t="s">
        <v>536</v>
      </c>
      <c r="AE788" t="s">
        <v>342</v>
      </c>
      <c r="AF788" t="s">
        <v>16505</v>
      </c>
      <c r="AH788" t="s">
        <v>13479</v>
      </c>
      <c r="AI788" t="s">
        <v>697</v>
      </c>
      <c r="AJ788" s="4" t="str">
        <f>"65109"</f>
        <v>65109</v>
      </c>
      <c r="AK788" t="s">
        <v>120</v>
      </c>
      <c r="AM788" s="5">
        <v>15738932896</v>
      </c>
      <c r="AO788" t="s">
        <v>1574</v>
      </c>
      <c r="AP788" t="s">
        <v>256</v>
      </c>
      <c r="AQ788" t="s">
        <v>2115</v>
      </c>
      <c r="AR788" t="s">
        <v>2116</v>
      </c>
      <c r="AT788" t="s">
        <v>346</v>
      </c>
      <c r="AU788" t="s">
        <v>347</v>
      </c>
      <c r="AV788" t="s">
        <v>348</v>
      </c>
      <c r="AW788" t="s">
        <v>349</v>
      </c>
      <c r="AX788" s="4" t="str">
        <f>"83814"</f>
        <v>83814</v>
      </c>
      <c r="AY788" t="s">
        <v>120</v>
      </c>
      <c r="BA788" s="5">
        <v>12087772654</v>
      </c>
      <c r="BC788" t="s">
        <v>2117</v>
      </c>
      <c r="BD788" t="s">
        <v>351</v>
      </c>
      <c r="BG788" t="s">
        <v>697</v>
      </c>
      <c r="BH788" s="1">
        <v>44836.833333333336</v>
      </c>
      <c r="BI788">
        <v>40</v>
      </c>
      <c r="BJ788">
        <v>0</v>
      </c>
      <c r="BK788">
        <v>8</v>
      </c>
      <c r="BL788">
        <v>8</v>
      </c>
      <c r="BM788">
        <v>8</v>
      </c>
      <c r="BN788">
        <v>8</v>
      </c>
      <c r="BO788">
        <v>8</v>
      </c>
      <c r="BP788">
        <v>0</v>
      </c>
      <c r="BQ788" t="str">
        <f>"6:30 AM"</f>
        <v>6:30 AM</v>
      </c>
      <c r="BR788" t="str">
        <f>"5:00 PM"</f>
        <v>5:00 PM</v>
      </c>
      <c r="BS788" t="s">
        <v>133</v>
      </c>
      <c r="BT788">
        <v>0</v>
      </c>
      <c r="BU788">
        <v>0</v>
      </c>
      <c r="BV788" t="s">
        <v>134</v>
      </c>
      <c r="BX788" s="2" t="s">
        <v>5845</v>
      </c>
      <c r="BY788" t="s">
        <v>16507</v>
      </c>
      <c r="CA788" t="s">
        <v>13479</v>
      </c>
      <c r="CB788" t="s">
        <v>697</v>
      </c>
      <c r="CC788" s="4" t="str">
        <f>"65109"</f>
        <v>65109</v>
      </c>
      <c r="CD788" t="s">
        <v>7888</v>
      </c>
      <c r="CE788" t="s">
        <v>13480</v>
      </c>
      <c r="CF788" s="6">
        <v>16.96</v>
      </c>
      <c r="CG788" s="6">
        <v>25</v>
      </c>
      <c r="CH788" s="6">
        <v>25.44</v>
      </c>
      <c r="CI788" s="6">
        <v>37.5</v>
      </c>
      <c r="CJ788" t="s">
        <v>137</v>
      </c>
      <c r="CK788" t="s">
        <v>356</v>
      </c>
      <c r="CL788" t="s">
        <v>16508</v>
      </c>
      <c r="CO788" t="s">
        <v>138</v>
      </c>
      <c r="CP788" t="s">
        <v>114</v>
      </c>
      <c r="CQ788" t="s">
        <v>114</v>
      </c>
      <c r="CR788" t="s">
        <v>114</v>
      </c>
      <c r="CS788" t="s">
        <v>114</v>
      </c>
      <c r="CT788" t="s">
        <v>114</v>
      </c>
      <c r="CU788" t="s">
        <v>114</v>
      </c>
      <c r="CV788" t="s">
        <v>16509</v>
      </c>
      <c r="CW788" s="5" t="str">
        <f>"+15738932896"</f>
        <v>+15738932896</v>
      </c>
      <c r="CX788" t="s">
        <v>16510</v>
      </c>
      <c r="CY788" t="s">
        <v>1987</v>
      </c>
      <c r="CZ788" t="s">
        <v>139</v>
      </c>
      <c r="DA788" t="s">
        <v>134</v>
      </c>
      <c r="DB788" t="s">
        <v>134</v>
      </c>
      <c r="DC788" t="s">
        <v>114</v>
      </c>
      <c r="DD788" t="s">
        <v>134</v>
      </c>
    </row>
    <row r="789" spans="1:113" ht="15" customHeight="1" x14ac:dyDescent="0.25">
      <c r="A789" t="s">
        <v>15104</v>
      </c>
      <c r="B789" t="s">
        <v>165</v>
      </c>
      <c r="C789" s="1">
        <v>44840.388544212961</v>
      </c>
      <c r="D789" s="1">
        <v>44866</v>
      </c>
      <c r="E789" t="s">
        <v>134</v>
      </c>
      <c r="F789" t="s">
        <v>467</v>
      </c>
      <c r="G789" t="str">
        <f>"37-3013.00"</f>
        <v>37-3013.00</v>
      </c>
      <c r="H789" t="s">
        <v>468</v>
      </c>
      <c r="I789">
        <v>55</v>
      </c>
      <c r="J789">
        <v>55</v>
      </c>
      <c r="K789" s="1">
        <v>44930</v>
      </c>
      <c r="L789" s="1">
        <v>45234</v>
      </c>
      <c r="M789" s="1">
        <v>44930</v>
      </c>
      <c r="N789" s="1">
        <v>45234</v>
      </c>
      <c r="O789" t="s">
        <v>117</v>
      </c>
      <c r="P789" t="s">
        <v>5583</v>
      </c>
      <c r="R789" t="s">
        <v>470</v>
      </c>
      <c r="T789" t="s">
        <v>471</v>
      </c>
      <c r="U789" t="s">
        <v>232</v>
      </c>
      <c r="V789" s="4" t="str">
        <f>"77598"</f>
        <v>77598</v>
      </c>
      <c r="W789" t="s">
        <v>120</v>
      </c>
      <c r="Y789" s="5">
        <v>12812801100</v>
      </c>
      <c r="AA789">
        <v>56173</v>
      </c>
      <c r="AB789" t="s">
        <v>472</v>
      </c>
      <c r="AC789" t="s">
        <v>473</v>
      </c>
      <c r="AE789" t="s">
        <v>474</v>
      </c>
      <c r="AF789" t="s">
        <v>470</v>
      </c>
      <c r="AH789" t="s">
        <v>471</v>
      </c>
      <c r="AI789" t="s">
        <v>232</v>
      </c>
      <c r="AJ789" s="4" t="str">
        <f>"77598"</f>
        <v>77598</v>
      </c>
      <c r="AK789" t="s">
        <v>120</v>
      </c>
      <c r="AM789" s="5">
        <v>12812801100</v>
      </c>
      <c r="AO789" t="s">
        <v>138</v>
      </c>
      <c r="AP789" t="s">
        <v>256</v>
      </c>
      <c r="AQ789" t="s">
        <v>475</v>
      </c>
      <c r="AR789" t="s">
        <v>476</v>
      </c>
      <c r="AT789" t="s">
        <v>477</v>
      </c>
      <c r="AV789" t="s">
        <v>478</v>
      </c>
      <c r="AW789" t="s">
        <v>479</v>
      </c>
      <c r="AX789" s="4" t="str">
        <f>"22903"</f>
        <v>22903</v>
      </c>
      <c r="AY789" t="s">
        <v>120</v>
      </c>
      <c r="BA789" s="5">
        <v>14342634300</v>
      </c>
      <c r="BC789" t="s">
        <v>480</v>
      </c>
      <c r="BD789" t="s">
        <v>481</v>
      </c>
      <c r="BG789" t="s">
        <v>657</v>
      </c>
      <c r="BH789" s="1">
        <v>44839.833333333336</v>
      </c>
      <c r="BI789">
        <v>40</v>
      </c>
      <c r="BJ789">
        <v>0</v>
      </c>
      <c r="BK789">
        <v>8</v>
      </c>
      <c r="BL789">
        <v>8</v>
      </c>
      <c r="BM789">
        <v>8</v>
      </c>
      <c r="BN789">
        <v>8</v>
      </c>
      <c r="BO789">
        <v>8</v>
      </c>
      <c r="BP789">
        <v>0</v>
      </c>
      <c r="BQ789" t="str">
        <f>"7:00 AM"</f>
        <v>7:00 AM</v>
      </c>
      <c r="BR789" t="str">
        <f>"4:00 PM"</f>
        <v>4:00 PM</v>
      </c>
      <c r="BS789" t="s">
        <v>133</v>
      </c>
      <c r="BT789">
        <v>0</v>
      </c>
      <c r="BU789">
        <v>0</v>
      </c>
      <c r="BV789" t="s">
        <v>134</v>
      </c>
      <c r="BX789" t="s">
        <v>3990</v>
      </c>
      <c r="BY789" t="s">
        <v>5584</v>
      </c>
      <c r="CA789" t="s">
        <v>5506</v>
      </c>
      <c r="CB789" t="s">
        <v>657</v>
      </c>
      <c r="CC789" s="4" t="str">
        <f>"38133"</f>
        <v>38133</v>
      </c>
      <c r="CD789" t="s">
        <v>4017</v>
      </c>
      <c r="CE789" t="s">
        <v>5551</v>
      </c>
      <c r="CF789" s="6">
        <v>17.27</v>
      </c>
      <c r="CH789" s="6">
        <v>25.91</v>
      </c>
      <c r="CJ789" t="s">
        <v>137</v>
      </c>
      <c r="CK789" t="s">
        <v>487</v>
      </c>
      <c r="CL789" t="s">
        <v>15105</v>
      </c>
      <c r="CO789" t="s">
        <v>138</v>
      </c>
      <c r="CP789" t="s">
        <v>114</v>
      </c>
      <c r="CQ789" t="s">
        <v>114</v>
      </c>
      <c r="CR789" t="s">
        <v>114</v>
      </c>
      <c r="CS789" t="s">
        <v>114</v>
      </c>
      <c r="CT789" t="s">
        <v>114</v>
      </c>
      <c r="CU789" t="s">
        <v>114</v>
      </c>
      <c r="CV789" t="s">
        <v>15106</v>
      </c>
      <c r="CW789" s="5" t="str">
        <f>"N/A"</f>
        <v>N/A</v>
      </c>
      <c r="CX789" t="s">
        <v>490</v>
      </c>
      <c r="CY789" t="s">
        <v>1668</v>
      </c>
      <c r="CZ789" t="s">
        <v>139</v>
      </c>
      <c r="DA789" t="s">
        <v>134</v>
      </c>
      <c r="DB789" t="s">
        <v>114</v>
      </c>
      <c r="DC789" t="s">
        <v>114</v>
      </c>
      <c r="DD789" t="s">
        <v>134</v>
      </c>
      <c r="DE789" t="s">
        <v>492</v>
      </c>
      <c r="DF789" t="s">
        <v>493</v>
      </c>
      <c r="DH789" t="s">
        <v>481</v>
      </c>
      <c r="DI789" t="s">
        <v>480</v>
      </c>
    </row>
    <row r="790" spans="1:113" ht="15" customHeight="1" x14ac:dyDescent="0.25">
      <c r="A790" t="s">
        <v>7498</v>
      </c>
      <c r="B790" t="s">
        <v>165</v>
      </c>
      <c r="C790" s="1">
        <v>44840.334808912034</v>
      </c>
      <c r="D790" s="1">
        <v>44866</v>
      </c>
      <c r="E790" t="s">
        <v>134</v>
      </c>
      <c r="F790" t="s">
        <v>467</v>
      </c>
      <c r="G790" t="str">
        <f>"37-3013.00"</f>
        <v>37-3013.00</v>
      </c>
      <c r="H790" t="s">
        <v>468</v>
      </c>
      <c r="I790">
        <v>30</v>
      </c>
      <c r="J790">
        <v>30</v>
      </c>
      <c r="K790" s="1">
        <v>44930</v>
      </c>
      <c r="L790" s="1">
        <v>45234</v>
      </c>
      <c r="M790" s="1">
        <v>44930</v>
      </c>
      <c r="N790" s="1">
        <v>45234</v>
      </c>
      <c r="O790" t="s">
        <v>117</v>
      </c>
      <c r="P790" t="s">
        <v>4185</v>
      </c>
      <c r="R790" t="s">
        <v>470</v>
      </c>
      <c r="T790" t="s">
        <v>471</v>
      </c>
      <c r="U790" t="s">
        <v>232</v>
      </c>
      <c r="V790" s="4" t="str">
        <f>"77598"</f>
        <v>77598</v>
      </c>
      <c r="W790" t="s">
        <v>120</v>
      </c>
      <c r="Y790" s="5">
        <v>12812801100</v>
      </c>
      <c r="AA790">
        <v>56173</v>
      </c>
      <c r="AB790" t="s">
        <v>472</v>
      </c>
      <c r="AC790" t="s">
        <v>473</v>
      </c>
      <c r="AE790" t="s">
        <v>474</v>
      </c>
      <c r="AF790" t="s">
        <v>470</v>
      </c>
      <c r="AH790" t="s">
        <v>471</v>
      </c>
      <c r="AI790" t="s">
        <v>232</v>
      </c>
      <c r="AJ790" s="4" t="str">
        <f>"77598"</f>
        <v>77598</v>
      </c>
      <c r="AK790" t="s">
        <v>120</v>
      </c>
      <c r="AM790" s="5">
        <v>12812801100</v>
      </c>
      <c r="AO790" t="s">
        <v>138</v>
      </c>
      <c r="AP790" t="s">
        <v>256</v>
      </c>
      <c r="AQ790" t="s">
        <v>475</v>
      </c>
      <c r="AR790" t="s">
        <v>476</v>
      </c>
      <c r="AT790" t="s">
        <v>477</v>
      </c>
      <c r="AV790" t="s">
        <v>478</v>
      </c>
      <c r="AW790" t="s">
        <v>479</v>
      </c>
      <c r="AX790" s="4" t="str">
        <f>"22903"</f>
        <v>22903</v>
      </c>
      <c r="AY790" t="s">
        <v>120</v>
      </c>
      <c r="BA790" s="5">
        <v>14342634300</v>
      </c>
      <c r="BC790" t="s">
        <v>480</v>
      </c>
      <c r="BD790" t="s">
        <v>481</v>
      </c>
      <c r="BG790" t="s">
        <v>232</v>
      </c>
      <c r="BH790" s="1">
        <v>44839.833333333336</v>
      </c>
      <c r="BI790">
        <v>40</v>
      </c>
      <c r="BJ790">
        <v>0</v>
      </c>
      <c r="BK790">
        <v>8</v>
      </c>
      <c r="BL790">
        <v>8</v>
      </c>
      <c r="BM790">
        <v>8</v>
      </c>
      <c r="BN790">
        <v>8</v>
      </c>
      <c r="BO790">
        <v>8</v>
      </c>
      <c r="BP790">
        <v>0</v>
      </c>
      <c r="BQ790" t="str">
        <f>"7:00 AM"</f>
        <v>7:00 AM</v>
      </c>
      <c r="BR790" t="str">
        <f>"4:00 PM"</f>
        <v>4:00 PM</v>
      </c>
      <c r="BS790" t="s">
        <v>133</v>
      </c>
      <c r="BT790">
        <v>0</v>
      </c>
      <c r="BU790">
        <v>0</v>
      </c>
      <c r="BV790" t="s">
        <v>134</v>
      </c>
      <c r="BX790" s="2" t="s">
        <v>482</v>
      </c>
      <c r="BY790" t="s">
        <v>4186</v>
      </c>
      <c r="CA790" t="s">
        <v>4101</v>
      </c>
      <c r="CB790" t="s">
        <v>232</v>
      </c>
      <c r="CC790" s="4" t="str">
        <f>"77705"</f>
        <v>77705</v>
      </c>
      <c r="CD790" t="s">
        <v>1387</v>
      </c>
      <c r="CE790" t="s">
        <v>4102</v>
      </c>
      <c r="CF790" s="6">
        <v>16.13</v>
      </c>
      <c r="CH790" s="6">
        <v>24.2</v>
      </c>
      <c r="CJ790" t="s">
        <v>137</v>
      </c>
      <c r="CK790" t="s">
        <v>487</v>
      </c>
      <c r="CL790" t="s">
        <v>7499</v>
      </c>
      <c r="CO790" t="s">
        <v>138</v>
      </c>
      <c r="CP790" t="s">
        <v>114</v>
      </c>
      <c r="CQ790" t="s">
        <v>114</v>
      </c>
      <c r="CR790" t="s">
        <v>114</v>
      </c>
      <c r="CS790" t="s">
        <v>114</v>
      </c>
      <c r="CT790" t="s">
        <v>114</v>
      </c>
      <c r="CU790" t="s">
        <v>114</v>
      </c>
      <c r="CV790" t="s">
        <v>7500</v>
      </c>
      <c r="CW790" s="5" t="str">
        <f>"N/A"</f>
        <v>N/A</v>
      </c>
      <c r="CX790" t="s">
        <v>490</v>
      </c>
      <c r="CY790" t="s">
        <v>953</v>
      </c>
      <c r="CZ790" t="s">
        <v>139</v>
      </c>
      <c r="DA790" t="s">
        <v>134</v>
      </c>
      <c r="DB790" t="s">
        <v>114</v>
      </c>
      <c r="DC790" t="s">
        <v>114</v>
      </c>
      <c r="DD790" t="s">
        <v>134</v>
      </c>
      <c r="DE790" t="s">
        <v>492</v>
      </c>
      <c r="DF790" t="s">
        <v>493</v>
      </c>
      <c r="DH790" t="s">
        <v>481</v>
      </c>
      <c r="DI790" t="s">
        <v>480</v>
      </c>
    </row>
    <row r="791" spans="1:113" ht="15" customHeight="1" x14ac:dyDescent="0.25">
      <c r="A791" t="s">
        <v>13930</v>
      </c>
      <c r="B791" t="s">
        <v>165</v>
      </c>
      <c r="C791" s="1">
        <v>44839.67667025463</v>
      </c>
      <c r="D791" s="1">
        <v>44866</v>
      </c>
      <c r="E791" t="s">
        <v>134</v>
      </c>
      <c r="F791" t="s">
        <v>2308</v>
      </c>
      <c r="G791" t="str">
        <f>"39-3091.00"</f>
        <v>39-3091.00</v>
      </c>
      <c r="H791" t="s">
        <v>362</v>
      </c>
      <c r="I791">
        <v>55</v>
      </c>
      <c r="J791">
        <v>55</v>
      </c>
      <c r="K791" s="1">
        <v>44927</v>
      </c>
      <c r="L791" s="1">
        <v>45230</v>
      </c>
      <c r="M791" s="1">
        <v>44927</v>
      </c>
      <c r="N791" s="1">
        <v>45230</v>
      </c>
      <c r="O791" t="s">
        <v>199</v>
      </c>
      <c r="P791" t="s">
        <v>13931</v>
      </c>
      <c r="R791" t="s">
        <v>13932</v>
      </c>
      <c r="S791" t="s">
        <v>13933</v>
      </c>
      <c r="T791" t="s">
        <v>2480</v>
      </c>
      <c r="U791" t="s">
        <v>129</v>
      </c>
      <c r="V791" s="4" t="str">
        <f>"31601"</f>
        <v>31601</v>
      </c>
      <c r="W791" t="s">
        <v>120</v>
      </c>
      <c r="Y791" s="5">
        <v>15127380498</v>
      </c>
      <c r="AA791">
        <v>71399</v>
      </c>
      <c r="AB791" t="s">
        <v>13934</v>
      </c>
      <c r="AC791" t="s">
        <v>1733</v>
      </c>
      <c r="AE791" t="s">
        <v>424</v>
      </c>
      <c r="AF791" t="s">
        <v>13932</v>
      </c>
      <c r="AG791" t="s">
        <v>13933</v>
      </c>
      <c r="AH791" t="s">
        <v>2480</v>
      </c>
      <c r="AI791" t="s">
        <v>129</v>
      </c>
      <c r="AJ791" s="4" t="str">
        <f>"31601"</f>
        <v>31601</v>
      </c>
      <c r="AK791" t="s">
        <v>120</v>
      </c>
      <c r="AM791" s="5">
        <v>15127380498</v>
      </c>
      <c r="AO791" t="s">
        <v>13935</v>
      </c>
      <c r="AP791" t="s">
        <v>256</v>
      </c>
      <c r="AQ791" t="s">
        <v>535</v>
      </c>
      <c r="AR791" t="s">
        <v>536</v>
      </c>
      <c r="AS791" t="s">
        <v>537</v>
      </c>
      <c r="AT791" t="s">
        <v>538</v>
      </c>
      <c r="AU791" t="s">
        <v>539</v>
      </c>
      <c r="AV791" t="s">
        <v>540</v>
      </c>
      <c r="AW791" t="s">
        <v>232</v>
      </c>
      <c r="AX791" s="4" t="str">
        <f>"78550"</f>
        <v>78550</v>
      </c>
      <c r="AY791" t="s">
        <v>120</v>
      </c>
      <c r="BA791" s="5">
        <v>19564408720</v>
      </c>
      <c r="BB791">
        <v>0</v>
      </c>
      <c r="BC791" t="s">
        <v>1022</v>
      </c>
      <c r="BD791" t="s">
        <v>543</v>
      </c>
      <c r="BG791" t="s">
        <v>129</v>
      </c>
      <c r="BH791" s="1">
        <v>44838.833333333336</v>
      </c>
      <c r="BI791">
        <v>40</v>
      </c>
      <c r="BJ791">
        <v>8</v>
      </c>
      <c r="BK791">
        <v>0</v>
      </c>
      <c r="BL791">
        <v>0</v>
      </c>
      <c r="BM791">
        <v>8</v>
      </c>
      <c r="BN791">
        <v>8</v>
      </c>
      <c r="BO791">
        <v>8</v>
      </c>
      <c r="BP791">
        <v>8</v>
      </c>
      <c r="BQ791" t="str">
        <f>"1:00 PM"</f>
        <v>1:00 PM</v>
      </c>
      <c r="BR791" t="str">
        <f>"10:00 PM"</f>
        <v>10:00 PM</v>
      </c>
      <c r="BS791" t="s">
        <v>133</v>
      </c>
      <c r="BT791">
        <v>0</v>
      </c>
      <c r="BU791">
        <v>0</v>
      </c>
      <c r="BV791" t="s">
        <v>134</v>
      </c>
      <c r="BX791" s="2" t="s">
        <v>579</v>
      </c>
      <c r="BY791" t="s">
        <v>13936</v>
      </c>
      <c r="CA791" t="s">
        <v>13937</v>
      </c>
      <c r="CB791" t="s">
        <v>129</v>
      </c>
      <c r="CC791" s="4" t="str">
        <f>"31643"</f>
        <v>31643</v>
      </c>
      <c r="CD791" t="s">
        <v>4203</v>
      </c>
      <c r="CE791" t="s">
        <v>13938</v>
      </c>
      <c r="CF791" s="6">
        <v>8.59</v>
      </c>
      <c r="CG791" s="6">
        <v>12.14</v>
      </c>
      <c r="CJ791" t="s">
        <v>137</v>
      </c>
      <c r="CK791" t="s">
        <v>549</v>
      </c>
      <c r="CL791" t="s">
        <v>13939</v>
      </c>
      <c r="CO791" t="s">
        <v>138</v>
      </c>
      <c r="CP791" t="s">
        <v>114</v>
      </c>
      <c r="CQ791" t="s">
        <v>114</v>
      </c>
      <c r="CR791" t="s">
        <v>134</v>
      </c>
      <c r="CS791" t="s">
        <v>114</v>
      </c>
      <c r="CT791" t="s">
        <v>114</v>
      </c>
      <c r="CU791" t="s">
        <v>114</v>
      </c>
      <c r="CV791" t="s">
        <v>1360</v>
      </c>
      <c r="CW791" s="5" t="str">
        <f>"+15127380498"</f>
        <v>+15127380498</v>
      </c>
      <c r="CX791" t="s">
        <v>13940</v>
      </c>
      <c r="CY791" t="s">
        <v>138</v>
      </c>
      <c r="CZ791" t="s">
        <v>139</v>
      </c>
      <c r="DA791" t="s">
        <v>134</v>
      </c>
      <c r="DB791" t="s">
        <v>114</v>
      </c>
      <c r="DC791" t="s">
        <v>114</v>
      </c>
      <c r="DD791" t="s">
        <v>134</v>
      </c>
    </row>
    <row r="792" spans="1:113" ht="15" customHeight="1" x14ac:dyDescent="0.25">
      <c r="A792" t="s">
        <v>15914</v>
      </c>
      <c r="B792" t="s">
        <v>165</v>
      </c>
      <c r="C792" s="1">
        <v>44838.855223958337</v>
      </c>
      <c r="D792" s="1">
        <v>44866</v>
      </c>
      <c r="E792" t="s">
        <v>134</v>
      </c>
      <c r="F792" t="s">
        <v>5576</v>
      </c>
      <c r="G792" t="str">
        <f>"47-3016.00"</f>
        <v>47-3016.00</v>
      </c>
      <c r="H792" t="s">
        <v>2369</v>
      </c>
      <c r="I792">
        <v>30</v>
      </c>
      <c r="J792">
        <v>30</v>
      </c>
      <c r="K792" s="1">
        <v>44927</v>
      </c>
      <c r="L792" s="1">
        <v>45291</v>
      </c>
      <c r="M792" s="1">
        <v>44927</v>
      </c>
      <c r="N792" s="1">
        <v>45291</v>
      </c>
      <c r="O792" t="s">
        <v>168</v>
      </c>
      <c r="P792" t="s">
        <v>5577</v>
      </c>
      <c r="R792" t="s">
        <v>5578</v>
      </c>
      <c r="T792" t="s">
        <v>5579</v>
      </c>
      <c r="U792" t="s">
        <v>154</v>
      </c>
      <c r="V792" s="4" t="str">
        <f>"32404"</f>
        <v>32404</v>
      </c>
      <c r="W792" t="s">
        <v>120</v>
      </c>
      <c r="Y792" s="5">
        <v>14235670906</v>
      </c>
      <c r="AA792">
        <v>23816</v>
      </c>
      <c r="AB792" t="s">
        <v>5580</v>
      </c>
      <c r="AC792" t="s">
        <v>1951</v>
      </c>
      <c r="AE792" t="s">
        <v>342</v>
      </c>
      <c r="AF792" t="s">
        <v>5578</v>
      </c>
      <c r="AH792" t="s">
        <v>5579</v>
      </c>
      <c r="AI792" t="s">
        <v>154</v>
      </c>
      <c r="AJ792" s="4" t="str">
        <f>"32404"</f>
        <v>32404</v>
      </c>
      <c r="AK792" t="s">
        <v>120</v>
      </c>
      <c r="AM792" s="5">
        <v>14235670906</v>
      </c>
      <c r="AO792" t="s">
        <v>5581</v>
      </c>
      <c r="AP792" t="s">
        <v>256</v>
      </c>
      <c r="AQ792" t="s">
        <v>1439</v>
      </c>
      <c r="AR792" t="s">
        <v>1440</v>
      </c>
      <c r="AT792" t="s">
        <v>1422</v>
      </c>
      <c r="AU792" t="s">
        <v>347</v>
      </c>
      <c r="AV792" t="s">
        <v>1441</v>
      </c>
      <c r="AW792" t="s">
        <v>349</v>
      </c>
      <c r="AX792" s="4" t="str">
        <f>"83814"</f>
        <v>83814</v>
      </c>
      <c r="AY792" t="s">
        <v>120</v>
      </c>
      <c r="BA792" s="5">
        <v>12087772654</v>
      </c>
      <c r="BC792" t="s">
        <v>1442</v>
      </c>
      <c r="BD792" t="s">
        <v>351</v>
      </c>
      <c r="BG792" t="s">
        <v>214</v>
      </c>
      <c r="BH792" s="1">
        <v>44837.833333333336</v>
      </c>
      <c r="BI792">
        <v>40</v>
      </c>
      <c r="BJ792">
        <v>0</v>
      </c>
      <c r="BK792">
        <v>8</v>
      </c>
      <c r="BL792">
        <v>8</v>
      </c>
      <c r="BM792">
        <v>8</v>
      </c>
      <c r="BN792">
        <v>8</v>
      </c>
      <c r="BO792">
        <v>8</v>
      </c>
      <c r="BP792">
        <v>0</v>
      </c>
      <c r="BQ792" t="str">
        <f>"8:00 AM"</f>
        <v>8:00 AM</v>
      </c>
      <c r="BR792" t="str">
        <f>"5:00 PM"</f>
        <v>5:00 PM</v>
      </c>
      <c r="BS792" t="s">
        <v>133</v>
      </c>
      <c r="BT792">
        <v>0</v>
      </c>
      <c r="BU792">
        <v>0</v>
      </c>
      <c r="BV792" t="s">
        <v>134</v>
      </c>
      <c r="BX792" s="2" t="s">
        <v>10392</v>
      </c>
      <c r="BY792" t="s">
        <v>15915</v>
      </c>
      <c r="CA792" t="s">
        <v>1038</v>
      </c>
      <c r="CB792" t="s">
        <v>214</v>
      </c>
      <c r="CC792" s="4" t="str">
        <f>"70458"</f>
        <v>70458</v>
      </c>
      <c r="CD792" t="s">
        <v>4589</v>
      </c>
      <c r="CE792" t="s">
        <v>2289</v>
      </c>
      <c r="CF792" s="6">
        <v>18.05</v>
      </c>
      <c r="CH792" s="6">
        <v>27.08</v>
      </c>
      <c r="CJ792" t="s">
        <v>137</v>
      </c>
      <c r="CK792" t="s">
        <v>15916</v>
      </c>
      <c r="CL792" t="s">
        <v>15917</v>
      </c>
      <c r="CO792" t="s">
        <v>138</v>
      </c>
      <c r="CP792" t="s">
        <v>114</v>
      </c>
      <c r="CQ792" t="s">
        <v>114</v>
      </c>
      <c r="CR792" t="s">
        <v>114</v>
      </c>
      <c r="CS792" t="s">
        <v>114</v>
      </c>
      <c r="CT792" t="s">
        <v>114</v>
      </c>
      <c r="CU792" t="s">
        <v>134</v>
      </c>
      <c r="CV792" t="s">
        <v>358</v>
      </c>
      <c r="CW792" s="5" t="str">
        <f>"+14235670906"</f>
        <v>+14235670906</v>
      </c>
      <c r="CX792" t="s">
        <v>5581</v>
      </c>
      <c r="CY792" t="s">
        <v>2996</v>
      </c>
      <c r="CZ792" t="s">
        <v>139</v>
      </c>
      <c r="DA792" t="s">
        <v>134</v>
      </c>
      <c r="DB792" t="s">
        <v>134</v>
      </c>
      <c r="DC792" t="s">
        <v>114</v>
      </c>
      <c r="DD792" t="s">
        <v>134</v>
      </c>
    </row>
    <row r="793" spans="1:113" ht="15" customHeight="1" x14ac:dyDescent="0.25">
      <c r="A793" t="s">
        <v>14358</v>
      </c>
      <c r="B793" t="s">
        <v>165</v>
      </c>
      <c r="C793" s="1">
        <v>44838.606458564813</v>
      </c>
      <c r="D793" s="1">
        <v>44866</v>
      </c>
      <c r="E793" t="s">
        <v>134</v>
      </c>
      <c r="F793" t="s">
        <v>2251</v>
      </c>
      <c r="G793" t="str">
        <f>"35-2021.00"</f>
        <v>35-2021.00</v>
      </c>
      <c r="H793" t="s">
        <v>718</v>
      </c>
      <c r="I793">
        <v>6</v>
      </c>
      <c r="J793">
        <v>6</v>
      </c>
      <c r="K793" s="1">
        <v>44927</v>
      </c>
      <c r="L793" s="1">
        <v>45230</v>
      </c>
      <c r="M793" s="1">
        <v>44927</v>
      </c>
      <c r="N793" s="1">
        <v>45230</v>
      </c>
      <c r="O793" t="s">
        <v>117</v>
      </c>
      <c r="P793" t="s">
        <v>14359</v>
      </c>
      <c r="Q793" t="s">
        <v>14360</v>
      </c>
      <c r="R793" t="s">
        <v>14361</v>
      </c>
      <c r="S793" t="s">
        <v>14362</v>
      </c>
      <c r="T793" t="s">
        <v>5587</v>
      </c>
      <c r="U793" t="s">
        <v>1995</v>
      </c>
      <c r="V793" s="4" t="str">
        <f>"58301"</f>
        <v>58301</v>
      </c>
      <c r="W793" t="s">
        <v>120</v>
      </c>
      <c r="Y793" s="5">
        <v>17016628972</v>
      </c>
      <c r="AA793">
        <v>722511</v>
      </c>
      <c r="AB793" t="s">
        <v>14363</v>
      </c>
      <c r="AC793" t="s">
        <v>7925</v>
      </c>
      <c r="AE793" t="s">
        <v>2256</v>
      </c>
      <c r="AF793" t="s">
        <v>14361</v>
      </c>
      <c r="AG793" t="s">
        <v>14362</v>
      </c>
      <c r="AH793" t="s">
        <v>5587</v>
      </c>
      <c r="AI793" t="s">
        <v>1995</v>
      </c>
      <c r="AJ793" s="4" t="str">
        <f>"58301"</f>
        <v>58301</v>
      </c>
      <c r="AK793" t="s">
        <v>120</v>
      </c>
      <c r="AM793" s="5">
        <v>17016628972</v>
      </c>
      <c r="AO793" t="s">
        <v>1574</v>
      </c>
      <c r="AP793" t="s">
        <v>256</v>
      </c>
      <c r="AQ793" t="s">
        <v>1941</v>
      </c>
      <c r="AR793" t="s">
        <v>1942</v>
      </c>
      <c r="AT793" t="s">
        <v>1943</v>
      </c>
      <c r="AU793" t="s">
        <v>1944</v>
      </c>
      <c r="AV793" t="s">
        <v>1945</v>
      </c>
      <c r="AW793" t="s">
        <v>631</v>
      </c>
      <c r="AX793" s="4" t="str">
        <f>"74136"</f>
        <v>74136</v>
      </c>
      <c r="AY793" t="s">
        <v>120</v>
      </c>
      <c r="BA793" s="5">
        <v>19189065212</v>
      </c>
      <c r="BC793" t="s">
        <v>1946</v>
      </c>
      <c r="BD793" t="s">
        <v>1947</v>
      </c>
      <c r="BG793" t="s">
        <v>1995</v>
      </c>
      <c r="BH793" s="1">
        <v>44818.833333333336</v>
      </c>
      <c r="BI793">
        <v>45</v>
      </c>
      <c r="BJ793">
        <v>5</v>
      </c>
      <c r="BK793">
        <v>7</v>
      </c>
      <c r="BL793">
        <v>7</v>
      </c>
      <c r="BM793">
        <v>7</v>
      </c>
      <c r="BN793">
        <v>7</v>
      </c>
      <c r="BO793">
        <v>7</v>
      </c>
      <c r="BP793">
        <v>5</v>
      </c>
      <c r="BQ793" t="str">
        <f>"7:00 AM"</f>
        <v>7:00 AM</v>
      </c>
      <c r="BR793" t="str">
        <f>"11:00 PM"</f>
        <v>11:00 PM</v>
      </c>
      <c r="BS793" t="s">
        <v>133</v>
      </c>
      <c r="BT793">
        <v>0</v>
      </c>
      <c r="BU793">
        <v>0</v>
      </c>
      <c r="BV793" t="s">
        <v>134</v>
      </c>
      <c r="BX793" s="2" t="s">
        <v>14364</v>
      </c>
      <c r="BY793" t="s">
        <v>14365</v>
      </c>
      <c r="BZ793" t="s">
        <v>14366</v>
      </c>
      <c r="CA793" t="s">
        <v>5587</v>
      </c>
      <c r="CB793" t="s">
        <v>1995</v>
      </c>
      <c r="CC793" s="4" t="str">
        <f>"58301"</f>
        <v>58301</v>
      </c>
      <c r="CD793" t="s">
        <v>5590</v>
      </c>
      <c r="CE793" t="s">
        <v>2275</v>
      </c>
      <c r="CF793" s="6">
        <v>13.31</v>
      </c>
      <c r="CG793" s="6">
        <v>13.31</v>
      </c>
      <c r="CH793" s="6">
        <v>19.97</v>
      </c>
      <c r="CI793" s="6">
        <v>19.97</v>
      </c>
      <c r="CJ793" t="s">
        <v>137</v>
      </c>
      <c r="CK793" t="s">
        <v>1948</v>
      </c>
      <c r="CL793" t="s">
        <v>14367</v>
      </c>
      <c r="CO793" t="s">
        <v>138</v>
      </c>
      <c r="CP793" t="s">
        <v>134</v>
      </c>
      <c r="CQ793" t="s">
        <v>114</v>
      </c>
      <c r="CR793" t="s">
        <v>114</v>
      </c>
      <c r="CS793" t="s">
        <v>114</v>
      </c>
      <c r="CT793" t="s">
        <v>114</v>
      </c>
      <c r="CU793" t="s">
        <v>114</v>
      </c>
      <c r="CV793" t="s">
        <v>14368</v>
      </c>
      <c r="CW793" s="5" t="str">
        <f>"+17016628972"</f>
        <v>+17016628972</v>
      </c>
      <c r="CX793" t="s">
        <v>138</v>
      </c>
      <c r="CY793" t="s">
        <v>14369</v>
      </c>
      <c r="CZ793" t="s">
        <v>139</v>
      </c>
      <c r="DA793" t="s">
        <v>134</v>
      </c>
      <c r="DB793" t="s">
        <v>114</v>
      </c>
      <c r="DC793" t="s">
        <v>114</v>
      </c>
      <c r="DD793" t="s">
        <v>134</v>
      </c>
    </row>
    <row r="794" spans="1:113" ht="15" customHeight="1" x14ac:dyDescent="0.25">
      <c r="A794" t="s">
        <v>16499</v>
      </c>
      <c r="B794" t="s">
        <v>165</v>
      </c>
      <c r="C794" s="1">
        <v>44838.17282511574</v>
      </c>
      <c r="D794" s="1">
        <v>44866</v>
      </c>
      <c r="E794" t="s">
        <v>134</v>
      </c>
      <c r="F794" t="s">
        <v>1612</v>
      </c>
      <c r="G794" t="str">
        <f>"37-3011.00"</f>
        <v>37-3011.00</v>
      </c>
      <c r="H794" t="s">
        <v>335</v>
      </c>
      <c r="I794">
        <v>20</v>
      </c>
      <c r="J794">
        <v>20</v>
      </c>
      <c r="K794" s="1">
        <v>44927</v>
      </c>
      <c r="L794" s="1">
        <v>45199</v>
      </c>
      <c r="M794" s="1">
        <v>44927</v>
      </c>
      <c r="N794" s="1">
        <v>45199</v>
      </c>
      <c r="O794" t="s">
        <v>117</v>
      </c>
      <c r="P794" t="s">
        <v>9400</v>
      </c>
      <c r="Q794" t="s">
        <v>9401</v>
      </c>
      <c r="R794" t="s">
        <v>9402</v>
      </c>
      <c r="T794" t="s">
        <v>9403</v>
      </c>
      <c r="U794" t="s">
        <v>154</v>
      </c>
      <c r="V794" s="4" t="str">
        <f>"32550"</f>
        <v>32550</v>
      </c>
      <c r="W794" t="s">
        <v>120</v>
      </c>
      <c r="Y794" s="5">
        <v>18502782926</v>
      </c>
      <c r="AA794">
        <v>72111</v>
      </c>
      <c r="AB794" t="s">
        <v>9404</v>
      </c>
      <c r="AC794" t="s">
        <v>9405</v>
      </c>
      <c r="AE794" t="s">
        <v>2235</v>
      </c>
      <c r="AF794" t="s">
        <v>9402</v>
      </c>
      <c r="AH794" t="s">
        <v>9403</v>
      </c>
      <c r="AI794" t="s">
        <v>154</v>
      </c>
      <c r="AJ794" s="4" t="str">
        <f>"32550"</f>
        <v>32550</v>
      </c>
      <c r="AK794" t="s">
        <v>120</v>
      </c>
      <c r="AM794" s="5">
        <v>18502678292</v>
      </c>
      <c r="AO794" t="s">
        <v>9406</v>
      </c>
      <c r="AP794" t="s">
        <v>256</v>
      </c>
      <c r="AQ794" t="s">
        <v>2236</v>
      </c>
      <c r="AR794" t="s">
        <v>2237</v>
      </c>
      <c r="AT794" t="s">
        <v>2238</v>
      </c>
      <c r="AU794" t="s">
        <v>9407</v>
      </c>
      <c r="AV794" t="s">
        <v>2239</v>
      </c>
      <c r="AW794" t="s">
        <v>154</v>
      </c>
      <c r="AX794" s="4" t="str">
        <f>"33141"</f>
        <v>33141</v>
      </c>
      <c r="AY794" t="s">
        <v>120</v>
      </c>
      <c r="BA794" s="5">
        <v>17863480376</v>
      </c>
      <c r="BC794" t="s">
        <v>2240</v>
      </c>
      <c r="BD794" t="s">
        <v>2241</v>
      </c>
      <c r="BG794" t="s">
        <v>154</v>
      </c>
      <c r="BH794" s="1">
        <v>44837.833333333336</v>
      </c>
      <c r="BI794">
        <v>35</v>
      </c>
      <c r="BJ794">
        <v>7</v>
      </c>
      <c r="BK794">
        <v>7</v>
      </c>
      <c r="BL794">
        <v>0</v>
      </c>
      <c r="BM794">
        <v>0</v>
      </c>
      <c r="BN794">
        <v>7</v>
      </c>
      <c r="BO794">
        <v>7</v>
      </c>
      <c r="BP794">
        <v>7</v>
      </c>
      <c r="BQ794" t="str">
        <f>"6:00 AM"</f>
        <v>6:00 AM</v>
      </c>
      <c r="BR794" t="str">
        <f>"1:00 PM"</f>
        <v>1:00 PM</v>
      </c>
      <c r="BS794" t="s">
        <v>133</v>
      </c>
      <c r="BT794">
        <v>0</v>
      </c>
      <c r="BU794">
        <v>1</v>
      </c>
      <c r="BV794" t="s">
        <v>134</v>
      </c>
      <c r="BX794" t="s">
        <v>16500</v>
      </c>
      <c r="BY794" t="s">
        <v>9402</v>
      </c>
      <c r="CA794" t="s">
        <v>9403</v>
      </c>
      <c r="CB794" t="s">
        <v>154</v>
      </c>
      <c r="CC794" s="4" t="str">
        <f>"32550"</f>
        <v>32550</v>
      </c>
      <c r="CD794" t="s">
        <v>2474</v>
      </c>
      <c r="CE794" t="s">
        <v>2356</v>
      </c>
      <c r="CF794" s="6">
        <v>15.46</v>
      </c>
      <c r="CG794" s="6">
        <v>15.46</v>
      </c>
      <c r="CH794" s="6">
        <v>23.19</v>
      </c>
      <c r="CI794" s="6">
        <v>23.19</v>
      </c>
      <c r="CJ794" t="s">
        <v>137</v>
      </c>
      <c r="CL794" t="s">
        <v>16501</v>
      </c>
      <c r="CO794" t="s">
        <v>138</v>
      </c>
      <c r="CP794" t="s">
        <v>134</v>
      </c>
      <c r="CQ794" t="s">
        <v>114</v>
      </c>
      <c r="CR794" t="s">
        <v>114</v>
      </c>
      <c r="CS794" t="s">
        <v>134</v>
      </c>
      <c r="CT794" t="s">
        <v>114</v>
      </c>
      <c r="CU794" t="s">
        <v>114</v>
      </c>
      <c r="CV794" t="s">
        <v>9410</v>
      </c>
      <c r="CW794" s="5" t="str">
        <f>"+18502678271"</f>
        <v>+18502678271</v>
      </c>
      <c r="CX794" t="s">
        <v>9411</v>
      </c>
      <c r="CY794" t="s">
        <v>16502</v>
      </c>
      <c r="CZ794" t="s">
        <v>139</v>
      </c>
      <c r="DA794" t="s">
        <v>134</v>
      </c>
      <c r="DB794" t="s">
        <v>114</v>
      </c>
      <c r="DC794" t="s">
        <v>114</v>
      </c>
      <c r="DD794" t="s">
        <v>134</v>
      </c>
    </row>
    <row r="795" spans="1:113" ht="15" customHeight="1" x14ac:dyDescent="0.25">
      <c r="A795" t="s">
        <v>9399</v>
      </c>
      <c r="B795" t="s">
        <v>165</v>
      </c>
      <c r="C795" s="1">
        <v>44838.171544560188</v>
      </c>
      <c r="D795" s="1">
        <v>44866</v>
      </c>
      <c r="E795" t="s">
        <v>134</v>
      </c>
      <c r="F795" t="s">
        <v>1595</v>
      </c>
      <c r="G795" t="str">
        <f>"35-2014.00"</f>
        <v>35-2014.00</v>
      </c>
      <c r="H795" t="s">
        <v>915</v>
      </c>
      <c r="I795">
        <v>20</v>
      </c>
      <c r="J795">
        <v>20</v>
      </c>
      <c r="K795" s="1">
        <v>44927</v>
      </c>
      <c r="L795" s="1">
        <v>45199</v>
      </c>
      <c r="M795" s="1">
        <v>44927</v>
      </c>
      <c r="N795" s="1">
        <v>45199</v>
      </c>
      <c r="O795" t="s">
        <v>117</v>
      </c>
      <c r="P795" t="s">
        <v>9400</v>
      </c>
      <c r="Q795" t="s">
        <v>9401</v>
      </c>
      <c r="R795" t="s">
        <v>9402</v>
      </c>
      <c r="T795" t="s">
        <v>9403</v>
      </c>
      <c r="U795" t="s">
        <v>154</v>
      </c>
      <c r="V795" s="4" t="str">
        <f>"32550"</f>
        <v>32550</v>
      </c>
      <c r="W795" t="s">
        <v>120</v>
      </c>
      <c r="Y795" s="5">
        <v>18502678292</v>
      </c>
      <c r="AA795">
        <v>72111</v>
      </c>
      <c r="AB795" t="s">
        <v>9404</v>
      </c>
      <c r="AC795" t="s">
        <v>9405</v>
      </c>
      <c r="AE795" t="s">
        <v>2235</v>
      </c>
      <c r="AF795" t="s">
        <v>9402</v>
      </c>
      <c r="AH795" t="s">
        <v>9403</v>
      </c>
      <c r="AI795" t="s">
        <v>154</v>
      </c>
      <c r="AJ795" s="4" t="str">
        <f>"32550"</f>
        <v>32550</v>
      </c>
      <c r="AK795" t="s">
        <v>120</v>
      </c>
      <c r="AM795" s="5">
        <v>18502678292</v>
      </c>
      <c r="AO795" t="s">
        <v>9406</v>
      </c>
      <c r="AP795" t="s">
        <v>256</v>
      </c>
      <c r="AQ795" t="s">
        <v>2236</v>
      </c>
      <c r="AR795" t="s">
        <v>2237</v>
      </c>
      <c r="AT795" t="s">
        <v>2238</v>
      </c>
      <c r="AU795" t="s">
        <v>9407</v>
      </c>
      <c r="AV795" t="s">
        <v>2239</v>
      </c>
      <c r="AW795" t="s">
        <v>154</v>
      </c>
      <c r="AX795" s="4" t="str">
        <f>"33141"</f>
        <v>33141</v>
      </c>
      <c r="AY795" t="s">
        <v>120</v>
      </c>
      <c r="BA795" s="5">
        <v>17863480376</v>
      </c>
      <c r="BC795" t="s">
        <v>2240</v>
      </c>
      <c r="BD795" t="s">
        <v>2241</v>
      </c>
      <c r="BG795" t="s">
        <v>154</v>
      </c>
      <c r="BH795" s="1">
        <v>44837.833333333336</v>
      </c>
      <c r="BI795">
        <v>35</v>
      </c>
      <c r="BJ795">
        <v>7</v>
      </c>
      <c r="BK795">
        <v>7</v>
      </c>
      <c r="BL795">
        <v>0</v>
      </c>
      <c r="BM795">
        <v>0</v>
      </c>
      <c r="BN795">
        <v>7</v>
      </c>
      <c r="BO795">
        <v>7</v>
      </c>
      <c r="BP795">
        <v>7</v>
      </c>
      <c r="BQ795" t="str">
        <f>"7:00 AM"</f>
        <v>7:00 AM</v>
      </c>
      <c r="BR795" t="str">
        <f>"2:00 PM"</f>
        <v>2:00 PM</v>
      </c>
      <c r="BS795" t="s">
        <v>133</v>
      </c>
      <c r="BT795">
        <v>0</v>
      </c>
      <c r="BU795">
        <v>1</v>
      </c>
      <c r="BV795" t="s">
        <v>134</v>
      </c>
      <c r="BX795" t="s">
        <v>9408</v>
      </c>
      <c r="BY795" t="s">
        <v>9402</v>
      </c>
      <c r="CA795" t="s">
        <v>9403</v>
      </c>
      <c r="CB795" t="s">
        <v>154</v>
      </c>
      <c r="CC795" s="4" t="str">
        <f>"32550"</f>
        <v>32550</v>
      </c>
      <c r="CD795" t="s">
        <v>2474</v>
      </c>
      <c r="CE795" t="s">
        <v>2356</v>
      </c>
      <c r="CF795" s="6">
        <v>14.61</v>
      </c>
      <c r="CG795" s="6">
        <v>14.61</v>
      </c>
      <c r="CH795" s="6">
        <v>21.92</v>
      </c>
      <c r="CI795" s="6">
        <v>21.92</v>
      </c>
      <c r="CJ795" t="s">
        <v>137</v>
      </c>
      <c r="CL795" t="s">
        <v>9409</v>
      </c>
      <c r="CO795" t="s">
        <v>138</v>
      </c>
      <c r="CP795" t="s">
        <v>134</v>
      </c>
      <c r="CQ795" t="s">
        <v>114</v>
      </c>
      <c r="CR795" t="s">
        <v>114</v>
      </c>
      <c r="CS795" t="s">
        <v>134</v>
      </c>
      <c r="CT795" t="s">
        <v>114</v>
      </c>
      <c r="CU795" t="s">
        <v>114</v>
      </c>
      <c r="CV795" t="s">
        <v>9410</v>
      </c>
      <c r="CW795" s="5" t="str">
        <f>"+18502678271"</f>
        <v>+18502678271</v>
      </c>
      <c r="CX795" t="s">
        <v>9411</v>
      </c>
      <c r="CY795" t="s">
        <v>9412</v>
      </c>
      <c r="CZ795" t="s">
        <v>139</v>
      </c>
      <c r="DA795" t="s">
        <v>134</v>
      </c>
      <c r="DB795" t="s">
        <v>114</v>
      </c>
      <c r="DC795" t="s">
        <v>114</v>
      </c>
      <c r="DD795" t="s">
        <v>134</v>
      </c>
    </row>
    <row r="796" spans="1:113" ht="15" customHeight="1" x14ac:dyDescent="0.25">
      <c r="A796" t="s">
        <v>15419</v>
      </c>
      <c r="B796" t="s">
        <v>165</v>
      </c>
      <c r="C796" s="1">
        <v>44838.170287731482</v>
      </c>
      <c r="D796" s="1">
        <v>44866</v>
      </c>
      <c r="E796" t="s">
        <v>134</v>
      </c>
      <c r="F796" t="s">
        <v>1591</v>
      </c>
      <c r="G796" t="str">
        <f>"37-2012.00"</f>
        <v>37-2012.00</v>
      </c>
      <c r="H796" t="s">
        <v>116</v>
      </c>
      <c r="I796">
        <v>65</v>
      </c>
      <c r="J796">
        <v>65</v>
      </c>
      <c r="K796" s="1">
        <v>44927</v>
      </c>
      <c r="L796" s="1">
        <v>45183</v>
      </c>
      <c r="M796" s="1">
        <v>44927</v>
      </c>
      <c r="N796" s="1">
        <v>45183</v>
      </c>
      <c r="O796" t="s">
        <v>117</v>
      </c>
      <c r="P796" t="s">
        <v>9400</v>
      </c>
      <c r="Q796" t="s">
        <v>9401</v>
      </c>
      <c r="R796" t="s">
        <v>9402</v>
      </c>
      <c r="T796" t="s">
        <v>9403</v>
      </c>
      <c r="U796" t="s">
        <v>154</v>
      </c>
      <c r="V796" s="4" t="str">
        <f>"32550"</f>
        <v>32550</v>
      </c>
      <c r="W796" t="s">
        <v>120</v>
      </c>
      <c r="Y796" s="5">
        <v>18502678292</v>
      </c>
      <c r="AA796">
        <v>72111</v>
      </c>
      <c r="AB796" t="s">
        <v>9404</v>
      </c>
      <c r="AC796" t="s">
        <v>9405</v>
      </c>
      <c r="AE796" t="s">
        <v>2235</v>
      </c>
      <c r="AF796" t="s">
        <v>9402</v>
      </c>
      <c r="AH796" t="s">
        <v>9403</v>
      </c>
      <c r="AI796" t="s">
        <v>154</v>
      </c>
      <c r="AJ796" s="4" t="str">
        <f>"32550"</f>
        <v>32550</v>
      </c>
      <c r="AK796" t="s">
        <v>120</v>
      </c>
      <c r="AM796" s="5">
        <v>18502678292</v>
      </c>
      <c r="AO796" t="s">
        <v>9406</v>
      </c>
      <c r="AP796" t="s">
        <v>256</v>
      </c>
      <c r="AQ796" t="s">
        <v>2236</v>
      </c>
      <c r="AR796" t="s">
        <v>2237</v>
      </c>
      <c r="AT796" t="s">
        <v>2238</v>
      </c>
      <c r="AU796" t="s">
        <v>9407</v>
      </c>
      <c r="AV796" t="s">
        <v>2239</v>
      </c>
      <c r="AW796" t="s">
        <v>154</v>
      </c>
      <c r="AX796" s="4" t="str">
        <f>"33141"</f>
        <v>33141</v>
      </c>
      <c r="AY796" t="s">
        <v>120</v>
      </c>
      <c r="BA796" s="5">
        <v>17863480376</v>
      </c>
      <c r="BC796" t="s">
        <v>2240</v>
      </c>
      <c r="BD796" t="s">
        <v>2241</v>
      </c>
      <c r="BG796" t="s">
        <v>154</v>
      </c>
      <c r="BH796" s="1">
        <v>44837.833333333336</v>
      </c>
      <c r="BI796">
        <v>35</v>
      </c>
      <c r="BJ796">
        <v>7</v>
      </c>
      <c r="BK796">
        <v>7</v>
      </c>
      <c r="BL796">
        <v>0</v>
      </c>
      <c r="BM796">
        <v>0</v>
      </c>
      <c r="BN796">
        <v>7</v>
      </c>
      <c r="BO796">
        <v>7</v>
      </c>
      <c r="BP796">
        <v>7</v>
      </c>
      <c r="BQ796" t="str">
        <f>"8:00 AM"</f>
        <v>8:00 AM</v>
      </c>
      <c r="BR796" t="str">
        <f>"3:00 PM"</f>
        <v>3:00 PM</v>
      </c>
      <c r="BS796" t="s">
        <v>133</v>
      </c>
      <c r="BT796">
        <v>0</v>
      </c>
      <c r="BU796">
        <v>1</v>
      </c>
      <c r="BV796" t="s">
        <v>134</v>
      </c>
      <c r="BX796" t="s">
        <v>9408</v>
      </c>
      <c r="BY796" t="s">
        <v>9402</v>
      </c>
      <c r="CA796" t="s">
        <v>9403</v>
      </c>
      <c r="CB796" t="s">
        <v>154</v>
      </c>
      <c r="CC796" s="4" t="str">
        <f>"32550"</f>
        <v>32550</v>
      </c>
      <c r="CD796" t="s">
        <v>2474</v>
      </c>
      <c r="CE796" t="s">
        <v>2356</v>
      </c>
      <c r="CF796" s="6">
        <v>13.21</v>
      </c>
      <c r="CG796" s="6">
        <v>13.21</v>
      </c>
      <c r="CH796" s="6">
        <v>19.82</v>
      </c>
      <c r="CI796" s="6">
        <v>19.82</v>
      </c>
      <c r="CJ796" t="s">
        <v>137</v>
      </c>
      <c r="CL796" t="s">
        <v>15420</v>
      </c>
      <c r="CO796" t="s">
        <v>138</v>
      </c>
      <c r="CP796" t="s">
        <v>134</v>
      </c>
      <c r="CQ796" t="s">
        <v>114</v>
      </c>
      <c r="CR796" t="s">
        <v>114</v>
      </c>
      <c r="CS796" t="s">
        <v>134</v>
      </c>
      <c r="CT796" t="s">
        <v>114</v>
      </c>
      <c r="CU796" t="s">
        <v>114</v>
      </c>
      <c r="CV796" t="s">
        <v>9410</v>
      </c>
      <c r="CW796" s="5" t="str">
        <f>"+18502678271"</f>
        <v>+18502678271</v>
      </c>
      <c r="CX796" t="s">
        <v>9411</v>
      </c>
      <c r="CY796" t="s">
        <v>9412</v>
      </c>
      <c r="CZ796" t="s">
        <v>139</v>
      </c>
      <c r="DA796" t="s">
        <v>134</v>
      </c>
      <c r="DB796" t="s">
        <v>114</v>
      </c>
      <c r="DC796" t="s">
        <v>114</v>
      </c>
      <c r="DD796" t="s">
        <v>134</v>
      </c>
    </row>
    <row r="797" spans="1:113" ht="15" customHeight="1" x14ac:dyDescent="0.25">
      <c r="A797" t="s">
        <v>15375</v>
      </c>
      <c r="B797" t="s">
        <v>165</v>
      </c>
      <c r="C797" s="1">
        <v>44837.752399884259</v>
      </c>
      <c r="D797" s="1">
        <v>44866</v>
      </c>
      <c r="E797" t="s">
        <v>114</v>
      </c>
      <c r="F797" t="s">
        <v>10592</v>
      </c>
      <c r="G797" t="str">
        <f>"51-3092.00"</f>
        <v>51-3092.00</v>
      </c>
      <c r="H797" t="s">
        <v>2816</v>
      </c>
      <c r="I797">
        <v>1</v>
      </c>
      <c r="J797">
        <v>1</v>
      </c>
      <c r="K797" s="1">
        <v>44927</v>
      </c>
      <c r="L797" s="1">
        <v>45036</v>
      </c>
      <c r="M797" s="1">
        <v>44927</v>
      </c>
      <c r="N797" s="1">
        <v>45036</v>
      </c>
      <c r="O797" t="s">
        <v>199</v>
      </c>
      <c r="P797" t="s">
        <v>14316</v>
      </c>
      <c r="Q797" t="s">
        <v>14317</v>
      </c>
      <c r="R797" t="s">
        <v>13080</v>
      </c>
      <c r="S797" t="s">
        <v>789</v>
      </c>
      <c r="T797" t="s">
        <v>13081</v>
      </c>
      <c r="U797" t="s">
        <v>792</v>
      </c>
      <c r="V797" s="4" t="str">
        <f>"98052"</f>
        <v>98052</v>
      </c>
      <c r="W797" t="s">
        <v>120</v>
      </c>
      <c r="Y797" s="5">
        <v>14258691703</v>
      </c>
      <c r="AA797">
        <v>3117</v>
      </c>
      <c r="AB797" t="s">
        <v>14318</v>
      </c>
      <c r="AC797" t="s">
        <v>14319</v>
      </c>
      <c r="AE797" t="s">
        <v>14320</v>
      </c>
      <c r="AF797" t="s">
        <v>13080</v>
      </c>
      <c r="AG797" t="s">
        <v>789</v>
      </c>
      <c r="AH797" t="s">
        <v>13081</v>
      </c>
      <c r="AI797" t="s">
        <v>792</v>
      </c>
      <c r="AJ797" s="4" t="str">
        <f>"98052"</f>
        <v>98052</v>
      </c>
      <c r="AK797" t="s">
        <v>120</v>
      </c>
      <c r="AM797" s="5">
        <v>14258691703</v>
      </c>
      <c r="AO797" t="s">
        <v>14321</v>
      </c>
      <c r="AP797" t="s">
        <v>122</v>
      </c>
      <c r="AQ797" t="s">
        <v>843</v>
      </c>
      <c r="AR797" t="s">
        <v>9023</v>
      </c>
      <c r="AS797" t="s">
        <v>1723</v>
      </c>
      <c r="AT797" t="s">
        <v>10598</v>
      </c>
      <c r="AU797" t="s">
        <v>4078</v>
      </c>
      <c r="AV797" t="s">
        <v>1632</v>
      </c>
      <c r="AW797" t="s">
        <v>792</v>
      </c>
      <c r="AX797" s="4" t="str">
        <f>"98104"</f>
        <v>98104</v>
      </c>
      <c r="AY797" t="s">
        <v>120</v>
      </c>
      <c r="BA797" s="5">
        <v>12067578354</v>
      </c>
      <c r="BC797" t="s">
        <v>10599</v>
      </c>
      <c r="BD797" t="s">
        <v>10600</v>
      </c>
      <c r="BE797" t="s">
        <v>792</v>
      </c>
      <c r="BF797" t="s">
        <v>793</v>
      </c>
      <c r="BG797" t="s">
        <v>821</v>
      </c>
      <c r="BH797" s="1">
        <v>44836.833333333336</v>
      </c>
      <c r="BI797">
        <v>72</v>
      </c>
      <c r="BJ797">
        <v>0</v>
      </c>
      <c r="BK797">
        <v>12</v>
      </c>
      <c r="BL797">
        <v>12</v>
      </c>
      <c r="BM797">
        <v>12</v>
      </c>
      <c r="BN797">
        <v>12</v>
      </c>
      <c r="BO797">
        <v>12</v>
      </c>
      <c r="BP797">
        <v>12</v>
      </c>
      <c r="BQ797" t="str">
        <f>"6:00 AM"</f>
        <v>6:00 AM</v>
      </c>
      <c r="BR797" t="str">
        <f>"6:00 PM"</f>
        <v>6:00 PM</v>
      </c>
      <c r="BS797" t="s">
        <v>133</v>
      </c>
      <c r="BT797">
        <v>0</v>
      </c>
      <c r="BU797">
        <v>24</v>
      </c>
      <c r="BV797" t="s">
        <v>134</v>
      </c>
      <c r="BX797" s="2" t="s">
        <v>15376</v>
      </c>
      <c r="BY797" t="s">
        <v>15377</v>
      </c>
      <c r="CA797" t="s">
        <v>15378</v>
      </c>
      <c r="CB797" t="s">
        <v>821</v>
      </c>
      <c r="CC797" s="4" t="str">
        <f>"99692"</f>
        <v>99692</v>
      </c>
      <c r="CD797" t="s">
        <v>5273</v>
      </c>
      <c r="CE797" t="s">
        <v>832</v>
      </c>
      <c r="CF797" s="6">
        <v>23.99</v>
      </c>
      <c r="CH797" s="6">
        <v>35.99</v>
      </c>
      <c r="CJ797" t="s">
        <v>137</v>
      </c>
      <c r="CK797" t="s">
        <v>15379</v>
      </c>
      <c r="CL797" t="s">
        <v>15380</v>
      </c>
      <c r="CO797" t="s">
        <v>138</v>
      </c>
      <c r="CP797" t="s">
        <v>134</v>
      </c>
      <c r="CQ797" t="s">
        <v>134</v>
      </c>
      <c r="CR797" t="s">
        <v>114</v>
      </c>
      <c r="CS797" t="s">
        <v>134</v>
      </c>
      <c r="CT797" t="s">
        <v>114</v>
      </c>
      <c r="CU797" t="s">
        <v>114</v>
      </c>
      <c r="CV797" t="s">
        <v>15381</v>
      </c>
      <c r="CW797" s="5" t="str">
        <f>"N/A"</f>
        <v>N/A</v>
      </c>
      <c r="CX797" t="s">
        <v>10607</v>
      </c>
      <c r="CY797" t="s">
        <v>10608</v>
      </c>
      <c r="CZ797" t="s">
        <v>139</v>
      </c>
      <c r="DA797" t="s">
        <v>134</v>
      </c>
      <c r="DB797" t="s">
        <v>134</v>
      </c>
      <c r="DC797" t="s">
        <v>114</v>
      </c>
      <c r="DD797" t="s">
        <v>134</v>
      </c>
    </row>
    <row r="798" spans="1:113" ht="15" customHeight="1" x14ac:dyDescent="0.25">
      <c r="A798" t="s">
        <v>14644</v>
      </c>
      <c r="B798" t="s">
        <v>165</v>
      </c>
      <c r="C798" s="1">
        <v>44837.64486226852</v>
      </c>
      <c r="D798" s="1">
        <v>44866</v>
      </c>
      <c r="E798" t="s">
        <v>134</v>
      </c>
      <c r="F798" t="s">
        <v>2433</v>
      </c>
      <c r="G798" t="str">
        <f>"51-3022.00"</f>
        <v>51-3022.00</v>
      </c>
      <c r="H798" t="s">
        <v>817</v>
      </c>
      <c r="I798">
        <v>100</v>
      </c>
      <c r="J798">
        <v>100</v>
      </c>
      <c r="K798" s="1">
        <v>44927</v>
      </c>
      <c r="L798" s="1">
        <v>45199</v>
      </c>
      <c r="M798" s="1">
        <v>44927</v>
      </c>
      <c r="N798" s="1">
        <v>45199</v>
      </c>
      <c r="O798" t="s">
        <v>117</v>
      </c>
      <c r="P798" t="s">
        <v>14645</v>
      </c>
      <c r="R798" t="s">
        <v>14646</v>
      </c>
      <c r="T798" t="s">
        <v>7970</v>
      </c>
      <c r="U798" t="s">
        <v>511</v>
      </c>
      <c r="V798" s="4" t="str">
        <f>"97015"</f>
        <v>97015</v>
      </c>
      <c r="W798" t="s">
        <v>120</v>
      </c>
      <c r="Y798" s="5">
        <v>15039052425</v>
      </c>
      <c r="AA798">
        <v>3117</v>
      </c>
      <c r="AB798" t="s">
        <v>14647</v>
      </c>
      <c r="AC798" t="s">
        <v>14648</v>
      </c>
      <c r="AE798" t="s">
        <v>14649</v>
      </c>
      <c r="AF798" t="s">
        <v>14646</v>
      </c>
      <c r="AH798" t="s">
        <v>7970</v>
      </c>
      <c r="AI798" t="s">
        <v>511</v>
      </c>
      <c r="AJ798" s="4" t="str">
        <f>"97015"</f>
        <v>97015</v>
      </c>
      <c r="AK798" t="s">
        <v>120</v>
      </c>
      <c r="AM798" s="5">
        <v>15039052425</v>
      </c>
      <c r="AO798" t="s">
        <v>14650</v>
      </c>
      <c r="AP798" t="s">
        <v>122</v>
      </c>
      <c r="AQ798" t="s">
        <v>1399</v>
      </c>
      <c r="AR798" t="s">
        <v>1400</v>
      </c>
      <c r="AS798" t="s">
        <v>1401</v>
      </c>
      <c r="AT798" t="s">
        <v>1998</v>
      </c>
      <c r="AU798" t="s">
        <v>1402</v>
      </c>
      <c r="AV798" t="s">
        <v>1817</v>
      </c>
      <c r="AW798" t="s">
        <v>339</v>
      </c>
      <c r="AX798" s="4" t="str">
        <f>"21117"</f>
        <v>21117</v>
      </c>
      <c r="AY798" t="s">
        <v>120</v>
      </c>
      <c r="BA798" s="5">
        <v>14435014240</v>
      </c>
      <c r="BC798" t="s">
        <v>1818</v>
      </c>
      <c r="BD798" t="s">
        <v>1819</v>
      </c>
      <c r="BE798" t="s">
        <v>848</v>
      </c>
      <c r="BF798" t="s">
        <v>1916</v>
      </c>
      <c r="BG798" t="s">
        <v>792</v>
      </c>
      <c r="BH798" s="1">
        <v>44836.833333333336</v>
      </c>
      <c r="BI798">
        <v>35</v>
      </c>
      <c r="BJ798">
        <v>5</v>
      </c>
      <c r="BK798">
        <v>5</v>
      </c>
      <c r="BL798">
        <v>5</v>
      </c>
      <c r="BM798">
        <v>5</v>
      </c>
      <c r="BN798">
        <v>5</v>
      </c>
      <c r="BO798">
        <v>5</v>
      </c>
      <c r="BP798">
        <v>5</v>
      </c>
      <c r="BQ798" t="str">
        <f>"6:00 AM"</f>
        <v>6:00 AM</v>
      </c>
      <c r="BR798" t="str">
        <f>"12:00 AM"</f>
        <v>12:00 AM</v>
      </c>
      <c r="BS798" t="s">
        <v>133</v>
      </c>
      <c r="BT798">
        <v>0</v>
      </c>
      <c r="BU798">
        <v>0</v>
      </c>
      <c r="BV798" t="s">
        <v>134</v>
      </c>
      <c r="BX798" s="2" t="s">
        <v>14651</v>
      </c>
      <c r="BY798" t="s">
        <v>14652</v>
      </c>
      <c r="CA798" t="s">
        <v>5939</v>
      </c>
      <c r="CB798" t="s">
        <v>792</v>
      </c>
      <c r="CC798" s="4" t="str">
        <f>"98586"</f>
        <v>98586</v>
      </c>
      <c r="CD798" t="s">
        <v>10634</v>
      </c>
      <c r="CE798" t="s">
        <v>7852</v>
      </c>
      <c r="CF798" s="6">
        <v>15.03</v>
      </c>
      <c r="CH798" s="6">
        <v>22.55</v>
      </c>
      <c r="CJ798" t="s">
        <v>137</v>
      </c>
      <c r="CK798" t="s">
        <v>1405</v>
      </c>
      <c r="CL798" t="s">
        <v>14653</v>
      </c>
      <c r="CO798" t="s">
        <v>138</v>
      </c>
      <c r="CP798" t="s">
        <v>114</v>
      </c>
      <c r="CQ798" t="s">
        <v>114</v>
      </c>
      <c r="CR798" t="s">
        <v>114</v>
      </c>
      <c r="CS798" t="s">
        <v>134</v>
      </c>
      <c r="CT798" t="s">
        <v>114</v>
      </c>
      <c r="CU798" t="s">
        <v>114</v>
      </c>
      <c r="CV798" t="s">
        <v>10837</v>
      </c>
      <c r="CW798" s="5" t="str">
        <f>"N/A"</f>
        <v>N/A</v>
      </c>
      <c r="CX798" t="s">
        <v>7971</v>
      </c>
      <c r="CY798" t="s">
        <v>7972</v>
      </c>
      <c r="CZ798" t="s">
        <v>139</v>
      </c>
      <c r="DA798" t="s">
        <v>134</v>
      </c>
      <c r="DB798" t="s">
        <v>114</v>
      </c>
      <c r="DC798" t="s">
        <v>114</v>
      </c>
      <c r="DD798" t="s">
        <v>134</v>
      </c>
    </row>
    <row r="799" spans="1:113" ht="15" customHeight="1" x14ac:dyDescent="0.25">
      <c r="A799" t="s">
        <v>13625</v>
      </c>
      <c r="B799" t="s">
        <v>165</v>
      </c>
      <c r="C799" s="1">
        <v>44837.298639814813</v>
      </c>
      <c r="D799" s="1">
        <v>44866</v>
      </c>
      <c r="E799" t="s">
        <v>134</v>
      </c>
      <c r="F799" t="s">
        <v>1357</v>
      </c>
      <c r="G799" t="str">
        <f>"39-3091.00"</f>
        <v>39-3091.00</v>
      </c>
      <c r="H799" t="s">
        <v>362</v>
      </c>
      <c r="I799">
        <v>145</v>
      </c>
      <c r="J799">
        <v>145</v>
      </c>
      <c r="K799" s="1">
        <v>44927</v>
      </c>
      <c r="L799" s="1">
        <v>45230</v>
      </c>
      <c r="M799" s="1">
        <v>44927</v>
      </c>
      <c r="N799" s="1">
        <v>45230</v>
      </c>
      <c r="O799" t="s">
        <v>199</v>
      </c>
      <c r="P799" t="s">
        <v>13626</v>
      </c>
      <c r="R799" t="s">
        <v>13627</v>
      </c>
      <c r="T799" t="s">
        <v>6746</v>
      </c>
      <c r="U799" t="s">
        <v>184</v>
      </c>
      <c r="V799" s="4" t="str">
        <f>"60169"</f>
        <v>60169</v>
      </c>
      <c r="W799" t="s">
        <v>120</v>
      </c>
      <c r="Y799" s="5">
        <v>18478852100</v>
      </c>
      <c r="AA799">
        <v>71119</v>
      </c>
      <c r="AB799" t="s">
        <v>6690</v>
      </c>
      <c r="AC799" t="s">
        <v>6691</v>
      </c>
      <c r="AE799" t="s">
        <v>1710</v>
      </c>
      <c r="AF799" t="s">
        <v>13628</v>
      </c>
      <c r="AH799" t="s">
        <v>6746</v>
      </c>
      <c r="AI799" t="s">
        <v>184</v>
      </c>
      <c r="AJ799" s="4" t="str">
        <f>"60169"</f>
        <v>60169</v>
      </c>
      <c r="AK799" t="s">
        <v>120</v>
      </c>
      <c r="AM799" s="5">
        <v>17657609135</v>
      </c>
      <c r="AO799" t="s">
        <v>6692</v>
      </c>
      <c r="AP799" t="s">
        <v>256</v>
      </c>
      <c r="AQ799" t="s">
        <v>535</v>
      </c>
      <c r="AR799" t="s">
        <v>536</v>
      </c>
      <c r="AS799" t="s">
        <v>537</v>
      </c>
      <c r="AT799" t="s">
        <v>538</v>
      </c>
      <c r="AU799" t="s">
        <v>539</v>
      </c>
      <c r="AV799" t="s">
        <v>540</v>
      </c>
      <c r="AW799" t="s">
        <v>232</v>
      </c>
      <c r="AX799" s="4" t="str">
        <f>"78550"</f>
        <v>78550</v>
      </c>
      <c r="AY799" t="s">
        <v>120</v>
      </c>
      <c r="BA799" s="5">
        <v>19564408720</v>
      </c>
      <c r="BB799">
        <v>0</v>
      </c>
      <c r="BC799" t="s">
        <v>563</v>
      </c>
      <c r="BD799" t="s">
        <v>543</v>
      </c>
      <c r="BG799" t="s">
        <v>232</v>
      </c>
      <c r="BH799" s="1">
        <v>44836.833333333336</v>
      </c>
      <c r="BI799">
        <v>40</v>
      </c>
      <c r="BJ799">
        <v>8</v>
      </c>
      <c r="BK799">
        <v>0</v>
      </c>
      <c r="BL799">
        <v>0</v>
      </c>
      <c r="BM799">
        <v>8</v>
      </c>
      <c r="BN799">
        <v>8</v>
      </c>
      <c r="BO799">
        <v>8</v>
      </c>
      <c r="BP799">
        <v>8</v>
      </c>
      <c r="BQ799" t="str">
        <f>"1:00 PM"</f>
        <v>1:00 PM</v>
      </c>
      <c r="BR799" t="str">
        <f>"10:00 PM"</f>
        <v>10:00 PM</v>
      </c>
      <c r="BS799" t="s">
        <v>133</v>
      </c>
      <c r="BT799">
        <v>0</v>
      </c>
      <c r="BU799">
        <v>0</v>
      </c>
      <c r="BV799" t="s">
        <v>134</v>
      </c>
      <c r="BX799" s="2" t="s">
        <v>579</v>
      </c>
      <c r="BY799" t="s">
        <v>13629</v>
      </c>
      <c r="CA799" t="s">
        <v>1778</v>
      </c>
      <c r="CB799" t="s">
        <v>232</v>
      </c>
      <c r="CC799" s="4" t="str">
        <f>"78589"</f>
        <v>78589</v>
      </c>
      <c r="CD799" t="s">
        <v>4281</v>
      </c>
      <c r="CE799" t="s">
        <v>4282</v>
      </c>
      <c r="CF799" s="6">
        <v>9.5500000000000007</v>
      </c>
      <c r="CG799" s="6">
        <v>13.42</v>
      </c>
      <c r="CJ799" t="s">
        <v>137</v>
      </c>
      <c r="CK799" t="s">
        <v>549</v>
      </c>
      <c r="CL799" t="s">
        <v>13630</v>
      </c>
      <c r="CO799" t="s">
        <v>138</v>
      </c>
      <c r="CP799" t="s">
        <v>114</v>
      </c>
      <c r="CQ799" t="s">
        <v>114</v>
      </c>
      <c r="CR799" t="s">
        <v>134</v>
      </c>
      <c r="CS799" t="s">
        <v>114</v>
      </c>
      <c r="CT799" t="s">
        <v>114</v>
      </c>
      <c r="CU799" t="s">
        <v>114</v>
      </c>
      <c r="CV799" t="s">
        <v>569</v>
      </c>
      <c r="CW799" s="5" t="str">
        <f>"+17654333038"</f>
        <v>+17654333038</v>
      </c>
      <c r="CX799" t="s">
        <v>6692</v>
      </c>
      <c r="CY799" t="s">
        <v>138</v>
      </c>
      <c r="CZ799" t="s">
        <v>139</v>
      </c>
      <c r="DA799" t="s">
        <v>134</v>
      </c>
      <c r="DB799" t="s">
        <v>114</v>
      </c>
      <c r="DC799" t="s">
        <v>114</v>
      </c>
      <c r="DD799" t="s">
        <v>134</v>
      </c>
    </row>
    <row r="800" spans="1:113" ht="15" customHeight="1" x14ac:dyDescent="0.25">
      <c r="A800" t="s">
        <v>3374</v>
      </c>
      <c r="B800" t="s">
        <v>165</v>
      </c>
      <c r="C800" s="1">
        <v>44833.662491435185</v>
      </c>
      <c r="D800" s="1">
        <v>44866</v>
      </c>
      <c r="E800" t="s">
        <v>134</v>
      </c>
      <c r="F800" t="s">
        <v>416</v>
      </c>
      <c r="G800" t="str">
        <f>"37-2011.00"</f>
        <v>37-2011.00</v>
      </c>
      <c r="H800" t="s">
        <v>672</v>
      </c>
      <c r="I800">
        <v>45</v>
      </c>
      <c r="J800">
        <v>45</v>
      </c>
      <c r="K800" s="1">
        <v>44908</v>
      </c>
      <c r="L800" s="1">
        <v>45016</v>
      </c>
      <c r="M800" s="1">
        <v>44908</v>
      </c>
      <c r="N800" s="1">
        <v>45016</v>
      </c>
      <c r="O800" t="s">
        <v>199</v>
      </c>
      <c r="P800" t="s">
        <v>3375</v>
      </c>
      <c r="R800" t="s">
        <v>3376</v>
      </c>
      <c r="T800" t="s">
        <v>1434</v>
      </c>
      <c r="U800" t="s">
        <v>420</v>
      </c>
      <c r="V800" s="4" t="str">
        <f>"84003"</f>
        <v>84003</v>
      </c>
      <c r="W800" t="s">
        <v>120</v>
      </c>
      <c r="Y800" s="5">
        <v>18017630301</v>
      </c>
      <c r="AA800">
        <v>56173</v>
      </c>
      <c r="AB800" t="s">
        <v>2489</v>
      </c>
      <c r="AC800" t="s">
        <v>1149</v>
      </c>
      <c r="AE800" t="s">
        <v>1526</v>
      </c>
      <c r="AF800" t="s">
        <v>3377</v>
      </c>
      <c r="AH800" t="s">
        <v>1434</v>
      </c>
      <c r="AI800" t="s">
        <v>420</v>
      </c>
      <c r="AJ800" s="4" t="str">
        <f>"84003"</f>
        <v>84003</v>
      </c>
      <c r="AK800" t="s">
        <v>120</v>
      </c>
      <c r="AM800" s="5">
        <v>18017630301</v>
      </c>
      <c r="AO800" t="s">
        <v>3378</v>
      </c>
      <c r="AX800" s="4" t="str">
        <f>""</f>
        <v/>
      </c>
      <c r="BG800" t="s">
        <v>420</v>
      </c>
      <c r="BH800" s="1">
        <v>44832.833333333336</v>
      </c>
      <c r="BI800">
        <v>35</v>
      </c>
      <c r="BJ800">
        <v>0</v>
      </c>
      <c r="BK800">
        <v>7</v>
      </c>
      <c r="BL800">
        <v>7</v>
      </c>
      <c r="BM800">
        <v>7</v>
      </c>
      <c r="BN800">
        <v>7</v>
      </c>
      <c r="BO800">
        <v>7</v>
      </c>
      <c r="BP800">
        <v>0</v>
      </c>
      <c r="BQ800" t="str">
        <f>"8:00 AM"</f>
        <v>8:00 AM</v>
      </c>
      <c r="BR800" t="str">
        <f>"3:30 PM"</f>
        <v>3:30 PM</v>
      </c>
      <c r="BS800" t="s">
        <v>133</v>
      </c>
      <c r="BT800">
        <v>0</v>
      </c>
      <c r="BU800">
        <v>0</v>
      </c>
      <c r="BV800" t="s">
        <v>134</v>
      </c>
      <c r="BX800" s="2" t="s">
        <v>3379</v>
      </c>
      <c r="BY800" t="s">
        <v>3380</v>
      </c>
      <c r="CA800" t="s">
        <v>1434</v>
      </c>
      <c r="CB800" t="s">
        <v>420</v>
      </c>
      <c r="CC800" s="4" t="str">
        <f>"84003"</f>
        <v>84003</v>
      </c>
      <c r="CD800" t="s">
        <v>433</v>
      </c>
      <c r="CE800" t="s">
        <v>434</v>
      </c>
      <c r="CF800" s="6">
        <v>13.94</v>
      </c>
      <c r="CG800" s="6">
        <v>17.21</v>
      </c>
      <c r="CH800" s="6">
        <v>20.91</v>
      </c>
      <c r="CI800" s="6">
        <v>25.82</v>
      </c>
      <c r="CJ800" t="s">
        <v>137</v>
      </c>
      <c r="CK800" t="s">
        <v>3381</v>
      </c>
      <c r="CL800" t="s">
        <v>3382</v>
      </c>
      <c r="CO800" t="s">
        <v>138</v>
      </c>
      <c r="CP800" t="s">
        <v>114</v>
      </c>
      <c r="CQ800" t="s">
        <v>114</v>
      </c>
      <c r="CR800" t="s">
        <v>114</v>
      </c>
      <c r="CS800" t="s">
        <v>134</v>
      </c>
      <c r="CT800" t="s">
        <v>114</v>
      </c>
      <c r="CU800" t="s">
        <v>134</v>
      </c>
      <c r="CV800" t="s">
        <v>3383</v>
      </c>
      <c r="CW800" s="5" t="str">
        <f>"+18017630301"</f>
        <v>+18017630301</v>
      </c>
      <c r="CX800" t="s">
        <v>3378</v>
      </c>
      <c r="CY800" t="s">
        <v>138</v>
      </c>
      <c r="CZ800" t="s">
        <v>139</v>
      </c>
      <c r="DA800" t="s">
        <v>134</v>
      </c>
      <c r="DB800" t="s">
        <v>134</v>
      </c>
      <c r="DC800" t="s">
        <v>114</v>
      </c>
      <c r="DD800" t="s">
        <v>134</v>
      </c>
    </row>
    <row r="801" spans="1:108" ht="15" customHeight="1" x14ac:dyDescent="0.25">
      <c r="A801" t="s">
        <v>14549</v>
      </c>
      <c r="B801" t="s">
        <v>165</v>
      </c>
      <c r="C801" s="1">
        <v>44831.453317824074</v>
      </c>
      <c r="D801" s="1">
        <v>44866</v>
      </c>
      <c r="E801" t="s">
        <v>134</v>
      </c>
      <c r="F801" t="s">
        <v>3517</v>
      </c>
      <c r="G801" t="str">
        <f>"37-2011.00"</f>
        <v>37-2011.00</v>
      </c>
      <c r="H801" t="s">
        <v>672</v>
      </c>
      <c r="I801">
        <v>9</v>
      </c>
      <c r="J801">
        <v>9</v>
      </c>
      <c r="K801" s="1">
        <v>44906</v>
      </c>
      <c r="L801" s="1">
        <v>45046</v>
      </c>
      <c r="M801" s="1">
        <v>44906</v>
      </c>
      <c r="N801" s="1">
        <v>45046</v>
      </c>
      <c r="O801" t="s">
        <v>117</v>
      </c>
      <c r="P801" t="s">
        <v>14550</v>
      </c>
      <c r="Q801" t="s">
        <v>14551</v>
      </c>
      <c r="R801" t="s">
        <v>14552</v>
      </c>
      <c r="S801" t="s">
        <v>14553</v>
      </c>
      <c r="T801" t="s">
        <v>14554</v>
      </c>
      <c r="U801" t="s">
        <v>154</v>
      </c>
      <c r="V801" s="4" t="str">
        <f>"34689"</f>
        <v>34689</v>
      </c>
      <c r="W801" t="s">
        <v>120</v>
      </c>
      <c r="Y801" s="5">
        <v>17279348400</v>
      </c>
      <c r="AA801">
        <v>72251</v>
      </c>
      <c r="AB801" t="s">
        <v>14117</v>
      </c>
      <c r="AC801" t="s">
        <v>14555</v>
      </c>
      <c r="AE801" t="s">
        <v>1065</v>
      </c>
      <c r="AF801" t="s">
        <v>14552</v>
      </c>
      <c r="AG801" t="s">
        <v>14553</v>
      </c>
      <c r="AH801" t="s">
        <v>14554</v>
      </c>
      <c r="AI801" t="s">
        <v>154</v>
      </c>
      <c r="AJ801" s="4" t="str">
        <f>"34689"</f>
        <v>34689</v>
      </c>
      <c r="AK801" t="s">
        <v>120</v>
      </c>
      <c r="AM801" s="5">
        <v>17279348400</v>
      </c>
      <c r="AO801" t="s">
        <v>14556</v>
      </c>
      <c r="AP801" t="s">
        <v>122</v>
      </c>
      <c r="AQ801" t="s">
        <v>1867</v>
      </c>
      <c r="AR801" t="s">
        <v>1868</v>
      </c>
      <c r="AS801" t="s">
        <v>1869</v>
      </c>
      <c r="AT801" t="s">
        <v>1870</v>
      </c>
      <c r="AU801" t="s">
        <v>1871</v>
      </c>
      <c r="AV801" t="s">
        <v>1872</v>
      </c>
      <c r="AW801" t="s">
        <v>1003</v>
      </c>
      <c r="AX801" s="4" t="str">
        <f>"08034"</f>
        <v>08034</v>
      </c>
      <c r="AY801" t="s">
        <v>120</v>
      </c>
      <c r="AZ801" t="s">
        <v>1873</v>
      </c>
      <c r="BA801" s="5">
        <v>18562819750</v>
      </c>
      <c r="BC801" t="s">
        <v>1874</v>
      </c>
      <c r="BD801" t="s">
        <v>1875</v>
      </c>
      <c r="BE801" t="s">
        <v>1003</v>
      </c>
      <c r="BF801" t="s">
        <v>1876</v>
      </c>
      <c r="BG801" t="s">
        <v>154</v>
      </c>
      <c r="BH801" s="1">
        <v>44830.833333333336</v>
      </c>
      <c r="BI801">
        <v>40</v>
      </c>
      <c r="BJ801">
        <v>6</v>
      </c>
      <c r="BK801">
        <v>5</v>
      </c>
      <c r="BL801">
        <v>5</v>
      </c>
      <c r="BM801">
        <v>5</v>
      </c>
      <c r="BN801">
        <v>5</v>
      </c>
      <c r="BO801">
        <v>7</v>
      </c>
      <c r="BP801">
        <v>7</v>
      </c>
      <c r="BQ801" t="str">
        <f>"8:00 AM"</f>
        <v>8:00 AM</v>
      </c>
      <c r="BR801" t="str">
        <f>"4:00 PM"</f>
        <v>4:00 PM</v>
      </c>
      <c r="BS801" t="s">
        <v>133</v>
      </c>
      <c r="BT801">
        <v>0</v>
      </c>
      <c r="BU801">
        <v>0</v>
      </c>
      <c r="BV801" t="s">
        <v>134</v>
      </c>
      <c r="BX801" t="s">
        <v>14557</v>
      </c>
      <c r="BY801" t="s">
        <v>14558</v>
      </c>
      <c r="CA801" t="s">
        <v>14559</v>
      </c>
      <c r="CB801" t="s">
        <v>154</v>
      </c>
      <c r="CC801" s="4" t="str">
        <f>"34689"</f>
        <v>34689</v>
      </c>
      <c r="CD801" t="s">
        <v>2806</v>
      </c>
      <c r="CE801" t="s">
        <v>567</v>
      </c>
      <c r="CF801" s="6">
        <v>13</v>
      </c>
      <c r="CG801" s="6">
        <v>13</v>
      </c>
      <c r="CH801" s="6">
        <v>19.5</v>
      </c>
      <c r="CI801" s="6">
        <v>19.5</v>
      </c>
      <c r="CJ801" t="s">
        <v>137</v>
      </c>
      <c r="CK801" t="s">
        <v>1878</v>
      </c>
      <c r="CL801" t="s">
        <v>14560</v>
      </c>
      <c r="CO801" t="s">
        <v>138</v>
      </c>
      <c r="CP801" t="s">
        <v>134</v>
      </c>
      <c r="CQ801" t="s">
        <v>134</v>
      </c>
      <c r="CR801" t="s">
        <v>114</v>
      </c>
      <c r="CS801" t="s">
        <v>114</v>
      </c>
      <c r="CT801" t="s">
        <v>114</v>
      </c>
      <c r="CU801" t="s">
        <v>134</v>
      </c>
      <c r="CV801" t="s">
        <v>138</v>
      </c>
      <c r="CW801" s="5" t="str">
        <f>"+17279348400"</f>
        <v>+17279348400</v>
      </c>
      <c r="CX801" t="s">
        <v>14561</v>
      </c>
      <c r="CY801" t="s">
        <v>138</v>
      </c>
      <c r="CZ801" t="s">
        <v>139</v>
      </c>
      <c r="DA801" t="s">
        <v>134</v>
      </c>
      <c r="DB801" t="s">
        <v>114</v>
      </c>
      <c r="DC801" t="s">
        <v>114</v>
      </c>
      <c r="DD801" t="s">
        <v>134</v>
      </c>
    </row>
    <row r="802" spans="1:108" ht="15" customHeight="1" x14ac:dyDescent="0.25">
      <c r="A802" t="s">
        <v>12235</v>
      </c>
      <c r="B802" t="s">
        <v>165</v>
      </c>
      <c r="C802" s="1">
        <v>44820.64574965278</v>
      </c>
      <c r="D802" s="1">
        <v>44866</v>
      </c>
      <c r="E802" t="s">
        <v>114</v>
      </c>
      <c r="F802" t="s">
        <v>12236</v>
      </c>
      <c r="G802" t="str">
        <f>"35-2021.00"</f>
        <v>35-2021.00</v>
      </c>
      <c r="H802" t="s">
        <v>718</v>
      </c>
      <c r="I802">
        <v>15</v>
      </c>
      <c r="J802">
        <v>15</v>
      </c>
      <c r="K802" s="1">
        <v>44896</v>
      </c>
      <c r="L802" s="1">
        <v>45031</v>
      </c>
      <c r="M802" s="1">
        <v>44896</v>
      </c>
      <c r="N802" s="1">
        <v>45031</v>
      </c>
      <c r="O802" t="s">
        <v>117</v>
      </c>
      <c r="P802" t="s">
        <v>8625</v>
      </c>
      <c r="R802" t="s">
        <v>8629</v>
      </c>
      <c r="T802" t="s">
        <v>8627</v>
      </c>
      <c r="U802" t="s">
        <v>181</v>
      </c>
      <c r="V802" s="4" t="str">
        <f>"81611"</f>
        <v>81611</v>
      </c>
      <c r="W802" t="s">
        <v>120</v>
      </c>
      <c r="Y802" s="5">
        <v>19703007700</v>
      </c>
      <c r="AA802">
        <v>71392</v>
      </c>
      <c r="AB802" t="s">
        <v>2092</v>
      </c>
      <c r="AC802" t="s">
        <v>8628</v>
      </c>
      <c r="AE802" t="s">
        <v>824</v>
      </c>
      <c r="AF802" t="s">
        <v>8629</v>
      </c>
      <c r="AH802" t="s">
        <v>8627</v>
      </c>
      <c r="AI802" t="s">
        <v>181</v>
      </c>
      <c r="AJ802" s="4" t="str">
        <f>"81611"</f>
        <v>81611</v>
      </c>
      <c r="AK802" t="s">
        <v>120</v>
      </c>
      <c r="AM802" s="5">
        <v>19703007700</v>
      </c>
      <c r="AO802" t="s">
        <v>8630</v>
      </c>
      <c r="AP802" t="s">
        <v>122</v>
      </c>
      <c r="AQ802" t="s">
        <v>753</v>
      </c>
      <c r="AR802" t="s">
        <v>754</v>
      </c>
      <c r="AS802" t="s">
        <v>755</v>
      </c>
      <c r="AT802" t="s">
        <v>756</v>
      </c>
      <c r="AU802" t="s">
        <v>757</v>
      </c>
      <c r="AV802" t="s">
        <v>758</v>
      </c>
      <c r="AW802" t="s">
        <v>281</v>
      </c>
      <c r="AX802" s="4" t="str">
        <f>"01701"</f>
        <v>01701</v>
      </c>
      <c r="AY802" t="s">
        <v>120</v>
      </c>
      <c r="BA802" s="5">
        <v>16179399444</v>
      </c>
      <c r="BC802" t="s">
        <v>759</v>
      </c>
      <c r="BD802" t="s">
        <v>760</v>
      </c>
      <c r="BE802" t="s">
        <v>281</v>
      </c>
      <c r="BF802" t="s">
        <v>761</v>
      </c>
      <c r="BG802" t="s">
        <v>181</v>
      </c>
      <c r="BH802" s="1">
        <v>44819.833333333336</v>
      </c>
      <c r="BI802">
        <v>40</v>
      </c>
      <c r="BJ802">
        <v>0</v>
      </c>
      <c r="BK802">
        <v>8</v>
      </c>
      <c r="BL802">
        <v>8</v>
      </c>
      <c r="BM802">
        <v>8</v>
      </c>
      <c r="BN802">
        <v>8</v>
      </c>
      <c r="BO802">
        <v>8</v>
      </c>
      <c r="BP802">
        <v>0</v>
      </c>
      <c r="BQ802" t="str">
        <f>"8:00 AM"</f>
        <v>8:00 AM</v>
      </c>
      <c r="BR802" t="str">
        <f>"4:00 PM"</f>
        <v>4:00 PM</v>
      </c>
      <c r="BS802" t="s">
        <v>133</v>
      </c>
      <c r="BT802">
        <v>0</v>
      </c>
      <c r="BU802">
        <v>0</v>
      </c>
      <c r="BV802" t="s">
        <v>134</v>
      </c>
      <c r="BX802" s="2" t="s">
        <v>12237</v>
      </c>
      <c r="BY802" t="s">
        <v>8629</v>
      </c>
      <c r="CA802" t="s">
        <v>8627</v>
      </c>
      <c r="CB802" t="s">
        <v>181</v>
      </c>
      <c r="CC802" s="4" t="str">
        <f>"81611"</f>
        <v>81611</v>
      </c>
      <c r="CD802" t="s">
        <v>8632</v>
      </c>
      <c r="CE802" t="s">
        <v>1570</v>
      </c>
      <c r="CF802" s="6">
        <v>22</v>
      </c>
      <c r="CG802" s="6">
        <v>25</v>
      </c>
      <c r="CH802" s="6">
        <v>33</v>
      </c>
      <c r="CI802" s="6">
        <v>37.5</v>
      </c>
      <c r="CJ802" t="s">
        <v>137</v>
      </c>
      <c r="CK802" t="s">
        <v>12238</v>
      </c>
      <c r="CL802" t="s">
        <v>12239</v>
      </c>
      <c r="CO802" t="s">
        <v>138</v>
      </c>
      <c r="CP802" t="s">
        <v>114</v>
      </c>
      <c r="CQ802" t="s">
        <v>114</v>
      </c>
      <c r="CR802" t="s">
        <v>114</v>
      </c>
      <c r="CS802" t="s">
        <v>114</v>
      </c>
      <c r="CT802" t="s">
        <v>114</v>
      </c>
      <c r="CU802" t="s">
        <v>114</v>
      </c>
      <c r="CV802" t="s">
        <v>8635</v>
      </c>
      <c r="CW802" s="5" t="str">
        <f>"+19703007700"</f>
        <v>+19703007700</v>
      </c>
      <c r="CX802" t="s">
        <v>8630</v>
      </c>
      <c r="CY802" t="s">
        <v>138</v>
      </c>
      <c r="CZ802" t="s">
        <v>139</v>
      </c>
      <c r="DA802" t="s">
        <v>134</v>
      </c>
      <c r="DB802" t="s">
        <v>134</v>
      </c>
      <c r="DC802" t="s">
        <v>114</v>
      </c>
      <c r="DD802" t="s">
        <v>134</v>
      </c>
    </row>
    <row r="803" spans="1:108" ht="15" customHeight="1" x14ac:dyDescent="0.25">
      <c r="A803" t="s">
        <v>11265</v>
      </c>
      <c r="B803" t="s">
        <v>165</v>
      </c>
      <c r="C803" s="1">
        <v>44819.776618055555</v>
      </c>
      <c r="D803" s="1">
        <v>44866</v>
      </c>
      <c r="E803" t="s">
        <v>134</v>
      </c>
      <c r="F803" t="s">
        <v>1089</v>
      </c>
      <c r="G803" t="str">
        <f>"39-2021.00"</f>
        <v>39-2021.00</v>
      </c>
      <c r="H803" t="s">
        <v>615</v>
      </c>
      <c r="I803">
        <v>12</v>
      </c>
      <c r="J803">
        <v>12</v>
      </c>
      <c r="K803" s="1">
        <v>44896</v>
      </c>
      <c r="L803" s="1">
        <v>45046</v>
      </c>
      <c r="M803" s="1">
        <v>44896</v>
      </c>
      <c r="N803" s="1">
        <v>45046</v>
      </c>
      <c r="O803" t="s">
        <v>199</v>
      </c>
      <c r="P803" t="s">
        <v>11266</v>
      </c>
      <c r="R803" t="s">
        <v>11267</v>
      </c>
      <c r="T803" t="s">
        <v>2447</v>
      </c>
      <c r="U803" t="s">
        <v>1750</v>
      </c>
      <c r="V803" s="4" t="str">
        <f>"68130"</f>
        <v>68130</v>
      </c>
      <c r="W803" t="s">
        <v>120</v>
      </c>
      <c r="Y803" s="5">
        <v>17087905694</v>
      </c>
      <c r="AA803">
        <v>711212</v>
      </c>
      <c r="AB803" t="s">
        <v>11268</v>
      </c>
      <c r="AC803" t="s">
        <v>11269</v>
      </c>
      <c r="AE803" t="s">
        <v>11270</v>
      </c>
      <c r="AF803" t="s">
        <v>11267</v>
      </c>
      <c r="AH803" t="s">
        <v>2447</v>
      </c>
      <c r="AI803" t="s">
        <v>1750</v>
      </c>
      <c r="AJ803" s="4" t="str">
        <f>"68130"</f>
        <v>68130</v>
      </c>
      <c r="AK803" t="s">
        <v>120</v>
      </c>
      <c r="AM803" s="5">
        <v>17087905694</v>
      </c>
      <c r="AO803" t="s">
        <v>11271</v>
      </c>
      <c r="AP803" t="s">
        <v>122</v>
      </c>
      <c r="AQ803" t="s">
        <v>625</v>
      </c>
      <c r="AR803" t="s">
        <v>626</v>
      </c>
      <c r="AS803" t="s">
        <v>627</v>
      </c>
      <c r="AT803" t="s">
        <v>628</v>
      </c>
      <c r="AU803" t="s">
        <v>629</v>
      </c>
      <c r="AV803" t="s">
        <v>630</v>
      </c>
      <c r="AW803" t="s">
        <v>631</v>
      </c>
      <c r="AX803" s="4" t="str">
        <f>"73069"</f>
        <v>73069</v>
      </c>
      <c r="AY803" t="s">
        <v>120</v>
      </c>
      <c r="BA803" s="5">
        <v>14053642525</v>
      </c>
      <c r="BC803" t="s">
        <v>632</v>
      </c>
      <c r="BD803" t="s">
        <v>633</v>
      </c>
      <c r="BE803" t="s">
        <v>631</v>
      </c>
      <c r="BF803" t="s">
        <v>634</v>
      </c>
      <c r="BG803" t="s">
        <v>1349</v>
      </c>
      <c r="BH803" s="1">
        <v>44818.833333333336</v>
      </c>
      <c r="BI803">
        <v>56</v>
      </c>
      <c r="BJ803">
        <v>8</v>
      </c>
      <c r="BK803">
        <v>8</v>
      </c>
      <c r="BL803">
        <v>8</v>
      </c>
      <c r="BM803">
        <v>8</v>
      </c>
      <c r="BN803">
        <v>8</v>
      </c>
      <c r="BO803">
        <v>8</v>
      </c>
      <c r="BP803">
        <v>8</v>
      </c>
      <c r="BQ803" t="str">
        <f>"5:00 AM"</f>
        <v>5:00 AM</v>
      </c>
      <c r="BR803" t="str">
        <f>"5:00 PM"</f>
        <v>5:00 PM</v>
      </c>
      <c r="BS803" t="s">
        <v>133</v>
      </c>
      <c r="BT803">
        <v>0</v>
      </c>
      <c r="BU803">
        <v>1</v>
      </c>
      <c r="BV803" t="s">
        <v>134</v>
      </c>
      <c r="BX803" s="2" t="s">
        <v>11272</v>
      </c>
      <c r="BY803" t="s">
        <v>2850</v>
      </c>
      <c r="BZ803" t="s">
        <v>2851</v>
      </c>
      <c r="CA803" t="s">
        <v>2852</v>
      </c>
      <c r="CB803" t="s">
        <v>1349</v>
      </c>
      <c r="CC803" s="4" t="str">
        <f>"71901"</f>
        <v>71901</v>
      </c>
      <c r="CD803" t="s">
        <v>2853</v>
      </c>
      <c r="CE803" t="s">
        <v>2854</v>
      </c>
      <c r="CF803" s="6">
        <v>15.21</v>
      </c>
      <c r="CG803" s="6">
        <v>15.21</v>
      </c>
      <c r="CH803" s="6">
        <v>22.82</v>
      </c>
      <c r="CI803" s="6">
        <v>22.82</v>
      </c>
      <c r="CJ803" t="s">
        <v>137</v>
      </c>
      <c r="CL803" t="s">
        <v>11273</v>
      </c>
      <c r="CO803" t="s">
        <v>138</v>
      </c>
      <c r="CP803" t="s">
        <v>134</v>
      </c>
      <c r="CQ803" t="s">
        <v>134</v>
      </c>
      <c r="CR803" t="s">
        <v>114</v>
      </c>
      <c r="CS803" t="s">
        <v>134</v>
      </c>
      <c r="CT803" t="s">
        <v>114</v>
      </c>
      <c r="CU803" t="s">
        <v>114</v>
      </c>
      <c r="CV803" s="2" t="s">
        <v>11274</v>
      </c>
      <c r="CW803" s="5" t="str">
        <f>"+17087905694"</f>
        <v>+17087905694</v>
      </c>
      <c r="CX803" t="s">
        <v>11271</v>
      </c>
      <c r="CY803" t="s">
        <v>138</v>
      </c>
      <c r="CZ803" t="s">
        <v>139</v>
      </c>
      <c r="DA803" t="s">
        <v>134</v>
      </c>
      <c r="DB803" t="s">
        <v>134</v>
      </c>
      <c r="DC803" t="s">
        <v>114</v>
      </c>
      <c r="DD803" t="s">
        <v>134</v>
      </c>
    </row>
    <row r="804" spans="1:108" ht="15" customHeight="1" x14ac:dyDescent="0.25">
      <c r="A804" t="s">
        <v>14641</v>
      </c>
      <c r="B804" t="s">
        <v>165</v>
      </c>
      <c r="C804" s="1">
        <v>44818.736716782405</v>
      </c>
      <c r="D804" s="1">
        <v>44866</v>
      </c>
      <c r="E804" t="s">
        <v>134</v>
      </c>
      <c r="F804" t="s">
        <v>1591</v>
      </c>
      <c r="G804" t="str">
        <f>"37-2012.00"</f>
        <v>37-2012.00</v>
      </c>
      <c r="H804" t="s">
        <v>116</v>
      </c>
      <c r="I804">
        <v>26</v>
      </c>
      <c r="J804">
        <v>26</v>
      </c>
      <c r="K804" s="1">
        <v>44896</v>
      </c>
      <c r="L804" s="1">
        <v>45173</v>
      </c>
      <c r="M804" s="1">
        <v>44896</v>
      </c>
      <c r="N804" s="1">
        <v>45173</v>
      </c>
      <c r="O804" t="s">
        <v>199</v>
      </c>
      <c r="P804" t="s">
        <v>10114</v>
      </c>
      <c r="R804" t="s">
        <v>10115</v>
      </c>
      <c r="S804" t="s">
        <v>10116</v>
      </c>
      <c r="T804" t="s">
        <v>10117</v>
      </c>
      <c r="U804" t="s">
        <v>154</v>
      </c>
      <c r="V804" s="4" t="str">
        <f>"32117"</f>
        <v>32117</v>
      </c>
      <c r="W804" t="s">
        <v>120</v>
      </c>
      <c r="Y804" s="5">
        <v>13862389049</v>
      </c>
      <c r="AA804">
        <v>561320</v>
      </c>
      <c r="AB804" t="s">
        <v>10118</v>
      </c>
      <c r="AC804" t="s">
        <v>2298</v>
      </c>
      <c r="AE804" t="s">
        <v>10119</v>
      </c>
      <c r="AF804" t="s">
        <v>10115</v>
      </c>
      <c r="AG804" t="s">
        <v>10116</v>
      </c>
      <c r="AH804" t="s">
        <v>10117</v>
      </c>
      <c r="AI804" t="s">
        <v>154</v>
      </c>
      <c r="AJ804" s="4" t="str">
        <f>"32117"</f>
        <v>32117</v>
      </c>
      <c r="AK804" t="s">
        <v>120</v>
      </c>
      <c r="AM804" s="5">
        <v>13862389049</v>
      </c>
      <c r="AO804" t="s">
        <v>10120</v>
      </c>
      <c r="AP804" t="s">
        <v>122</v>
      </c>
      <c r="AQ804" t="s">
        <v>2065</v>
      </c>
      <c r="AR804" t="s">
        <v>10121</v>
      </c>
      <c r="AS804" t="s">
        <v>10122</v>
      </c>
      <c r="AT804" t="s">
        <v>10123</v>
      </c>
      <c r="AU804" t="s">
        <v>10124</v>
      </c>
      <c r="AV804" t="s">
        <v>3704</v>
      </c>
      <c r="AW804" t="s">
        <v>154</v>
      </c>
      <c r="AX804" s="4" t="str">
        <f>"32801"</f>
        <v>32801</v>
      </c>
      <c r="AY804" t="s">
        <v>120</v>
      </c>
      <c r="BA804" s="5">
        <v>14077534469</v>
      </c>
      <c r="BC804" t="s">
        <v>10125</v>
      </c>
      <c r="BD804" t="s">
        <v>10126</v>
      </c>
      <c r="BE804" t="s">
        <v>154</v>
      </c>
      <c r="BF804" t="s">
        <v>10127</v>
      </c>
      <c r="BG804" t="s">
        <v>154</v>
      </c>
      <c r="BH804" s="1">
        <v>44816.833333333336</v>
      </c>
      <c r="BI804">
        <v>40</v>
      </c>
      <c r="BJ804">
        <v>8</v>
      </c>
      <c r="BK804">
        <v>8</v>
      </c>
      <c r="BL804">
        <v>0</v>
      </c>
      <c r="BM804">
        <v>0</v>
      </c>
      <c r="BN804">
        <v>8</v>
      </c>
      <c r="BO804">
        <v>8</v>
      </c>
      <c r="BP804">
        <v>8</v>
      </c>
      <c r="BQ804" t="str">
        <f>"8:00 AM"</f>
        <v>8:00 AM</v>
      </c>
      <c r="BR804" t="str">
        <f>"5:00 PM"</f>
        <v>5:00 PM</v>
      </c>
      <c r="BS804" t="s">
        <v>133</v>
      </c>
      <c r="BT804">
        <v>0</v>
      </c>
      <c r="BU804">
        <v>0</v>
      </c>
      <c r="BV804" t="s">
        <v>134</v>
      </c>
      <c r="BX804" s="2" t="s">
        <v>10128</v>
      </c>
      <c r="BY804" t="s">
        <v>10129</v>
      </c>
      <c r="CA804" t="s">
        <v>10130</v>
      </c>
      <c r="CB804" t="s">
        <v>154</v>
      </c>
      <c r="CC804" s="4" t="str">
        <f>"32176"</f>
        <v>32176</v>
      </c>
      <c r="CD804" t="s">
        <v>10131</v>
      </c>
      <c r="CE804" t="s">
        <v>10132</v>
      </c>
      <c r="CF804" s="6">
        <v>11.97</v>
      </c>
      <c r="CH804" s="6">
        <v>17.96</v>
      </c>
      <c r="CJ804" t="s">
        <v>137</v>
      </c>
      <c r="CL804" t="s">
        <v>10133</v>
      </c>
      <c r="CO804" t="s">
        <v>138</v>
      </c>
      <c r="CP804" t="s">
        <v>114</v>
      </c>
      <c r="CQ804" t="s">
        <v>134</v>
      </c>
      <c r="CR804" t="s">
        <v>114</v>
      </c>
      <c r="CS804" t="s">
        <v>114</v>
      </c>
      <c r="CT804" t="s">
        <v>114</v>
      </c>
      <c r="CU804" t="s">
        <v>134</v>
      </c>
      <c r="CV804" t="s">
        <v>14642</v>
      </c>
      <c r="CW804" s="5" t="str">
        <f>"+13863237001"</f>
        <v>+13863237001</v>
      </c>
      <c r="CX804" t="s">
        <v>138</v>
      </c>
      <c r="CY804" t="s">
        <v>14643</v>
      </c>
      <c r="CZ804" t="s">
        <v>5804</v>
      </c>
      <c r="DA804" t="s">
        <v>114</v>
      </c>
      <c r="DB804" t="s">
        <v>134</v>
      </c>
      <c r="DC804" t="s">
        <v>114</v>
      </c>
      <c r="DD804" t="s">
        <v>114</v>
      </c>
    </row>
    <row r="805" spans="1:108" ht="15" customHeight="1" x14ac:dyDescent="0.25">
      <c r="A805" t="s">
        <v>15323</v>
      </c>
      <c r="B805" t="s">
        <v>165</v>
      </c>
      <c r="C805" s="1">
        <v>44817.890986921295</v>
      </c>
      <c r="D805" s="1">
        <v>44866</v>
      </c>
      <c r="E805" t="s">
        <v>134</v>
      </c>
      <c r="F805" t="s">
        <v>1624</v>
      </c>
      <c r="G805" t="str">
        <f>"53-7062"</f>
        <v>53-7062</v>
      </c>
      <c r="H805" t="s">
        <v>245</v>
      </c>
      <c r="I805">
        <v>8</v>
      </c>
      <c r="J805">
        <v>8</v>
      </c>
      <c r="K805" s="1">
        <v>44892</v>
      </c>
      <c r="L805" s="1">
        <v>45023</v>
      </c>
      <c r="M805" s="1">
        <v>44892</v>
      </c>
      <c r="N805" s="1">
        <v>45023</v>
      </c>
      <c r="O805" t="s">
        <v>199</v>
      </c>
      <c r="P805" t="s">
        <v>15324</v>
      </c>
      <c r="Q805" t="s">
        <v>138</v>
      </c>
      <c r="R805" t="s">
        <v>15325</v>
      </c>
      <c r="S805" t="s">
        <v>138</v>
      </c>
      <c r="T805" t="s">
        <v>15326</v>
      </c>
      <c r="U805" t="s">
        <v>661</v>
      </c>
      <c r="V805" s="4" t="str">
        <f>"59405"</f>
        <v>59405</v>
      </c>
      <c r="W805" t="s">
        <v>120</v>
      </c>
      <c r="X805" t="s">
        <v>138</v>
      </c>
      <c r="Y805" s="5">
        <v>14064547645</v>
      </c>
      <c r="AA805">
        <v>48411</v>
      </c>
      <c r="AB805" t="s">
        <v>15327</v>
      </c>
      <c r="AC805" t="s">
        <v>15328</v>
      </c>
      <c r="AD805" t="s">
        <v>138</v>
      </c>
      <c r="AE805" t="s">
        <v>15329</v>
      </c>
      <c r="AF805" t="s">
        <v>15330</v>
      </c>
      <c r="AG805" t="s">
        <v>138</v>
      </c>
      <c r="AH805" t="s">
        <v>15326</v>
      </c>
      <c r="AI805" t="s">
        <v>661</v>
      </c>
      <c r="AJ805" s="4" t="str">
        <f>"59405"</f>
        <v>59405</v>
      </c>
      <c r="AK805" t="s">
        <v>120</v>
      </c>
      <c r="AM805" s="5">
        <v>14064547645</v>
      </c>
      <c r="AO805" t="s">
        <v>15331</v>
      </c>
      <c r="AP805" t="s">
        <v>256</v>
      </c>
      <c r="AQ805" t="s">
        <v>2059</v>
      </c>
      <c r="AR805" t="s">
        <v>704</v>
      </c>
      <c r="AS805" t="s">
        <v>138</v>
      </c>
      <c r="AT805" t="s">
        <v>2060</v>
      </c>
      <c r="AU805" t="s">
        <v>2061</v>
      </c>
      <c r="AV805" t="s">
        <v>2062</v>
      </c>
      <c r="AW805" t="s">
        <v>232</v>
      </c>
      <c r="AX805" s="4" t="str">
        <f>"78266"</f>
        <v>78266</v>
      </c>
      <c r="AY805" t="s">
        <v>120</v>
      </c>
      <c r="BA805" s="5">
        <v>18305844555</v>
      </c>
      <c r="BC805" t="s">
        <v>2063</v>
      </c>
      <c r="BD805" t="s">
        <v>2064</v>
      </c>
      <c r="BG805" t="s">
        <v>349</v>
      </c>
      <c r="BH805" s="1">
        <v>44816.833333333336</v>
      </c>
      <c r="BI805">
        <v>36</v>
      </c>
      <c r="BJ805">
        <v>0</v>
      </c>
      <c r="BK805">
        <v>12</v>
      </c>
      <c r="BL805">
        <v>12</v>
      </c>
      <c r="BM805">
        <v>12</v>
      </c>
      <c r="BN805">
        <v>0</v>
      </c>
      <c r="BO805">
        <v>0</v>
      </c>
      <c r="BP805">
        <v>0</v>
      </c>
      <c r="BQ805" t="str">
        <f>"6:00 AM"</f>
        <v>6:00 AM</v>
      </c>
      <c r="BR805" t="str">
        <f>"6:00 PM"</f>
        <v>6:00 PM</v>
      </c>
      <c r="BS805" t="s">
        <v>133</v>
      </c>
      <c r="BT805">
        <v>0</v>
      </c>
      <c r="BU805">
        <v>0</v>
      </c>
      <c r="BV805" t="s">
        <v>134</v>
      </c>
      <c r="BX805" t="s">
        <v>138</v>
      </c>
      <c r="BY805" t="s">
        <v>15332</v>
      </c>
      <c r="BZ805" t="s">
        <v>138</v>
      </c>
      <c r="CA805" t="s">
        <v>1531</v>
      </c>
      <c r="CB805" t="s">
        <v>349</v>
      </c>
      <c r="CC805" s="4" t="str">
        <f>"83347"</f>
        <v>83347</v>
      </c>
      <c r="CD805" t="s">
        <v>15333</v>
      </c>
      <c r="CE805" t="s">
        <v>1429</v>
      </c>
      <c r="CF805" s="6">
        <v>15.93</v>
      </c>
      <c r="CG805" s="6">
        <v>15.93</v>
      </c>
      <c r="CH805" s="6">
        <v>23.9</v>
      </c>
      <c r="CI805" s="6">
        <v>23.9</v>
      </c>
      <c r="CJ805" t="s">
        <v>137</v>
      </c>
      <c r="CK805" t="s">
        <v>2067</v>
      </c>
      <c r="CL805" t="s">
        <v>15334</v>
      </c>
      <c r="CO805" t="s">
        <v>138</v>
      </c>
      <c r="CP805" t="s">
        <v>134</v>
      </c>
      <c r="CQ805" t="s">
        <v>134</v>
      </c>
      <c r="CR805" t="s">
        <v>114</v>
      </c>
      <c r="CS805" t="s">
        <v>114</v>
      </c>
      <c r="CT805" t="s">
        <v>114</v>
      </c>
      <c r="CU805" t="s">
        <v>114</v>
      </c>
      <c r="CV805" t="s">
        <v>15335</v>
      </c>
      <c r="CW805" s="5" t="str">
        <f>"+14064547645"</f>
        <v>+14064547645</v>
      </c>
      <c r="CX805" t="s">
        <v>15336</v>
      </c>
      <c r="CY805" t="s">
        <v>138</v>
      </c>
      <c r="CZ805" t="s">
        <v>139</v>
      </c>
      <c r="DA805" t="s">
        <v>134</v>
      </c>
      <c r="DB805" t="s">
        <v>114</v>
      </c>
      <c r="DC805" t="s">
        <v>114</v>
      </c>
      <c r="DD805" t="s">
        <v>134</v>
      </c>
    </row>
    <row r="806" spans="1:108" ht="15" customHeight="1" x14ac:dyDescent="0.25">
      <c r="A806" t="s">
        <v>5265</v>
      </c>
      <c r="B806" t="s">
        <v>165</v>
      </c>
      <c r="C806" s="1">
        <v>44806.426999768519</v>
      </c>
      <c r="D806" s="1">
        <v>44866</v>
      </c>
      <c r="E806" t="s">
        <v>134</v>
      </c>
      <c r="F806" t="s">
        <v>2433</v>
      </c>
      <c r="G806" t="str">
        <f>"51-3022.00"</f>
        <v>51-3022.00</v>
      </c>
      <c r="H806" t="s">
        <v>817</v>
      </c>
      <c r="I806">
        <v>550</v>
      </c>
      <c r="J806">
        <v>550</v>
      </c>
      <c r="K806" s="1">
        <v>44896</v>
      </c>
      <c r="L806" s="1">
        <v>45046</v>
      </c>
      <c r="M806" s="1">
        <v>44896</v>
      </c>
      <c r="N806" s="1">
        <v>45046</v>
      </c>
      <c r="O806" t="s">
        <v>199</v>
      </c>
      <c r="P806" t="s">
        <v>5266</v>
      </c>
      <c r="R806" t="s">
        <v>5267</v>
      </c>
      <c r="S806" t="s">
        <v>789</v>
      </c>
      <c r="T806" t="s">
        <v>5268</v>
      </c>
      <c r="U806" t="s">
        <v>792</v>
      </c>
      <c r="V806" s="4" t="str">
        <f>"98004"</f>
        <v>98004</v>
      </c>
      <c r="W806" t="s">
        <v>120</v>
      </c>
      <c r="Y806" s="5">
        <v>12066696434</v>
      </c>
      <c r="AA806">
        <v>3117</v>
      </c>
      <c r="AB806" t="s">
        <v>4522</v>
      </c>
      <c r="AC806" t="s">
        <v>755</v>
      </c>
      <c r="AD806" t="s">
        <v>2136</v>
      </c>
      <c r="AE806" t="s">
        <v>3927</v>
      </c>
      <c r="AF806" t="s">
        <v>5267</v>
      </c>
      <c r="AG806" t="s">
        <v>789</v>
      </c>
      <c r="AH806" t="s">
        <v>5268</v>
      </c>
      <c r="AI806" t="s">
        <v>792</v>
      </c>
      <c r="AJ806" s="4" t="str">
        <f>"98004"</f>
        <v>98004</v>
      </c>
      <c r="AK806" t="s">
        <v>120</v>
      </c>
      <c r="AM806" s="5">
        <v>12066696434</v>
      </c>
      <c r="AO806" t="s">
        <v>5269</v>
      </c>
      <c r="AP806" t="s">
        <v>122</v>
      </c>
      <c r="AQ806" t="s">
        <v>1399</v>
      </c>
      <c r="AR806" t="s">
        <v>1400</v>
      </c>
      <c r="AS806" t="s">
        <v>1401</v>
      </c>
      <c r="AT806" t="s">
        <v>1998</v>
      </c>
      <c r="AU806" t="s">
        <v>1402</v>
      </c>
      <c r="AV806" t="s">
        <v>1817</v>
      </c>
      <c r="AW806" t="s">
        <v>339</v>
      </c>
      <c r="AX806" s="4" t="str">
        <f>"21117"</f>
        <v>21117</v>
      </c>
      <c r="AY806" t="s">
        <v>120</v>
      </c>
      <c r="BA806" s="5">
        <v>14435014240</v>
      </c>
      <c r="BC806" t="s">
        <v>1818</v>
      </c>
      <c r="BD806" t="s">
        <v>1819</v>
      </c>
      <c r="BE806" t="s">
        <v>848</v>
      </c>
      <c r="BF806" t="s">
        <v>1916</v>
      </c>
      <c r="BG806" t="s">
        <v>821</v>
      </c>
      <c r="BH806" s="1">
        <v>44805.833333333336</v>
      </c>
      <c r="BI806">
        <v>40</v>
      </c>
      <c r="BJ806">
        <v>6</v>
      </c>
      <c r="BK806">
        <v>6</v>
      </c>
      <c r="BL806">
        <v>6</v>
      </c>
      <c r="BM806">
        <v>6</v>
      </c>
      <c r="BN806">
        <v>6</v>
      </c>
      <c r="BO806">
        <v>5</v>
      </c>
      <c r="BP806">
        <v>5</v>
      </c>
      <c r="BQ806" t="str">
        <f>"6:00 AM"</f>
        <v>6:00 AM</v>
      </c>
      <c r="BR806" t="str">
        <f>"6:00 PM"</f>
        <v>6:00 PM</v>
      </c>
      <c r="BS806" t="s">
        <v>133</v>
      </c>
      <c r="BT806">
        <v>0</v>
      </c>
      <c r="BU806">
        <v>0</v>
      </c>
      <c r="BV806" t="s">
        <v>134</v>
      </c>
      <c r="BX806" s="2" t="s">
        <v>5270</v>
      </c>
      <c r="BY806" t="s">
        <v>5271</v>
      </c>
      <c r="CA806" t="s">
        <v>5272</v>
      </c>
      <c r="CB806" t="s">
        <v>821</v>
      </c>
      <c r="CC806" s="4" t="str">
        <f>"99692"</f>
        <v>99692</v>
      </c>
      <c r="CD806" t="s">
        <v>5273</v>
      </c>
      <c r="CE806" t="s">
        <v>832</v>
      </c>
      <c r="CF806" s="6">
        <v>18.059999999999999</v>
      </c>
      <c r="CH806" s="6">
        <v>27.09</v>
      </c>
      <c r="CJ806" t="s">
        <v>137</v>
      </c>
      <c r="CK806" t="s">
        <v>5274</v>
      </c>
      <c r="CL806" t="s">
        <v>5275</v>
      </c>
      <c r="CO806" t="s">
        <v>138</v>
      </c>
      <c r="CP806" t="s">
        <v>134</v>
      </c>
      <c r="CQ806" t="s">
        <v>114</v>
      </c>
      <c r="CR806" t="s">
        <v>114</v>
      </c>
      <c r="CS806" t="s">
        <v>134</v>
      </c>
      <c r="CT806" t="s">
        <v>114</v>
      </c>
      <c r="CU806" t="s">
        <v>114</v>
      </c>
      <c r="CV806" t="s">
        <v>5276</v>
      </c>
      <c r="CW806" s="5" t="str">
        <f>"N/A"</f>
        <v>N/A</v>
      </c>
      <c r="CX806" t="s">
        <v>5277</v>
      </c>
      <c r="CY806" t="s">
        <v>5278</v>
      </c>
      <c r="CZ806" t="s">
        <v>139</v>
      </c>
      <c r="DA806" t="s">
        <v>134</v>
      </c>
      <c r="DB806" t="s">
        <v>114</v>
      </c>
      <c r="DC806" t="s">
        <v>114</v>
      </c>
      <c r="DD806" t="s">
        <v>134</v>
      </c>
    </row>
    <row r="807" spans="1:108" ht="15" customHeight="1" x14ac:dyDescent="0.25">
      <c r="A807" t="s">
        <v>15304</v>
      </c>
      <c r="B807" t="s">
        <v>165</v>
      </c>
      <c r="C807" s="1">
        <v>44841.00202511574</v>
      </c>
      <c r="D807" s="1">
        <v>44865</v>
      </c>
      <c r="E807" t="s">
        <v>134</v>
      </c>
      <c r="F807" t="s">
        <v>361</v>
      </c>
      <c r="G807" t="str">
        <f>"35-3023.00"</f>
        <v>35-3023.00</v>
      </c>
      <c r="H807" t="s">
        <v>555</v>
      </c>
      <c r="I807">
        <v>13</v>
      </c>
      <c r="J807">
        <v>13</v>
      </c>
      <c r="K807" s="1">
        <v>44931</v>
      </c>
      <c r="L807" s="1">
        <v>45234</v>
      </c>
      <c r="M807" s="1">
        <v>44931</v>
      </c>
      <c r="N807" s="1">
        <v>45234</v>
      </c>
      <c r="O807" t="s">
        <v>199</v>
      </c>
      <c r="P807" t="s">
        <v>15305</v>
      </c>
      <c r="R807" t="s">
        <v>15306</v>
      </c>
      <c r="T807" t="s">
        <v>587</v>
      </c>
      <c r="U807" t="s">
        <v>530</v>
      </c>
      <c r="V807" s="4" t="str">
        <f>"85044"</f>
        <v>85044</v>
      </c>
      <c r="W807" t="s">
        <v>120</v>
      </c>
      <c r="Y807" s="5">
        <v>16027632373</v>
      </c>
      <c r="AA807">
        <v>71399</v>
      </c>
      <c r="AB807" t="s">
        <v>15307</v>
      </c>
      <c r="AC807" t="s">
        <v>15308</v>
      </c>
      <c r="AE807" t="s">
        <v>1835</v>
      </c>
      <c r="AF807" t="s">
        <v>15306</v>
      </c>
      <c r="AH807" t="s">
        <v>587</v>
      </c>
      <c r="AI807" t="s">
        <v>530</v>
      </c>
      <c r="AJ807" s="4" t="str">
        <f>"85044"</f>
        <v>85044</v>
      </c>
      <c r="AK807" t="s">
        <v>120</v>
      </c>
      <c r="AM807" s="5">
        <v>16027632373</v>
      </c>
      <c r="AO807" t="s">
        <v>15309</v>
      </c>
      <c r="AP807" t="s">
        <v>256</v>
      </c>
      <c r="AQ807" t="s">
        <v>400</v>
      </c>
      <c r="AR807" t="s">
        <v>401</v>
      </c>
      <c r="AS807" t="s">
        <v>397</v>
      </c>
      <c r="AT807" t="s">
        <v>402</v>
      </c>
      <c r="AU807" t="s">
        <v>152</v>
      </c>
      <c r="AV807" t="s">
        <v>403</v>
      </c>
      <c r="AW807" t="s">
        <v>232</v>
      </c>
      <c r="AX807" s="4" t="str">
        <f>"75033"</f>
        <v>75033</v>
      </c>
      <c r="AY807" t="s">
        <v>120</v>
      </c>
      <c r="BA807" s="5">
        <v>19727789690</v>
      </c>
      <c r="BC807" t="s">
        <v>404</v>
      </c>
      <c r="BD807" t="s">
        <v>405</v>
      </c>
      <c r="BG807" t="s">
        <v>530</v>
      </c>
      <c r="BH807" s="1">
        <v>44840.833333333336</v>
      </c>
      <c r="BI807">
        <v>48</v>
      </c>
      <c r="BJ807">
        <v>8</v>
      </c>
      <c r="BK807">
        <v>0</v>
      </c>
      <c r="BL807">
        <v>8</v>
      </c>
      <c r="BM807">
        <v>8</v>
      </c>
      <c r="BN807">
        <v>8</v>
      </c>
      <c r="BO807">
        <v>8</v>
      </c>
      <c r="BP807">
        <v>8</v>
      </c>
      <c r="BQ807" t="str">
        <f>"10:00 AM"</f>
        <v>10:00 AM</v>
      </c>
      <c r="BR807" t="str">
        <f>"7:00 PM"</f>
        <v>7:00 PM</v>
      </c>
      <c r="BS807" t="s">
        <v>133</v>
      </c>
      <c r="BT807">
        <v>0</v>
      </c>
      <c r="BU807">
        <v>0</v>
      </c>
      <c r="BV807" t="s">
        <v>134</v>
      </c>
      <c r="BX807" s="2" t="s">
        <v>15310</v>
      </c>
      <c r="BY807" t="s">
        <v>13098</v>
      </c>
      <c r="CA807" t="s">
        <v>587</v>
      </c>
      <c r="CB807" t="s">
        <v>530</v>
      </c>
      <c r="CC807" s="4" t="str">
        <f>"85007"</f>
        <v>85007</v>
      </c>
      <c r="CD807" t="s">
        <v>592</v>
      </c>
      <c r="CE807" t="s">
        <v>548</v>
      </c>
      <c r="CF807" s="6">
        <v>10.86</v>
      </c>
      <c r="CG807" s="6">
        <v>15.5</v>
      </c>
      <c r="CH807" s="6">
        <v>23.25</v>
      </c>
      <c r="CI807" s="6">
        <v>31</v>
      </c>
      <c r="CJ807" t="s">
        <v>137</v>
      </c>
      <c r="CK807" t="s">
        <v>593</v>
      </c>
      <c r="CL807" t="s">
        <v>15311</v>
      </c>
      <c r="CO807" t="s">
        <v>138</v>
      </c>
      <c r="CP807" t="s">
        <v>114</v>
      </c>
      <c r="CQ807" t="s">
        <v>114</v>
      </c>
      <c r="CR807" t="s">
        <v>114</v>
      </c>
      <c r="CS807" t="s">
        <v>114</v>
      </c>
      <c r="CT807" t="s">
        <v>114</v>
      </c>
      <c r="CU807" t="s">
        <v>114</v>
      </c>
      <c r="CV807" t="s">
        <v>5101</v>
      </c>
      <c r="CW807" s="5" t="str">
        <f>"+16027632373"</f>
        <v>+16027632373</v>
      </c>
      <c r="CX807" t="s">
        <v>138</v>
      </c>
      <c r="CY807" t="s">
        <v>596</v>
      </c>
      <c r="CZ807" t="s">
        <v>139</v>
      </c>
      <c r="DA807" t="s">
        <v>134</v>
      </c>
      <c r="DB807" t="s">
        <v>114</v>
      </c>
      <c r="DC807" t="s">
        <v>114</v>
      </c>
      <c r="DD807" t="s">
        <v>134</v>
      </c>
    </row>
    <row r="808" spans="1:108" ht="15" customHeight="1" x14ac:dyDescent="0.25">
      <c r="A808" t="s">
        <v>10306</v>
      </c>
      <c r="B808" t="s">
        <v>165</v>
      </c>
      <c r="C808" s="1">
        <v>44840.51452222222</v>
      </c>
      <c r="D808" s="1">
        <v>44865</v>
      </c>
      <c r="E808" t="s">
        <v>134</v>
      </c>
      <c r="F808" t="s">
        <v>1106</v>
      </c>
      <c r="G808" t="str">
        <f>"45-4011.00"</f>
        <v>45-4011.00</v>
      </c>
      <c r="H808" t="s">
        <v>1107</v>
      </c>
      <c r="I808">
        <v>180</v>
      </c>
      <c r="J808">
        <v>180</v>
      </c>
      <c r="K808" s="1">
        <v>44930</v>
      </c>
      <c r="L808" s="1">
        <v>45225</v>
      </c>
      <c r="M808" s="1">
        <v>44930</v>
      </c>
      <c r="N808" s="1">
        <v>45225</v>
      </c>
      <c r="O808" t="s">
        <v>117</v>
      </c>
      <c r="P808" t="s">
        <v>10307</v>
      </c>
      <c r="R808" t="s">
        <v>10308</v>
      </c>
      <c r="T808" t="s">
        <v>1110</v>
      </c>
      <c r="U808" t="s">
        <v>511</v>
      </c>
      <c r="V808" s="4" t="str">
        <f>"97501"</f>
        <v>97501</v>
      </c>
      <c r="W808" t="s">
        <v>120</v>
      </c>
      <c r="Y808" s="5">
        <v>15418571106</v>
      </c>
      <c r="AA808">
        <v>115310</v>
      </c>
      <c r="AB808" t="s">
        <v>1989</v>
      </c>
      <c r="AC808" t="s">
        <v>10309</v>
      </c>
      <c r="AD808" t="s">
        <v>138</v>
      </c>
      <c r="AE808" t="s">
        <v>342</v>
      </c>
      <c r="AF808" t="s">
        <v>10308</v>
      </c>
      <c r="AH808" t="s">
        <v>1110</v>
      </c>
      <c r="AI808" t="s">
        <v>511</v>
      </c>
      <c r="AJ808" s="4" t="str">
        <f>"97501"</f>
        <v>97501</v>
      </c>
      <c r="AK808" t="s">
        <v>120</v>
      </c>
      <c r="AM808" s="5">
        <v>15418571106</v>
      </c>
      <c r="AO808" t="s">
        <v>10310</v>
      </c>
      <c r="AP808" t="s">
        <v>256</v>
      </c>
      <c r="AQ808" t="s">
        <v>1698</v>
      </c>
      <c r="AR808" t="s">
        <v>1699</v>
      </c>
      <c r="AS808" t="s">
        <v>138</v>
      </c>
      <c r="AT808" t="s">
        <v>1422</v>
      </c>
      <c r="AU808" t="s">
        <v>347</v>
      </c>
      <c r="AV808" t="s">
        <v>1441</v>
      </c>
      <c r="AW808" t="s">
        <v>349</v>
      </c>
      <c r="AX808" s="4" t="str">
        <f>"83814"</f>
        <v>83814</v>
      </c>
      <c r="AY808" t="s">
        <v>120</v>
      </c>
      <c r="BA808" s="5">
        <v>12087772654</v>
      </c>
      <c r="BC808" t="s">
        <v>1700</v>
      </c>
      <c r="BD808" t="s">
        <v>351</v>
      </c>
      <c r="BG808" t="s">
        <v>511</v>
      </c>
      <c r="BH808" s="1">
        <v>44825.833333333336</v>
      </c>
      <c r="BI808">
        <v>40</v>
      </c>
      <c r="BJ808">
        <v>0</v>
      </c>
      <c r="BK808">
        <v>8</v>
      </c>
      <c r="BL808">
        <v>8</v>
      </c>
      <c r="BM808">
        <v>8</v>
      </c>
      <c r="BN808">
        <v>8</v>
      </c>
      <c r="BO808">
        <v>8</v>
      </c>
      <c r="BP808">
        <v>0</v>
      </c>
      <c r="BQ808" t="str">
        <f>"6:00 AM"</f>
        <v>6:00 AM</v>
      </c>
      <c r="BR808" t="str">
        <f>"3:00 PM"</f>
        <v>3:00 PM</v>
      </c>
      <c r="BS808" t="s">
        <v>133</v>
      </c>
      <c r="BT808">
        <v>0</v>
      </c>
      <c r="BU808">
        <v>3</v>
      </c>
      <c r="BV808" t="s">
        <v>134</v>
      </c>
      <c r="BX808" s="2" t="s">
        <v>10311</v>
      </c>
      <c r="BY808" t="s">
        <v>10312</v>
      </c>
      <c r="CA808" t="s">
        <v>1110</v>
      </c>
      <c r="CB808" t="s">
        <v>511</v>
      </c>
      <c r="CC808" s="4" t="str">
        <f>"97501"</f>
        <v>97501</v>
      </c>
      <c r="CD808" t="s">
        <v>1116</v>
      </c>
      <c r="CE808" t="s">
        <v>1117</v>
      </c>
      <c r="CF808" s="6">
        <v>14.21</v>
      </c>
      <c r="CG808" s="6">
        <v>34.5</v>
      </c>
      <c r="CH808" s="6">
        <v>21.32</v>
      </c>
      <c r="CI808" s="6">
        <v>51.75</v>
      </c>
      <c r="CJ808" t="s">
        <v>137</v>
      </c>
      <c r="CK808" t="s">
        <v>2125</v>
      </c>
      <c r="CL808" t="s">
        <v>10313</v>
      </c>
      <c r="CO808" t="s">
        <v>138</v>
      </c>
      <c r="CP808" t="s">
        <v>114</v>
      </c>
      <c r="CQ808" t="s">
        <v>114</v>
      </c>
      <c r="CR808" t="s">
        <v>114</v>
      </c>
      <c r="CS808" t="s">
        <v>134</v>
      </c>
      <c r="CT808" t="s">
        <v>114</v>
      </c>
      <c r="CU808" t="s">
        <v>114</v>
      </c>
      <c r="CV808" t="s">
        <v>358</v>
      </c>
      <c r="CW808" s="5" t="str">
        <f>"+15418571106"</f>
        <v>+15418571106</v>
      </c>
      <c r="CX808" t="s">
        <v>10310</v>
      </c>
      <c r="CY808" t="s">
        <v>3471</v>
      </c>
      <c r="CZ808" t="s">
        <v>139</v>
      </c>
      <c r="DA808" t="s">
        <v>134</v>
      </c>
      <c r="DB808" t="s">
        <v>134</v>
      </c>
      <c r="DC808" t="s">
        <v>114</v>
      </c>
      <c r="DD808" t="s">
        <v>134</v>
      </c>
    </row>
    <row r="809" spans="1:108" ht="15" customHeight="1" x14ac:dyDescent="0.25">
      <c r="A809" t="s">
        <v>3437</v>
      </c>
      <c r="B809" t="s">
        <v>165</v>
      </c>
      <c r="C809" s="1">
        <v>44839.724110185183</v>
      </c>
      <c r="D809" s="1">
        <v>44865</v>
      </c>
      <c r="E809" t="s">
        <v>134</v>
      </c>
      <c r="F809" t="s">
        <v>115</v>
      </c>
      <c r="G809" t="str">
        <f>"37-2012.00"</f>
        <v>37-2012.00</v>
      </c>
      <c r="H809" t="s">
        <v>116</v>
      </c>
      <c r="I809">
        <v>30</v>
      </c>
      <c r="J809">
        <v>30</v>
      </c>
      <c r="K809" s="1">
        <v>44915</v>
      </c>
      <c r="L809" s="1">
        <v>45184</v>
      </c>
      <c r="M809" s="1">
        <v>44915</v>
      </c>
      <c r="N809" s="1">
        <v>45184</v>
      </c>
      <c r="O809" t="s">
        <v>117</v>
      </c>
      <c r="P809" t="s">
        <v>3438</v>
      </c>
      <c r="R809" t="s">
        <v>3439</v>
      </c>
      <c r="T809" t="s">
        <v>3440</v>
      </c>
      <c r="U809" t="s">
        <v>232</v>
      </c>
      <c r="V809" s="4" t="str">
        <f>"78620"</f>
        <v>78620</v>
      </c>
      <c r="W809" t="s">
        <v>120</v>
      </c>
      <c r="Y809" s="5">
        <v>15124781888</v>
      </c>
      <c r="AA809">
        <v>561720</v>
      </c>
      <c r="AB809" t="s">
        <v>3441</v>
      </c>
      <c r="AC809" t="s">
        <v>2645</v>
      </c>
      <c r="AD809" t="s">
        <v>177</v>
      </c>
      <c r="AE809" t="s">
        <v>1831</v>
      </c>
      <c r="AF809" t="s">
        <v>3439</v>
      </c>
      <c r="AH809" t="s">
        <v>3442</v>
      </c>
      <c r="AI809" t="s">
        <v>232</v>
      </c>
      <c r="AJ809" s="4" t="str">
        <f>"78620"</f>
        <v>78620</v>
      </c>
      <c r="AK809" t="s">
        <v>120</v>
      </c>
      <c r="AM809" s="5">
        <v>15124781888</v>
      </c>
      <c r="AO809" t="s">
        <v>3443</v>
      </c>
      <c r="AP809" t="s">
        <v>256</v>
      </c>
      <c r="AQ809" t="s">
        <v>400</v>
      </c>
      <c r="AR809" t="s">
        <v>401</v>
      </c>
      <c r="AS809" t="s">
        <v>397</v>
      </c>
      <c r="AT809" t="s">
        <v>402</v>
      </c>
      <c r="AU809" t="s">
        <v>152</v>
      </c>
      <c r="AV809" t="s">
        <v>403</v>
      </c>
      <c r="AW809" t="s">
        <v>232</v>
      </c>
      <c r="AX809" s="4" t="str">
        <f>"75033"</f>
        <v>75033</v>
      </c>
      <c r="AY809" t="s">
        <v>120</v>
      </c>
      <c r="BA809" s="5">
        <v>19727789690</v>
      </c>
      <c r="BC809" t="s">
        <v>3444</v>
      </c>
      <c r="BD809" t="s">
        <v>405</v>
      </c>
      <c r="BG809" t="s">
        <v>988</v>
      </c>
      <c r="BH809" s="1">
        <v>44838.833333333336</v>
      </c>
      <c r="BI809">
        <v>40</v>
      </c>
      <c r="BJ809">
        <v>8</v>
      </c>
      <c r="BK809">
        <v>8</v>
      </c>
      <c r="BL809">
        <v>0</v>
      </c>
      <c r="BM809">
        <v>0</v>
      </c>
      <c r="BN809">
        <v>8</v>
      </c>
      <c r="BO809">
        <v>8</v>
      </c>
      <c r="BP809">
        <v>8</v>
      </c>
      <c r="BQ809" t="str">
        <f>"9:00 AM"</f>
        <v>9:00 AM</v>
      </c>
      <c r="BR809" t="str">
        <f>"5:30 PM"</f>
        <v>5:30 PM</v>
      </c>
      <c r="BS809" t="s">
        <v>133</v>
      </c>
      <c r="BT809">
        <v>0</v>
      </c>
      <c r="BU809">
        <v>0</v>
      </c>
      <c r="BV809" t="s">
        <v>134</v>
      </c>
      <c r="BX809" s="2" t="s">
        <v>3445</v>
      </c>
      <c r="BY809" t="s">
        <v>3446</v>
      </c>
      <c r="CA809" t="s">
        <v>3447</v>
      </c>
      <c r="CB809" t="s">
        <v>988</v>
      </c>
      <c r="CC809" s="4" t="str">
        <f>"89449"</f>
        <v>89449</v>
      </c>
      <c r="CD809" t="s">
        <v>992</v>
      </c>
      <c r="CE809" t="s">
        <v>993</v>
      </c>
      <c r="CF809" s="6">
        <v>15</v>
      </c>
      <c r="CG809" s="6">
        <v>18</v>
      </c>
      <c r="CH809" s="6">
        <v>22.5</v>
      </c>
      <c r="CI809" s="6">
        <v>27</v>
      </c>
      <c r="CJ809" t="s">
        <v>137</v>
      </c>
      <c r="CK809" t="s">
        <v>909</v>
      </c>
      <c r="CL809" t="s">
        <v>3448</v>
      </c>
      <c r="CO809" t="s">
        <v>138</v>
      </c>
      <c r="CP809" t="s">
        <v>114</v>
      </c>
      <c r="CQ809" t="s">
        <v>114</v>
      </c>
      <c r="CR809" t="s">
        <v>114</v>
      </c>
      <c r="CS809" t="s">
        <v>114</v>
      </c>
      <c r="CT809" t="s">
        <v>114</v>
      </c>
      <c r="CU809" t="s">
        <v>114</v>
      </c>
      <c r="CV809" s="2" t="s">
        <v>3449</v>
      </c>
      <c r="CW809" s="5" t="str">
        <f>"+15124781888"</f>
        <v>+15124781888</v>
      </c>
      <c r="CX809" t="s">
        <v>138</v>
      </c>
      <c r="CY809" t="s">
        <v>3450</v>
      </c>
      <c r="CZ809" t="s">
        <v>139</v>
      </c>
      <c r="DA809" t="s">
        <v>134</v>
      </c>
      <c r="DB809" t="s">
        <v>114</v>
      </c>
      <c r="DC809" t="s">
        <v>114</v>
      </c>
      <c r="DD809" t="s">
        <v>134</v>
      </c>
    </row>
    <row r="810" spans="1:108" ht="15" customHeight="1" x14ac:dyDescent="0.25">
      <c r="A810" t="s">
        <v>3472</v>
      </c>
      <c r="B810" t="s">
        <v>165</v>
      </c>
      <c r="C810" s="1">
        <v>44839.653842824075</v>
      </c>
      <c r="D810" s="1">
        <v>44865</v>
      </c>
      <c r="E810" t="s">
        <v>134</v>
      </c>
      <c r="F810" t="s">
        <v>3473</v>
      </c>
      <c r="G810" t="str">
        <f>"37-2012.00"</f>
        <v>37-2012.00</v>
      </c>
      <c r="H810" t="s">
        <v>116</v>
      </c>
      <c r="I810">
        <v>30</v>
      </c>
      <c r="J810">
        <v>30</v>
      </c>
      <c r="K810" s="1">
        <v>44914</v>
      </c>
      <c r="L810" s="1">
        <v>45184</v>
      </c>
      <c r="M810" s="1">
        <v>44914</v>
      </c>
      <c r="N810" s="1">
        <v>45184</v>
      </c>
      <c r="O810" t="s">
        <v>117</v>
      </c>
      <c r="P810" t="s">
        <v>3474</v>
      </c>
      <c r="R810" t="s">
        <v>3475</v>
      </c>
      <c r="S810" t="s">
        <v>3476</v>
      </c>
      <c r="T810" t="s">
        <v>3477</v>
      </c>
      <c r="U810" t="s">
        <v>181</v>
      </c>
      <c r="V810" s="4" t="str">
        <f>"81637"</f>
        <v>81637</v>
      </c>
      <c r="W810" t="s">
        <v>120</v>
      </c>
      <c r="Y810" s="5">
        <v>19704715020</v>
      </c>
      <c r="AA810">
        <v>561720</v>
      </c>
      <c r="AB810" t="s">
        <v>3478</v>
      </c>
      <c r="AC810" t="s">
        <v>3479</v>
      </c>
      <c r="AE810" t="s">
        <v>424</v>
      </c>
      <c r="AF810" t="s">
        <v>3475</v>
      </c>
      <c r="AG810" t="s">
        <v>3476</v>
      </c>
      <c r="AH810" t="s">
        <v>3477</v>
      </c>
      <c r="AI810" t="s">
        <v>181</v>
      </c>
      <c r="AJ810" s="4" t="str">
        <f>"81637"</f>
        <v>81637</v>
      </c>
      <c r="AK810" t="s">
        <v>120</v>
      </c>
      <c r="AM810" s="5">
        <v>19707415020</v>
      </c>
      <c r="AO810" t="s">
        <v>3480</v>
      </c>
      <c r="AP810" t="s">
        <v>122</v>
      </c>
      <c r="AQ810" t="s">
        <v>1602</v>
      </c>
      <c r="AR810" t="s">
        <v>1603</v>
      </c>
      <c r="AS810" t="s">
        <v>1501</v>
      </c>
      <c r="AT810" t="s">
        <v>1604</v>
      </c>
      <c r="AU810" t="s">
        <v>1605</v>
      </c>
      <c r="AV810" t="s">
        <v>1606</v>
      </c>
      <c r="AW810" t="s">
        <v>181</v>
      </c>
      <c r="AX810" s="4" t="str">
        <f>"81657"</f>
        <v>81657</v>
      </c>
      <c r="AY810" t="s">
        <v>120</v>
      </c>
      <c r="BA810" s="5">
        <v>19703066476</v>
      </c>
      <c r="BC810" t="s">
        <v>1607</v>
      </c>
      <c r="BD810" t="s">
        <v>1608</v>
      </c>
      <c r="BE810" t="s">
        <v>181</v>
      </c>
      <c r="BF810" t="s">
        <v>1609</v>
      </c>
      <c r="BG810" t="s">
        <v>181</v>
      </c>
      <c r="BH810" s="1">
        <v>44838.833333333336</v>
      </c>
      <c r="BI810">
        <v>40</v>
      </c>
      <c r="BJ810">
        <v>0</v>
      </c>
      <c r="BK810">
        <v>8</v>
      </c>
      <c r="BL810">
        <v>8</v>
      </c>
      <c r="BM810">
        <v>8</v>
      </c>
      <c r="BN810">
        <v>8</v>
      </c>
      <c r="BO810">
        <v>8</v>
      </c>
      <c r="BP810">
        <v>0</v>
      </c>
      <c r="BQ810" t="str">
        <f>"8:00 AM"</f>
        <v>8:00 AM</v>
      </c>
      <c r="BR810" t="str">
        <f>"4:00 PM"</f>
        <v>4:00 PM</v>
      </c>
      <c r="BS810" t="s">
        <v>133</v>
      </c>
      <c r="BT810">
        <v>0</v>
      </c>
      <c r="BU810">
        <v>0</v>
      </c>
      <c r="BV810" t="s">
        <v>134</v>
      </c>
      <c r="BX810" s="2" t="s">
        <v>3481</v>
      </c>
      <c r="BY810" t="s">
        <v>3482</v>
      </c>
      <c r="CA810" t="s">
        <v>3477</v>
      </c>
      <c r="CB810" t="s">
        <v>181</v>
      </c>
      <c r="CC810" s="4" t="str">
        <f>"81637"</f>
        <v>81637</v>
      </c>
      <c r="CD810" t="s">
        <v>3483</v>
      </c>
      <c r="CE810" t="s">
        <v>1570</v>
      </c>
      <c r="CF810" s="6">
        <v>16.649999999999999</v>
      </c>
      <c r="CH810" s="6">
        <v>25</v>
      </c>
      <c r="CJ810" t="s">
        <v>137</v>
      </c>
      <c r="CK810" t="s">
        <v>3484</v>
      </c>
      <c r="CL810" t="s">
        <v>3485</v>
      </c>
      <c r="CO810" t="s">
        <v>138</v>
      </c>
      <c r="CP810" t="s">
        <v>114</v>
      </c>
      <c r="CQ810" t="s">
        <v>114</v>
      </c>
      <c r="CR810" t="s">
        <v>114</v>
      </c>
      <c r="CS810" t="s">
        <v>114</v>
      </c>
      <c r="CT810" t="s">
        <v>114</v>
      </c>
      <c r="CU810" t="s">
        <v>134</v>
      </c>
      <c r="CV810" t="s">
        <v>1611</v>
      </c>
      <c r="CW810" s="5" t="str">
        <f>"+19704715020"</f>
        <v>+19704715020</v>
      </c>
      <c r="CX810" t="s">
        <v>3480</v>
      </c>
      <c r="CY810" t="s">
        <v>138</v>
      </c>
      <c r="CZ810" t="s">
        <v>139</v>
      </c>
      <c r="DA810" t="s">
        <v>134</v>
      </c>
      <c r="DB810" t="s">
        <v>134</v>
      </c>
      <c r="DC810" t="s">
        <v>114</v>
      </c>
      <c r="DD810" t="s">
        <v>134</v>
      </c>
    </row>
    <row r="811" spans="1:108" ht="15" customHeight="1" x14ac:dyDescent="0.25">
      <c r="A811" t="s">
        <v>6695</v>
      </c>
      <c r="B811" t="s">
        <v>165</v>
      </c>
      <c r="C811" s="1">
        <v>44838.724515046299</v>
      </c>
      <c r="D811" s="1">
        <v>44865</v>
      </c>
      <c r="E811" t="s">
        <v>134</v>
      </c>
      <c r="F811" t="s">
        <v>6696</v>
      </c>
      <c r="G811" t="str">
        <f>"37-3011.00"</f>
        <v>37-3011.00</v>
      </c>
      <c r="H811" t="s">
        <v>335</v>
      </c>
      <c r="I811">
        <v>20</v>
      </c>
      <c r="J811">
        <v>20</v>
      </c>
      <c r="K811" s="1">
        <v>44927</v>
      </c>
      <c r="L811" s="1">
        <v>45005</v>
      </c>
      <c r="M811" s="1">
        <v>44927</v>
      </c>
      <c r="N811" s="1">
        <v>45005</v>
      </c>
      <c r="O811" t="s">
        <v>199</v>
      </c>
      <c r="P811" t="s">
        <v>6697</v>
      </c>
      <c r="R811" t="s">
        <v>6698</v>
      </c>
      <c r="T811" t="s">
        <v>6699</v>
      </c>
      <c r="U811" t="s">
        <v>184</v>
      </c>
      <c r="V811" s="4" t="str">
        <f>"60008"</f>
        <v>60008</v>
      </c>
      <c r="W811" t="s">
        <v>120</v>
      </c>
      <c r="Y811" s="5">
        <v>18473665069</v>
      </c>
      <c r="AA811">
        <v>56173</v>
      </c>
      <c r="AB811" t="s">
        <v>2594</v>
      </c>
      <c r="AC811" t="s">
        <v>2534</v>
      </c>
      <c r="AD811" t="s">
        <v>138</v>
      </c>
      <c r="AE811" t="s">
        <v>424</v>
      </c>
      <c r="AF811" t="s">
        <v>6698</v>
      </c>
      <c r="AH811" t="s">
        <v>6699</v>
      </c>
      <c r="AI811" t="s">
        <v>184</v>
      </c>
      <c r="AJ811" s="4" t="str">
        <f>"60008"</f>
        <v>60008</v>
      </c>
      <c r="AK811" t="s">
        <v>120</v>
      </c>
      <c r="AM811" s="5">
        <v>18473665069</v>
      </c>
      <c r="AO811" t="s">
        <v>6700</v>
      </c>
      <c r="AP811" t="s">
        <v>256</v>
      </c>
      <c r="AQ811" t="s">
        <v>1698</v>
      </c>
      <c r="AR811" t="s">
        <v>1699</v>
      </c>
      <c r="AS811" t="s">
        <v>138</v>
      </c>
      <c r="AT811" t="s">
        <v>1422</v>
      </c>
      <c r="AU811" t="s">
        <v>347</v>
      </c>
      <c r="AV811" t="s">
        <v>1441</v>
      </c>
      <c r="AW811" t="s">
        <v>349</v>
      </c>
      <c r="AX811" s="4" t="str">
        <f>"83814"</f>
        <v>83814</v>
      </c>
      <c r="AY811" t="s">
        <v>120</v>
      </c>
      <c r="BA811" s="5">
        <v>12087772654</v>
      </c>
      <c r="BC811" t="s">
        <v>1700</v>
      </c>
      <c r="BD811" t="s">
        <v>351</v>
      </c>
      <c r="BG811" t="s">
        <v>184</v>
      </c>
      <c r="BH811" s="1">
        <v>45195.833333333336</v>
      </c>
      <c r="BI811">
        <v>40</v>
      </c>
      <c r="BJ811">
        <v>0</v>
      </c>
      <c r="BK811">
        <v>8</v>
      </c>
      <c r="BL811">
        <v>8</v>
      </c>
      <c r="BM811">
        <v>8</v>
      </c>
      <c r="BN811">
        <v>8</v>
      </c>
      <c r="BO811">
        <v>8</v>
      </c>
      <c r="BP811">
        <v>0</v>
      </c>
      <c r="BQ811" t="str">
        <f>"6:45 AM"</f>
        <v>6:45 AM</v>
      </c>
      <c r="BR811" t="str">
        <f>"4:45 PM"</f>
        <v>4:45 PM</v>
      </c>
      <c r="BS811" t="s">
        <v>133</v>
      </c>
      <c r="BT811">
        <v>0</v>
      </c>
      <c r="BU811">
        <v>0</v>
      </c>
      <c r="BV811" t="s">
        <v>134</v>
      </c>
      <c r="BX811" s="2" t="s">
        <v>6701</v>
      </c>
      <c r="BY811" t="s">
        <v>6702</v>
      </c>
      <c r="CA811" t="s">
        <v>6703</v>
      </c>
      <c r="CB811" t="s">
        <v>184</v>
      </c>
      <c r="CC811" s="4" t="str">
        <f>"60090"</f>
        <v>60090</v>
      </c>
      <c r="CD811" t="s">
        <v>1595</v>
      </c>
      <c r="CE811" t="s">
        <v>1556</v>
      </c>
      <c r="CF811" s="6">
        <v>17.260000000000002</v>
      </c>
      <c r="CH811" s="6">
        <v>25.89</v>
      </c>
      <c r="CJ811" t="s">
        <v>137</v>
      </c>
      <c r="CK811" t="s">
        <v>138</v>
      </c>
      <c r="CL811" t="s">
        <v>6704</v>
      </c>
      <c r="CO811" t="s">
        <v>138</v>
      </c>
      <c r="CP811" t="s">
        <v>114</v>
      </c>
      <c r="CQ811" t="s">
        <v>114</v>
      </c>
      <c r="CR811" t="s">
        <v>114</v>
      </c>
      <c r="CS811" t="s">
        <v>114</v>
      </c>
      <c r="CT811" t="s">
        <v>114</v>
      </c>
      <c r="CU811" t="s">
        <v>134</v>
      </c>
      <c r="CV811" t="s">
        <v>358</v>
      </c>
      <c r="CW811" s="5" t="str">
        <f>"+18473665069"</f>
        <v>+18473665069</v>
      </c>
      <c r="CX811" t="s">
        <v>6700</v>
      </c>
      <c r="CY811" t="s">
        <v>3804</v>
      </c>
      <c r="CZ811" t="s">
        <v>139</v>
      </c>
      <c r="DA811" t="s">
        <v>134</v>
      </c>
      <c r="DB811" t="s">
        <v>114</v>
      </c>
      <c r="DC811" t="s">
        <v>114</v>
      </c>
      <c r="DD811" t="s">
        <v>134</v>
      </c>
    </row>
    <row r="812" spans="1:108" ht="15" customHeight="1" x14ac:dyDescent="0.25">
      <c r="A812" t="s">
        <v>11453</v>
      </c>
      <c r="B812" t="s">
        <v>165</v>
      </c>
      <c r="C812" s="1">
        <v>44837.622329513892</v>
      </c>
      <c r="D812" s="1">
        <v>44865</v>
      </c>
      <c r="E812" t="s">
        <v>134</v>
      </c>
      <c r="F812" t="s">
        <v>11454</v>
      </c>
      <c r="G812" t="str">
        <f>"35-9011.00"</f>
        <v>35-9011.00</v>
      </c>
      <c r="H812" t="s">
        <v>743</v>
      </c>
      <c r="I812">
        <v>10</v>
      </c>
      <c r="J812">
        <v>10</v>
      </c>
      <c r="K812" s="1">
        <v>44927</v>
      </c>
      <c r="L812" s="1">
        <v>45230</v>
      </c>
      <c r="M812" s="1">
        <v>44927</v>
      </c>
      <c r="N812" s="1">
        <v>45230</v>
      </c>
      <c r="O812" t="s">
        <v>117</v>
      </c>
      <c r="P812" t="s">
        <v>899</v>
      </c>
      <c r="Q812" t="s">
        <v>900</v>
      </c>
      <c r="R812" t="s">
        <v>901</v>
      </c>
      <c r="T812" t="s">
        <v>128</v>
      </c>
      <c r="U812" t="s">
        <v>129</v>
      </c>
      <c r="V812" s="4" t="str">
        <f>"30303"</f>
        <v>30303</v>
      </c>
      <c r="W812" t="s">
        <v>120</v>
      </c>
      <c r="Y812" s="5">
        <v>14046590000</v>
      </c>
      <c r="AA812">
        <v>72111</v>
      </c>
      <c r="AB812" t="s">
        <v>653</v>
      </c>
      <c r="AC812" t="s">
        <v>902</v>
      </c>
      <c r="AE812" t="s">
        <v>903</v>
      </c>
      <c r="AF812" t="s">
        <v>901</v>
      </c>
      <c r="AH812" t="s">
        <v>128</v>
      </c>
      <c r="AJ812" s="4" t="str">
        <f>"30303"</f>
        <v>30303</v>
      </c>
      <c r="AK812" t="s">
        <v>130</v>
      </c>
      <c r="AM812" s="5">
        <v>14046590000</v>
      </c>
      <c r="AO812" t="s">
        <v>904</v>
      </c>
      <c r="AP812" t="s">
        <v>256</v>
      </c>
      <c r="AQ812" t="s">
        <v>400</v>
      </c>
      <c r="AR812" t="s">
        <v>401</v>
      </c>
      <c r="AS812" t="s">
        <v>397</v>
      </c>
      <c r="AT812" t="s">
        <v>402</v>
      </c>
      <c r="AU812" t="s">
        <v>152</v>
      </c>
      <c r="AV812" t="s">
        <v>403</v>
      </c>
      <c r="AW812" t="s">
        <v>232</v>
      </c>
      <c r="AX812" s="4" t="str">
        <f>"75033"</f>
        <v>75033</v>
      </c>
      <c r="AY812" t="s">
        <v>120</v>
      </c>
      <c r="BA812" s="5">
        <v>19727789690</v>
      </c>
      <c r="BC812" t="s">
        <v>905</v>
      </c>
      <c r="BD812" t="s">
        <v>405</v>
      </c>
      <c r="BG812" t="s">
        <v>129</v>
      </c>
      <c r="BH812" s="1">
        <v>44836.833333333336</v>
      </c>
      <c r="BI812">
        <v>40</v>
      </c>
      <c r="BJ812">
        <v>8</v>
      </c>
      <c r="BK812">
        <v>8</v>
      </c>
      <c r="BL812">
        <v>0</v>
      </c>
      <c r="BM812">
        <v>0</v>
      </c>
      <c r="BN812">
        <v>8</v>
      </c>
      <c r="BO812">
        <v>8</v>
      </c>
      <c r="BP812">
        <v>8</v>
      </c>
      <c r="BQ812" t="str">
        <f>"3:00 PM"</f>
        <v>3:00 PM</v>
      </c>
      <c r="BR812" t="str">
        <f>"11:30 PM"</f>
        <v>11:30 PM</v>
      </c>
      <c r="BS812" t="s">
        <v>133</v>
      </c>
      <c r="BT812">
        <v>0</v>
      </c>
      <c r="BU812">
        <v>0</v>
      </c>
      <c r="BV812" t="s">
        <v>134</v>
      </c>
      <c r="BX812" s="2" t="s">
        <v>8621</v>
      </c>
      <c r="BY812" t="s">
        <v>901</v>
      </c>
      <c r="CA812" t="s">
        <v>128</v>
      </c>
      <c r="CB812" t="s">
        <v>129</v>
      </c>
      <c r="CC812" s="4" t="str">
        <f>"30303"</f>
        <v>30303</v>
      </c>
      <c r="CD812" t="s">
        <v>907</v>
      </c>
      <c r="CE812" t="s">
        <v>908</v>
      </c>
      <c r="CF812" s="6">
        <v>12.17</v>
      </c>
      <c r="CH812" s="6">
        <v>18.260000000000002</v>
      </c>
      <c r="CJ812" t="s">
        <v>137</v>
      </c>
      <c r="CK812" t="s">
        <v>11455</v>
      </c>
      <c r="CL812" t="s">
        <v>11456</v>
      </c>
      <c r="CO812" t="s">
        <v>138</v>
      </c>
      <c r="CP812" t="s">
        <v>134</v>
      </c>
      <c r="CQ812" t="s">
        <v>134</v>
      </c>
      <c r="CR812" t="s">
        <v>114</v>
      </c>
      <c r="CS812" t="s">
        <v>114</v>
      </c>
      <c r="CT812" t="s">
        <v>114</v>
      </c>
      <c r="CU812" t="s">
        <v>114</v>
      </c>
      <c r="CV812" t="s">
        <v>9223</v>
      </c>
      <c r="CW812" s="5" t="str">
        <f>"+14046590000"</f>
        <v>+14046590000</v>
      </c>
      <c r="CX812" t="s">
        <v>138</v>
      </c>
      <c r="CY812" t="s">
        <v>11457</v>
      </c>
      <c r="CZ812" t="s">
        <v>139</v>
      </c>
      <c r="DA812" t="s">
        <v>134</v>
      </c>
      <c r="DB812" t="s">
        <v>114</v>
      </c>
      <c r="DC812" t="s">
        <v>114</v>
      </c>
      <c r="DD812" t="s">
        <v>134</v>
      </c>
    </row>
    <row r="813" spans="1:108" ht="15" customHeight="1" x14ac:dyDescent="0.25">
      <c r="A813" t="s">
        <v>896</v>
      </c>
      <c r="B813" t="s">
        <v>165</v>
      </c>
      <c r="C813" s="1">
        <v>44837.609584375001</v>
      </c>
      <c r="D813" s="1">
        <v>44865</v>
      </c>
      <c r="E813" t="s">
        <v>134</v>
      </c>
      <c r="F813" t="s">
        <v>897</v>
      </c>
      <c r="G813" t="str">
        <f>"35-3023.01"</f>
        <v>35-3023.01</v>
      </c>
      <c r="H813" t="s">
        <v>898</v>
      </c>
      <c r="I813">
        <v>6</v>
      </c>
      <c r="J813">
        <v>6</v>
      </c>
      <c r="K813" s="1">
        <v>44927</v>
      </c>
      <c r="L813" s="1">
        <v>45230</v>
      </c>
      <c r="M813" s="1">
        <v>44927</v>
      </c>
      <c r="N813" s="1">
        <v>45230</v>
      </c>
      <c r="O813" t="s">
        <v>117</v>
      </c>
      <c r="P813" t="s">
        <v>899</v>
      </c>
      <c r="Q813" t="s">
        <v>900</v>
      </c>
      <c r="R813" t="s">
        <v>901</v>
      </c>
      <c r="T813" t="s">
        <v>128</v>
      </c>
      <c r="U813" t="s">
        <v>129</v>
      </c>
      <c r="V813" s="4" t="str">
        <f>"30303"</f>
        <v>30303</v>
      </c>
      <c r="W813" t="s">
        <v>120</v>
      </c>
      <c r="Y813" s="5">
        <v>14046590000</v>
      </c>
      <c r="AA813">
        <v>72111</v>
      </c>
      <c r="AB813" t="s">
        <v>653</v>
      </c>
      <c r="AC813" t="s">
        <v>902</v>
      </c>
      <c r="AE813" t="s">
        <v>903</v>
      </c>
      <c r="AF813" t="s">
        <v>901</v>
      </c>
      <c r="AH813" t="s">
        <v>128</v>
      </c>
      <c r="AJ813" s="4" t="str">
        <f>"30303"</f>
        <v>30303</v>
      </c>
      <c r="AK813" t="s">
        <v>130</v>
      </c>
      <c r="AM813" s="5">
        <v>14046590000</v>
      </c>
      <c r="AO813" t="s">
        <v>904</v>
      </c>
      <c r="AP813" t="s">
        <v>256</v>
      </c>
      <c r="AQ813" t="s">
        <v>400</v>
      </c>
      <c r="AR813" t="s">
        <v>401</v>
      </c>
      <c r="AS813" t="s">
        <v>397</v>
      </c>
      <c r="AT813" t="s">
        <v>402</v>
      </c>
      <c r="AU813" t="s">
        <v>152</v>
      </c>
      <c r="AV813" t="s">
        <v>403</v>
      </c>
      <c r="AW813" t="s">
        <v>232</v>
      </c>
      <c r="AX813" s="4" t="str">
        <f>"75033"</f>
        <v>75033</v>
      </c>
      <c r="AY813" t="s">
        <v>120</v>
      </c>
      <c r="BA813" s="5">
        <v>19727789690</v>
      </c>
      <c r="BC813" t="s">
        <v>905</v>
      </c>
      <c r="BD813" t="s">
        <v>405</v>
      </c>
      <c r="BG813" t="s">
        <v>129</v>
      </c>
      <c r="BH813" s="1">
        <v>44836.833333333336</v>
      </c>
      <c r="BI813">
        <v>40</v>
      </c>
      <c r="BJ813">
        <v>8</v>
      </c>
      <c r="BK813">
        <v>8</v>
      </c>
      <c r="BL813">
        <v>0</v>
      </c>
      <c r="BM813">
        <v>0</v>
      </c>
      <c r="BN813">
        <v>8</v>
      </c>
      <c r="BO813">
        <v>8</v>
      </c>
      <c r="BP813">
        <v>8</v>
      </c>
      <c r="BQ813" t="str">
        <f>"5:30 AM"</f>
        <v>5:30 AM</v>
      </c>
      <c r="BR813" t="str">
        <f>"2:00 PM"</f>
        <v>2:00 PM</v>
      </c>
      <c r="BS813" t="s">
        <v>133</v>
      </c>
      <c r="BT813">
        <v>0</v>
      </c>
      <c r="BU813">
        <v>0</v>
      </c>
      <c r="BV813" t="s">
        <v>134</v>
      </c>
      <c r="BX813" s="2" t="s">
        <v>906</v>
      </c>
      <c r="BY813" t="s">
        <v>901</v>
      </c>
      <c r="CA813" t="s">
        <v>128</v>
      </c>
      <c r="CB813" t="s">
        <v>129</v>
      </c>
      <c r="CC813" s="4" t="str">
        <f>"30303"</f>
        <v>30303</v>
      </c>
      <c r="CD813" t="s">
        <v>907</v>
      </c>
      <c r="CE813" t="s">
        <v>908</v>
      </c>
      <c r="CF813" s="6">
        <v>11.6</v>
      </c>
      <c r="CH813" s="6">
        <v>17.399999999999999</v>
      </c>
      <c r="CJ813" t="s">
        <v>137</v>
      </c>
      <c r="CK813" t="s">
        <v>909</v>
      </c>
      <c r="CL813" t="s">
        <v>910</v>
      </c>
      <c r="CO813" t="s">
        <v>138</v>
      </c>
      <c r="CP813" t="s">
        <v>134</v>
      </c>
      <c r="CQ813" t="s">
        <v>134</v>
      </c>
      <c r="CR813" t="s">
        <v>114</v>
      </c>
      <c r="CS813" t="s">
        <v>114</v>
      </c>
      <c r="CT813" t="s">
        <v>114</v>
      </c>
      <c r="CU813" t="s">
        <v>114</v>
      </c>
      <c r="CV813" s="2" t="s">
        <v>911</v>
      </c>
      <c r="CW813" s="5" t="str">
        <f>"+14046590000"</f>
        <v>+14046590000</v>
      </c>
      <c r="CX813" t="s">
        <v>138</v>
      </c>
      <c r="CY813" t="s">
        <v>912</v>
      </c>
      <c r="CZ813" t="s">
        <v>139</v>
      </c>
      <c r="DA813" t="s">
        <v>134</v>
      </c>
      <c r="DB813" t="s">
        <v>114</v>
      </c>
      <c r="DC813" t="s">
        <v>114</v>
      </c>
      <c r="DD813" t="s">
        <v>134</v>
      </c>
    </row>
    <row r="814" spans="1:108" ht="15" customHeight="1" x14ac:dyDescent="0.25">
      <c r="A814" t="s">
        <v>13256</v>
      </c>
      <c r="B814" t="s">
        <v>165</v>
      </c>
      <c r="C814" s="1">
        <v>44837.590078240741</v>
      </c>
      <c r="D814" s="1">
        <v>44865</v>
      </c>
      <c r="E814" t="s">
        <v>134</v>
      </c>
      <c r="F814" t="s">
        <v>388</v>
      </c>
      <c r="G814" t="str">
        <f>"35-3031.00"</f>
        <v>35-3031.00</v>
      </c>
      <c r="H814" t="s">
        <v>389</v>
      </c>
      <c r="I814">
        <v>12</v>
      </c>
      <c r="J814">
        <v>12</v>
      </c>
      <c r="K814" s="1">
        <v>44927</v>
      </c>
      <c r="L814" s="1">
        <v>45230</v>
      </c>
      <c r="M814" s="1">
        <v>44927</v>
      </c>
      <c r="N814" s="1">
        <v>45230</v>
      </c>
      <c r="O814" t="s">
        <v>117</v>
      </c>
      <c r="P814" t="s">
        <v>899</v>
      </c>
      <c r="Q814" t="s">
        <v>900</v>
      </c>
      <c r="R814" t="s">
        <v>901</v>
      </c>
      <c r="T814" t="s">
        <v>128</v>
      </c>
      <c r="U814" t="s">
        <v>129</v>
      </c>
      <c r="V814" s="4" t="str">
        <f>"30303"</f>
        <v>30303</v>
      </c>
      <c r="W814" t="s">
        <v>120</v>
      </c>
      <c r="Y814" s="5">
        <v>14046590000</v>
      </c>
      <c r="AA814">
        <v>72111</v>
      </c>
      <c r="AB814" t="s">
        <v>653</v>
      </c>
      <c r="AC814" t="s">
        <v>902</v>
      </c>
      <c r="AE814" t="s">
        <v>903</v>
      </c>
      <c r="AF814" t="s">
        <v>901</v>
      </c>
      <c r="AH814" t="s">
        <v>128</v>
      </c>
      <c r="AJ814" s="4" t="str">
        <f>"30303"</f>
        <v>30303</v>
      </c>
      <c r="AK814" t="s">
        <v>130</v>
      </c>
      <c r="AM814" s="5">
        <v>14046590000</v>
      </c>
      <c r="AO814" t="s">
        <v>904</v>
      </c>
      <c r="AP814" t="s">
        <v>256</v>
      </c>
      <c r="AQ814" t="s">
        <v>400</v>
      </c>
      <c r="AR814" t="s">
        <v>401</v>
      </c>
      <c r="AS814" t="s">
        <v>397</v>
      </c>
      <c r="AT814" t="s">
        <v>402</v>
      </c>
      <c r="AU814" t="s">
        <v>152</v>
      </c>
      <c r="AV814" t="s">
        <v>403</v>
      </c>
      <c r="AW814" t="s">
        <v>232</v>
      </c>
      <c r="AX814" s="4" t="str">
        <f>"75033"</f>
        <v>75033</v>
      </c>
      <c r="AY814" t="s">
        <v>120</v>
      </c>
      <c r="BA814" s="5">
        <v>19727789690</v>
      </c>
      <c r="BC814" t="s">
        <v>905</v>
      </c>
      <c r="BD814" t="s">
        <v>405</v>
      </c>
      <c r="BG814" t="s">
        <v>129</v>
      </c>
      <c r="BH814" s="1">
        <v>44836.833333333336</v>
      </c>
      <c r="BI814">
        <v>40</v>
      </c>
      <c r="BJ814">
        <v>8</v>
      </c>
      <c r="BK814">
        <v>8</v>
      </c>
      <c r="BL814">
        <v>8</v>
      </c>
      <c r="BM814">
        <v>0</v>
      </c>
      <c r="BN814">
        <v>0</v>
      </c>
      <c r="BO814">
        <v>8</v>
      </c>
      <c r="BP814">
        <v>8</v>
      </c>
      <c r="BQ814" t="str">
        <f>"10:30 AM"</f>
        <v>10:30 AM</v>
      </c>
      <c r="BR814" t="str">
        <f>"7:00 PM"</f>
        <v>7:00 PM</v>
      </c>
      <c r="BS814" t="s">
        <v>133</v>
      </c>
      <c r="BT814">
        <v>0</v>
      </c>
      <c r="BU814">
        <v>0</v>
      </c>
      <c r="BV814" t="s">
        <v>134</v>
      </c>
      <c r="BX814" s="2" t="s">
        <v>13257</v>
      </c>
      <c r="BY814" t="s">
        <v>901</v>
      </c>
      <c r="CA814" t="s">
        <v>128</v>
      </c>
      <c r="CB814" t="s">
        <v>129</v>
      </c>
      <c r="CC814" s="4" t="str">
        <f>"30303"</f>
        <v>30303</v>
      </c>
      <c r="CD814" t="s">
        <v>907</v>
      </c>
      <c r="CE814" t="s">
        <v>908</v>
      </c>
      <c r="CF814" s="6">
        <v>11.51</v>
      </c>
      <c r="CH814" s="6">
        <v>17.27</v>
      </c>
      <c r="CJ814" t="s">
        <v>137</v>
      </c>
      <c r="CK814" t="s">
        <v>13258</v>
      </c>
      <c r="CL814" t="s">
        <v>13259</v>
      </c>
      <c r="CO814" t="s">
        <v>138</v>
      </c>
      <c r="CP814" t="s">
        <v>134</v>
      </c>
      <c r="CQ814" t="s">
        <v>134</v>
      </c>
      <c r="CR814" t="s">
        <v>114</v>
      </c>
      <c r="CS814" t="s">
        <v>114</v>
      </c>
      <c r="CT814" t="s">
        <v>114</v>
      </c>
      <c r="CU814" t="s">
        <v>114</v>
      </c>
      <c r="CV814" s="2" t="s">
        <v>911</v>
      </c>
      <c r="CW814" s="5" t="str">
        <f>"+14046590000"</f>
        <v>+14046590000</v>
      </c>
      <c r="CX814" t="s">
        <v>138</v>
      </c>
      <c r="CY814" t="s">
        <v>912</v>
      </c>
      <c r="CZ814" t="s">
        <v>139</v>
      </c>
      <c r="DA814" t="s">
        <v>134</v>
      </c>
      <c r="DB814" t="s">
        <v>114</v>
      </c>
      <c r="DC814" t="s">
        <v>114</v>
      </c>
      <c r="DD814" t="s">
        <v>134</v>
      </c>
    </row>
    <row r="815" spans="1:108" ht="15" customHeight="1" x14ac:dyDescent="0.25">
      <c r="A815" t="s">
        <v>8620</v>
      </c>
      <c r="B815" t="s">
        <v>165</v>
      </c>
      <c r="C815" s="1">
        <v>44837.576141782411</v>
      </c>
      <c r="D815" s="1">
        <v>44865</v>
      </c>
      <c r="E815" t="s">
        <v>134</v>
      </c>
      <c r="F815" t="s">
        <v>115</v>
      </c>
      <c r="G815" t="str">
        <f>"37-2012.00"</f>
        <v>37-2012.00</v>
      </c>
      <c r="H815" t="s">
        <v>116</v>
      </c>
      <c r="I815">
        <v>20</v>
      </c>
      <c r="J815">
        <v>20</v>
      </c>
      <c r="K815" s="1">
        <v>44927</v>
      </c>
      <c r="L815" s="1">
        <v>45230</v>
      </c>
      <c r="M815" s="1">
        <v>44927</v>
      </c>
      <c r="N815" s="1">
        <v>45230</v>
      </c>
      <c r="O815" t="s">
        <v>117</v>
      </c>
      <c r="P815" t="s">
        <v>899</v>
      </c>
      <c r="Q815" t="s">
        <v>900</v>
      </c>
      <c r="R815" t="s">
        <v>901</v>
      </c>
      <c r="T815" t="s">
        <v>128</v>
      </c>
      <c r="U815" t="s">
        <v>129</v>
      </c>
      <c r="V815" s="4" t="str">
        <f>"30303"</f>
        <v>30303</v>
      </c>
      <c r="W815" t="s">
        <v>120</v>
      </c>
      <c r="Y815" s="5">
        <v>14046590000</v>
      </c>
      <c r="AA815">
        <v>72111</v>
      </c>
      <c r="AB815" t="s">
        <v>653</v>
      </c>
      <c r="AC815" t="s">
        <v>902</v>
      </c>
      <c r="AE815" t="s">
        <v>903</v>
      </c>
      <c r="AF815" t="s">
        <v>901</v>
      </c>
      <c r="AH815" t="s">
        <v>128</v>
      </c>
      <c r="AI815" t="s">
        <v>129</v>
      </c>
      <c r="AJ815" s="4" t="str">
        <f>"30303"</f>
        <v>30303</v>
      </c>
      <c r="AK815" t="s">
        <v>120</v>
      </c>
      <c r="AM815" s="5">
        <v>14046590000</v>
      </c>
      <c r="AO815" t="s">
        <v>904</v>
      </c>
      <c r="AP815" t="s">
        <v>256</v>
      </c>
      <c r="AQ815" t="s">
        <v>400</v>
      </c>
      <c r="AR815" t="s">
        <v>401</v>
      </c>
      <c r="AS815" t="s">
        <v>397</v>
      </c>
      <c r="AT815" t="s">
        <v>402</v>
      </c>
      <c r="AU815" t="s">
        <v>152</v>
      </c>
      <c r="AV815" t="s">
        <v>403</v>
      </c>
      <c r="AW815" t="s">
        <v>232</v>
      </c>
      <c r="AX815" s="4" t="str">
        <f>"75033"</f>
        <v>75033</v>
      </c>
      <c r="AY815" t="s">
        <v>120</v>
      </c>
      <c r="BA815" s="5">
        <v>19727789690</v>
      </c>
      <c r="BC815" t="s">
        <v>905</v>
      </c>
      <c r="BD815" t="s">
        <v>405</v>
      </c>
      <c r="BG815" t="s">
        <v>129</v>
      </c>
      <c r="BH815" s="1">
        <v>44836.833333333336</v>
      </c>
      <c r="BI815">
        <v>40</v>
      </c>
      <c r="BJ815">
        <v>8</v>
      </c>
      <c r="BK815">
        <v>8</v>
      </c>
      <c r="BL815">
        <v>0</v>
      </c>
      <c r="BM815">
        <v>0</v>
      </c>
      <c r="BN815">
        <v>8</v>
      </c>
      <c r="BO815">
        <v>8</v>
      </c>
      <c r="BP815">
        <v>8</v>
      </c>
      <c r="BQ815" t="str">
        <f>"8:00 AM"</f>
        <v>8:00 AM</v>
      </c>
      <c r="BR815" t="str">
        <f>"5:00 PM"</f>
        <v>5:00 PM</v>
      </c>
      <c r="BS815" t="s">
        <v>133</v>
      </c>
      <c r="BT815">
        <v>0</v>
      </c>
      <c r="BU815">
        <v>0</v>
      </c>
      <c r="BV815" t="s">
        <v>134</v>
      </c>
      <c r="BX815" s="2" t="s">
        <v>8621</v>
      </c>
      <c r="BY815" t="s">
        <v>901</v>
      </c>
      <c r="CA815" t="s">
        <v>8622</v>
      </c>
      <c r="CB815" t="s">
        <v>129</v>
      </c>
      <c r="CC815" s="4" t="str">
        <f>"30303"</f>
        <v>30303</v>
      </c>
      <c r="CD815" t="s">
        <v>907</v>
      </c>
      <c r="CE815" t="s">
        <v>908</v>
      </c>
      <c r="CF815" s="6">
        <v>12.42</v>
      </c>
      <c r="CH815" s="6">
        <v>18.63</v>
      </c>
      <c r="CJ815" t="s">
        <v>137</v>
      </c>
      <c r="CK815" t="s">
        <v>909</v>
      </c>
      <c r="CL815" t="s">
        <v>8623</v>
      </c>
      <c r="CO815" t="s">
        <v>138</v>
      </c>
      <c r="CP815" t="s">
        <v>134</v>
      </c>
      <c r="CQ815" t="s">
        <v>134</v>
      </c>
      <c r="CR815" t="s">
        <v>114</v>
      </c>
      <c r="CS815" t="s">
        <v>114</v>
      </c>
      <c r="CT815" t="s">
        <v>114</v>
      </c>
      <c r="CU815" t="s">
        <v>114</v>
      </c>
      <c r="CV815" s="2" t="s">
        <v>911</v>
      </c>
      <c r="CW815" s="5" t="str">
        <f>"+14046590000"</f>
        <v>+14046590000</v>
      </c>
      <c r="CX815" t="s">
        <v>138</v>
      </c>
      <c r="CY815" t="s">
        <v>912</v>
      </c>
      <c r="CZ815" t="s">
        <v>139</v>
      </c>
      <c r="DA815" t="s">
        <v>134</v>
      </c>
      <c r="DB815" t="s">
        <v>114</v>
      </c>
      <c r="DC815" t="s">
        <v>114</v>
      </c>
      <c r="DD815" t="s">
        <v>134</v>
      </c>
    </row>
    <row r="816" spans="1:108" ht="15" customHeight="1" x14ac:dyDescent="0.25">
      <c r="A816" t="s">
        <v>6538</v>
      </c>
      <c r="B816" t="s">
        <v>165</v>
      </c>
      <c r="C816" s="1">
        <v>44833.970903472225</v>
      </c>
      <c r="D816" s="1">
        <v>44865</v>
      </c>
      <c r="E816" t="s">
        <v>134</v>
      </c>
      <c r="F816" t="s">
        <v>416</v>
      </c>
      <c r="G816" t="str">
        <f>"37-2011.00"</f>
        <v>37-2011.00</v>
      </c>
      <c r="H816" t="s">
        <v>672</v>
      </c>
      <c r="I816">
        <v>5</v>
      </c>
      <c r="J816">
        <v>5</v>
      </c>
      <c r="K816" s="1">
        <v>44908</v>
      </c>
      <c r="L816" s="1">
        <v>45016</v>
      </c>
      <c r="M816" s="1">
        <v>44908</v>
      </c>
      <c r="N816" s="1">
        <v>45016</v>
      </c>
      <c r="O816" t="s">
        <v>199</v>
      </c>
      <c r="P816" t="s">
        <v>6539</v>
      </c>
      <c r="R816" t="s">
        <v>6540</v>
      </c>
      <c r="T816" t="s">
        <v>6541</v>
      </c>
      <c r="U816" t="s">
        <v>420</v>
      </c>
      <c r="V816" s="4" t="str">
        <f>"84118"</f>
        <v>84118</v>
      </c>
      <c r="W816" t="s">
        <v>120</v>
      </c>
      <c r="Y816" s="5">
        <v>18014043669</v>
      </c>
      <c r="AA816">
        <v>56173</v>
      </c>
      <c r="AB816" t="s">
        <v>6542</v>
      </c>
      <c r="AC816" t="s">
        <v>2091</v>
      </c>
      <c r="AE816" t="s">
        <v>252</v>
      </c>
      <c r="AF816" t="s">
        <v>6540</v>
      </c>
      <c r="AH816" t="s">
        <v>6541</v>
      </c>
      <c r="AI816" t="s">
        <v>420</v>
      </c>
      <c r="AJ816" s="4" t="str">
        <f>"84118"</f>
        <v>84118</v>
      </c>
      <c r="AK816" t="s">
        <v>120</v>
      </c>
      <c r="AM816" s="5">
        <v>18014043669</v>
      </c>
      <c r="AO816" t="s">
        <v>6543</v>
      </c>
      <c r="AP816" t="s">
        <v>256</v>
      </c>
      <c r="AQ816" t="s">
        <v>426</v>
      </c>
      <c r="AR816" t="s">
        <v>427</v>
      </c>
      <c r="AT816" t="s">
        <v>428</v>
      </c>
      <c r="AV816" t="s">
        <v>429</v>
      </c>
      <c r="AW816" t="s">
        <v>420</v>
      </c>
      <c r="AX816" s="4" t="str">
        <f>"84059"</f>
        <v>84059</v>
      </c>
      <c r="AY816" t="s">
        <v>120</v>
      </c>
      <c r="BA816" s="5">
        <v>18013677097</v>
      </c>
      <c r="BC816" t="s">
        <v>430</v>
      </c>
      <c r="BD816" t="s">
        <v>431</v>
      </c>
      <c r="BG816" t="s">
        <v>420</v>
      </c>
      <c r="BH816" s="1">
        <v>44832.833333333336</v>
      </c>
      <c r="BI816">
        <v>35</v>
      </c>
      <c r="BJ816">
        <v>0</v>
      </c>
      <c r="BK816">
        <v>7</v>
      </c>
      <c r="BL816">
        <v>7</v>
      </c>
      <c r="BM816">
        <v>7</v>
      </c>
      <c r="BN816">
        <v>7</v>
      </c>
      <c r="BO816">
        <v>7</v>
      </c>
      <c r="BP816">
        <v>0</v>
      </c>
      <c r="BQ816" t="str">
        <f>"8:00 AM"</f>
        <v>8:00 AM</v>
      </c>
      <c r="BR816" t="str">
        <f>"3:30 PM"</f>
        <v>3:30 PM</v>
      </c>
      <c r="BS816" t="s">
        <v>133</v>
      </c>
      <c r="BT816">
        <v>0</v>
      </c>
      <c r="BU816">
        <v>0</v>
      </c>
      <c r="BV816" t="s">
        <v>134</v>
      </c>
      <c r="BX816" s="2" t="s">
        <v>6544</v>
      </c>
      <c r="BY816" t="s">
        <v>6540</v>
      </c>
      <c r="CA816" t="s">
        <v>6541</v>
      </c>
      <c r="CB816" t="s">
        <v>420</v>
      </c>
      <c r="CC816" s="4" t="str">
        <f>"84118"</f>
        <v>84118</v>
      </c>
      <c r="CD816" t="s">
        <v>688</v>
      </c>
      <c r="CE816" t="s">
        <v>689</v>
      </c>
      <c r="CF816" s="6">
        <v>13.94</v>
      </c>
      <c r="CG816" s="6">
        <v>17.21</v>
      </c>
      <c r="CH816" s="6">
        <v>20.91</v>
      </c>
      <c r="CI816" s="6">
        <v>25.82</v>
      </c>
      <c r="CJ816" t="s">
        <v>137</v>
      </c>
      <c r="CK816" t="s">
        <v>5243</v>
      </c>
      <c r="CL816" t="s">
        <v>6545</v>
      </c>
      <c r="CO816" t="s">
        <v>138</v>
      </c>
      <c r="CP816" t="s">
        <v>114</v>
      </c>
      <c r="CQ816" t="s">
        <v>114</v>
      </c>
      <c r="CR816" t="s">
        <v>114</v>
      </c>
      <c r="CS816" t="s">
        <v>134</v>
      </c>
      <c r="CT816" t="s">
        <v>114</v>
      </c>
      <c r="CU816" t="s">
        <v>134</v>
      </c>
      <c r="CV816" t="s">
        <v>437</v>
      </c>
      <c r="CW816" s="5" t="str">
        <f>"+18014043669"</f>
        <v>+18014043669</v>
      </c>
      <c r="CX816" t="s">
        <v>6543</v>
      </c>
      <c r="CY816" t="s">
        <v>138</v>
      </c>
      <c r="CZ816" t="s">
        <v>139</v>
      </c>
      <c r="DA816" t="s">
        <v>134</v>
      </c>
      <c r="DB816" t="s">
        <v>134</v>
      </c>
      <c r="DC816" t="s">
        <v>114</v>
      </c>
      <c r="DD816" t="s">
        <v>134</v>
      </c>
    </row>
    <row r="817" spans="1:113" ht="15" customHeight="1" x14ac:dyDescent="0.25">
      <c r="A817" t="s">
        <v>13757</v>
      </c>
      <c r="B817" t="s">
        <v>165</v>
      </c>
      <c r="C817" s="1">
        <v>44831.753221990744</v>
      </c>
      <c r="D817" s="1">
        <v>44865</v>
      </c>
      <c r="E817" t="s">
        <v>114</v>
      </c>
      <c r="F817" t="s">
        <v>13758</v>
      </c>
      <c r="G817" t="str">
        <f>"39-2011.00"</f>
        <v>39-2011.00</v>
      </c>
      <c r="H817" t="s">
        <v>6200</v>
      </c>
      <c r="I817">
        <v>2</v>
      </c>
      <c r="J817">
        <v>2</v>
      </c>
      <c r="K817" s="1">
        <v>44906</v>
      </c>
      <c r="L817" s="1">
        <v>45019</v>
      </c>
      <c r="M817" s="1">
        <v>44906</v>
      </c>
      <c r="N817" s="1">
        <v>45019</v>
      </c>
      <c r="O817" t="s">
        <v>117</v>
      </c>
      <c r="P817" t="s">
        <v>13759</v>
      </c>
      <c r="R817" t="s">
        <v>13760</v>
      </c>
      <c r="T817" t="s">
        <v>1706</v>
      </c>
      <c r="U817" t="s">
        <v>619</v>
      </c>
      <c r="V817" s="4" t="str">
        <f>"40511"</f>
        <v>40511</v>
      </c>
      <c r="W817" t="s">
        <v>120</v>
      </c>
      <c r="Y817" s="5">
        <v>15024946275</v>
      </c>
      <c r="AA817">
        <v>711212</v>
      </c>
      <c r="AB817" t="s">
        <v>13043</v>
      </c>
      <c r="AC817" t="s">
        <v>13044</v>
      </c>
      <c r="AE817" t="s">
        <v>1710</v>
      </c>
      <c r="AF817" t="s">
        <v>13045</v>
      </c>
      <c r="AH817" t="s">
        <v>1706</v>
      </c>
      <c r="AI817" t="s">
        <v>619</v>
      </c>
      <c r="AJ817" s="4" t="str">
        <f>"40511"</f>
        <v>40511</v>
      </c>
      <c r="AK817" t="s">
        <v>120</v>
      </c>
      <c r="AM817" s="5">
        <v>15024946275</v>
      </c>
      <c r="AO817" t="s">
        <v>13046</v>
      </c>
      <c r="AP817" t="s">
        <v>122</v>
      </c>
      <c r="AQ817" t="s">
        <v>4979</v>
      </c>
      <c r="AR817" t="s">
        <v>2361</v>
      </c>
      <c r="AS817" t="s">
        <v>2211</v>
      </c>
      <c r="AT817" t="s">
        <v>13047</v>
      </c>
      <c r="AU817" t="s">
        <v>1574</v>
      </c>
      <c r="AV817" t="s">
        <v>2748</v>
      </c>
      <c r="AW817" t="s">
        <v>420</v>
      </c>
      <c r="AX817" s="4" t="str">
        <f>"84107"</f>
        <v>84107</v>
      </c>
      <c r="AY817" t="s">
        <v>120</v>
      </c>
      <c r="BA817" s="5">
        <v>18012632314</v>
      </c>
      <c r="BC817" t="s">
        <v>4981</v>
      </c>
      <c r="BD817" t="s">
        <v>4982</v>
      </c>
      <c r="BE817" t="s">
        <v>444</v>
      </c>
      <c r="BF817" t="s">
        <v>322</v>
      </c>
      <c r="BG817" t="s">
        <v>154</v>
      </c>
      <c r="BH817" s="1">
        <v>44830.833333333336</v>
      </c>
      <c r="BI817">
        <v>36</v>
      </c>
      <c r="BJ817">
        <v>6</v>
      </c>
      <c r="BK817">
        <v>6</v>
      </c>
      <c r="BL817">
        <v>6</v>
      </c>
      <c r="BM817">
        <v>0</v>
      </c>
      <c r="BN817">
        <v>6</v>
      </c>
      <c r="BO817">
        <v>6</v>
      </c>
      <c r="BP817">
        <v>6</v>
      </c>
      <c r="BQ817" t="str">
        <f>"5:00 AM"</f>
        <v>5:00 AM</v>
      </c>
      <c r="BR817" t="str">
        <f>"11:00 AM"</f>
        <v>11:00 AM</v>
      </c>
      <c r="BS817" t="s">
        <v>133</v>
      </c>
      <c r="BT817">
        <v>0</v>
      </c>
      <c r="BU817">
        <v>6</v>
      </c>
      <c r="BV817" t="s">
        <v>134</v>
      </c>
      <c r="BX817" t="s">
        <v>133</v>
      </c>
      <c r="BY817" t="s">
        <v>13761</v>
      </c>
      <c r="BZ817" t="s">
        <v>13050</v>
      </c>
      <c r="CA817" t="s">
        <v>13051</v>
      </c>
      <c r="CB817" t="s">
        <v>154</v>
      </c>
      <c r="CC817" s="4" t="str">
        <f>"33009"</f>
        <v>33009</v>
      </c>
      <c r="CD817" t="s">
        <v>638</v>
      </c>
      <c r="CE817" t="s">
        <v>639</v>
      </c>
      <c r="CF817" s="6">
        <v>26.53</v>
      </c>
      <c r="CG817" s="6">
        <v>26.53</v>
      </c>
      <c r="CH817" s="6">
        <v>39.799999999999997</v>
      </c>
      <c r="CI817" s="6">
        <v>39.799999999999997</v>
      </c>
      <c r="CJ817" t="s">
        <v>137</v>
      </c>
      <c r="CL817" t="s">
        <v>13762</v>
      </c>
      <c r="CO817" t="s">
        <v>114</v>
      </c>
      <c r="CP817" t="s">
        <v>134</v>
      </c>
      <c r="CQ817" t="s">
        <v>134</v>
      </c>
      <c r="CR817" t="s">
        <v>114</v>
      </c>
      <c r="CS817" t="s">
        <v>134</v>
      </c>
      <c r="CT817" t="s">
        <v>114</v>
      </c>
      <c r="CU817" t="s">
        <v>114</v>
      </c>
      <c r="CV817" t="s">
        <v>13763</v>
      </c>
      <c r="CW817" s="5" t="str">
        <f>"+18525499969"</f>
        <v>+18525499969</v>
      </c>
      <c r="CX817" t="s">
        <v>13046</v>
      </c>
      <c r="CY817" t="s">
        <v>138</v>
      </c>
      <c r="CZ817" t="s">
        <v>139</v>
      </c>
      <c r="DA817" t="s">
        <v>134</v>
      </c>
      <c r="DB817" t="s">
        <v>134</v>
      </c>
      <c r="DC817" t="s">
        <v>114</v>
      </c>
      <c r="DD817" t="s">
        <v>134</v>
      </c>
    </row>
    <row r="818" spans="1:113" ht="15" customHeight="1" x14ac:dyDescent="0.25">
      <c r="A818" t="s">
        <v>7490</v>
      </c>
      <c r="B818" t="s">
        <v>165</v>
      </c>
      <c r="C818" s="1">
        <v>44830.505734259263</v>
      </c>
      <c r="D818" s="1">
        <v>44865</v>
      </c>
      <c r="E818" t="s">
        <v>134</v>
      </c>
      <c r="F818" t="s">
        <v>416</v>
      </c>
      <c r="G818" t="str">
        <f>"37-3011.00"</f>
        <v>37-3011.00</v>
      </c>
      <c r="H818" t="s">
        <v>335</v>
      </c>
      <c r="I818">
        <v>2</v>
      </c>
      <c r="J818">
        <v>2</v>
      </c>
      <c r="K818" s="1">
        <v>44907</v>
      </c>
      <c r="L818" s="1">
        <v>45016</v>
      </c>
      <c r="M818" s="1">
        <v>44907</v>
      </c>
      <c r="N818" s="1">
        <v>45016</v>
      </c>
      <c r="O818" t="s">
        <v>199</v>
      </c>
      <c r="P818" t="s">
        <v>7491</v>
      </c>
      <c r="R818" t="s">
        <v>7492</v>
      </c>
      <c r="T818" t="s">
        <v>4598</v>
      </c>
      <c r="U818" t="s">
        <v>420</v>
      </c>
      <c r="V818" s="4" t="str">
        <f>"84057"</f>
        <v>84057</v>
      </c>
      <c r="W818" t="s">
        <v>120</v>
      </c>
      <c r="Y818" s="5">
        <v>18019000007</v>
      </c>
      <c r="AA818">
        <v>56173</v>
      </c>
      <c r="AB818" t="s">
        <v>7493</v>
      </c>
      <c r="AC818" t="s">
        <v>3145</v>
      </c>
      <c r="AE818" t="s">
        <v>252</v>
      </c>
      <c r="AF818" t="s">
        <v>7492</v>
      </c>
      <c r="AH818" t="s">
        <v>4598</v>
      </c>
      <c r="AI818" t="s">
        <v>420</v>
      </c>
      <c r="AJ818" s="4" t="str">
        <f>"84057"</f>
        <v>84057</v>
      </c>
      <c r="AK818" t="s">
        <v>120</v>
      </c>
      <c r="AM818" s="5">
        <v>18019000007</v>
      </c>
      <c r="AO818" t="s">
        <v>7494</v>
      </c>
      <c r="AP818" t="s">
        <v>256</v>
      </c>
      <c r="AQ818" t="s">
        <v>426</v>
      </c>
      <c r="AR818" t="s">
        <v>427</v>
      </c>
      <c r="AT818" t="s">
        <v>428</v>
      </c>
      <c r="AV818" t="s">
        <v>429</v>
      </c>
      <c r="AW818" t="s">
        <v>420</v>
      </c>
      <c r="AX818" s="4" t="str">
        <f>"84059"</f>
        <v>84059</v>
      </c>
      <c r="AY818" t="s">
        <v>120</v>
      </c>
      <c r="BA818" s="5">
        <v>18013677097</v>
      </c>
      <c r="BC818" t="s">
        <v>430</v>
      </c>
      <c r="BD818" t="s">
        <v>431</v>
      </c>
      <c r="BG818" t="s">
        <v>420</v>
      </c>
      <c r="BH818" s="1">
        <v>44829.833333333336</v>
      </c>
      <c r="BI818">
        <v>35</v>
      </c>
      <c r="BJ818">
        <v>0</v>
      </c>
      <c r="BK818">
        <v>7</v>
      </c>
      <c r="BL818">
        <v>7</v>
      </c>
      <c r="BM818">
        <v>7</v>
      </c>
      <c r="BN818">
        <v>7</v>
      </c>
      <c r="BO818">
        <v>7</v>
      </c>
      <c r="BP818">
        <v>0</v>
      </c>
      <c r="BQ818" t="str">
        <f>"8:00 AM"</f>
        <v>8:00 AM</v>
      </c>
      <c r="BR818" t="str">
        <f>"3:30 PM"</f>
        <v>3:30 PM</v>
      </c>
      <c r="BS818" t="s">
        <v>133</v>
      </c>
      <c r="BT818">
        <v>0</v>
      </c>
      <c r="BU818">
        <v>0</v>
      </c>
      <c r="BV818" t="s">
        <v>134</v>
      </c>
      <c r="BX818" s="2" t="s">
        <v>7495</v>
      </c>
      <c r="BY818" t="s">
        <v>7492</v>
      </c>
      <c r="CA818" t="s">
        <v>4598</v>
      </c>
      <c r="CB818" t="s">
        <v>420</v>
      </c>
      <c r="CC818" s="4" t="str">
        <f>"84057"</f>
        <v>84057</v>
      </c>
      <c r="CD818" t="s">
        <v>433</v>
      </c>
      <c r="CE818" t="s">
        <v>434</v>
      </c>
      <c r="CF818" s="6">
        <v>16.62</v>
      </c>
      <c r="CH818" s="6">
        <v>24.93</v>
      </c>
      <c r="CJ818" t="s">
        <v>137</v>
      </c>
      <c r="CK818" t="s">
        <v>5243</v>
      </c>
      <c r="CL818" t="s">
        <v>7496</v>
      </c>
      <c r="CO818" t="s">
        <v>138</v>
      </c>
      <c r="CP818" t="s">
        <v>114</v>
      </c>
      <c r="CQ818" t="s">
        <v>114</v>
      </c>
      <c r="CR818" t="s">
        <v>114</v>
      </c>
      <c r="CS818" t="s">
        <v>134</v>
      </c>
      <c r="CT818" t="s">
        <v>114</v>
      </c>
      <c r="CU818" t="s">
        <v>134</v>
      </c>
      <c r="CV818" t="s">
        <v>437</v>
      </c>
      <c r="CW818" s="5" t="str">
        <f>"+18019000007"</f>
        <v>+18019000007</v>
      </c>
      <c r="CX818" t="s">
        <v>7494</v>
      </c>
      <c r="CY818" t="s">
        <v>7497</v>
      </c>
      <c r="CZ818" t="s">
        <v>139</v>
      </c>
      <c r="DA818" t="s">
        <v>134</v>
      </c>
      <c r="DB818" t="s">
        <v>134</v>
      </c>
      <c r="DC818" t="s">
        <v>114</v>
      </c>
      <c r="DD818" t="s">
        <v>134</v>
      </c>
    </row>
    <row r="819" spans="1:113" ht="15" customHeight="1" x14ac:dyDescent="0.25">
      <c r="A819" t="s">
        <v>14544</v>
      </c>
      <c r="B819" t="s">
        <v>165</v>
      </c>
      <c r="C819" s="1">
        <v>44829.011906018517</v>
      </c>
      <c r="D819" s="1">
        <v>44865</v>
      </c>
      <c r="E819" t="s">
        <v>134</v>
      </c>
      <c r="F819" t="s">
        <v>979</v>
      </c>
      <c r="G819" t="str">
        <f>"37-1011.00"</f>
        <v>37-1011.00</v>
      </c>
      <c r="H819" t="s">
        <v>980</v>
      </c>
      <c r="I819">
        <v>2</v>
      </c>
      <c r="J819">
        <v>2</v>
      </c>
      <c r="K819" s="1">
        <v>44904</v>
      </c>
      <c r="L819" s="1">
        <v>45149</v>
      </c>
      <c r="M819" s="1">
        <v>44904</v>
      </c>
      <c r="N819" s="1">
        <v>45149</v>
      </c>
      <c r="O819" t="s">
        <v>199</v>
      </c>
      <c r="P819" t="s">
        <v>981</v>
      </c>
      <c r="Q819" t="s">
        <v>981</v>
      </c>
      <c r="R819" t="s">
        <v>982</v>
      </c>
      <c r="S819" t="s">
        <v>3777</v>
      </c>
      <c r="T819" t="s">
        <v>984</v>
      </c>
      <c r="U819" t="s">
        <v>154</v>
      </c>
      <c r="V819" s="4" t="str">
        <f>"32408"</f>
        <v>32408</v>
      </c>
      <c r="W819" t="s">
        <v>120</v>
      </c>
      <c r="Y819" s="5">
        <v>17864929774</v>
      </c>
      <c r="AA819">
        <v>561720</v>
      </c>
      <c r="AB819" t="s">
        <v>985</v>
      </c>
      <c r="AC819" t="s">
        <v>986</v>
      </c>
      <c r="AE819" t="s">
        <v>342</v>
      </c>
      <c r="AF819" t="s">
        <v>982</v>
      </c>
      <c r="AH819" t="s">
        <v>984</v>
      </c>
      <c r="AI819" t="s">
        <v>154</v>
      </c>
      <c r="AJ819" s="4" t="str">
        <f>"32408"</f>
        <v>32408</v>
      </c>
      <c r="AK819" t="s">
        <v>120</v>
      </c>
      <c r="AM819" s="5">
        <v>17863285408</v>
      </c>
      <c r="AO819" t="s">
        <v>987</v>
      </c>
      <c r="AX819" s="4" t="str">
        <f>""</f>
        <v/>
      </c>
      <c r="BG819" t="s">
        <v>214</v>
      </c>
      <c r="BH819" s="1">
        <v>44827.833333333336</v>
      </c>
      <c r="BI819">
        <v>35</v>
      </c>
      <c r="BJ819">
        <v>5</v>
      </c>
      <c r="BK819">
        <v>5</v>
      </c>
      <c r="BL819">
        <v>5</v>
      </c>
      <c r="BM819">
        <v>5</v>
      </c>
      <c r="BN819">
        <v>5</v>
      </c>
      <c r="BO819">
        <v>5</v>
      </c>
      <c r="BP819">
        <v>5</v>
      </c>
      <c r="BQ819" t="str">
        <f>"8:00 AM"</f>
        <v>8:00 AM</v>
      </c>
      <c r="BR819" t="str">
        <f>"4:00 PM"</f>
        <v>4:00 PM</v>
      </c>
      <c r="BS819" t="s">
        <v>295</v>
      </c>
      <c r="BT819">
        <v>0</v>
      </c>
      <c r="BU819">
        <v>12</v>
      </c>
      <c r="BV819" t="s">
        <v>114</v>
      </c>
      <c r="BW819">
        <v>70</v>
      </c>
      <c r="BX819" s="2" t="s">
        <v>14545</v>
      </c>
      <c r="BY819" t="s">
        <v>14546</v>
      </c>
      <c r="CA819" t="s">
        <v>4176</v>
      </c>
      <c r="CB819" t="s">
        <v>214</v>
      </c>
      <c r="CC819" s="4" t="str">
        <f>"70601"</f>
        <v>70601</v>
      </c>
      <c r="CD819" t="s">
        <v>6942</v>
      </c>
      <c r="CE819" t="s">
        <v>6943</v>
      </c>
      <c r="CF819" s="6">
        <v>18.23</v>
      </c>
      <c r="CG819" s="6">
        <v>18.25</v>
      </c>
      <c r="CH819" s="6">
        <v>27.35</v>
      </c>
      <c r="CI819" s="6">
        <v>27.38</v>
      </c>
      <c r="CJ819" t="s">
        <v>137</v>
      </c>
      <c r="CK819" t="s">
        <v>1743</v>
      </c>
      <c r="CL819" t="s">
        <v>14547</v>
      </c>
      <c r="CO819" t="s">
        <v>138</v>
      </c>
      <c r="CP819" t="s">
        <v>134</v>
      </c>
      <c r="CQ819" t="s">
        <v>134</v>
      </c>
      <c r="CR819" t="s">
        <v>114</v>
      </c>
      <c r="CS819" t="s">
        <v>134</v>
      </c>
      <c r="CT819" t="s">
        <v>114</v>
      </c>
      <c r="CU819" t="s">
        <v>114</v>
      </c>
      <c r="CV819" s="2" t="s">
        <v>14548</v>
      </c>
      <c r="CW819" s="5" t="str">
        <f>"+17869429774"</f>
        <v>+17869429774</v>
      </c>
      <c r="CX819" t="s">
        <v>997</v>
      </c>
      <c r="CY819" t="s">
        <v>138</v>
      </c>
      <c r="CZ819" t="s">
        <v>139</v>
      </c>
      <c r="DA819" t="s">
        <v>134</v>
      </c>
      <c r="DB819" t="s">
        <v>134</v>
      </c>
      <c r="DC819" t="s">
        <v>114</v>
      </c>
      <c r="DD819" t="s">
        <v>134</v>
      </c>
    </row>
    <row r="820" spans="1:113" ht="15" customHeight="1" x14ac:dyDescent="0.25">
      <c r="A820" t="s">
        <v>3611</v>
      </c>
      <c r="B820" t="s">
        <v>165</v>
      </c>
      <c r="C820" s="1">
        <v>44826.700532986113</v>
      </c>
      <c r="D820" s="1">
        <v>44865</v>
      </c>
      <c r="E820" t="s">
        <v>134</v>
      </c>
      <c r="F820" t="s">
        <v>1658</v>
      </c>
      <c r="G820" t="str">
        <f>"37-3011.00"</f>
        <v>37-3011.00</v>
      </c>
      <c r="H820" t="s">
        <v>335</v>
      </c>
      <c r="I820">
        <v>4</v>
      </c>
      <c r="J820">
        <v>4</v>
      </c>
      <c r="K820" s="1">
        <v>44907</v>
      </c>
      <c r="L820" s="1">
        <v>45107</v>
      </c>
      <c r="M820" s="1">
        <v>44907</v>
      </c>
      <c r="N820" s="1">
        <v>45107</v>
      </c>
      <c r="O820" t="s">
        <v>117</v>
      </c>
      <c r="P820" t="s">
        <v>3612</v>
      </c>
      <c r="Q820" t="s">
        <v>3613</v>
      </c>
      <c r="R820" t="s">
        <v>3614</v>
      </c>
      <c r="T820" t="s">
        <v>3615</v>
      </c>
      <c r="U820" t="s">
        <v>530</v>
      </c>
      <c r="V820" s="4" t="str">
        <f>"85390"</f>
        <v>85390</v>
      </c>
      <c r="W820" t="s">
        <v>120</v>
      </c>
      <c r="Y820" s="5">
        <v>19286847165</v>
      </c>
      <c r="AA820">
        <v>56173</v>
      </c>
      <c r="AB820" t="s">
        <v>3616</v>
      </c>
      <c r="AC820" t="s">
        <v>2176</v>
      </c>
      <c r="AE820" t="s">
        <v>342</v>
      </c>
      <c r="AF820" t="s">
        <v>3617</v>
      </c>
      <c r="AH820" t="s">
        <v>3615</v>
      </c>
      <c r="AI820" t="s">
        <v>530</v>
      </c>
      <c r="AJ820" s="4" t="str">
        <f>"85390"</f>
        <v>85390</v>
      </c>
      <c r="AK820" t="s">
        <v>120</v>
      </c>
      <c r="AM820" s="5">
        <v>19286847165</v>
      </c>
      <c r="AO820" t="s">
        <v>3618</v>
      </c>
      <c r="AP820" t="s">
        <v>122</v>
      </c>
      <c r="AQ820" t="s">
        <v>3619</v>
      </c>
      <c r="AR820" t="s">
        <v>2944</v>
      </c>
      <c r="AT820" t="s">
        <v>3620</v>
      </c>
      <c r="AV820" t="s">
        <v>3621</v>
      </c>
      <c r="AW820" t="s">
        <v>511</v>
      </c>
      <c r="AX820" s="4" t="str">
        <f>"97401"</f>
        <v>97401</v>
      </c>
      <c r="AY820" t="s">
        <v>120</v>
      </c>
      <c r="BA820" s="5">
        <v>15414841811</v>
      </c>
      <c r="BC820" t="s">
        <v>3622</v>
      </c>
      <c r="BD820" t="s">
        <v>3623</v>
      </c>
      <c r="BE820" t="s">
        <v>511</v>
      </c>
      <c r="BF820" t="s">
        <v>3624</v>
      </c>
      <c r="BG820" t="s">
        <v>530</v>
      </c>
      <c r="BH820" s="1">
        <v>44825.833333333336</v>
      </c>
      <c r="BI820">
        <v>40</v>
      </c>
      <c r="BJ820">
        <v>0</v>
      </c>
      <c r="BK820">
        <v>8</v>
      </c>
      <c r="BL820">
        <v>8</v>
      </c>
      <c r="BM820">
        <v>8</v>
      </c>
      <c r="BN820">
        <v>8</v>
      </c>
      <c r="BO820">
        <v>8</v>
      </c>
      <c r="BP820">
        <v>0</v>
      </c>
      <c r="BQ820" t="str">
        <f>"7:00 AM"</f>
        <v>7:00 AM</v>
      </c>
      <c r="BR820" t="str">
        <f>"3:30 PM"</f>
        <v>3:30 PM</v>
      </c>
      <c r="BS820" t="s">
        <v>133</v>
      </c>
      <c r="BT820">
        <v>0</v>
      </c>
      <c r="BU820">
        <v>3</v>
      </c>
      <c r="BV820" t="s">
        <v>134</v>
      </c>
      <c r="BX820" t="s">
        <v>3625</v>
      </c>
      <c r="BY820" t="s">
        <v>3617</v>
      </c>
      <c r="CA820" t="s">
        <v>3615</v>
      </c>
      <c r="CB820" t="s">
        <v>530</v>
      </c>
      <c r="CC820" s="4" t="str">
        <f>"85390"</f>
        <v>85390</v>
      </c>
      <c r="CD820" t="s">
        <v>592</v>
      </c>
      <c r="CE820" t="s">
        <v>548</v>
      </c>
      <c r="CF820" s="6">
        <v>20.92</v>
      </c>
      <c r="CG820" s="6">
        <v>20.92</v>
      </c>
      <c r="CH820" s="6">
        <v>31.38</v>
      </c>
      <c r="CI820" s="6">
        <v>31.38</v>
      </c>
      <c r="CJ820" t="s">
        <v>137</v>
      </c>
      <c r="CL820" t="s">
        <v>3626</v>
      </c>
      <c r="CO820" t="s">
        <v>138</v>
      </c>
      <c r="CP820" t="s">
        <v>114</v>
      </c>
      <c r="CQ820" t="s">
        <v>114</v>
      </c>
      <c r="CR820" t="s">
        <v>114</v>
      </c>
      <c r="CS820" t="s">
        <v>134</v>
      </c>
      <c r="CT820" t="s">
        <v>114</v>
      </c>
      <c r="CU820" t="s">
        <v>134</v>
      </c>
      <c r="CV820" t="s">
        <v>3627</v>
      </c>
      <c r="CW820" s="5" t="str">
        <f>"+19286847165"</f>
        <v>+19286847165</v>
      </c>
      <c r="CX820" t="s">
        <v>3628</v>
      </c>
      <c r="CY820" t="s">
        <v>138</v>
      </c>
      <c r="CZ820" t="s">
        <v>139</v>
      </c>
      <c r="DA820" t="s">
        <v>134</v>
      </c>
      <c r="DB820" t="s">
        <v>134</v>
      </c>
      <c r="DC820" t="s">
        <v>114</v>
      </c>
      <c r="DD820" t="s">
        <v>134</v>
      </c>
    </row>
    <row r="821" spans="1:113" ht="15" customHeight="1" x14ac:dyDescent="0.25">
      <c r="A821" t="s">
        <v>7588</v>
      </c>
      <c r="B821" t="s">
        <v>165</v>
      </c>
      <c r="C821" s="1">
        <v>44819.62989340278</v>
      </c>
      <c r="D821" s="1">
        <v>44865</v>
      </c>
      <c r="E821" t="s">
        <v>134</v>
      </c>
      <c r="F821" t="s">
        <v>7589</v>
      </c>
      <c r="G821" t="str">
        <f>"35-2021.00"</f>
        <v>35-2021.00</v>
      </c>
      <c r="H821" t="s">
        <v>718</v>
      </c>
      <c r="I821">
        <v>10</v>
      </c>
      <c r="J821">
        <v>10</v>
      </c>
      <c r="K821" s="1">
        <v>44894</v>
      </c>
      <c r="L821" s="1">
        <v>45161</v>
      </c>
      <c r="M821" s="1">
        <v>44894</v>
      </c>
      <c r="N821" s="1">
        <v>45161</v>
      </c>
      <c r="O821" t="s">
        <v>117</v>
      </c>
      <c r="P821" t="s">
        <v>7590</v>
      </c>
      <c r="Q821" t="s">
        <v>7591</v>
      </c>
      <c r="R821" t="s">
        <v>7592</v>
      </c>
      <c r="S821" t="s">
        <v>7593</v>
      </c>
      <c r="T821" t="s">
        <v>7594</v>
      </c>
      <c r="U821" t="s">
        <v>129</v>
      </c>
      <c r="V821" s="4" t="str">
        <f>"30214"</f>
        <v>30214</v>
      </c>
      <c r="W821" t="s">
        <v>120</v>
      </c>
      <c r="Y821" s="5">
        <v>14048579288</v>
      </c>
      <c r="AA821">
        <v>722511</v>
      </c>
      <c r="AB821" t="s">
        <v>7595</v>
      </c>
      <c r="AC821" t="s">
        <v>7596</v>
      </c>
      <c r="AE821" t="s">
        <v>1849</v>
      </c>
      <c r="AF821" t="s">
        <v>7592</v>
      </c>
      <c r="AG821" t="s">
        <v>7593</v>
      </c>
      <c r="AH821" t="s">
        <v>7594</v>
      </c>
      <c r="AI821" t="s">
        <v>129</v>
      </c>
      <c r="AJ821" s="4" t="str">
        <f>"30214"</f>
        <v>30214</v>
      </c>
      <c r="AK821" t="s">
        <v>120</v>
      </c>
      <c r="AM821" s="5">
        <v>14048579288</v>
      </c>
      <c r="AO821" t="s">
        <v>7597</v>
      </c>
      <c r="AP821" t="s">
        <v>256</v>
      </c>
      <c r="AQ821" t="s">
        <v>7598</v>
      </c>
      <c r="AR821" t="s">
        <v>4467</v>
      </c>
      <c r="AS821" t="s">
        <v>7599</v>
      </c>
      <c r="AT821" t="s">
        <v>7600</v>
      </c>
      <c r="AU821" t="s">
        <v>7601</v>
      </c>
      <c r="AV821" t="s">
        <v>7602</v>
      </c>
      <c r="AW821" t="s">
        <v>129</v>
      </c>
      <c r="AX821" s="4" t="str">
        <f>"30097"</f>
        <v>30097</v>
      </c>
      <c r="AY821" t="s">
        <v>120</v>
      </c>
      <c r="BA821" s="5">
        <v>14704266748</v>
      </c>
      <c r="BC821" t="s">
        <v>7603</v>
      </c>
      <c r="BD821" t="s">
        <v>7604</v>
      </c>
      <c r="BG821" t="s">
        <v>129</v>
      </c>
      <c r="BH821" s="1">
        <v>44818.833333333336</v>
      </c>
      <c r="BI821">
        <v>40</v>
      </c>
      <c r="BJ821">
        <v>0</v>
      </c>
      <c r="BK821">
        <v>8</v>
      </c>
      <c r="BL821">
        <v>8</v>
      </c>
      <c r="BM821">
        <v>8</v>
      </c>
      <c r="BN821">
        <v>8</v>
      </c>
      <c r="BO821">
        <v>8</v>
      </c>
      <c r="BP821">
        <v>0</v>
      </c>
      <c r="BQ821" t="str">
        <f>"10:00 AM"</f>
        <v>10:00 AM</v>
      </c>
      <c r="BR821" t="str">
        <f>"7:00 PM"</f>
        <v>7:00 PM</v>
      </c>
      <c r="BS821" t="s">
        <v>133</v>
      </c>
      <c r="BT821">
        <v>0</v>
      </c>
      <c r="BU821">
        <v>0</v>
      </c>
      <c r="BV821" t="s">
        <v>134</v>
      </c>
      <c r="BX821" t="s">
        <v>7605</v>
      </c>
      <c r="BY821" t="s">
        <v>7592</v>
      </c>
      <c r="BZ821" t="s">
        <v>7593</v>
      </c>
      <c r="CA821" t="s">
        <v>7594</v>
      </c>
      <c r="CB821" t="s">
        <v>129</v>
      </c>
      <c r="CC821" s="4" t="str">
        <f>"30214"</f>
        <v>30214</v>
      </c>
      <c r="CD821" t="s">
        <v>1707</v>
      </c>
      <c r="CE821" t="s">
        <v>908</v>
      </c>
      <c r="CF821" s="6">
        <v>13.06</v>
      </c>
      <c r="CG821" s="6">
        <v>13.06</v>
      </c>
      <c r="CH821" s="6">
        <v>19.59</v>
      </c>
      <c r="CI821" s="6">
        <v>19.59</v>
      </c>
      <c r="CJ821" t="s">
        <v>137</v>
      </c>
      <c r="CK821" t="s">
        <v>138</v>
      </c>
      <c r="CL821" t="s">
        <v>7606</v>
      </c>
      <c r="CO821" t="s">
        <v>138</v>
      </c>
      <c r="CP821" t="s">
        <v>134</v>
      </c>
      <c r="CQ821" t="s">
        <v>134</v>
      </c>
      <c r="CR821" t="s">
        <v>114</v>
      </c>
      <c r="CS821" t="s">
        <v>134</v>
      </c>
      <c r="CT821" t="s">
        <v>114</v>
      </c>
      <c r="CU821" t="s">
        <v>134</v>
      </c>
      <c r="CV821" t="s">
        <v>219</v>
      </c>
      <c r="CW821" s="5" t="str">
        <f>"+17702851434"</f>
        <v>+17702851434</v>
      </c>
      <c r="CX821" t="s">
        <v>7597</v>
      </c>
      <c r="CY821" t="s">
        <v>138</v>
      </c>
      <c r="CZ821" t="s">
        <v>139</v>
      </c>
      <c r="DA821" t="s">
        <v>134</v>
      </c>
      <c r="DB821" t="s">
        <v>134</v>
      </c>
      <c r="DC821" t="s">
        <v>114</v>
      </c>
      <c r="DD821" t="s">
        <v>134</v>
      </c>
    </row>
    <row r="822" spans="1:113" ht="15" customHeight="1" x14ac:dyDescent="0.25">
      <c r="A822" t="s">
        <v>14340</v>
      </c>
      <c r="B822" t="s">
        <v>165</v>
      </c>
      <c r="C822" s="1">
        <v>44817.815159837963</v>
      </c>
      <c r="D822" s="1">
        <v>44865</v>
      </c>
      <c r="E822" t="s">
        <v>114</v>
      </c>
      <c r="F822" t="s">
        <v>1331</v>
      </c>
      <c r="G822" t="str">
        <f>"35-2014.00"</f>
        <v>35-2014.00</v>
      </c>
      <c r="H822" t="s">
        <v>915</v>
      </c>
      <c r="I822">
        <v>14</v>
      </c>
      <c r="J822">
        <v>14</v>
      </c>
      <c r="K822" s="1">
        <v>44892</v>
      </c>
      <c r="L822" s="1">
        <v>45550</v>
      </c>
      <c r="M822" s="1">
        <v>44892</v>
      </c>
      <c r="N822" s="1">
        <v>45550</v>
      </c>
      <c r="O822" t="s">
        <v>168</v>
      </c>
      <c r="P822" t="s">
        <v>14341</v>
      </c>
      <c r="Q822" t="s">
        <v>14342</v>
      </c>
      <c r="R822" t="s">
        <v>14343</v>
      </c>
      <c r="S822" t="s">
        <v>12491</v>
      </c>
      <c r="T822" t="s">
        <v>14344</v>
      </c>
      <c r="U822" t="s">
        <v>530</v>
      </c>
      <c r="V822" s="4" t="str">
        <f>"85338"</f>
        <v>85338</v>
      </c>
      <c r="W822" t="s">
        <v>120</v>
      </c>
      <c r="Y822" s="5">
        <v>16232303668</v>
      </c>
      <c r="AA822">
        <v>722513</v>
      </c>
      <c r="AB822" t="s">
        <v>2292</v>
      </c>
      <c r="AC822" t="s">
        <v>14345</v>
      </c>
      <c r="AD822" t="s">
        <v>2795</v>
      </c>
      <c r="AE822" t="s">
        <v>342</v>
      </c>
      <c r="AF822" t="s">
        <v>14343</v>
      </c>
      <c r="AG822" t="s">
        <v>12491</v>
      </c>
      <c r="AH822" t="s">
        <v>14344</v>
      </c>
      <c r="AI822" t="s">
        <v>530</v>
      </c>
      <c r="AJ822" s="4" t="str">
        <f>"85338"</f>
        <v>85338</v>
      </c>
      <c r="AK822" t="s">
        <v>120</v>
      </c>
      <c r="AM822" s="5">
        <v>16232303668</v>
      </c>
      <c r="AO822" t="s">
        <v>14307</v>
      </c>
      <c r="AP822" t="s">
        <v>122</v>
      </c>
      <c r="AQ822" t="s">
        <v>10948</v>
      </c>
      <c r="AR822" t="s">
        <v>2573</v>
      </c>
      <c r="AS822" t="s">
        <v>1997</v>
      </c>
      <c r="AT822" t="s">
        <v>14308</v>
      </c>
      <c r="AU822" t="s">
        <v>14346</v>
      </c>
      <c r="AV822" t="s">
        <v>587</v>
      </c>
      <c r="AW822" t="s">
        <v>530</v>
      </c>
      <c r="AX822" s="4" t="str">
        <f>"85004"</f>
        <v>85004</v>
      </c>
      <c r="AY822" t="s">
        <v>120</v>
      </c>
      <c r="BA822" s="5">
        <v>16026068848</v>
      </c>
      <c r="BC822" t="s">
        <v>14347</v>
      </c>
      <c r="BD822" t="s">
        <v>14309</v>
      </c>
      <c r="BE822" t="s">
        <v>530</v>
      </c>
      <c r="BF822" t="s">
        <v>7130</v>
      </c>
      <c r="BG822" t="s">
        <v>530</v>
      </c>
      <c r="BH822" s="1">
        <v>44816.833333333336</v>
      </c>
      <c r="BI822">
        <v>36</v>
      </c>
      <c r="BJ822">
        <v>6</v>
      </c>
      <c r="BK822">
        <v>0</v>
      </c>
      <c r="BL822">
        <v>6</v>
      </c>
      <c r="BM822">
        <v>6</v>
      </c>
      <c r="BN822">
        <v>6</v>
      </c>
      <c r="BO822">
        <v>6</v>
      </c>
      <c r="BP822">
        <v>6</v>
      </c>
      <c r="BQ822" t="str">
        <f>"10:00 AM"</f>
        <v>10:00 AM</v>
      </c>
      <c r="BR822" t="str">
        <f>"11:00 PM"</f>
        <v>11:00 PM</v>
      </c>
      <c r="BS822" t="s">
        <v>133</v>
      </c>
      <c r="BT822">
        <v>0</v>
      </c>
      <c r="BU822">
        <v>0</v>
      </c>
      <c r="BV822" t="s">
        <v>134</v>
      </c>
      <c r="BX822" t="s">
        <v>14348</v>
      </c>
      <c r="BY822" t="s">
        <v>14343</v>
      </c>
      <c r="BZ822" t="s">
        <v>12491</v>
      </c>
      <c r="CA822" t="s">
        <v>14344</v>
      </c>
      <c r="CB822" t="s">
        <v>530</v>
      </c>
      <c r="CC822" s="4" t="str">
        <f>"85338"</f>
        <v>85338</v>
      </c>
      <c r="CD822" t="s">
        <v>592</v>
      </c>
      <c r="CE822" t="s">
        <v>548</v>
      </c>
      <c r="CF822" s="6">
        <v>16.11</v>
      </c>
      <c r="CH822" s="6">
        <v>24.16</v>
      </c>
      <c r="CJ822" t="s">
        <v>137</v>
      </c>
      <c r="CL822" t="s">
        <v>14349</v>
      </c>
      <c r="CO822" t="s">
        <v>114</v>
      </c>
      <c r="CP822" t="s">
        <v>134</v>
      </c>
      <c r="CQ822" t="s">
        <v>134</v>
      </c>
      <c r="CR822" t="s">
        <v>114</v>
      </c>
      <c r="CS822" t="s">
        <v>114</v>
      </c>
      <c r="CT822" t="s">
        <v>114</v>
      </c>
      <c r="CU822" t="s">
        <v>134</v>
      </c>
      <c r="CV822" t="s">
        <v>5345</v>
      </c>
      <c r="CW822" s="5" t="str">
        <f>"+16232303668"</f>
        <v>+16232303668</v>
      </c>
      <c r="CX822" t="s">
        <v>14307</v>
      </c>
      <c r="CY822" t="s">
        <v>14350</v>
      </c>
      <c r="CZ822" t="s">
        <v>139</v>
      </c>
      <c r="DA822" t="s">
        <v>134</v>
      </c>
      <c r="DB822" t="s">
        <v>134</v>
      </c>
      <c r="DC822" t="s">
        <v>114</v>
      </c>
      <c r="DD822" t="s">
        <v>134</v>
      </c>
      <c r="DE822" t="s">
        <v>10948</v>
      </c>
      <c r="DF822" t="s">
        <v>2573</v>
      </c>
      <c r="DG822" t="s">
        <v>1905</v>
      </c>
      <c r="DH822" t="s">
        <v>14309</v>
      </c>
      <c r="DI822" t="s">
        <v>14347</v>
      </c>
    </row>
    <row r="823" spans="1:113" ht="15" customHeight="1" x14ac:dyDescent="0.25">
      <c r="A823" t="s">
        <v>3711</v>
      </c>
      <c r="B823" t="s">
        <v>165</v>
      </c>
      <c r="C823" s="1">
        <v>44791.772246064815</v>
      </c>
      <c r="D823" s="1">
        <v>44865</v>
      </c>
      <c r="E823" t="s">
        <v>134</v>
      </c>
      <c r="F823" t="s">
        <v>3712</v>
      </c>
      <c r="G823" t="str">
        <f>"51-3023.00"</f>
        <v>51-3023.00</v>
      </c>
      <c r="H823" t="s">
        <v>3713</v>
      </c>
      <c r="I823">
        <v>150</v>
      </c>
      <c r="J823">
        <v>150</v>
      </c>
      <c r="K823" s="1">
        <v>44866</v>
      </c>
      <c r="L823" s="1">
        <v>45016</v>
      </c>
      <c r="M823" s="1">
        <v>44866</v>
      </c>
      <c r="N823" s="1">
        <v>45016</v>
      </c>
      <c r="O823" t="s">
        <v>117</v>
      </c>
      <c r="P823" t="s">
        <v>3714</v>
      </c>
      <c r="R823" t="s">
        <v>3715</v>
      </c>
      <c r="T823" t="s">
        <v>3716</v>
      </c>
      <c r="U823" t="s">
        <v>631</v>
      </c>
      <c r="V823" s="4" t="str">
        <f>"73942"</f>
        <v>73942</v>
      </c>
      <c r="W823" t="s">
        <v>120</v>
      </c>
      <c r="Y823" s="5">
        <v>15804682909</v>
      </c>
      <c r="AA823">
        <v>311611</v>
      </c>
      <c r="AB823" t="s">
        <v>3717</v>
      </c>
      <c r="AC823" t="s">
        <v>3718</v>
      </c>
      <c r="AE823" t="s">
        <v>3719</v>
      </c>
      <c r="AF823" t="s">
        <v>3715</v>
      </c>
      <c r="AH823" t="s">
        <v>3716</v>
      </c>
      <c r="AI823" t="s">
        <v>631</v>
      </c>
      <c r="AJ823" s="4" t="str">
        <f>"73942"</f>
        <v>73942</v>
      </c>
      <c r="AK823" t="s">
        <v>120</v>
      </c>
      <c r="AM823" s="5">
        <v>19136768839</v>
      </c>
      <c r="AO823" t="s">
        <v>3720</v>
      </c>
      <c r="AP823" t="s">
        <v>122</v>
      </c>
      <c r="AQ823" t="s">
        <v>3721</v>
      </c>
      <c r="AR823" t="s">
        <v>2770</v>
      </c>
      <c r="AT823" t="s">
        <v>3722</v>
      </c>
      <c r="AV823" t="s">
        <v>3723</v>
      </c>
      <c r="AW823" t="s">
        <v>697</v>
      </c>
      <c r="AX823" s="4" t="str">
        <f>"64116"</f>
        <v>64116</v>
      </c>
      <c r="AY823" t="s">
        <v>120</v>
      </c>
      <c r="BA823" s="5">
        <v>18162215444</v>
      </c>
      <c r="BC823" t="s">
        <v>3724</v>
      </c>
      <c r="BD823" t="s">
        <v>3725</v>
      </c>
      <c r="BE823" t="s">
        <v>697</v>
      </c>
      <c r="BF823" t="s">
        <v>3726</v>
      </c>
      <c r="BG823" t="s">
        <v>631</v>
      </c>
      <c r="BH823" s="1">
        <v>44790.833333333336</v>
      </c>
      <c r="BI823">
        <v>40</v>
      </c>
      <c r="BJ823">
        <v>0</v>
      </c>
      <c r="BK823">
        <v>8</v>
      </c>
      <c r="BL823">
        <v>8</v>
      </c>
      <c r="BM823">
        <v>8</v>
      </c>
      <c r="BN823">
        <v>8</v>
      </c>
      <c r="BO823">
        <v>8</v>
      </c>
      <c r="BP823">
        <v>0</v>
      </c>
      <c r="BQ823" t="str">
        <f>"6:00 AM"</f>
        <v>6:00 AM</v>
      </c>
      <c r="BR823" t="str">
        <f>"2:00 PM"</f>
        <v>2:00 PM</v>
      </c>
      <c r="BS823" t="s">
        <v>133</v>
      </c>
      <c r="BT823">
        <v>0</v>
      </c>
      <c r="BU823">
        <v>0</v>
      </c>
      <c r="BV823" t="s">
        <v>134</v>
      </c>
      <c r="BX823" s="2" t="s">
        <v>3727</v>
      </c>
      <c r="BY823" t="s">
        <v>3728</v>
      </c>
      <c r="CA823" t="s">
        <v>3716</v>
      </c>
      <c r="CB823" t="s">
        <v>631</v>
      </c>
      <c r="CC823" s="4" t="str">
        <f>"73942"</f>
        <v>73942</v>
      </c>
      <c r="CD823" t="s">
        <v>3729</v>
      </c>
      <c r="CE823" t="s">
        <v>2823</v>
      </c>
      <c r="CF823" s="6">
        <v>20</v>
      </c>
      <c r="CG823" s="6">
        <v>24.05</v>
      </c>
      <c r="CH823" s="6">
        <v>30</v>
      </c>
      <c r="CI823" s="6">
        <v>36.07</v>
      </c>
      <c r="CJ823" t="s">
        <v>137</v>
      </c>
      <c r="CK823" t="s">
        <v>3730</v>
      </c>
      <c r="CL823" t="s">
        <v>3731</v>
      </c>
      <c r="CO823" t="s">
        <v>138</v>
      </c>
      <c r="CP823" t="s">
        <v>114</v>
      </c>
      <c r="CQ823" t="s">
        <v>114</v>
      </c>
      <c r="CR823" t="s">
        <v>114</v>
      </c>
      <c r="CS823" t="s">
        <v>114</v>
      </c>
      <c r="CT823" t="s">
        <v>114</v>
      </c>
      <c r="CU823" t="s">
        <v>114</v>
      </c>
      <c r="CV823" t="s">
        <v>3732</v>
      </c>
      <c r="CW823" s="5" t="str">
        <f>"+15804682901"</f>
        <v>+15804682901</v>
      </c>
      <c r="CX823" t="s">
        <v>3733</v>
      </c>
      <c r="CY823" t="s">
        <v>3734</v>
      </c>
      <c r="CZ823" t="s">
        <v>139</v>
      </c>
      <c r="DA823" t="s">
        <v>134</v>
      </c>
      <c r="DB823" t="s">
        <v>134</v>
      </c>
      <c r="DC823" t="s">
        <v>114</v>
      </c>
      <c r="DD823" t="s">
        <v>134</v>
      </c>
    </row>
    <row r="824" spans="1:113" ht="15" customHeight="1" x14ac:dyDescent="0.25">
      <c r="A824" t="s">
        <v>13968</v>
      </c>
      <c r="B824" t="s">
        <v>165</v>
      </c>
      <c r="C824" s="1">
        <v>44782.612995717594</v>
      </c>
      <c r="D824" s="1">
        <v>44865</v>
      </c>
      <c r="E824" t="s">
        <v>134</v>
      </c>
      <c r="F824" t="s">
        <v>1591</v>
      </c>
      <c r="G824" t="str">
        <f>"37-2012.00"</f>
        <v>37-2012.00</v>
      </c>
      <c r="H824" t="s">
        <v>116</v>
      </c>
      <c r="I824">
        <v>6</v>
      </c>
      <c r="J824">
        <v>6</v>
      </c>
      <c r="K824" s="1">
        <v>44857</v>
      </c>
      <c r="L824" s="1">
        <v>45221</v>
      </c>
      <c r="M824" s="1">
        <v>44857</v>
      </c>
      <c r="N824" s="1">
        <v>45221</v>
      </c>
      <c r="O824" t="s">
        <v>168</v>
      </c>
      <c r="P824" t="s">
        <v>5594</v>
      </c>
      <c r="R824" t="s">
        <v>12929</v>
      </c>
      <c r="S824" t="s">
        <v>5596</v>
      </c>
      <c r="T824" t="s">
        <v>5597</v>
      </c>
      <c r="U824" t="s">
        <v>154</v>
      </c>
      <c r="V824" s="4" t="str">
        <f>"33073"</f>
        <v>33073</v>
      </c>
      <c r="W824" t="s">
        <v>120</v>
      </c>
      <c r="Y824" s="5">
        <v>15612866933</v>
      </c>
      <c r="AA824">
        <v>561720</v>
      </c>
      <c r="AB824" t="s">
        <v>5598</v>
      </c>
      <c r="AC824" t="s">
        <v>5599</v>
      </c>
      <c r="AD824" t="s">
        <v>5600</v>
      </c>
      <c r="AE824" t="s">
        <v>5601</v>
      </c>
      <c r="AF824" t="s">
        <v>5595</v>
      </c>
      <c r="AH824" t="s">
        <v>5597</v>
      </c>
      <c r="AI824" t="s">
        <v>154</v>
      </c>
      <c r="AJ824" s="4" t="str">
        <f>"33073"</f>
        <v>33073</v>
      </c>
      <c r="AK824" t="s">
        <v>120</v>
      </c>
      <c r="AM824" s="5">
        <v>15612866933</v>
      </c>
      <c r="AO824" t="s">
        <v>5602</v>
      </c>
      <c r="AP824" t="s">
        <v>122</v>
      </c>
      <c r="AQ824" t="s">
        <v>786</v>
      </c>
      <c r="AR824" t="s">
        <v>787</v>
      </c>
      <c r="AT824" t="s">
        <v>12930</v>
      </c>
      <c r="AU824" t="s">
        <v>11299</v>
      </c>
      <c r="AV824" t="s">
        <v>153</v>
      </c>
      <c r="AW824" t="s">
        <v>154</v>
      </c>
      <c r="AX824" s="4" t="str">
        <f>"33433"</f>
        <v>33433</v>
      </c>
      <c r="AY824" t="s">
        <v>120</v>
      </c>
      <c r="BA824" s="5">
        <v>15613478337</v>
      </c>
      <c r="BC824" t="s">
        <v>790</v>
      </c>
      <c r="BD824" t="s">
        <v>791</v>
      </c>
      <c r="BE824" t="s">
        <v>792</v>
      </c>
      <c r="BF824" t="s">
        <v>322</v>
      </c>
      <c r="BG824" t="s">
        <v>154</v>
      </c>
      <c r="BH824" s="1">
        <v>44781.833333333336</v>
      </c>
      <c r="BI824">
        <v>56</v>
      </c>
      <c r="BJ824">
        <v>8</v>
      </c>
      <c r="BK824">
        <v>8</v>
      </c>
      <c r="BL824">
        <v>8</v>
      </c>
      <c r="BM824">
        <v>8</v>
      </c>
      <c r="BN824">
        <v>8</v>
      </c>
      <c r="BO824">
        <v>8</v>
      </c>
      <c r="BP824">
        <v>8</v>
      </c>
      <c r="BQ824" t="str">
        <f>"7:00 AM"</f>
        <v>7:00 AM</v>
      </c>
      <c r="BR824" t="str">
        <f>"4:00 PM"</f>
        <v>4:00 PM</v>
      </c>
      <c r="BS824" t="s">
        <v>295</v>
      </c>
      <c r="BT824">
        <v>0</v>
      </c>
      <c r="BU824">
        <v>3</v>
      </c>
      <c r="BV824" t="s">
        <v>134</v>
      </c>
      <c r="BX824" s="2" t="s">
        <v>12931</v>
      </c>
      <c r="BY824" t="s">
        <v>13969</v>
      </c>
      <c r="CA824" t="s">
        <v>13970</v>
      </c>
      <c r="CB824" t="s">
        <v>154</v>
      </c>
      <c r="CC824" s="4" t="str">
        <f>"33001"</f>
        <v>33001</v>
      </c>
      <c r="CD824" t="s">
        <v>765</v>
      </c>
      <c r="CE824" t="s">
        <v>766</v>
      </c>
      <c r="CF824" s="6">
        <v>13.17</v>
      </c>
      <c r="CG824" s="6">
        <v>13.17</v>
      </c>
      <c r="CH824" s="6">
        <v>19.760000000000002</v>
      </c>
      <c r="CI824" s="6">
        <v>19.760000000000002</v>
      </c>
      <c r="CJ824" t="s">
        <v>137</v>
      </c>
      <c r="CL824" t="s">
        <v>13971</v>
      </c>
      <c r="CO824" t="s">
        <v>138</v>
      </c>
      <c r="CP824" t="s">
        <v>134</v>
      </c>
      <c r="CQ824" t="s">
        <v>134</v>
      </c>
      <c r="CR824" t="s">
        <v>114</v>
      </c>
      <c r="CS824" t="s">
        <v>134</v>
      </c>
      <c r="CT824" t="s">
        <v>114</v>
      </c>
      <c r="CU824" t="s">
        <v>134</v>
      </c>
      <c r="CV824" t="s">
        <v>219</v>
      </c>
      <c r="CW824" s="5" t="str">
        <f>"+15612866933"</f>
        <v>+15612866933</v>
      </c>
      <c r="CX824" t="s">
        <v>5602</v>
      </c>
      <c r="CY824" t="s">
        <v>138</v>
      </c>
      <c r="CZ824" t="s">
        <v>139</v>
      </c>
      <c r="DA824" t="s">
        <v>134</v>
      </c>
      <c r="DB824" t="s">
        <v>134</v>
      </c>
      <c r="DC824" t="s">
        <v>114</v>
      </c>
      <c r="DD824" t="s">
        <v>134</v>
      </c>
    </row>
    <row r="825" spans="1:113" ht="15" customHeight="1" x14ac:dyDescent="0.25">
      <c r="A825" t="s">
        <v>14686</v>
      </c>
      <c r="B825" t="s">
        <v>165</v>
      </c>
      <c r="C825" s="1">
        <v>44840.476833564811</v>
      </c>
      <c r="D825" s="1">
        <v>44862</v>
      </c>
      <c r="E825" t="s">
        <v>114</v>
      </c>
      <c r="F825" t="s">
        <v>5054</v>
      </c>
      <c r="G825" t="str">
        <f>"37-3011.00"</f>
        <v>37-3011.00</v>
      </c>
      <c r="H825" t="s">
        <v>335</v>
      </c>
      <c r="I825">
        <v>15</v>
      </c>
      <c r="J825">
        <v>15</v>
      </c>
      <c r="K825" s="1">
        <v>44930</v>
      </c>
      <c r="L825" s="1">
        <v>45233</v>
      </c>
      <c r="M825" s="1">
        <v>44930</v>
      </c>
      <c r="N825" s="1">
        <v>45233</v>
      </c>
      <c r="O825" t="s">
        <v>117</v>
      </c>
      <c r="P825" t="s">
        <v>10859</v>
      </c>
      <c r="R825" t="s">
        <v>10860</v>
      </c>
      <c r="S825" t="s">
        <v>10861</v>
      </c>
      <c r="T825" t="s">
        <v>1701</v>
      </c>
      <c r="U825" t="s">
        <v>214</v>
      </c>
      <c r="V825" s="4" t="str">
        <f>"70508"</f>
        <v>70508</v>
      </c>
      <c r="W825" t="s">
        <v>120</v>
      </c>
      <c r="Y825" s="5">
        <v>13372337704</v>
      </c>
      <c r="AA825">
        <v>56173</v>
      </c>
      <c r="AB825" t="s">
        <v>10862</v>
      </c>
      <c r="AC825" t="s">
        <v>10863</v>
      </c>
      <c r="AE825" t="s">
        <v>4442</v>
      </c>
      <c r="AF825" t="s">
        <v>10861</v>
      </c>
      <c r="AH825" t="s">
        <v>1701</v>
      </c>
      <c r="AI825" t="s">
        <v>214</v>
      </c>
      <c r="AJ825" s="4" t="str">
        <f>"70508"</f>
        <v>70508</v>
      </c>
      <c r="AK825" t="s">
        <v>120</v>
      </c>
      <c r="AM825" s="5">
        <v>13372337704</v>
      </c>
      <c r="AO825" t="s">
        <v>10864</v>
      </c>
      <c r="AP825" t="s">
        <v>256</v>
      </c>
      <c r="AQ825" t="s">
        <v>5959</v>
      </c>
      <c r="AR825" t="s">
        <v>5960</v>
      </c>
      <c r="AS825" t="s">
        <v>1582</v>
      </c>
      <c r="AT825" t="s">
        <v>5961</v>
      </c>
      <c r="AU825" t="s">
        <v>5962</v>
      </c>
      <c r="AV825" t="s">
        <v>4575</v>
      </c>
      <c r="AW825" t="s">
        <v>119</v>
      </c>
      <c r="AX825" s="4" t="str">
        <f>"27536"</f>
        <v>27536</v>
      </c>
      <c r="AY825" t="s">
        <v>120</v>
      </c>
      <c r="BA825" s="5">
        <v>14349173294</v>
      </c>
      <c r="BC825" t="s">
        <v>5963</v>
      </c>
      <c r="BD825" t="s">
        <v>5964</v>
      </c>
      <c r="BG825" t="s">
        <v>214</v>
      </c>
      <c r="BH825" s="1">
        <v>44839.833333333336</v>
      </c>
      <c r="BI825">
        <v>40</v>
      </c>
      <c r="BJ825">
        <v>0</v>
      </c>
      <c r="BK825">
        <v>8</v>
      </c>
      <c r="BL825">
        <v>8</v>
      </c>
      <c r="BM825">
        <v>8</v>
      </c>
      <c r="BN825">
        <v>8</v>
      </c>
      <c r="BO825">
        <v>8</v>
      </c>
      <c r="BP825">
        <v>0</v>
      </c>
      <c r="BQ825" t="str">
        <f>"7:00 AM"</f>
        <v>7:00 AM</v>
      </c>
      <c r="BR825" t="str">
        <f>"5:30 PM"</f>
        <v>5:30 PM</v>
      </c>
      <c r="BS825" t="s">
        <v>133</v>
      </c>
      <c r="BT825">
        <v>0</v>
      </c>
      <c r="BU825">
        <v>1</v>
      </c>
      <c r="BV825" t="s">
        <v>134</v>
      </c>
      <c r="BX825" s="2" t="s">
        <v>10865</v>
      </c>
      <c r="BY825" t="s">
        <v>10861</v>
      </c>
      <c r="CA825" t="s">
        <v>1701</v>
      </c>
      <c r="CB825" t="s">
        <v>214</v>
      </c>
      <c r="CC825" s="4" t="str">
        <f>"70508"</f>
        <v>70508</v>
      </c>
      <c r="CD825" t="s">
        <v>2595</v>
      </c>
      <c r="CE825" t="s">
        <v>1822</v>
      </c>
      <c r="CF825" s="6">
        <v>14.34</v>
      </c>
      <c r="CG825" s="6">
        <v>14.34</v>
      </c>
      <c r="CH825" s="6">
        <v>21.51</v>
      </c>
      <c r="CI825" s="6">
        <v>21.51</v>
      </c>
      <c r="CJ825" t="s">
        <v>137</v>
      </c>
      <c r="CL825" t="s">
        <v>10866</v>
      </c>
      <c r="CO825" t="s">
        <v>138</v>
      </c>
      <c r="CP825" t="s">
        <v>114</v>
      </c>
      <c r="CQ825" t="s">
        <v>114</v>
      </c>
      <c r="CR825" t="s">
        <v>114</v>
      </c>
      <c r="CS825" t="s">
        <v>134</v>
      </c>
      <c r="CT825" t="s">
        <v>114</v>
      </c>
      <c r="CU825" t="s">
        <v>114</v>
      </c>
      <c r="CV825" t="s">
        <v>14687</v>
      </c>
      <c r="CW825" s="5" t="str">
        <f>"+13372237704"</f>
        <v>+13372237704</v>
      </c>
      <c r="CX825" t="s">
        <v>138</v>
      </c>
      <c r="CY825" t="s">
        <v>274</v>
      </c>
      <c r="CZ825" t="s">
        <v>139</v>
      </c>
      <c r="DA825" t="s">
        <v>134</v>
      </c>
      <c r="DB825" t="s">
        <v>134</v>
      </c>
      <c r="DC825" t="s">
        <v>114</v>
      </c>
      <c r="DD825" t="s">
        <v>134</v>
      </c>
    </row>
    <row r="826" spans="1:113" ht="15" customHeight="1" x14ac:dyDescent="0.25">
      <c r="A826" t="s">
        <v>15806</v>
      </c>
      <c r="B826" t="s">
        <v>165</v>
      </c>
      <c r="C826" s="1">
        <v>44840.338843287034</v>
      </c>
      <c r="D826" s="1">
        <v>44862</v>
      </c>
      <c r="E826" t="s">
        <v>134</v>
      </c>
      <c r="F826" t="s">
        <v>2308</v>
      </c>
      <c r="G826" t="str">
        <f>"39-3091.00"</f>
        <v>39-3091.00</v>
      </c>
      <c r="H826" t="s">
        <v>362</v>
      </c>
      <c r="I826">
        <v>55</v>
      </c>
      <c r="J826">
        <v>55</v>
      </c>
      <c r="K826" s="1">
        <v>44930</v>
      </c>
      <c r="L826" s="1">
        <v>45230</v>
      </c>
      <c r="M826" s="1">
        <v>44930</v>
      </c>
      <c r="N826" s="1">
        <v>45230</v>
      </c>
      <c r="O826" t="s">
        <v>199</v>
      </c>
      <c r="P826" t="s">
        <v>15807</v>
      </c>
      <c r="Q826" t="s">
        <v>15808</v>
      </c>
      <c r="R826" t="s">
        <v>15809</v>
      </c>
      <c r="S826" t="s">
        <v>15810</v>
      </c>
      <c r="T826" t="s">
        <v>7089</v>
      </c>
      <c r="U826" t="s">
        <v>444</v>
      </c>
      <c r="V826" s="4" t="str">
        <f>"95965"</f>
        <v>95965</v>
      </c>
      <c r="W826" t="s">
        <v>120</v>
      </c>
      <c r="X826" t="s">
        <v>138</v>
      </c>
      <c r="Y826" s="5">
        <v>15305326886</v>
      </c>
      <c r="Z826">
        <v>0</v>
      </c>
      <c r="AA826">
        <v>71399</v>
      </c>
      <c r="AB826" t="s">
        <v>2310</v>
      </c>
      <c r="AC826" t="s">
        <v>2311</v>
      </c>
      <c r="AD826" t="s">
        <v>2271</v>
      </c>
      <c r="AE826" t="s">
        <v>285</v>
      </c>
      <c r="AF826" t="s">
        <v>15809</v>
      </c>
      <c r="AG826" t="s">
        <v>15811</v>
      </c>
      <c r="AH826" t="s">
        <v>7089</v>
      </c>
      <c r="AI826" t="s">
        <v>444</v>
      </c>
      <c r="AJ826" s="4" t="str">
        <f>"95965"</f>
        <v>95965</v>
      </c>
      <c r="AK826" t="s">
        <v>120</v>
      </c>
      <c r="AM826" s="5">
        <v>19169471268</v>
      </c>
      <c r="AN826">
        <v>0</v>
      </c>
      <c r="AO826" t="s">
        <v>2312</v>
      </c>
      <c r="AP826" t="s">
        <v>256</v>
      </c>
      <c r="AQ826" t="s">
        <v>535</v>
      </c>
      <c r="AR826" t="s">
        <v>536</v>
      </c>
      <c r="AS826" t="s">
        <v>537</v>
      </c>
      <c r="AT826" t="s">
        <v>538</v>
      </c>
      <c r="AU826" t="s">
        <v>539</v>
      </c>
      <c r="AV826" t="s">
        <v>540</v>
      </c>
      <c r="AW826" t="s">
        <v>232</v>
      </c>
      <c r="AX826" s="4" t="str">
        <f>"78550"</f>
        <v>78550</v>
      </c>
      <c r="AY826" t="s">
        <v>120</v>
      </c>
      <c r="BA826" s="5">
        <v>19564408720</v>
      </c>
      <c r="BB826">
        <v>0</v>
      </c>
      <c r="BC826" t="s">
        <v>1022</v>
      </c>
      <c r="BD826" t="s">
        <v>543</v>
      </c>
      <c r="BG826" t="s">
        <v>444</v>
      </c>
      <c r="BH826" s="1">
        <v>44839.833333333336</v>
      </c>
      <c r="BI826">
        <v>40</v>
      </c>
      <c r="BJ826">
        <v>8</v>
      </c>
      <c r="BK826">
        <v>0</v>
      </c>
      <c r="BL826">
        <v>0</v>
      </c>
      <c r="BM826">
        <v>8</v>
      </c>
      <c r="BN826">
        <v>8</v>
      </c>
      <c r="BO826">
        <v>8</v>
      </c>
      <c r="BP826">
        <v>8</v>
      </c>
      <c r="BQ826" t="str">
        <f>"1:00 PM"</f>
        <v>1:00 PM</v>
      </c>
      <c r="BR826" t="str">
        <f>"10:00 PM"</f>
        <v>10:00 PM</v>
      </c>
      <c r="BS826" t="s">
        <v>133</v>
      </c>
      <c r="BT826">
        <v>0</v>
      </c>
      <c r="BU826">
        <v>0</v>
      </c>
      <c r="BV826" t="s">
        <v>134</v>
      </c>
      <c r="BX826" s="2" t="s">
        <v>579</v>
      </c>
      <c r="BY826" t="s">
        <v>15809</v>
      </c>
      <c r="CA826" t="s">
        <v>7089</v>
      </c>
      <c r="CB826" t="s">
        <v>444</v>
      </c>
      <c r="CC826" s="4" t="str">
        <f>"95965"</f>
        <v>95965</v>
      </c>
      <c r="CD826" t="s">
        <v>1409</v>
      </c>
      <c r="CE826" t="s">
        <v>7090</v>
      </c>
      <c r="CF826" s="6">
        <v>10.15</v>
      </c>
      <c r="CG826" s="6">
        <v>17.690000000000001</v>
      </c>
      <c r="CJ826" t="s">
        <v>137</v>
      </c>
      <c r="CK826" t="s">
        <v>549</v>
      </c>
      <c r="CL826" t="s">
        <v>15812</v>
      </c>
      <c r="CO826" t="s">
        <v>138</v>
      </c>
      <c r="CP826" t="s">
        <v>114</v>
      </c>
      <c r="CQ826" t="s">
        <v>114</v>
      </c>
      <c r="CR826" t="s">
        <v>134</v>
      </c>
      <c r="CS826" t="s">
        <v>114</v>
      </c>
      <c r="CT826" t="s">
        <v>114</v>
      </c>
      <c r="CU826" t="s">
        <v>114</v>
      </c>
      <c r="CV826" t="s">
        <v>1360</v>
      </c>
      <c r="CW826" s="5" t="str">
        <f>"+15305326886"</f>
        <v>+15305326886</v>
      </c>
      <c r="CX826" t="s">
        <v>2312</v>
      </c>
      <c r="CY826" t="s">
        <v>138</v>
      </c>
      <c r="CZ826" t="s">
        <v>139</v>
      </c>
      <c r="DA826" t="s">
        <v>134</v>
      </c>
      <c r="DB826" t="s">
        <v>134</v>
      </c>
      <c r="DC826" t="s">
        <v>114</v>
      </c>
      <c r="DD826" t="s">
        <v>134</v>
      </c>
    </row>
    <row r="827" spans="1:113" ht="15" customHeight="1" x14ac:dyDescent="0.25">
      <c r="A827" t="s">
        <v>9557</v>
      </c>
      <c r="B827" t="s">
        <v>165</v>
      </c>
      <c r="C827" s="1">
        <v>44838.79457233796</v>
      </c>
      <c r="D827" s="1">
        <v>44862</v>
      </c>
      <c r="E827" t="s">
        <v>134</v>
      </c>
      <c r="F827" t="s">
        <v>571</v>
      </c>
      <c r="G827" t="str">
        <f>"35-3023.00"</f>
        <v>35-3023.00</v>
      </c>
      <c r="H827" t="s">
        <v>555</v>
      </c>
      <c r="I827">
        <v>25</v>
      </c>
      <c r="J827">
        <v>25</v>
      </c>
      <c r="K827" s="1">
        <v>44928</v>
      </c>
      <c r="L827" s="1">
        <v>45219</v>
      </c>
      <c r="M827" s="1">
        <v>44928</v>
      </c>
      <c r="N827" s="1">
        <v>45219</v>
      </c>
      <c r="O827" t="s">
        <v>199</v>
      </c>
      <c r="P827" t="s">
        <v>9558</v>
      </c>
      <c r="Q827" t="s">
        <v>9559</v>
      </c>
      <c r="R827" t="s">
        <v>9560</v>
      </c>
      <c r="S827" t="s">
        <v>9561</v>
      </c>
      <c r="T827" t="s">
        <v>1618</v>
      </c>
      <c r="U827" t="s">
        <v>444</v>
      </c>
      <c r="V827" s="4" t="str">
        <f>"93446"</f>
        <v>93446</v>
      </c>
      <c r="W827" t="s">
        <v>120</v>
      </c>
      <c r="Y827" s="5">
        <v>18057125983</v>
      </c>
      <c r="AA827">
        <v>7139</v>
      </c>
      <c r="AB827" t="s">
        <v>9562</v>
      </c>
      <c r="AC827" t="s">
        <v>4206</v>
      </c>
      <c r="AE827" t="s">
        <v>424</v>
      </c>
      <c r="AF827" t="s">
        <v>9560</v>
      </c>
      <c r="AG827" t="s">
        <v>9561</v>
      </c>
      <c r="AH827" t="s">
        <v>9563</v>
      </c>
      <c r="AI827" t="s">
        <v>444</v>
      </c>
      <c r="AJ827" s="4" t="str">
        <f>"93446"</f>
        <v>93446</v>
      </c>
      <c r="AK827" t="s">
        <v>120</v>
      </c>
      <c r="AM827" s="5">
        <v>18057125982</v>
      </c>
      <c r="AO827" t="s">
        <v>9564</v>
      </c>
      <c r="AP827" t="s">
        <v>256</v>
      </c>
      <c r="AQ827" t="s">
        <v>535</v>
      </c>
      <c r="AR827" t="s">
        <v>536</v>
      </c>
      <c r="AS827" t="s">
        <v>537</v>
      </c>
      <c r="AT827" t="s">
        <v>538</v>
      </c>
      <c r="AU827" t="s">
        <v>539</v>
      </c>
      <c r="AV827" t="s">
        <v>540</v>
      </c>
      <c r="AW827" t="s">
        <v>232</v>
      </c>
      <c r="AX827" s="4" t="str">
        <f>"78550"</f>
        <v>78550</v>
      </c>
      <c r="AY827" t="s">
        <v>120</v>
      </c>
      <c r="BA827" s="5">
        <v>19564408720</v>
      </c>
      <c r="BB827">
        <v>0</v>
      </c>
      <c r="BC827" t="s">
        <v>563</v>
      </c>
      <c r="BD827" t="s">
        <v>543</v>
      </c>
      <c r="BG827" t="s">
        <v>444</v>
      </c>
      <c r="BH827" s="1">
        <v>44837.833333333336</v>
      </c>
      <c r="BI827">
        <v>40</v>
      </c>
      <c r="BJ827">
        <v>8</v>
      </c>
      <c r="BK827">
        <v>0</v>
      </c>
      <c r="BL827">
        <v>0</v>
      </c>
      <c r="BM827">
        <v>8</v>
      </c>
      <c r="BN827">
        <v>8</v>
      </c>
      <c r="BO827">
        <v>8</v>
      </c>
      <c r="BP827">
        <v>8</v>
      </c>
      <c r="BQ827" t="str">
        <f>"1:00 PM"</f>
        <v>1:00 PM</v>
      </c>
      <c r="BR827" t="str">
        <f>"10:00 PM"</f>
        <v>10:00 PM</v>
      </c>
      <c r="BS827" t="s">
        <v>133</v>
      </c>
      <c r="BT827">
        <v>0</v>
      </c>
      <c r="BU827">
        <v>0</v>
      </c>
      <c r="BV827" t="s">
        <v>134</v>
      </c>
      <c r="BX827" s="2" t="s">
        <v>579</v>
      </c>
      <c r="BY827" t="s">
        <v>9560</v>
      </c>
      <c r="CA827" t="s">
        <v>1618</v>
      </c>
      <c r="CB827" t="s">
        <v>444</v>
      </c>
      <c r="CC827" s="4" t="str">
        <f>"93446"</f>
        <v>93446</v>
      </c>
      <c r="CD827" t="s">
        <v>2819</v>
      </c>
      <c r="CE827" t="s">
        <v>2820</v>
      </c>
      <c r="CF827" s="6">
        <v>11.91</v>
      </c>
      <c r="CG827" s="6">
        <v>17.48</v>
      </c>
      <c r="CJ827" t="s">
        <v>137</v>
      </c>
      <c r="CK827" t="s">
        <v>549</v>
      </c>
      <c r="CL827" t="s">
        <v>9565</v>
      </c>
      <c r="CO827" t="s">
        <v>138</v>
      </c>
      <c r="CP827" t="s">
        <v>114</v>
      </c>
      <c r="CQ827" t="s">
        <v>114</v>
      </c>
      <c r="CR827" t="s">
        <v>134</v>
      </c>
      <c r="CS827" t="s">
        <v>114</v>
      </c>
      <c r="CT827" t="s">
        <v>114</v>
      </c>
      <c r="CU827" t="s">
        <v>114</v>
      </c>
      <c r="CV827" t="s">
        <v>3115</v>
      </c>
      <c r="CW827" s="5" t="str">
        <f>"+18057125983"</f>
        <v>+18057125983</v>
      </c>
      <c r="CX827" t="s">
        <v>9566</v>
      </c>
      <c r="CY827" t="s">
        <v>138</v>
      </c>
      <c r="CZ827" t="s">
        <v>139</v>
      </c>
      <c r="DA827" t="s">
        <v>134</v>
      </c>
      <c r="DB827" t="s">
        <v>134</v>
      </c>
      <c r="DC827" t="s">
        <v>114</v>
      </c>
      <c r="DD827" t="s">
        <v>134</v>
      </c>
    </row>
    <row r="828" spans="1:113" ht="15" customHeight="1" x14ac:dyDescent="0.25">
      <c r="A828" t="s">
        <v>8696</v>
      </c>
      <c r="B828" t="s">
        <v>165</v>
      </c>
      <c r="C828" s="1">
        <v>44838.524205092595</v>
      </c>
      <c r="D828" s="1">
        <v>44862</v>
      </c>
      <c r="E828" t="s">
        <v>134</v>
      </c>
      <c r="F828" t="s">
        <v>5005</v>
      </c>
      <c r="G828" t="str">
        <f>"35-3023.00"</f>
        <v>35-3023.00</v>
      </c>
      <c r="H828" t="s">
        <v>555</v>
      </c>
      <c r="I828">
        <v>15</v>
      </c>
      <c r="J828">
        <v>15</v>
      </c>
      <c r="K828" s="1">
        <v>44927</v>
      </c>
      <c r="L828" s="1">
        <v>45231</v>
      </c>
      <c r="M828" s="1">
        <v>44927</v>
      </c>
      <c r="N828" s="1">
        <v>45231</v>
      </c>
      <c r="O828" t="s">
        <v>199</v>
      </c>
      <c r="P828" t="s">
        <v>7921</v>
      </c>
      <c r="R828" t="s">
        <v>7922</v>
      </c>
      <c r="T828" t="s">
        <v>318</v>
      </c>
      <c r="U828" t="s">
        <v>319</v>
      </c>
      <c r="V828" s="4" t="str">
        <f>"55432"</f>
        <v>55432</v>
      </c>
      <c r="W828" t="s">
        <v>120</v>
      </c>
      <c r="Y828" s="5">
        <v>15072612161</v>
      </c>
      <c r="Z828">
        <v>0</v>
      </c>
      <c r="AA828">
        <v>71399</v>
      </c>
      <c r="AB828" t="s">
        <v>7923</v>
      </c>
      <c r="AC828" t="s">
        <v>2761</v>
      </c>
      <c r="AE828" t="s">
        <v>342</v>
      </c>
      <c r="AF828" t="s">
        <v>7922</v>
      </c>
      <c r="AH828" t="s">
        <v>318</v>
      </c>
      <c r="AI828" t="s">
        <v>319</v>
      </c>
      <c r="AJ828" s="4" t="str">
        <f>"55432"</f>
        <v>55432</v>
      </c>
      <c r="AK828" t="s">
        <v>120</v>
      </c>
      <c r="AM828" s="5">
        <v>15072612161</v>
      </c>
      <c r="AN828">
        <v>0</v>
      </c>
      <c r="AO828" t="s">
        <v>7924</v>
      </c>
      <c r="AP828" t="s">
        <v>122</v>
      </c>
      <c r="AQ828" t="s">
        <v>369</v>
      </c>
      <c r="AR828" t="s">
        <v>370</v>
      </c>
      <c r="AS828" t="s">
        <v>371</v>
      </c>
      <c r="AT828" t="s">
        <v>372</v>
      </c>
      <c r="AU828" t="s">
        <v>373</v>
      </c>
      <c r="AV828" t="s">
        <v>374</v>
      </c>
      <c r="AW828" t="s">
        <v>339</v>
      </c>
      <c r="AX828" s="4" t="str">
        <f>"21401"</f>
        <v>21401</v>
      </c>
      <c r="AY828" t="s">
        <v>120</v>
      </c>
      <c r="BA828" s="5">
        <v>14105739955</v>
      </c>
      <c r="BB828">
        <v>0</v>
      </c>
      <c r="BC828" t="s">
        <v>375</v>
      </c>
      <c r="BD828" t="s">
        <v>376</v>
      </c>
      <c r="BE828" t="s">
        <v>339</v>
      </c>
      <c r="BF828" t="s">
        <v>377</v>
      </c>
      <c r="BG828" t="s">
        <v>319</v>
      </c>
      <c r="BH828" s="1">
        <v>44837.833333333336</v>
      </c>
      <c r="BI828">
        <v>35</v>
      </c>
      <c r="BJ828">
        <v>7</v>
      </c>
      <c r="BK828">
        <v>0</v>
      </c>
      <c r="BL828">
        <v>0</v>
      </c>
      <c r="BM828">
        <v>7</v>
      </c>
      <c r="BN828">
        <v>7</v>
      </c>
      <c r="BO828">
        <v>7</v>
      </c>
      <c r="BP828">
        <v>7</v>
      </c>
      <c r="BQ828" t="str">
        <f>"4:00 PM"</f>
        <v>4:00 PM</v>
      </c>
      <c r="BR828" t="str">
        <f>"11:00 PM"</f>
        <v>11:00 PM</v>
      </c>
      <c r="BS828" t="s">
        <v>133</v>
      </c>
      <c r="BT828">
        <v>0</v>
      </c>
      <c r="BU828">
        <v>0</v>
      </c>
      <c r="BV828" t="s">
        <v>134</v>
      </c>
      <c r="BX828" t="s">
        <v>8697</v>
      </c>
      <c r="BY828" t="s">
        <v>8698</v>
      </c>
      <c r="CA828" t="s">
        <v>684</v>
      </c>
      <c r="CB828" t="s">
        <v>319</v>
      </c>
      <c r="CC828" s="4" t="str">
        <f>"55912"</f>
        <v>55912</v>
      </c>
      <c r="CD828" t="s">
        <v>8699</v>
      </c>
      <c r="CE828" t="s">
        <v>6009</v>
      </c>
      <c r="CF828" s="6">
        <v>11.04</v>
      </c>
      <c r="CG828" s="6">
        <v>13.66</v>
      </c>
      <c r="CH828" s="6">
        <v>16.559999999999999</v>
      </c>
      <c r="CI828" s="6">
        <v>20.49</v>
      </c>
      <c r="CJ828" t="s">
        <v>137</v>
      </c>
      <c r="CL828" t="s">
        <v>8700</v>
      </c>
      <c r="CO828" t="s">
        <v>138</v>
      </c>
      <c r="CP828" t="s">
        <v>114</v>
      </c>
      <c r="CQ828" t="s">
        <v>134</v>
      </c>
      <c r="CR828" t="s">
        <v>134</v>
      </c>
      <c r="CS828" t="s">
        <v>114</v>
      </c>
      <c r="CT828" t="s">
        <v>114</v>
      </c>
      <c r="CU828" t="s">
        <v>114</v>
      </c>
      <c r="CV828" t="s">
        <v>8701</v>
      </c>
      <c r="CW828" s="5" t="str">
        <f>"+15072080660"</f>
        <v>+15072080660</v>
      </c>
      <c r="CX828" t="s">
        <v>8702</v>
      </c>
      <c r="CY828" t="s">
        <v>138</v>
      </c>
      <c r="CZ828" t="s">
        <v>139</v>
      </c>
      <c r="DA828" t="s">
        <v>134</v>
      </c>
      <c r="DB828" t="s">
        <v>114</v>
      </c>
      <c r="DC828" t="s">
        <v>114</v>
      </c>
      <c r="DD828" t="s">
        <v>134</v>
      </c>
    </row>
    <row r="829" spans="1:113" ht="15" customHeight="1" x14ac:dyDescent="0.25">
      <c r="A829" t="s">
        <v>13826</v>
      </c>
      <c r="B829" t="s">
        <v>165</v>
      </c>
      <c r="C829" s="1">
        <v>44838.451592708334</v>
      </c>
      <c r="D829" s="1">
        <v>44862</v>
      </c>
      <c r="E829" t="s">
        <v>134</v>
      </c>
      <c r="F829" t="s">
        <v>1089</v>
      </c>
      <c r="G829" t="str">
        <f>"39-2021.00"</f>
        <v>39-2021.00</v>
      </c>
      <c r="H829" t="s">
        <v>615</v>
      </c>
      <c r="I829">
        <v>26</v>
      </c>
      <c r="J829">
        <v>26</v>
      </c>
      <c r="K829" s="1">
        <v>44927</v>
      </c>
      <c r="L829" s="1">
        <v>45046</v>
      </c>
      <c r="M829" s="1">
        <v>44927</v>
      </c>
      <c r="N829" s="1">
        <v>45046</v>
      </c>
      <c r="O829" t="s">
        <v>199</v>
      </c>
      <c r="P829" t="s">
        <v>2917</v>
      </c>
      <c r="R829" t="s">
        <v>2918</v>
      </c>
      <c r="T829" t="s">
        <v>2919</v>
      </c>
      <c r="U829" t="s">
        <v>339</v>
      </c>
      <c r="V829" s="4" t="str">
        <f>"21921"</f>
        <v>21921</v>
      </c>
      <c r="W829" t="s">
        <v>120</v>
      </c>
      <c r="Y829" s="5">
        <v>14103980090</v>
      </c>
      <c r="AA829">
        <v>711212</v>
      </c>
      <c r="AB829" t="s">
        <v>2211</v>
      </c>
      <c r="AC829" t="s">
        <v>2090</v>
      </c>
      <c r="AE829" t="s">
        <v>1710</v>
      </c>
      <c r="AF829" t="s">
        <v>2918</v>
      </c>
      <c r="AH829" t="s">
        <v>2919</v>
      </c>
      <c r="AI829" t="s">
        <v>339</v>
      </c>
      <c r="AJ829" s="4" t="str">
        <f>"21921"</f>
        <v>21921</v>
      </c>
      <c r="AK829" t="s">
        <v>120</v>
      </c>
      <c r="AM829" s="5">
        <v>14103980090</v>
      </c>
      <c r="AO829" t="s">
        <v>2920</v>
      </c>
      <c r="AP829" t="s">
        <v>122</v>
      </c>
      <c r="AQ829" t="s">
        <v>625</v>
      </c>
      <c r="AR829" t="s">
        <v>626</v>
      </c>
      <c r="AS829" t="s">
        <v>627</v>
      </c>
      <c r="AT829" t="s">
        <v>628</v>
      </c>
      <c r="AU829" t="s">
        <v>629</v>
      </c>
      <c r="AV829" t="s">
        <v>630</v>
      </c>
      <c r="AW829" t="s">
        <v>631</v>
      </c>
      <c r="AX829" s="4" t="str">
        <f>"73069"</f>
        <v>73069</v>
      </c>
      <c r="AY829" t="s">
        <v>120</v>
      </c>
      <c r="BA829" s="5">
        <v>14053642525</v>
      </c>
      <c r="BC829" t="s">
        <v>632</v>
      </c>
      <c r="BD829" t="s">
        <v>633</v>
      </c>
      <c r="BE829" t="s">
        <v>631</v>
      </c>
      <c r="BF829" t="s">
        <v>634</v>
      </c>
      <c r="BG829" t="s">
        <v>154</v>
      </c>
      <c r="BH829" s="1">
        <v>44837.833333333336</v>
      </c>
      <c r="BI829">
        <v>56</v>
      </c>
      <c r="BJ829">
        <v>8</v>
      </c>
      <c r="BK829">
        <v>8</v>
      </c>
      <c r="BL829">
        <v>8</v>
      </c>
      <c r="BM829">
        <v>8</v>
      </c>
      <c r="BN829">
        <v>8</v>
      </c>
      <c r="BO829">
        <v>8</v>
      </c>
      <c r="BP829">
        <v>8</v>
      </c>
      <c r="BQ829" t="str">
        <f>"5:00 AM"</f>
        <v>5:00 AM</v>
      </c>
      <c r="BR829" t="str">
        <f>"5:00 PM"</f>
        <v>5:00 PM</v>
      </c>
      <c r="BS829" t="s">
        <v>133</v>
      </c>
      <c r="BT829">
        <v>0</v>
      </c>
      <c r="BU829">
        <v>1</v>
      </c>
      <c r="BV829" t="s">
        <v>134</v>
      </c>
      <c r="BX829" s="2" t="s">
        <v>2921</v>
      </c>
      <c r="BY829" t="s">
        <v>13827</v>
      </c>
      <c r="BZ829" t="s">
        <v>13828</v>
      </c>
      <c r="CA829" t="s">
        <v>13829</v>
      </c>
      <c r="CB829" t="s">
        <v>154</v>
      </c>
      <c r="CC829" s="4" t="str">
        <f>"33472"</f>
        <v>33472</v>
      </c>
      <c r="CD829" t="s">
        <v>3882</v>
      </c>
      <c r="CE829" t="s">
        <v>1742</v>
      </c>
      <c r="CF829" s="6">
        <v>14.11</v>
      </c>
      <c r="CG829" s="6">
        <v>14.11</v>
      </c>
      <c r="CH829" s="6">
        <v>21.17</v>
      </c>
      <c r="CI829" s="6">
        <v>21.17</v>
      </c>
      <c r="CJ829" t="s">
        <v>137</v>
      </c>
      <c r="CL829" t="s">
        <v>13830</v>
      </c>
      <c r="CO829" t="s">
        <v>138</v>
      </c>
      <c r="CP829" t="s">
        <v>134</v>
      </c>
      <c r="CQ829" t="s">
        <v>134</v>
      </c>
      <c r="CR829" t="s">
        <v>114</v>
      </c>
      <c r="CS829" t="s">
        <v>134</v>
      </c>
      <c r="CT829" t="s">
        <v>114</v>
      </c>
      <c r="CU829" t="s">
        <v>114</v>
      </c>
      <c r="CV829" t="s">
        <v>2591</v>
      </c>
      <c r="CW829" s="5" t="str">
        <f>"+19546775555"</f>
        <v>+19546775555</v>
      </c>
      <c r="CX829" t="s">
        <v>2920</v>
      </c>
      <c r="CY829" t="s">
        <v>138</v>
      </c>
      <c r="CZ829" t="s">
        <v>139</v>
      </c>
      <c r="DA829" t="s">
        <v>134</v>
      </c>
      <c r="DB829" t="s">
        <v>134</v>
      </c>
      <c r="DC829" t="s">
        <v>114</v>
      </c>
      <c r="DD829" t="s">
        <v>134</v>
      </c>
    </row>
    <row r="830" spans="1:113" ht="15" customHeight="1" x14ac:dyDescent="0.25">
      <c r="A830" t="s">
        <v>937</v>
      </c>
      <c r="B830" t="s">
        <v>165</v>
      </c>
      <c r="C830" s="1">
        <v>44838.000590393516</v>
      </c>
      <c r="D830" s="1">
        <v>44862</v>
      </c>
      <c r="E830" t="s">
        <v>134</v>
      </c>
      <c r="F830" t="s">
        <v>334</v>
      </c>
      <c r="G830" t="str">
        <f>"37-3011.00"</f>
        <v>37-3011.00</v>
      </c>
      <c r="H830" t="s">
        <v>335</v>
      </c>
      <c r="I830">
        <v>62</v>
      </c>
      <c r="J830">
        <v>62</v>
      </c>
      <c r="K830" s="1">
        <v>44928</v>
      </c>
      <c r="L830" s="1">
        <v>45231</v>
      </c>
      <c r="M830" s="1">
        <v>44928</v>
      </c>
      <c r="N830" s="1">
        <v>45231</v>
      </c>
      <c r="O830" t="s">
        <v>117</v>
      </c>
      <c r="P830" t="s">
        <v>938</v>
      </c>
      <c r="R830" t="s">
        <v>939</v>
      </c>
      <c r="S830" t="s">
        <v>940</v>
      </c>
      <c r="T830" t="s">
        <v>941</v>
      </c>
      <c r="U830" t="s">
        <v>232</v>
      </c>
      <c r="V830" s="4" t="str">
        <f>"78660"</f>
        <v>78660</v>
      </c>
      <c r="W830" t="s">
        <v>120</v>
      </c>
      <c r="Y830" s="5">
        <v>13864376211</v>
      </c>
      <c r="AA830">
        <v>56173</v>
      </c>
      <c r="AB830" t="s">
        <v>942</v>
      </c>
      <c r="AC830" t="s">
        <v>943</v>
      </c>
      <c r="AE830" t="s">
        <v>944</v>
      </c>
      <c r="AF830" t="s">
        <v>939</v>
      </c>
      <c r="AG830" t="s">
        <v>940</v>
      </c>
      <c r="AH830" t="s">
        <v>941</v>
      </c>
      <c r="AI830" t="s">
        <v>232</v>
      </c>
      <c r="AJ830" s="4" t="str">
        <f>"78660"</f>
        <v>78660</v>
      </c>
      <c r="AK830" t="s">
        <v>120</v>
      </c>
      <c r="AM830" s="5">
        <v>13864376211</v>
      </c>
      <c r="AO830" t="s">
        <v>945</v>
      </c>
      <c r="AP830" t="s">
        <v>256</v>
      </c>
      <c r="AQ830" t="s">
        <v>400</v>
      </c>
      <c r="AR830" t="s">
        <v>401</v>
      </c>
      <c r="AS830" t="s">
        <v>397</v>
      </c>
      <c r="AT830" t="s">
        <v>402</v>
      </c>
      <c r="AU830" t="s">
        <v>152</v>
      </c>
      <c r="AV830" t="s">
        <v>403</v>
      </c>
      <c r="AW830" t="s">
        <v>232</v>
      </c>
      <c r="AX830" s="4" t="str">
        <f>"75033"</f>
        <v>75033</v>
      </c>
      <c r="AY830" t="s">
        <v>120</v>
      </c>
      <c r="BA830" s="5">
        <v>19727789690</v>
      </c>
      <c r="BC830" t="s">
        <v>946</v>
      </c>
      <c r="BD830" t="s">
        <v>405</v>
      </c>
      <c r="BG830" t="s">
        <v>232</v>
      </c>
      <c r="BH830" s="1">
        <v>44837.833333333336</v>
      </c>
      <c r="BI830">
        <v>40</v>
      </c>
      <c r="BJ830">
        <v>0</v>
      </c>
      <c r="BK830">
        <v>0</v>
      </c>
      <c r="BL830">
        <v>8</v>
      </c>
      <c r="BM830">
        <v>8</v>
      </c>
      <c r="BN830">
        <v>8</v>
      </c>
      <c r="BO830">
        <v>8</v>
      </c>
      <c r="BP830">
        <v>8</v>
      </c>
      <c r="BQ830" t="str">
        <f>"7:00 AM"</f>
        <v>7:00 AM</v>
      </c>
      <c r="BR830" t="str">
        <f>"4:00 PM"</f>
        <v>4:00 PM</v>
      </c>
      <c r="BS830" t="s">
        <v>133</v>
      </c>
      <c r="BT830">
        <v>0</v>
      </c>
      <c r="BU830">
        <v>0</v>
      </c>
      <c r="BV830" t="s">
        <v>134</v>
      </c>
      <c r="BX830" t="s">
        <v>947</v>
      </c>
      <c r="BY830" t="s">
        <v>939</v>
      </c>
      <c r="CA830" t="s">
        <v>941</v>
      </c>
      <c r="CB830" t="s">
        <v>232</v>
      </c>
      <c r="CC830" s="4" t="str">
        <f>"78660"</f>
        <v>78660</v>
      </c>
      <c r="CD830" t="s">
        <v>948</v>
      </c>
      <c r="CE830" t="s">
        <v>949</v>
      </c>
      <c r="CF830" s="6">
        <v>16.079999999999998</v>
      </c>
      <c r="CG830" s="6">
        <v>16.079999999999998</v>
      </c>
      <c r="CH830" s="6">
        <v>24.12</v>
      </c>
      <c r="CI830" s="6">
        <v>24.12</v>
      </c>
      <c r="CJ830" t="s">
        <v>137</v>
      </c>
      <c r="CK830" t="s">
        <v>950</v>
      </c>
      <c r="CL830" t="s">
        <v>951</v>
      </c>
      <c r="CO830" t="s">
        <v>138</v>
      </c>
      <c r="CP830" t="s">
        <v>114</v>
      </c>
      <c r="CQ830" t="s">
        <v>114</v>
      </c>
      <c r="CR830" t="s">
        <v>114</v>
      </c>
      <c r="CS830" t="s">
        <v>114</v>
      </c>
      <c r="CT830" t="s">
        <v>114</v>
      </c>
      <c r="CU830" t="s">
        <v>134</v>
      </c>
      <c r="CV830" s="2" t="s">
        <v>952</v>
      </c>
      <c r="CW830" s="5" t="str">
        <f>"+13864376211"</f>
        <v>+13864376211</v>
      </c>
      <c r="CX830" t="s">
        <v>138</v>
      </c>
      <c r="CY830" t="s">
        <v>953</v>
      </c>
      <c r="CZ830" t="s">
        <v>139</v>
      </c>
      <c r="DA830" t="s">
        <v>134</v>
      </c>
      <c r="DB830" t="s">
        <v>114</v>
      </c>
      <c r="DC830" t="s">
        <v>114</v>
      </c>
      <c r="DD830" t="s">
        <v>134</v>
      </c>
    </row>
    <row r="831" spans="1:113" ht="15" customHeight="1" x14ac:dyDescent="0.25">
      <c r="A831" t="s">
        <v>13785</v>
      </c>
      <c r="B831" t="s">
        <v>165</v>
      </c>
      <c r="C831" s="1">
        <v>44837.825862268517</v>
      </c>
      <c r="D831" s="1">
        <v>44862</v>
      </c>
      <c r="E831" t="s">
        <v>134</v>
      </c>
      <c r="F831" t="s">
        <v>1106</v>
      </c>
      <c r="G831" t="str">
        <f>"45-4011.00"</f>
        <v>45-4011.00</v>
      </c>
      <c r="H831" t="s">
        <v>1107</v>
      </c>
      <c r="I831">
        <v>32</v>
      </c>
      <c r="J831">
        <v>32</v>
      </c>
      <c r="K831" s="1">
        <v>44927</v>
      </c>
      <c r="L831" s="1">
        <v>45229</v>
      </c>
      <c r="M831" s="1">
        <v>44927</v>
      </c>
      <c r="N831" s="1">
        <v>45229</v>
      </c>
      <c r="O831" t="s">
        <v>199</v>
      </c>
      <c r="P831" t="s">
        <v>13786</v>
      </c>
      <c r="R831" t="s">
        <v>13787</v>
      </c>
      <c r="T831" t="s">
        <v>11743</v>
      </c>
      <c r="U831" t="s">
        <v>511</v>
      </c>
      <c r="V831" s="4" t="str">
        <f>"97325"</f>
        <v>97325</v>
      </c>
      <c r="W831" t="s">
        <v>120</v>
      </c>
      <c r="Y831" s="5">
        <v>15035803988</v>
      </c>
      <c r="AA831">
        <v>11531</v>
      </c>
      <c r="AB831" t="s">
        <v>3145</v>
      </c>
      <c r="AC831" t="s">
        <v>13788</v>
      </c>
      <c r="AE831" t="s">
        <v>342</v>
      </c>
      <c r="AF831" t="s">
        <v>13787</v>
      </c>
      <c r="AH831" t="s">
        <v>11743</v>
      </c>
      <c r="AI831" t="s">
        <v>511</v>
      </c>
      <c r="AJ831" s="4" t="str">
        <f>"97325"</f>
        <v>97325</v>
      </c>
      <c r="AK831" t="s">
        <v>120</v>
      </c>
      <c r="AM831" s="5">
        <v>15035803988</v>
      </c>
      <c r="AO831" t="s">
        <v>13789</v>
      </c>
      <c r="AP831" t="s">
        <v>256</v>
      </c>
      <c r="AQ831" t="s">
        <v>1439</v>
      </c>
      <c r="AR831" t="s">
        <v>1440</v>
      </c>
      <c r="AT831" t="s">
        <v>1422</v>
      </c>
      <c r="AU831" t="s">
        <v>347</v>
      </c>
      <c r="AV831" t="s">
        <v>1441</v>
      </c>
      <c r="AW831" t="s">
        <v>349</v>
      </c>
      <c r="AX831" s="4" t="str">
        <f>"83814"</f>
        <v>83814</v>
      </c>
      <c r="AY831" t="s">
        <v>120</v>
      </c>
      <c r="BA831" s="5">
        <v>12087772654</v>
      </c>
      <c r="BC831" t="s">
        <v>1442</v>
      </c>
      <c r="BD831" t="s">
        <v>351</v>
      </c>
      <c r="BG831" t="s">
        <v>511</v>
      </c>
      <c r="BH831" s="1">
        <v>44832.833333333336</v>
      </c>
      <c r="BI831">
        <v>40</v>
      </c>
      <c r="BJ831">
        <v>0</v>
      </c>
      <c r="BK831">
        <v>8</v>
      </c>
      <c r="BL831">
        <v>8</v>
      </c>
      <c r="BM831">
        <v>8</v>
      </c>
      <c r="BN831">
        <v>8</v>
      </c>
      <c r="BO831">
        <v>8</v>
      </c>
      <c r="BP831">
        <v>0</v>
      </c>
      <c r="BQ831" t="str">
        <f>"7:00 AM"</f>
        <v>7:00 AM</v>
      </c>
      <c r="BR831" t="str">
        <f>"3:00 PM"</f>
        <v>3:00 PM</v>
      </c>
      <c r="BS831" t="s">
        <v>133</v>
      </c>
      <c r="BT831">
        <v>0</v>
      </c>
      <c r="BU831">
        <v>3</v>
      </c>
      <c r="BV831" t="s">
        <v>134</v>
      </c>
      <c r="BX831" s="2" t="s">
        <v>13790</v>
      </c>
      <c r="BY831" t="s">
        <v>13791</v>
      </c>
      <c r="CA831" t="s">
        <v>11743</v>
      </c>
      <c r="CB831" t="s">
        <v>511</v>
      </c>
      <c r="CC831" s="4" t="str">
        <f>"97325"</f>
        <v>97325</v>
      </c>
      <c r="CD831" t="s">
        <v>638</v>
      </c>
      <c r="CE831" t="s">
        <v>3149</v>
      </c>
      <c r="CF831" s="6">
        <v>15.11</v>
      </c>
      <c r="CG831" s="6">
        <v>20.62</v>
      </c>
      <c r="CH831" s="6">
        <v>22.67</v>
      </c>
      <c r="CI831" s="6">
        <v>30.93</v>
      </c>
      <c r="CJ831" t="s">
        <v>137</v>
      </c>
      <c r="CK831" t="s">
        <v>2125</v>
      </c>
      <c r="CL831" t="s">
        <v>13792</v>
      </c>
      <c r="CO831" t="s">
        <v>138</v>
      </c>
      <c r="CP831" t="s">
        <v>114</v>
      </c>
      <c r="CQ831" t="s">
        <v>114</v>
      </c>
      <c r="CR831" t="s">
        <v>114</v>
      </c>
      <c r="CS831" t="s">
        <v>134</v>
      </c>
      <c r="CT831" t="s">
        <v>114</v>
      </c>
      <c r="CU831" t="s">
        <v>114</v>
      </c>
      <c r="CV831" t="s">
        <v>358</v>
      </c>
      <c r="CW831" s="5" t="str">
        <f>"+15035803988"</f>
        <v>+15035803988</v>
      </c>
      <c r="CX831" t="s">
        <v>13793</v>
      </c>
      <c r="CY831" t="s">
        <v>3471</v>
      </c>
      <c r="CZ831" t="s">
        <v>139</v>
      </c>
      <c r="DA831" t="s">
        <v>134</v>
      </c>
      <c r="DB831" t="s">
        <v>114</v>
      </c>
      <c r="DC831" t="s">
        <v>114</v>
      </c>
      <c r="DD831" t="s">
        <v>134</v>
      </c>
    </row>
    <row r="832" spans="1:113" ht="15" customHeight="1" x14ac:dyDescent="0.25">
      <c r="A832" t="s">
        <v>11422</v>
      </c>
      <c r="B832" t="s">
        <v>165</v>
      </c>
      <c r="C832" s="1">
        <v>44837.749391087964</v>
      </c>
      <c r="D832" s="1">
        <v>44862</v>
      </c>
      <c r="E832" t="s">
        <v>134</v>
      </c>
      <c r="F832" t="s">
        <v>1662</v>
      </c>
      <c r="G832" t="str">
        <f>"37-3011.00"</f>
        <v>37-3011.00</v>
      </c>
      <c r="H832" t="s">
        <v>335</v>
      </c>
      <c r="I832">
        <v>23</v>
      </c>
      <c r="J832">
        <v>23</v>
      </c>
      <c r="K832" s="1">
        <v>44927</v>
      </c>
      <c r="L832" s="1">
        <v>45200</v>
      </c>
      <c r="M832" s="1">
        <v>44927</v>
      </c>
      <c r="N832" s="1">
        <v>45200</v>
      </c>
      <c r="O832" t="s">
        <v>199</v>
      </c>
      <c r="P832" t="s">
        <v>11423</v>
      </c>
      <c r="R832" t="s">
        <v>11424</v>
      </c>
      <c r="T832" t="s">
        <v>1856</v>
      </c>
      <c r="U832" t="s">
        <v>203</v>
      </c>
      <c r="V832" s="4" t="str">
        <f>"36545"</f>
        <v>36545</v>
      </c>
      <c r="W832" t="s">
        <v>120</v>
      </c>
      <c r="Y832" s="5">
        <v>12515897942</v>
      </c>
      <c r="AA832">
        <v>56173</v>
      </c>
      <c r="AB832" t="s">
        <v>11425</v>
      </c>
      <c r="AC832" t="s">
        <v>2672</v>
      </c>
      <c r="AD832" t="s">
        <v>138</v>
      </c>
      <c r="AE832" t="s">
        <v>3191</v>
      </c>
      <c r="AF832" t="s">
        <v>11424</v>
      </c>
      <c r="AH832" t="s">
        <v>1856</v>
      </c>
      <c r="AI832" t="s">
        <v>203</v>
      </c>
      <c r="AJ832" s="4" t="str">
        <f>"36545"</f>
        <v>36545</v>
      </c>
      <c r="AK832" t="s">
        <v>120</v>
      </c>
      <c r="AM832" s="5">
        <v>12515897942</v>
      </c>
      <c r="AO832" t="s">
        <v>138</v>
      </c>
      <c r="AP832" t="s">
        <v>256</v>
      </c>
      <c r="AQ832" t="s">
        <v>1731</v>
      </c>
      <c r="AR832" t="s">
        <v>2317</v>
      </c>
      <c r="AS832" t="s">
        <v>138</v>
      </c>
      <c r="AT832" t="s">
        <v>346</v>
      </c>
      <c r="AU832" t="s">
        <v>347</v>
      </c>
      <c r="AV832" t="s">
        <v>828</v>
      </c>
      <c r="AW832" t="s">
        <v>349</v>
      </c>
      <c r="AX832" s="4" t="str">
        <f>"83814"</f>
        <v>83814</v>
      </c>
      <c r="AY832" t="s">
        <v>120</v>
      </c>
      <c r="BA832" s="5">
        <v>12087772654</v>
      </c>
      <c r="BC832" t="s">
        <v>4094</v>
      </c>
      <c r="BD832" t="s">
        <v>351</v>
      </c>
      <c r="BG832" t="s">
        <v>203</v>
      </c>
      <c r="BH832" s="1">
        <v>44832.833333333336</v>
      </c>
      <c r="BI832">
        <v>40</v>
      </c>
      <c r="BJ832">
        <v>0</v>
      </c>
      <c r="BK832">
        <v>8</v>
      </c>
      <c r="BL832">
        <v>8</v>
      </c>
      <c r="BM832">
        <v>8</v>
      </c>
      <c r="BN832">
        <v>8</v>
      </c>
      <c r="BO832">
        <v>8</v>
      </c>
      <c r="BP832">
        <v>0</v>
      </c>
      <c r="BQ832" t="str">
        <f>"5:30 AM"</f>
        <v>5:30 AM</v>
      </c>
      <c r="BR832" t="str">
        <f>"2:00 PM"</f>
        <v>2:00 PM</v>
      </c>
      <c r="BS832" t="s">
        <v>133</v>
      </c>
      <c r="BT832">
        <v>0</v>
      </c>
      <c r="BU832">
        <v>0</v>
      </c>
      <c r="BV832" t="s">
        <v>134</v>
      </c>
      <c r="BX832" s="2" t="s">
        <v>1660</v>
      </c>
      <c r="BY832" t="s">
        <v>11426</v>
      </c>
      <c r="CA832" t="s">
        <v>1856</v>
      </c>
      <c r="CB832" t="s">
        <v>203</v>
      </c>
      <c r="CC832" s="4" t="str">
        <f>"36545"</f>
        <v>36545</v>
      </c>
      <c r="CD832" t="s">
        <v>5626</v>
      </c>
      <c r="CE832" t="s">
        <v>7359</v>
      </c>
      <c r="CF832" s="6">
        <v>13.38</v>
      </c>
      <c r="CG832" s="6">
        <v>13.38</v>
      </c>
      <c r="CH832" s="6">
        <v>20.07</v>
      </c>
      <c r="CI832" s="6">
        <v>20.07</v>
      </c>
      <c r="CJ832" t="s">
        <v>137</v>
      </c>
      <c r="CK832" t="s">
        <v>1444</v>
      </c>
      <c r="CL832" t="s">
        <v>11427</v>
      </c>
      <c r="CO832" t="s">
        <v>138</v>
      </c>
      <c r="CP832" t="s">
        <v>114</v>
      </c>
      <c r="CQ832" t="s">
        <v>114</v>
      </c>
      <c r="CR832" t="s">
        <v>114</v>
      </c>
      <c r="CS832" t="s">
        <v>114</v>
      </c>
      <c r="CT832" t="s">
        <v>114</v>
      </c>
      <c r="CU832" t="s">
        <v>134</v>
      </c>
      <c r="CV832" t="s">
        <v>358</v>
      </c>
      <c r="CW832" s="5" t="str">
        <f>"+12515897942"</f>
        <v>+12515897942</v>
      </c>
      <c r="CX832" t="s">
        <v>11428</v>
      </c>
      <c r="CY832" t="s">
        <v>1390</v>
      </c>
      <c r="CZ832" t="s">
        <v>139</v>
      </c>
      <c r="DA832" t="s">
        <v>134</v>
      </c>
      <c r="DB832" t="s">
        <v>114</v>
      </c>
      <c r="DC832" t="s">
        <v>114</v>
      </c>
      <c r="DD832" t="s">
        <v>134</v>
      </c>
    </row>
    <row r="833" spans="1:108" ht="15" customHeight="1" x14ac:dyDescent="0.25">
      <c r="A833" t="s">
        <v>12421</v>
      </c>
      <c r="B833" t="s">
        <v>165</v>
      </c>
      <c r="C833" s="1">
        <v>44837.55098576389</v>
      </c>
      <c r="D833" s="1">
        <v>44862</v>
      </c>
      <c r="E833" t="s">
        <v>134</v>
      </c>
      <c r="F833" t="s">
        <v>1106</v>
      </c>
      <c r="G833" t="str">
        <f>"45-4011.00"</f>
        <v>45-4011.00</v>
      </c>
      <c r="H833" t="s">
        <v>1107</v>
      </c>
      <c r="I833">
        <v>46</v>
      </c>
      <c r="J833">
        <v>46</v>
      </c>
      <c r="K833" s="1">
        <v>44927</v>
      </c>
      <c r="L833" s="1">
        <v>45214</v>
      </c>
      <c r="M833" s="1">
        <v>44927</v>
      </c>
      <c r="N833" s="1">
        <v>45214</v>
      </c>
      <c r="O833" t="s">
        <v>199</v>
      </c>
      <c r="P833" t="s">
        <v>12422</v>
      </c>
      <c r="R833" t="s">
        <v>12423</v>
      </c>
      <c r="T833" t="s">
        <v>11743</v>
      </c>
      <c r="U833" t="s">
        <v>511</v>
      </c>
      <c r="V833" s="4" t="str">
        <f>"97325"</f>
        <v>97325</v>
      </c>
      <c r="W833" t="s">
        <v>120</v>
      </c>
      <c r="Y833" s="5">
        <v>15037492288</v>
      </c>
      <c r="AA833">
        <v>11531</v>
      </c>
      <c r="AB833" t="s">
        <v>3145</v>
      </c>
      <c r="AC833" t="s">
        <v>4660</v>
      </c>
      <c r="AE833" t="s">
        <v>342</v>
      </c>
      <c r="AF833" t="s">
        <v>12423</v>
      </c>
      <c r="AH833" t="s">
        <v>11743</v>
      </c>
      <c r="AI833" t="s">
        <v>511</v>
      </c>
      <c r="AJ833" s="4" t="str">
        <f>"97325"</f>
        <v>97325</v>
      </c>
      <c r="AK833" t="s">
        <v>120</v>
      </c>
      <c r="AM833" s="5">
        <v>15037492288</v>
      </c>
      <c r="AO833" t="s">
        <v>12424</v>
      </c>
      <c r="AP833" t="s">
        <v>256</v>
      </c>
      <c r="AQ833" t="s">
        <v>1439</v>
      </c>
      <c r="AR833" t="s">
        <v>1440</v>
      </c>
      <c r="AT833" t="s">
        <v>1422</v>
      </c>
      <c r="AU833" t="s">
        <v>347</v>
      </c>
      <c r="AV833" t="s">
        <v>1441</v>
      </c>
      <c r="AW833" t="s">
        <v>349</v>
      </c>
      <c r="AX833" s="4" t="str">
        <f>"83814"</f>
        <v>83814</v>
      </c>
      <c r="AY833" t="s">
        <v>120</v>
      </c>
      <c r="BA833" s="5">
        <v>12087772654</v>
      </c>
      <c r="BC833" t="s">
        <v>1442</v>
      </c>
      <c r="BD833" t="s">
        <v>351</v>
      </c>
      <c r="BG833" t="s">
        <v>511</v>
      </c>
      <c r="BH833" s="1">
        <v>44829.833333333336</v>
      </c>
      <c r="BI833">
        <v>40</v>
      </c>
      <c r="BJ833">
        <v>0</v>
      </c>
      <c r="BK833">
        <v>8</v>
      </c>
      <c r="BL833">
        <v>8</v>
      </c>
      <c r="BM833">
        <v>8</v>
      </c>
      <c r="BN833">
        <v>8</v>
      </c>
      <c r="BO833">
        <v>8</v>
      </c>
      <c r="BP833">
        <v>0</v>
      </c>
      <c r="BQ833" t="str">
        <f>"8:00 AM"</f>
        <v>8:00 AM</v>
      </c>
      <c r="BR833" t="str">
        <f>"5:00 PM"</f>
        <v>5:00 PM</v>
      </c>
      <c r="BS833" t="s">
        <v>133</v>
      </c>
      <c r="BT833">
        <v>0</v>
      </c>
      <c r="BU833">
        <v>3</v>
      </c>
      <c r="BV833" t="s">
        <v>134</v>
      </c>
      <c r="BX833" t="s">
        <v>8617</v>
      </c>
      <c r="BY833" t="s">
        <v>12425</v>
      </c>
      <c r="CA833" t="s">
        <v>12426</v>
      </c>
      <c r="CB833" t="s">
        <v>511</v>
      </c>
      <c r="CC833" s="4" t="str">
        <f>"97471"</f>
        <v>97471</v>
      </c>
      <c r="CD833" t="s">
        <v>992</v>
      </c>
      <c r="CE833" t="s">
        <v>516</v>
      </c>
      <c r="CF833" s="6">
        <v>15</v>
      </c>
      <c r="CG833" s="6">
        <v>21.21</v>
      </c>
      <c r="CH833" s="6">
        <v>22.5</v>
      </c>
      <c r="CI833" s="6">
        <v>31.82</v>
      </c>
      <c r="CJ833" t="s">
        <v>137</v>
      </c>
      <c r="CK833" t="s">
        <v>2125</v>
      </c>
      <c r="CL833" t="s">
        <v>12427</v>
      </c>
      <c r="CO833" t="s">
        <v>138</v>
      </c>
      <c r="CP833" t="s">
        <v>114</v>
      </c>
      <c r="CQ833" t="s">
        <v>114</v>
      </c>
      <c r="CR833" t="s">
        <v>114</v>
      </c>
      <c r="CS833" t="s">
        <v>134</v>
      </c>
      <c r="CT833" t="s">
        <v>114</v>
      </c>
      <c r="CU833" t="s">
        <v>114</v>
      </c>
      <c r="CV833" t="s">
        <v>358</v>
      </c>
      <c r="CW833" s="5" t="str">
        <f>"+15037492288"</f>
        <v>+15037492288</v>
      </c>
      <c r="CX833" t="s">
        <v>12424</v>
      </c>
      <c r="CY833" t="s">
        <v>3471</v>
      </c>
      <c r="CZ833" t="s">
        <v>139</v>
      </c>
      <c r="DA833" t="s">
        <v>134</v>
      </c>
      <c r="DB833" t="s">
        <v>114</v>
      </c>
      <c r="DC833" t="s">
        <v>114</v>
      </c>
      <c r="DD833" t="s">
        <v>134</v>
      </c>
    </row>
    <row r="834" spans="1:108" ht="15" customHeight="1" x14ac:dyDescent="0.25">
      <c r="A834" t="s">
        <v>7446</v>
      </c>
      <c r="B834" t="s">
        <v>165</v>
      </c>
      <c r="C834" s="1">
        <v>44837.532114814814</v>
      </c>
      <c r="D834" s="1">
        <v>44862</v>
      </c>
      <c r="E834" t="s">
        <v>134</v>
      </c>
      <c r="F834" t="s">
        <v>1357</v>
      </c>
      <c r="G834" t="str">
        <f>"39-3091.00"</f>
        <v>39-3091.00</v>
      </c>
      <c r="H834" t="s">
        <v>362</v>
      </c>
      <c r="I834">
        <v>22</v>
      </c>
      <c r="J834">
        <v>22</v>
      </c>
      <c r="K834" s="1">
        <v>44927</v>
      </c>
      <c r="L834" s="1">
        <v>45230</v>
      </c>
      <c r="M834" s="1">
        <v>44927</v>
      </c>
      <c r="N834" s="1">
        <v>45230</v>
      </c>
      <c r="O834" t="s">
        <v>199</v>
      </c>
      <c r="P834" t="s">
        <v>7447</v>
      </c>
      <c r="R834" t="s">
        <v>7448</v>
      </c>
      <c r="T834" t="s">
        <v>7449</v>
      </c>
      <c r="U834" t="s">
        <v>154</v>
      </c>
      <c r="V834" s="4" t="str">
        <f>"34601"</f>
        <v>34601</v>
      </c>
      <c r="W834" t="s">
        <v>120</v>
      </c>
      <c r="Y834" s="5">
        <v>18137517597</v>
      </c>
      <c r="AA834">
        <v>71399</v>
      </c>
      <c r="AB834" t="s">
        <v>7450</v>
      </c>
      <c r="AC834" t="s">
        <v>1691</v>
      </c>
      <c r="AE834" t="s">
        <v>252</v>
      </c>
      <c r="AF834" t="s">
        <v>7451</v>
      </c>
      <c r="AH834" t="s">
        <v>7452</v>
      </c>
      <c r="AI834" t="s">
        <v>154</v>
      </c>
      <c r="AJ834" s="4" t="str">
        <f>"34601"</f>
        <v>34601</v>
      </c>
      <c r="AK834" t="s">
        <v>120</v>
      </c>
      <c r="AM834" s="5">
        <v>18137517597</v>
      </c>
      <c r="AO834" t="s">
        <v>7453</v>
      </c>
      <c r="AP834" t="s">
        <v>256</v>
      </c>
      <c r="AQ834" t="s">
        <v>535</v>
      </c>
      <c r="AR834" t="s">
        <v>536</v>
      </c>
      <c r="AS834" t="s">
        <v>537</v>
      </c>
      <c r="AT834" t="s">
        <v>538</v>
      </c>
      <c r="AU834" t="s">
        <v>539</v>
      </c>
      <c r="AV834" t="s">
        <v>540</v>
      </c>
      <c r="AW834" t="s">
        <v>232</v>
      </c>
      <c r="AX834" s="4" t="str">
        <f>"78550"</f>
        <v>78550</v>
      </c>
      <c r="AY834" t="s">
        <v>120</v>
      </c>
      <c r="BA834" s="5">
        <v>19564408720</v>
      </c>
      <c r="BB834">
        <v>0</v>
      </c>
      <c r="BC834" t="s">
        <v>563</v>
      </c>
      <c r="BD834" t="s">
        <v>543</v>
      </c>
      <c r="BG834" t="s">
        <v>154</v>
      </c>
      <c r="BH834" s="1">
        <v>44836.833333333336</v>
      </c>
      <c r="BI834">
        <v>40</v>
      </c>
      <c r="BJ834">
        <v>8</v>
      </c>
      <c r="BK834">
        <v>0</v>
      </c>
      <c r="BL834">
        <v>0</v>
      </c>
      <c r="BM834">
        <v>8</v>
      </c>
      <c r="BN834">
        <v>8</v>
      </c>
      <c r="BO834">
        <v>8</v>
      </c>
      <c r="BP834">
        <v>8</v>
      </c>
      <c r="BQ834" t="str">
        <f>"1:00 PM"</f>
        <v>1:00 PM</v>
      </c>
      <c r="BR834" t="str">
        <f>"10:00 PM"</f>
        <v>10:00 PM</v>
      </c>
      <c r="BS834" t="s">
        <v>133</v>
      </c>
      <c r="BT834">
        <v>0</v>
      </c>
      <c r="BU834">
        <v>0</v>
      </c>
      <c r="BV834" t="s">
        <v>134</v>
      </c>
      <c r="BX834" s="2" t="s">
        <v>579</v>
      </c>
      <c r="BY834" t="s">
        <v>7451</v>
      </c>
      <c r="CA834" t="s">
        <v>7452</v>
      </c>
      <c r="CB834" t="s">
        <v>154</v>
      </c>
      <c r="CC834" s="4" t="str">
        <f>"34601"</f>
        <v>34601</v>
      </c>
      <c r="CD834" t="s">
        <v>6684</v>
      </c>
      <c r="CE834" t="s">
        <v>567</v>
      </c>
      <c r="CF834" s="6">
        <v>9.51</v>
      </c>
      <c r="CG834" s="6">
        <v>14.06</v>
      </c>
      <c r="CJ834" t="s">
        <v>137</v>
      </c>
      <c r="CK834" t="s">
        <v>549</v>
      </c>
      <c r="CL834" t="s">
        <v>7454</v>
      </c>
      <c r="CO834" t="s">
        <v>138</v>
      </c>
      <c r="CP834" t="s">
        <v>114</v>
      </c>
      <c r="CQ834" t="s">
        <v>114</v>
      </c>
      <c r="CR834" t="s">
        <v>134</v>
      </c>
      <c r="CS834" t="s">
        <v>114</v>
      </c>
      <c r="CT834" t="s">
        <v>114</v>
      </c>
      <c r="CU834" t="s">
        <v>114</v>
      </c>
      <c r="CV834" t="s">
        <v>7455</v>
      </c>
      <c r="CW834" s="5" t="str">
        <f>"+18137517597"</f>
        <v>+18137517597</v>
      </c>
      <c r="CX834" t="s">
        <v>7453</v>
      </c>
      <c r="CY834" t="s">
        <v>138</v>
      </c>
      <c r="CZ834" t="s">
        <v>139</v>
      </c>
      <c r="DA834" t="s">
        <v>134</v>
      </c>
      <c r="DB834" t="s">
        <v>114</v>
      </c>
      <c r="DC834" t="s">
        <v>114</v>
      </c>
      <c r="DD834" t="s">
        <v>134</v>
      </c>
    </row>
    <row r="835" spans="1:108" ht="15" customHeight="1" x14ac:dyDescent="0.25">
      <c r="A835" t="s">
        <v>10429</v>
      </c>
      <c r="B835" t="s">
        <v>165</v>
      </c>
      <c r="C835" s="1">
        <v>44837.38892002315</v>
      </c>
      <c r="D835" s="1">
        <v>44862</v>
      </c>
      <c r="E835" t="s">
        <v>134</v>
      </c>
      <c r="F835" t="s">
        <v>2308</v>
      </c>
      <c r="G835" t="str">
        <f>"39-3091.00"</f>
        <v>39-3091.00</v>
      </c>
      <c r="H835" t="s">
        <v>362</v>
      </c>
      <c r="I835">
        <v>80</v>
      </c>
      <c r="J835">
        <v>80</v>
      </c>
      <c r="K835" s="1">
        <v>44927</v>
      </c>
      <c r="L835" s="1">
        <v>45230</v>
      </c>
      <c r="M835" s="1">
        <v>44927</v>
      </c>
      <c r="N835" s="1">
        <v>45230</v>
      </c>
      <c r="O835" t="s">
        <v>199</v>
      </c>
      <c r="P835" t="s">
        <v>10430</v>
      </c>
      <c r="R835" t="s">
        <v>5902</v>
      </c>
      <c r="S835" t="s">
        <v>5903</v>
      </c>
      <c r="T835" t="s">
        <v>5904</v>
      </c>
      <c r="U835" t="s">
        <v>232</v>
      </c>
      <c r="V835" s="4" t="str">
        <f>"76052"</f>
        <v>76052</v>
      </c>
      <c r="W835" t="s">
        <v>120</v>
      </c>
      <c r="Y835" s="5">
        <v>18178470888</v>
      </c>
      <c r="AA835">
        <v>71399</v>
      </c>
      <c r="AB835" t="s">
        <v>5905</v>
      </c>
      <c r="AC835" t="s">
        <v>750</v>
      </c>
      <c r="AE835" t="s">
        <v>1526</v>
      </c>
      <c r="AF835" t="s">
        <v>5902</v>
      </c>
      <c r="AG835" t="s">
        <v>5903</v>
      </c>
      <c r="AH835" t="s">
        <v>5904</v>
      </c>
      <c r="AI835" t="s">
        <v>232</v>
      </c>
      <c r="AJ835" s="4" t="str">
        <f>"76052"</f>
        <v>76052</v>
      </c>
      <c r="AK835" t="s">
        <v>120</v>
      </c>
      <c r="AM835" s="5">
        <v>18178757338</v>
      </c>
      <c r="AO835" t="s">
        <v>10431</v>
      </c>
      <c r="AP835" t="s">
        <v>256</v>
      </c>
      <c r="AQ835" t="s">
        <v>535</v>
      </c>
      <c r="AR835" t="s">
        <v>536</v>
      </c>
      <c r="AS835" t="s">
        <v>537</v>
      </c>
      <c r="AT835" t="s">
        <v>538</v>
      </c>
      <c r="AU835" t="s">
        <v>539</v>
      </c>
      <c r="AV835" t="s">
        <v>540</v>
      </c>
      <c r="AW835" t="s">
        <v>232</v>
      </c>
      <c r="AX835" s="4" t="str">
        <f>"78550"</f>
        <v>78550</v>
      </c>
      <c r="AY835" t="s">
        <v>120</v>
      </c>
      <c r="BA835" s="5">
        <v>19564408720</v>
      </c>
      <c r="BB835">
        <v>0</v>
      </c>
      <c r="BC835" t="s">
        <v>1022</v>
      </c>
      <c r="BD835" t="s">
        <v>543</v>
      </c>
      <c r="BG835" t="s">
        <v>232</v>
      </c>
      <c r="BH835" s="1">
        <v>44836.833333333336</v>
      </c>
      <c r="BI835">
        <v>40</v>
      </c>
      <c r="BJ835">
        <v>8</v>
      </c>
      <c r="BK835">
        <v>0</v>
      </c>
      <c r="BL835">
        <v>0</v>
      </c>
      <c r="BM835">
        <v>8</v>
      </c>
      <c r="BN835">
        <v>8</v>
      </c>
      <c r="BO835">
        <v>8</v>
      </c>
      <c r="BP835">
        <v>8</v>
      </c>
      <c r="BQ835" t="str">
        <f>"1:00 PM"</f>
        <v>1:00 PM</v>
      </c>
      <c r="BR835" t="str">
        <f>"10:00 PM"</f>
        <v>10:00 PM</v>
      </c>
      <c r="BS835" t="s">
        <v>133</v>
      </c>
      <c r="BT835">
        <v>0</v>
      </c>
      <c r="BU835">
        <v>0</v>
      </c>
      <c r="BV835" t="s">
        <v>134</v>
      </c>
      <c r="BX835" s="2" t="s">
        <v>579</v>
      </c>
      <c r="BY835" t="s">
        <v>5906</v>
      </c>
      <c r="CA835" t="s">
        <v>2206</v>
      </c>
      <c r="CB835" t="s">
        <v>232</v>
      </c>
      <c r="CC835" s="4" t="str">
        <f>"76107"</f>
        <v>76107</v>
      </c>
      <c r="CD835" t="s">
        <v>2054</v>
      </c>
      <c r="CE835" t="s">
        <v>1528</v>
      </c>
      <c r="CF835" s="6">
        <v>9.27</v>
      </c>
      <c r="CG835" s="6">
        <v>15.5</v>
      </c>
      <c r="CJ835" t="s">
        <v>137</v>
      </c>
      <c r="CK835" t="s">
        <v>549</v>
      </c>
      <c r="CL835" t="s">
        <v>10432</v>
      </c>
      <c r="CO835" t="s">
        <v>138</v>
      </c>
      <c r="CP835" t="s">
        <v>114</v>
      </c>
      <c r="CQ835" t="s">
        <v>114</v>
      </c>
      <c r="CR835" t="s">
        <v>134</v>
      </c>
      <c r="CS835" t="s">
        <v>114</v>
      </c>
      <c r="CT835" t="s">
        <v>114</v>
      </c>
      <c r="CU835" t="s">
        <v>114</v>
      </c>
      <c r="CV835" t="s">
        <v>569</v>
      </c>
      <c r="CW835" s="5" t="str">
        <f>"+18178470888"</f>
        <v>+18178470888</v>
      </c>
      <c r="CX835" t="s">
        <v>138</v>
      </c>
      <c r="CY835" t="s">
        <v>10433</v>
      </c>
      <c r="CZ835" t="s">
        <v>139</v>
      </c>
      <c r="DA835" t="s">
        <v>134</v>
      </c>
      <c r="DB835" t="s">
        <v>114</v>
      </c>
      <c r="DC835" t="s">
        <v>114</v>
      </c>
      <c r="DD835" t="s">
        <v>134</v>
      </c>
    </row>
    <row r="836" spans="1:108" ht="15" customHeight="1" x14ac:dyDescent="0.25">
      <c r="A836" t="s">
        <v>6687</v>
      </c>
      <c r="B836" t="s">
        <v>165</v>
      </c>
      <c r="C836" s="1">
        <v>44837.296596064814</v>
      </c>
      <c r="D836" s="1">
        <v>44862</v>
      </c>
      <c r="E836" t="s">
        <v>134</v>
      </c>
      <c r="F836" t="s">
        <v>1357</v>
      </c>
      <c r="G836" t="str">
        <f>"39-3091.00"</f>
        <v>39-3091.00</v>
      </c>
      <c r="H836" t="s">
        <v>362</v>
      </c>
      <c r="I836">
        <v>120</v>
      </c>
      <c r="J836">
        <v>120</v>
      </c>
      <c r="K836" s="1">
        <v>44927</v>
      </c>
      <c r="L836" s="1">
        <v>45230</v>
      </c>
      <c r="M836" s="1">
        <v>44927</v>
      </c>
      <c r="N836" s="1">
        <v>45230</v>
      </c>
      <c r="O836" t="s">
        <v>199</v>
      </c>
      <c r="P836" t="s">
        <v>6688</v>
      </c>
      <c r="R836" t="s">
        <v>6689</v>
      </c>
      <c r="T836" t="s">
        <v>1856</v>
      </c>
      <c r="U836" t="s">
        <v>1361</v>
      </c>
      <c r="V836" s="4" t="str">
        <f>"39272"</f>
        <v>39272</v>
      </c>
      <c r="W836" t="s">
        <v>120</v>
      </c>
      <c r="Y836" s="5">
        <v>16013711188</v>
      </c>
      <c r="AA836">
        <v>7139</v>
      </c>
      <c r="AB836" t="s">
        <v>6690</v>
      </c>
      <c r="AC836" t="s">
        <v>6691</v>
      </c>
      <c r="AE836" t="s">
        <v>1710</v>
      </c>
      <c r="AF836" t="s">
        <v>6689</v>
      </c>
      <c r="AH836" t="s">
        <v>1856</v>
      </c>
      <c r="AI836" t="s">
        <v>1361</v>
      </c>
      <c r="AJ836" s="4" t="str">
        <f>"39272"</f>
        <v>39272</v>
      </c>
      <c r="AK836" t="s">
        <v>120</v>
      </c>
      <c r="AM836" s="5">
        <v>17657609135</v>
      </c>
      <c r="AO836" t="s">
        <v>6692</v>
      </c>
      <c r="AP836" t="s">
        <v>256</v>
      </c>
      <c r="AQ836" t="s">
        <v>535</v>
      </c>
      <c r="AR836" t="s">
        <v>536</v>
      </c>
      <c r="AS836" t="s">
        <v>537</v>
      </c>
      <c r="AT836" t="s">
        <v>538</v>
      </c>
      <c r="AU836" t="s">
        <v>539</v>
      </c>
      <c r="AV836" t="s">
        <v>540</v>
      </c>
      <c r="AW836" t="s">
        <v>232</v>
      </c>
      <c r="AX836" s="4" t="str">
        <f>"78550"</f>
        <v>78550</v>
      </c>
      <c r="AY836" t="s">
        <v>120</v>
      </c>
      <c r="BA836" s="5">
        <v>19564408720</v>
      </c>
      <c r="BB836">
        <v>0</v>
      </c>
      <c r="BC836" t="s">
        <v>563</v>
      </c>
      <c r="BD836" t="s">
        <v>543</v>
      </c>
      <c r="BG836" t="s">
        <v>154</v>
      </c>
      <c r="BH836" s="1">
        <v>44836.833333333336</v>
      </c>
      <c r="BI836">
        <v>40</v>
      </c>
      <c r="BJ836">
        <v>8</v>
      </c>
      <c r="BK836">
        <v>0</v>
      </c>
      <c r="BL836">
        <v>0</v>
      </c>
      <c r="BM836">
        <v>8</v>
      </c>
      <c r="BN836">
        <v>8</v>
      </c>
      <c r="BO836">
        <v>8</v>
      </c>
      <c r="BP836">
        <v>8</v>
      </c>
      <c r="BQ836" t="str">
        <f>"1:00 PM"</f>
        <v>1:00 PM</v>
      </c>
      <c r="BR836" t="str">
        <f>"10:00 PM"</f>
        <v>10:00 PM</v>
      </c>
      <c r="BS836" t="s">
        <v>133</v>
      </c>
      <c r="BT836">
        <v>0</v>
      </c>
      <c r="BU836">
        <v>0</v>
      </c>
      <c r="BV836" t="s">
        <v>134</v>
      </c>
      <c r="BX836" s="2" t="s">
        <v>579</v>
      </c>
      <c r="BY836" t="s">
        <v>6693</v>
      </c>
      <c r="CA836" t="s">
        <v>2106</v>
      </c>
      <c r="CB836" t="s">
        <v>154</v>
      </c>
      <c r="CC836" s="4" t="str">
        <f>"33534"</f>
        <v>33534</v>
      </c>
      <c r="CD836" t="s">
        <v>566</v>
      </c>
      <c r="CE836" t="s">
        <v>567</v>
      </c>
      <c r="CF836" s="6">
        <v>9.4600000000000009</v>
      </c>
      <c r="CG836" s="6">
        <v>12.54</v>
      </c>
      <c r="CJ836" t="s">
        <v>137</v>
      </c>
      <c r="CK836" t="s">
        <v>549</v>
      </c>
      <c r="CL836" t="s">
        <v>6694</v>
      </c>
      <c r="CO836" t="s">
        <v>138</v>
      </c>
      <c r="CP836" t="s">
        <v>114</v>
      </c>
      <c r="CQ836" t="s">
        <v>114</v>
      </c>
      <c r="CR836" t="s">
        <v>134</v>
      </c>
      <c r="CS836" t="s">
        <v>114</v>
      </c>
      <c r="CT836" t="s">
        <v>114</v>
      </c>
      <c r="CU836" t="s">
        <v>114</v>
      </c>
      <c r="CV836" t="s">
        <v>569</v>
      </c>
      <c r="CW836" s="5" t="str">
        <f>"+17654333038"</f>
        <v>+17654333038</v>
      </c>
      <c r="CX836" t="s">
        <v>6692</v>
      </c>
      <c r="CY836" t="s">
        <v>138</v>
      </c>
      <c r="CZ836" t="s">
        <v>139</v>
      </c>
      <c r="DA836" t="s">
        <v>134</v>
      </c>
      <c r="DB836" t="s">
        <v>114</v>
      </c>
      <c r="DC836" t="s">
        <v>114</v>
      </c>
      <c r="DD836" t="s">
        <v>134</v>
      </c>
    </row>
    <row r="837" spans="1:108" ht="15" customHeight="1" x14ac:dyDescent="0.25">
      <c r="A837" t="s">
        <v>6743</v>
      </c>
      <c r="B837" t="s">
        <v>165</v>
      </c>
      <c r="C837" s="1">
        <v>44837.293720486108</v>
      </c>
      <c r="D837" s="1">
        <v>44862</v>
      </c>
      <c r="E837" t="s">
        <v>134</v>
      </c>
      <c r="F837" t="s">
        <v>1357</v>
      </c>
      <c r="G837" t="str">
        <f>"39-3091.00"</f>
        <v>39-3091.00</v>
      </c>
      <c r="H837" t="s">
        <v>362</v>
      </c>
      <c r="I837">
        <v>120</v>
      </c>
      <c r="J837">
        <v>120</v>
      </c>
      <c r="K837" s="1">
        <v>44927</v>
      </c>
      <c r="L837" s="1">
        <v>45230</v>
      </c>
      <c r="M837" s="1">
        <v>44927</v>
      </c>
      <c r="N837" s="1">
        <v>45230</v>
      </c>
      <c r="O837" t="s">
        <v>199</v>
      </c>
      <c r="P837" t="s">
        <v>6744</v>
      </c>
      <c r="R837" t="s">
        <v>6745</v>
      </c>
      <c r="T837" t="s">
        <v>6746</v>
      </c>
      <c r="U837" t="s">
        <v>184</v>
      </c>
      <c r="V837" s="4" t="str">
        <f>"60169"</f>
        <v>60169</v>
      </c>
      <c r="W837" t="s">
        <v>120</v>
      </c>
      <c r="Y837" s="5">
        <v>18478852100</v>
      </c>
      <c r="AA837">
        <v>71399</v>
      </c>
      <c r="AB837" t="s">
        <v>6690</v>
      </c>
      <c r="AC837" t="s">
        <v>6691</v>
      </c>
      <c r="AE837" t="s">
        <v>1710</v>
      </c>
      <c r="AF837" t="s">
        <v>6745</v>
      </c>
      <c r="AH837" t="s">
        <v>6746</v>
      </c>
      <c r="AI837" t="s">
        <v>184</v>
      </c>
      <c r="AJ837" s="4" t="str">
        <f>"60169"</f>
        <v>60169</v>
      </c>
      <c r="AK837" t="s">
        <v>120</v>
      </c>
      <c r="AM837" s="5">
        <v>17657609135</v>
      </c>
      <c r="AO837" t="s">
        <v>6692</v>
      </c>
      <c r="AP837" t="s">
        <v>256</v>
      </c>
      <c r="AQ837" t="s">
        <v>535</v>
      </c>
      <c r="AR837" t="s">
        <v>536</v>
      </c>
      <c r="AS837" t="s">
        <v>537</v>
      </c>
      <c r="AT837" t="s">
        <v>538</v>
      </c>
      <c r="AU837" t="s">
        <v>539</v>
      </c>
      <c r="AV837" t="s">
        <v>540</v>
      </c>
      <c r="AW837" t="s">
        <v>232</v>
      </c>
      <c r="AX837" s="4" t="str">
        <f>"78550"</f>
        <v>78550</v>
      </c>
      <c r="AY837" t="s">
        <v>120</v>
      </c>
      <c r="BA837" s="5">
        <v>19564408720</v>
      </c>
      <c r="BB837">
        <v>0</v>
      </c>
      <c r="BC837" t="s">
        <v>563</v>
      </c>
      <c r="BD837" t="s">
        <v>543</v>
      </c>
      <c r="BG837" t="s">
        <v>154</v>
      </c>
      <c r="BH837" s="1">
        <v>44836.833333333336</v>
      </c>
      <c r="BI837">
        <v>40</v>
      </c>
      <c r="BJ837">
        <v>8</v>
      </c>
      <c r="BK837">
        <v>0</v>
      </c>
      <c r="BL837">
        <v>0</v>
      </c>
      <c r="BM837">
        <v>8</v>
      </c>
      <c r="BN837">
        <v>8</v>
      </c>
      <c r="BO837">
        <v>8</v>
      </c>
      <c r="BP837">
        <v>8</v>
      </c>
      <c r="BQ837" t="str">
        <f>"1:00 PM"</f>
        <v>1:00 PM</v>
      </c>
      <c r="BR837" t="str">
        <f>"10:00 PM"</f>
        <v>10:00 PM</v>
      </c>
      <c r="BS837" t="s">
        <v>133</v>
      </c>
      <c r="BT837">
        <v>0</v>
      </c>
      <c r="BU837">
        <v>0</v>
      </c>
      <c r="BV837" t="s">
        <v>134</v>
      </c>
      <c r="BX837" s="2" t="s">
        <v>579</v>
      </c>
      <c r="BY837" t="s">
        <v>6693</v>
      </c>
      <c r="CA837" t="s">
        <v>2106</v>
      </c>
      <c r="CB837" t="s">
        <v>154</v>
      </c>
      <c r="CC837" s="4" t="str">
        <f>"33534"</f>
        <v>33534</v>
      </c>
      <c r="CD837" t="s">
        <v>566</v>
      </c>
      <c r="CE837" t="s">
        <v>567</v>
      </c>
      <c r="CF837" s="6">
        <v>9.5500000000000007</v>
      </c>
      <c r="CG837" s="6">
        <v>14.37</v>
      </c>
      <c r="CJ837" t="s">
        <v>137</v>
      </c>
      <c r="CK837" t="s">
        <v>549</v>
      </c>
      <c r="CL837" t="s">
        <v>6747</v>
      </c>
      <c r="CO837" t="s">
        <v>138</v>
      </c>
      <c r="CP837" t="s">
        <v>114</v>
      </c>
      <c r="CQ837" t="s">
        <v>114</v>
      </c>
      <c r="CR837" t="s">
        <v>134</v>
      </c>
      <c r="CS837" t="s">
        <v>114</v>
      </c>
      <c r="CT837" t="s">
        <v>114</v>
      </c>
      <c r="CU837" t="s">
        <v>114</v>
      </c>
      <c r="CV837" t="s">
        <v>569</v>
      </c>
      <c r="CW837" s="5" t="str">
        <f>"+17654333038"</f>
        <v>+17654333038</v>
      </c>
      <c r="CX837" t="s">
        <v>6692</v>
      </c>
      <c r="CY837" t="s">
        <v>138</v>
      </c>
      <c r="CZ837" t="s">
        <v>139</v>
      </c>
      <c r="DA837" t="s">
        <v>134</v>
      </c>
      <c r="DB837" t="s">
        <v>114</v>
      </c>
      <c r="DC837" t="s">
        <v>114</v>
      </c>
      <c r="DD837" t="s">
        <v>134</v>
      </c>
    </row>
    <row r="838" spans="1:108" ht="15" customHeight="1" x14ac:dyDescent="0.25">
      <c r="A838" t="s">
        <v>13914</v>
      </c>
      <c r="B838" t="s">
        <v>165</v>
      </c>
      <c r="C838" s="1">
        <v>44835.707338888889</v>
      </c>
      <c r="D838" s="1">
        <v>44862</v>
      </c>
      <c r="E838" t="s">
        <v>134</v>
      </c>
      <c r="F838" t="s">
        <v>1106</v>
      </c>
      <c r="G838" t="str">
        <f>"45-4011.00"</f>
        <v>45-4011.00</v>
      </c>
      <c r="H838" t="s">
        <v>1107</v>
      </c>
      <c r="I838">
        <v>34</v>
      </c>
      <c r="J838">
        <v>34</v>
      </c>
      <c r="K838" s="1">
        <v>44910</v>
      </c>
      <c r="L838" s="1">
        <v>45199</v>
      </c>
      <c r="M838" s="1">
        <v>44910</v>
      </c>
      <c r="N838" s="1">
        <v>45199</v>
      </c>
      <c r="O838" t="s">
        <v>117</v>
      </c>
      <c r="P838" t="s">
        <v>13915</v>
      </c>
      <c r="R838" t="s">
        <v>13916</v>
      </c>
      <c r="T838" t="s">
        <v>2119</v>
      </c>
      <c r="U838" t="s">
        <v>511</v>
      </c>
      <c r="V838" s="4" t="str">
        <f>"97502"</f>
        <v>97502</v>
      </c>
      <c r="W838" t="s">
        <v>120</v>
      </c>
      <c r="Y838" s="5">
        <v>15412271447</v>
      </c>
      <c r="AA838">
        <v>11531</v>
      </c>
      <c r="AB838" t="s">
        <v>13917</v>
      </c>
      <c r="AC838" t="s">
        <v>13918</v>
      </c>
      <c r="AD838" t="s">
        <v>138</v>
      </c>
      <c r="AE838" t="s">
        <v>1855</v>
      </c>
      <c r="AF838" t="s">
        <v>13916</v>
      </c>
      <c r="AH838" t="s">
        <v>2119</v>
      </c>
      <c r="AI838" t="s">
        <v>511</v>
      </c>
      <c r="AJ838" s="4" t="str">
        <f>"97502"</f>
        <v>97502</v>
      </c>
      <c r="AK838" t="s">
        <v>120</v>
      </c>
      <c r="AM838" s="5">
        <v>15412271447</v>
      </c>
      <c r="AO838" t="s">
        <v>13919</v>
      </c>
      <c r="AP838" t="s">
        <v>256</v>
      </c>
      <c r="AQ838" t="s">
        <v>826</v>
      </c>
      <c r="AR838" t="s">
        <v>827</v>
      </c>
      <c r="AS838" t="s">
        <v>138</v>
      </c>
      <c r="AT838" t="s">
        <v>346</v>
      </c>
      <c r="AU838" t="s">
        <v>347</v>
      </c>
      <c r="AV838" t="s">
        <v>828</v>
      </c>
      <c r="AW838" t="s">
        <v>349</v>
      </c>
      <c r="AX838" s="4" t="str">
        <f>"83814"</f>
        <v>83814</v>
      </c>
      <c r="AY838" t="s">
        <v>120</v>
      </c>
      <c r="BA838" s="5">
        <v>12087772654</v>
      </c>
      <c r="BC838" t="s">
        <v>829</v>
      </c>
      <c r="BD838" t="s">
        <v>351</v>
      </c>
      <c r="BG838" t="s">
        <v>511</v>
      </c>
      <c r="BH838" s="1">
        <v>44834.833333333336</v>
      </c>
      <c r="BI838">
        <v>40</v>
      </c>
      <c r="BJ838">
        <v>0</v>
      </c>
      <c r="BK838">
        <v>8</v>
      </c>
      <c r="BL838">
        <v>8</v>
      </c>
      <c r="BM838">
        <v>8</v>
      </c>
      <c r="BN838">
        <v>8</v>
      </c>
      <c r="BO838">
        <v>8</v>
      </c>
      <c r="BP838">
        <v>0</v>
      </c>
      <c r="BQ838" t="str">
        <f>"7:00 AM"</f>
        <v>7:00 AM</v>
      </c>
      <c r="BR838" t="str">
        <f>"3:30 PM"</f>
        <v>3:30 PM</v>
      </c>
      <c r="BS838" t="s">
        <v>133</v>
      </c>
      <c r="BT838">
        <v>0</v>
      </c>
      <c r="BU838">
        <v>3</v>
      </c>
      <c r="BV838" t="s">
        <v>134</v>
      </c>
      <c r="BX838" s="2" t="s">
        <v>13920</v>
      </c>
      <c r="BY838" t="s">
        <v>13921</v>
      </c>
      <c r="CA838" t="s">
        <v>2119</v>
      </c>
      <c r="CB838" t="s">
        <v>511</v>
      </c>
      <c r="CC838" s="4" t="str">
        <f>"97502"</f>
        <v>97502</v>
      </c>
      <c r="CD838" t="s">
        <v>1116</v>
      </c>
      <c r="CE838" t="s">
        <v>1117</v>
      </c>
      <c r="CF838" s="6">
        <v>13.98</v>
      </c>
      <c r="CG838" s="6">
        <v>30</v>
      </c>
      <c r="CH838" s="6">
        <v>20.97</v>
      </c>
      <c r="CI838" s="6">
        <v>45</v>
      </c>
      <c r="CJ838" t="s">
        <v>137</v>
      </c>
      <c r="CK838" t="s">
        <v>1118</v>
      </c>
      <c r="CL838" t="s">
        <v>13922</v>
      </c>
      <c r="CO838" t="s">
        <v>138</v>
      </c>
      <c r="CP838" t="s">
        <v>114</v>
      </c>
      <c r="CQ838" t="s">
        <v>114</v>
      </c>
      <c r="CR838" t="s">
        <v>114</v>
      </c>
      <c r="CS838" t="s">
        <v>134</v>
      </c>
      <c r="CT838" t="s">
        <v>114</v>
      </c>
      <c r="CU838" t="s">
        <v>114</v>
      </c>
      <c r="CV838" t="s">
        <v>358</v>
      </c>
      <c r="CW838" s="5" t="str">
        <f>"+15412271447"</f>
        <v>+15412271447</v>
      </c>
      <c r="CX838" t="s">
        <v>13923</v>
      </c>
      <c r="CY838" t="s">
        <v>138</v>
      </c>
      <c r="CZ838" t="s">
        <v>139</v>
      </c>
      <c r="DA838" t="s">
        <v>134</v>
      </c>
      <c r="DB838" t="s">
        <v>114</v>
      </c>
      <c r="DC838" t="s">
        <v>114</v>
      </c>
      <c r="DD838" t="s">
        <v>134</v>
      </c>
    </row>
    <row r="839" spans="1:108" ht="15" customHeight="1" x14ac:dyDescent="0.25">
      <c r="A839" t="s">
        <v>15355</v>
      </c>
      <c r="B839" t="s">
        <v>165</v>
      </c>
      <c r="C839" s="1">
        <v>44817.839734837966</v>
      </c>
      <c r="D839" s="1">
        <v>44862</v>
      </c>
      <c r="E839" t="s">
        <v>134</v>
      </c>
      <c r="F839" t="s">
        <v>7356</v>
      </c>
      <c r="G839" t="str">
        <f>"45-2092.00"</f>
        <v>45-2092.00</v>
      </c>
      <c r="H839" t="s">
        <v>3089</v>
      </c>
      <c r="I839">
        <v>25</v>
      </c>
      <c r="J839">
        <v>25</v>
      </c>
      <c r="K839" s="1">
        <v>44896</v>
      </c>
      <c r="L839" s="1">
        <v>45046</v>
      </c>
      <c r="M839" s="1">
        <v>44896</v>
      </c>
      <c r="N839" s="1">
        <v>45046</v>
      </c>
      <c r="O839" t="s">
        <v>199</v>
      </c>
      <c r="P839" t="s">
        <v>7357</v>
      </c>
      <c r="R839" t="s">
        <v>7358</v>
      </c>
      <c r="T839" t="s">
        <v>6056</v>
      </c>
      <c r="U839" t="s">
        <v>1361</v>
      </c>
      <c r="V839" s="4" t="str">
        <f>"38834"</f>
        <v>38834</v>
      </c>
      <c r="W839" t="s">
        <v>120</v>
      </c>
      <c r="Y839" s="5">
        <v>16626434216</v>
      </c>
      <c r="AA839">
        <v>1130</v>
      </c>
      <c r="AB839" t="s">
        <v>2592</v>
      </c>
      <c r="AC839" t="s">
        <v>6978</v>
      </c>
      <c r="AD839" t="s">
        <v>138</v>
      </c>
      <c r="AE839" t="s">
        <v>285</v>
      </c>
      <c r="AF839" t="s">
        <v>7358</v>
      </c>
      <c r="AH839" t="s">
        <v>6056</v>
      </c>
      <c r="AI839" t="s">
        <v>1361</v>
      </c>
      <c r="AJ839" s="4" t="str">
        <f>"38834"</f>
        <v>38834</v>
      </c>
      <c r="AK839" t="s">
        <v>120</v>
      </c>
      <c r="AM839" s="5">
        <v>16626434216</v>
      </c>
      <c r="AO839" t="s">
        <v>138</v>
      </c>
      <c r="AP839" t="s">
        <v>256</v>
      </c>
      <c r="AQ839" t="s">
        <v>1928</v>
      </c>
      <c r="AR839" t="s">
        <v>1929</v>
      </c>
      <c r="AS839" t="s">
        <v>1685</v>
      </c>
      <c r="AT839" t="s">
        <v>1930</v>
      </c>
      <c r="AU839" t="s">
        <v>1931</v>
      </c>
      <c r="AV839" t="s">
        <v>1932</v>
      </c>
      <c r="AW839" t="s">
        <v>349</v>
      </c>
      <c r="AX839" s="4" t="str">
        <f>"83814"</f>
        <v>83814</v>
      </c>
      <c r="AY839" t="s">
        <v>120</v>
      </c>
      <c r="BA839" s="5">
        <v>12087772654</v>
      </c>
      <c r="BC839" t="s">
        <v>1933</v>
      </c>
      <c r="BD839" t="s">
        <v>351</v>
      </c>
      <c r="BG839" t="s">
        <v>1349</v>
      </c>
      <c r="BH839" s="1">
        <v>44816.833333333336</v>
      </c>
      <c r="BI839">
        <v>35</v>
      </c>
      <c r="BJ839">
        <v>0</v>
      </c>
      <c r="BK839">
        <v>7</v>
      </c>
      <c r="BL839">
        <v>7</v>
      </c>
      <c r="BM839">
        <v>7</v>
      </c>
      <c r="BN839">
        <v>7</v>
      </c>
      <c r="BO839">
        <v>7</v>
      </c>
      <c r="BP839">
        <v>0</v>
      </c>
      <c r="BQ839" t="str">
        <f>"8:00 AM"</f>
        <v>8:00 AM</v>
      </c>
      <c r="BR839" t="str">
        <f>"4:00 PM"</f>
        <v>4:00 PM</v>
      </c>
      <c r="BS839" t="s">
        <v>133</v>
      </c>
      <c r="BT839">
        <v>0</v>
      </c>
      <c r="BU839">
        <v>0</v>
      </c>
      <c r="BV839" t="s">
        <v>134</v>
      </c>
      <c r="BX839" t="s">
        <v>15356</v>
      </c>
      <c r="BY839" t="s">
        <v>15357</v>
      </c>
      <c r="CA839" t="s">
        <v>6999</v>
      </c>
      <c r="CB839" t="s">
        <v>1349</v>
      </c>
      <c r="CC839" s="4" t="str">
        <f>"72117"</f>
        <v>72117</v>
      </c>
      <c r="CD839" t="s">
        <v>4412</v>
      </c>
      <c r="CE839" t="s">
        <v>4413</v>
      </c>
      <c r="CF839" s="6">
        <v>12.77</v>
      </c>
      <c r="CH839" s="6">
        <v>19.16</v>
      </c>
      <c r="CJ839" t="s">
        <v>137</v>
      </c>
      <c r="CK839" t="s">
        <v>15358</v>
      </c>
      <c r="CL839" t="s">
        <v>15359</v>
      </c>
      <c r="CO839" t="s">
        <v>138</v>
      </c>
      <c r="CP839" t="s">
        <v>134</v>
      </c>
      <c r="CQ839" t="s">
        <v>134</v>
      </c>
      <c r="CR839" t="s">
        <v>114</v>
      </c>
      <c r="CS839" t="s">
        <v>114</v>
      </c>
      <c r="CT839" t="s">
        <v>114</v>
      </c>
      <c r="CU839" t="s">
        <v>134</v>
      </c>
      <c r="CV839" t="s">
        <v>358</v>
      </c>
      <c r="CW839" s="5" t="str">
        <f>"+16626434216"</f>
        <v>+16626434216</v>
      </c>
      <c r="CX839" t="s">
        <v>7360</v>
      </c>
      <c r="CY839" t="s">
        <v>6614</v>
      </c>
      <c r="CZ839" t="s">
        <v>139</v>
      </c>
      <c r="DA839" t="s">
        <v>134</v>
      </c>
      <c r="DB839" t="s">
        <v>114</v>
      </c>
      <c r="DC839" t="s">
        <v>114</v>
      </c>
      <c r="DD839" t="s">
        <v>134</v>
      </c>
    </row>
    <row r="840" spans="1:108" ht="15" customHeight="1" x14ac:dyDescent="0.25">
      <c r="A840" t="s">
        <v>8666</v>
      </c>
      <c r="B840" t="s">
        <v>165</v>
      </c>
      <c r="C840" s="1">
        <v>44817.727258217594</v>
      </c>
      <c r="D840" s="1">
        <v>44862</v>
      </c>
      <c r="E840" t="s">
        <v>134</v>
      </c>
      <c r="F840" t="s">
        <v>8103</v>
      </c>
      <c r="G840" t="str">
        <f>"35-2021.00"</f>
        <v>35-2021.00</v>
      </c>
      <c r="H840" t="s">
        <v>718</v>
      </c>
      <c r="I840">
        <v>10</v>
      </c>
      <c r="J840">
        <v>10</v>
      </c>
      <c r="K840" s="1">
        <v>44893</v>
      </c>
      <c r="L840" s="1">
        <v>45138</v>
      </c>
      <c r="M840" s="1">
        <v>44893</v>
      </c>
      <c r="N840" s="1">
        <v>45138</v>
      </c>
      <c r="O840" t="s">
        <v>117</v>
      </c>
      <c r="P840" t="s">
        <v>8667</v>
      </c>
      <c r="R840" t="s">
        <v>8668</v>
      </c>
      <c r="T840" t="s">
        <v>8669</v>
      </c>
      <c r="U840" t="s">
        <v>232</v>
      </c>
      <c r="V840" s="4" t="str">
        <f>"78211"</f>
        <v>78211</v>
      </c>
      <c r="W840" t="s">
        <v>120</v>
      </c>
      <c r="Y840" s="5">
        <v>12109221306</v>
      </c>
      <c r="AA840">
        <v>72251</v>
      </c>
      <c r="AB840" t="s">
        <v>4280</v>
      </c>
      <c r="AC840" t="s">
        <v>4347</v>
      </c>
      <c r="AE840" t="s">
        <v>1849</v>
      </c>
      <c r="AF840" t="s">
        <v>8668</v>
      </c>
      <c r="AH840" t="s">
        <v>8669</v>
      </c>
      <c r="AI840" t="s">
        <v>232</v>
      </c>
      <c r="AJ840" s="4" t="str">
        <f>"78211"</f>
        <v>78211</v>
      </c>
      <c r="AK840" t="s">
        <v>120</v>
      </c>
      <c r="AM840" s="5">
        <v>12109221306</v>
      </c>
      <c r="AO840" t="s">
        <v>8670</v>
      </c>
      <c r="AP840" t="s">
        <v>256</v>
      </c>
      <c r="AQ840" t="s">
        <v>8671</v>
      </c>
      <c r="AR840" t="s">
        <v>8672</v>
      </c>
      <c r="AS840" t="s">
        <v>8672</v>
      </c>
      <c r="AT840" t="s">
        <v>8673</v>
      </c>
      <c r="AU840" t="s">
        <v>8674</v>
      </c>
      <c r="AV840" t="s">
        <v>1545</v>
      </c>
      <c r="AW840" t="s">
        <v>232</v>
      </c>
      <c r="AX840" s="4" t="str">
        <f>"77057"</f>
        <v>77057</v>
      </c>
      <c r="AY840" t="s">
        <v>120</v>
      </c>
      <c r="AZ840" t="s">
        <v>7866</v>
      </c>
      <c r="BA840" s="5">
        <v>17138218466</v>
      </c>
      <c r="BC840" t="s">
        <v>8675</v>
      </c>
      <c r="BD840" t="s">
        <v>8676</v>
      </c>
      <c r="BG840" t="s">
        <v>232</v>
      </c>
      <c r="BH840" s="1">
        <v>44809.833333333336</v>
      </c>
      <c r="BI840">
        <v>40</v>
      </c>
      <c r="BJ840">
        <v>0</v>
      </c>
      <c r="BK840">
        <v>8</v>
      </c>
      <c r="BL840">
        <v>8</v>
      </c>
      <c r="BM840">
        <v>8</v>
      </c>
      <c r="BN840">
        <v>8</v>
      </c>
      <c r="BO840">
        <v>8</v>
      </c>
      <c r="BP840">
        <v>0</v>
      </c>
      <c r="BQ840" t="str">
        <f>"7:00 AM"</f>
        <v>7:00 AM</v>
      </c>
      <c r="BR840" t="str">
        <f>"4:00 PM"</f>
        <v>4:00 PM</v>
      </c>
      <c r="BS840" t="s">
        <v>133</v>
      </c>
      <c r="BT840">
        <v>0</v>
      </c>
      <c r="BU840">
        <v>3</v>
      </c>
      <c r="BV840" t="s">
        <v>134</v>
      </c>
      <c r="BX840" t="s">
        <v>133</v>
      </c>
      <c r="BY840" t="s">
        <v>8668</v>
      </c>
      <c r="CA840" t="s">
        <v>8669</v>
      </c>
      <c r="CB840" t="s">
        <v>232</v>
      </c>
      <c r="CC840" s="4" t="str">
        <f>"78211"</f>
        <v>78211</v>
      </c>
      <c r="CD840" t="s">
        <v>2112</v>
      </c>
      <c r="CE840" t="s">
        <v>1342</v>
      </c>
      <c r="CF840" s="6">
        <v>13.83</v>
      </c>
      <c r="CG840" s="6">
        <v>13.83</v>
      </c>
      <c r="CH840" s="6">
        <v>20.75</v>
      </c>
      <c r="CI840" s="6">
        <v>20.75</v>
      </c>
      <c r="CJ840" t="s">
        <v>137</v>
      </c>
      <c r="CK840" t="s">
        <v>133</v>
      </c>
      <c r="CL840" t="s">
        <v>8677</v>
      </c>
      <c r="CO840" t="s">
        <v>138</v>
      </c>
      <c r="CP840" t="s">
        <v>134</v>
      </c>
      <c r="CQ840" t="s">
        <v>134</v>
      </c>
      <c r="CR840" t="s">
        <v>114</v>
      </c>
      <c r="CS840" t="s">
        <v>134</v>
      </c>
      <c r="CT840" t="s">
        <v>114</v>
      </c>
      <c r="CU840" t="s">
        <v>134</v>
      </c>
      <c r="CV840" t="s">
        <v>8678</v>
      </c>
      <c r="CW840" s="5" t="str">
        <f>"+12109221306"</f>
        <v>+12109221306</v>
      </c>
      <c r="CX840" t="s">
        <v>8679</v>
      </c>
      <c r="CY840" t="s">
        <v>138</v>
      </c>
      <c r="CZ840" t="s">
        <v>139</v>
      </c>
      <c r="DA840" t="s">
        <v>134</v>
      </c>
      <c r="DB840" t="s">
        <v>134</v>
      </c>
      <c r="DC840" t="s">
        <v>114</v>
      </c>
      <c r="DD840" t="s">
        <v>134</v>
      </c>
    </row>
    <row r="841" spans="1:108" ht="15" customHeight="1" x14ac:dyDescent="0.25">
      <c r="A841" t="s">
        <v>12302</v>
      </c>
      <c r="B841" t="s">
        <v>165</v>
      </c>
      <c r="C841" s="1">
        <v>44778.566333101851</v>
      </c>
      <c r="D841" s="1">
        <v>44862</v>
      </c>
      <c r="E841" t="s">
        <v>134</v>
      </c>
      <c r="F841" t="s">
        <v>2320</v>
      </c>
      <c r="G841" t="str">
        <f>"37-3011.00"</f>
        <v>37-3011.00</v>
      </c>
      <c r="H841" t="s">
        <v>335</v>
      </c>
      <c r="I841">
        <v>15</v>
      </c>
      <c r="J841">
        <v>15</v>
      </c>
      <c r="K841" s="1">
        <v>44853</v>
      </c>
      <c r="L841" s="1">
        <v>45016</v>
      </c>
      <c r="M841" s="1">
        <v>44853</v>
      </c>
      <c r="N841" s="1">
        <v>45016</v>
      </c>
      <c r="O841" t="s">
        <v>199</v>
      </c>
      <c r="P841" t="s">
        <v>12303</v>
      </c>
      <c r="R841" t="s">
        <v>12304</v>
      </c>
      <c r="T841" t="s">
        <v>5699</v>
      </c>
      <c r="U841" t="s">
        <v>232</v>
      </c>
      <c r="V841" s="4" t="str">
        <f>"79922"</f>
        <v>79922</v>
      </c>
      <c r="W841" t="s">
        <v>120</v>
      </c>
      <c r="Y841" s="5">
        <v>19152387666</v>
      </c>
      <c r="AA841">
        <v>56173</v>
      </c>
      <c r="AB841" t="s">
        <v>7029</v>
      </c>
      <c r="AC841" t="s">
        <v>12305</v>
      </c>
      <c r="AE841" t="s">
        <v>424</v>
      </c>
      <c r="AF841" t="s">
        <v>12306</v>
      </c>
      <c r="AH841" t="s">
        <v>5699</v>
      </c>
      <c r="AI841" t="s">
        <v>232</v>
      </c>
      <c r="AJ841" s="4" t="str">
        <f>"79922"</f>
        <v>79922</v>
      </c>
      <c r="AK841" t="s">
        <v>120</v>
      </c>
      <c r="AM841" s="5">
        <v>19152387666</v>
      </c>
      <c r="AO841" t="s">
        <v>12307</v>
      </c>
      <c r="AP841" t="s">
        <v>122</v>
      </c>
      <c r="AQ841" t="s">
        <v>864</v>
      </c>
      <c r="AR841" t="s">
        <v>865</v>
      </c>
      <c r="AS841" t="s">
        <v>370</v>
      </c>
      <c r="AT841" t="s">
        <v>12308</v>
      </c>
      <c r="AU841" t="s">
        <v>12309</v>
      </c>
      <c r="AV841" t="s">
        <v>684</v>
      </c>
      <c r="AW841" t="s">
        <v>232</v>
      </c>
      <c r="AX841" s="4" t="str">
        <f>"78758"</f>
        <v>78758</v>
      </c>
      <c r="AY841" t="s">
        <v>120</v>
      </c>
      <c r="BA841" s="5">
        <v>15128722894</v>
      </c>
      <c r="BC841" t="s">
        <v>868</v>
      </c>
      <c r="BD841" t="s">
        <v>2669</v>
      </c>
      <c r="BE841" t="s">
        <v>232</v>
      </c>
      <c r="BF841" t="s">
        <v>870</v>
      </c>
      <c r="BG841" t="s">
        <v>232</v>
      </c>
      <c r="BH841" s="1">
        <v>44777.833333333336</v>
      </c>
      <c r="BI841">
        <v>40</v>
      </c>
      <c r="BJ841">
        <v>0</v>
      </c>
      <c r="BK841">
        <v>8</v>
      </c>
      <c r="BL841">
        <v>8</v>
      </c>
      <c r="BM841">
        <v>8</v>
      </c>
      <c r="BN841">
        <v>8</v>
      </c>
      <c r="BO841">
        <v>8</v>
      </c>
      <c r="BP841">
        <v>0</v>
      </c>
      <c r="BQ841" t="str">
        <f>"8:00 AM"</f>
        <v>8:00 AM</v>
      </c>
      <c r="BR841" t="str">
        <f>"5:00 PM"</f>
        <v>5:00 PM</v>
      </c>
      <c r="BS841" t="s">
        <v>133</v>
      </c>
      <c r="BT841">
        <v>0</v>
      </c>
      <c r="BU841">
        <v>0</v>
      </c>
      <c r="BV841" t="s">
        <v>134</v>
      </c>
      <c r="BX841" t="s">
        <v>9078</v>
      </c>
      <c r="BY841" t="s">
        <v>12310</v>
      </c>
      <c r="CA841" t="s">
        <v>1711</v>
      </c>
      <c r="CB841" t="s">
        <v>232</v>
      </c>
      <c r="CC841" s="4" t="str">
        <f>"79922"</f>
        <v>79922</v>
      </c>
      <c r="CD841" t="s">
        <v>1711</v>
      </c>
      <c r="CE841" t="s">
        <v>6131</v>
      </c>
      <c r="CF841" s="6">
        <v>12.93</v>
      </c>
      <c r="CH841" s="6">
        <v>19.399999999999999</v>
      </c>
      <c r="CJ841" t="s">
        <v>137</v>
      </c>
      <c r="CL841" t="s">
        <v>12311</v>
      </c>
      <c r="CO841" t="s">
        <v>138</v>
      </c>
      <c r="CP841" t="s">
        <v>114</v>
      </c>
      <c r="CQ841" t="s">
        <v>114</v>
      </c>
      <c r="CR841" t="s">
        <v>114</v>
      </c>
      <c r="CS841" t="s">
        <v>134</v>
      </c>
      <c r="CT841" t="s">
        <v>114</v>
      </c>
      <c r="CU841" t="s">
        <v>134</v>
      </c>
      <c r="CV841" t="s">
        <v>611</v>
      </c>
      <c r="CW841" s="5" t="str">
        <f>"+19152387666"</f>
        <v>+19152387666</v>
      </c>
      <c r="CX841" t="s">
        <v>12312</v>
      </c>
      <c r="CY841" t="s">
        <v>138</v>
      </c>
      <c r="CZ841" t="s">
        <v>139</v>
      </c>
      <c r="DA841" t="s">
        <v>134</v>
      </c>
      <c r="DB841" t="s">
        <v>134</v>
      </c>
      <c r="DC841" t="s">
        <v>114</v>
      </c>
      <c r="DD841" t="s">
        <v>134</v>
      </c>
    </row>
    <row r="842" spans="1:108" ht="15" customHeight="1" x14ac:dyDescent="0.25">
      <c r="A842" t="s">
        <v>14663</v>
      </c>
      <c r="B842" t="s">
        <v>165</v>
      </c>
      <c r="C842" s="1">
        <v>44838.000408680557</v>
      </c>
      <c r="D842" s="1">
        <v>44861</v>
      </c>
      <c r="E842" t="s">
        <v>134</v>
      </c>
      <c r="F842" t="s">
        <v>334</v>
      </c>
      <c r="G842" t="str">
        <f>"37-3011.00"</f>
        <v>37-3011.00</v>
      </c>
      <c r="H842" t="s">
        <v>335</v>
      </c>
      <c r="I842">
        <v>19</v>
      </c>
      <c r="J842">
        <v>19</v>
      </c>
      <c r="K842" s="1">
        <v>44928</v>
      </c>
      <c r="L842" s="1">
        <v>45231</v>
      </c>
      <c r="M842" s="1">
        <v>44928</v>
      </c>
      <c r="N842" s="1">
        <v>45231</v>
      </c>
      <c r="O842" t="s">
        <v>117</v>
      </c>
      <c r="P842" t="s">
        <v>938</v>
      </c>
      <c r="R842" t="s">
        <v>14664</v>
      </c>
      <c r="S842" t="s">
        <v>14665</v>
      </c>
      <c r="T842" t="s">
        <v>1301</v>
      </c>
      <c r="U842" t="s">
        <v>232</v>
      </c>
      <c r="V842" s="4" t="str">
        <f>"77808"</f>
        <v>77808</v>
      </c>
      <c r="W842" t="s">
        <v>120</v>
      </c>
      <c r="Y842" s="5">
        <v>13864376211</v>
      </c>
      <c r="AA842">
        <v>56173</v>
      </c>
      <c r="AB842" t="s">
        <v>942</v>
      </c>
      <c r="AC842" t="s">
        <v>943</v>
      </c>
      <c r="AE842" t="s">
        <v>944</v>
      </c>
      <c r="AF842" t="s">
        <v>14664</v>
      </c>
      <c r="AG842" t="s">
        <v>14665</v>
      </c>
      <c r="AH842" t="s">
        <v>1301</v>
      </c>
      <c r="AI842" t="s">
        <v>232</v>
      </c>
      <c r="AJ842" s="4" t="str">
        <f>"77808"</f>
        <v>77808</v>
      </c>
      <c r="AK842" t="s">
        <v>120</v>
      </c>
      <c r="AM842" s="5">
        <v>13864376211</v>
      </c>
      <c r="AO842" t="s">
        <v>945</v>
      </c>
      <c r="AP842" t="s">
        <v>256</v>
      </c>
      <c r="AQ842" t="s">
        <v>400</v>
      </c>
      <c r="AR842" t="s">
        <v>401</v>
      </c>
      <c r="AS842" t="s">
        <v>397</v>
      </c>
      <c r="AT842" t="s">
        <v>402</v>
      </c>
      <c r="AU842" t="s">
        <v>152</v>
      </c>
      <c r="AV842" t="s">
        <v>403</v>
      </c>
      <c r="AW842" t="s">
        <v>232</v>
      </c>
      <c r="AX842" s="4" t="str">
        <f>"75033"</f>
        <v>75033</v>
      </c>
      <c r="AY842" t="s">
        <v>120</v>
      </c>
      <c r="BA842" s="5">
        <v>19727789690</v>
      </c>
      <c r="BC842" t="s">
        <v>946</v>
      </c>
      <c r="BD842" t="s">
        <v>405</v>
      </c>
      <c r="BG842" t="s">
        <v>232</v>
      </c>
      <c r="BH842" s="1">
        <v>44837.833333333336</v>
      </c>
      <c r="BI842">
        <v>40</v>
      </c>
      <c r="BJ842">
        <v>0</v>
      </c>
      <c r="BK842">
        <v>0</v>
      </c>
      <c r="BL842">
        <v>8</v>
      </c>
      <c r="BM842">
        <v>8</v>
      </c>
      <c r="BN842">
        <v>8</v>
      </c>
      <c r="BO842">
        <v>8</v>
      </c>
      <c r="BP842">
        <v>8</v>
      </c>
      <c r="BQ842" t="str">
        <f>"7:00 AM"</f>
        <v>7:00 AM</v>
      </c>
      <c r="BR842" t="str">
        <f>"4:00 PM"</f>
        <v>4:00 PM</v>
      </c>
      <c r="BS842" t="s">
        <v>133</v>
      </c>
      <c r="BT842">
        <v>0</v>
      </c>
      <c r="BU842">
        <v>0</v>
      </c>
      <c r="BV842" t="s">
        <v>134</v>
      </c>
      <c r="BX842" t="s">
        <v>947</v>
      </c>
      <c r="BY842" t="s">
        <v>14664</v>
      </c>
      <c r="CA842" t="s">
        <v>1301</v>
      </c>
      <c r="CB842" t="s">
        <v>232</v>
      </c>
      <c r="CC842" s="4" t="str">
        <f>"77808"</f>
        <v>77808</v>
      </c>
      <c r="CD842" t="s">
        <v>5931</v>
      </c>
      <c r="CE842" t="s">
        <v>5932</v>
      </c>
      <c r="CF842" s="6">
        <v>15.56</v>
      </c>
      <c r="CG842" s="6">
        <v>15.56</v>
      </c>
      <c r="CH842" s="6">
        <v>23.34</v>
      </c>
      <c r="CI842" s="6">
        <v>23.34</v>
      </c>
      <c r="CJ842" t="s">
        <v>137</v>
      </c>
      <c r="CK842" t="s">
        <v>950</v>
      </c>
      <c r="CL842" t="s">
        <v>14666</v>
      </c>
      <c r="CO842" t="s">
        <v>138</v>
      </c>
      <c r="CP842" t="s">
        <v>114</v>
      </c>
      <c r="CQ842" t="s">
        <v>114</v>
      </c>
      <c r="CR842" t="s">
        <v>114</v>
      </c>
      <c r="CS842" t="s">
        <v>114</v>
      </c>
      <c r="CT842" t="s">
        <v>114</v>
      </c>
      <c r="CU842" t="s">
        <v>134</v>
      </c>
      <c r="CV842" s="2" t="s">
        <v>14667</v>
      </c>
      <c r="CW842" s="5" t="str">
        <f>"+13864376211"</f>
        <v>+13864376211</v>
      </c>
      <c r="CX842" t="s">
        <v>138</v>
      </c>
      <c r="CY842" t="s">
        <v>953</v>
      </c>
      <c r="CZ842" t="s">
        <v>139</v>
      </c>
      <c r="DA842" t="s">
        <v>134</v>
      </c>
      <c r="DB842" t="s">
        <v>114</v>
      </c>
      <c r="DC842" t="s">
        <v>114</v>
      </c>
      <c r="DD842" t="s">
        <v>134</v>
      </c>
    </row>
    <row r="843" spans="1:108" ht="15" customHeight="1" x14ac:dyDescent="0.25">
      <c r="A843" t="s">
        <v>3286</v>
      </c>
      <c r="B843" t="s">
        <v>165</v>
      </c>
      <c r="C843" s="1">
        <v>44838.000198958332</v>
      </c>
      <c r="D843" s="1">
        <v>44861</v>
      </c>
      <c r="E843" t="s">
        <v>134</v>
      </c>
      <c r="F843" t="s">
        <v>334</v>
      </c>
      <c r="G843" t="str">
        <f>"37-3011.00"</f>
        <v>37-3011.00</v>
      </c>
      <c r="H843" t="s">
        <v>335</v>
      </c>
      <c r="I843">
        <v>313</v>
      </c>
      <c r="J843">
        <v>313</v>
      </c>
      <c r="K843" s="1">
        <v>44928</v>
      </c>
      <c r="L843" s="1">
        <v>45231</v>
      </c>
      <c r="M843" s="1">
        <v>44928</v>
      </c>
      <c r="N843" s="1">
        <v>45231</v>
      </c>
      <c r="O843" t="s">
        <v>117</v>
      </c>
      <c r="P843" t="s">
        <v>938</v>
      </c>
      <c r="R843" t="s">
        <v>3287</v>
      </c>
      <c r="T843" t="s">
        <v>1545</v>
      </c>
      <c r="U843" t="s">
        <v>232</v>
      </c>
      <c r="V843" s="4" t="str">
        <f>"77043"</f>
        <v>77043</v>
      </c>
      <c r="W843" t="s">
        <v>120</v>
      </c>
      <c r="Y843" s="5">
        <v>13864376211</v>
      </c>
      <c r="AA843">
        <v>56173</v>
      </c>
      <c r="AB843" t="s">
        <v>942</v>
      </c>
      <c r="AC843" t="s">
        <v>943</v>
      </c>
      <c r="AE843" t="s">
        <v>944</v>
      </c>
      <c r="AF843" t="s">
        <v>3288</v>
      </c>
      <c r="AH843" t="s">
        <v>1545</v>
      </c>
      <c r="AI843" t="s">
        <v>232</v>
      </c>
      <c r="AJ843" s="4" t="str">
        <f>"77043"</f>
        <v>77043</v>
      </c>
      <c r="AK843" t="s">
        <v>120</v>
      </c>
      <c r="AM843" s="5">
        <v>13864376211</v>
      </c>
      <c r="AO843" t="s">
        <v>945</v>
      </c>
      <c r="AP843" t="s">
        <v>256</v>
      </c>
      <c r="AQ843" t="s">
        <v>400</v>
      </c>
      <c r="AR843" t="s">
        <v>401</v>
      </c>
      <c r="AS843" t="s">
        <v>397</v>
      </c>
      <c r="AT843" t="s">
        <v>402</v>
      </c>
      <c r="AU843" t="s">
        <v>152</v>
      </c>
      <c r="AV843" t="s">
        <v>403</v>
      </c>
      <c r="AW843" t="s">
        <v>232</v>
      </c>
      <c r="AX843" s="4" t="str">
        <f>"75033"</f>
        <v>75033</v>
      </c>
      <c r="AY843" t="s">
        <v>120</v>
      </c>
      <c r="BA843" s="5">
        <v>19727789690</v>
      </c>
      <c r="BC843" t="s">
        <v>946</v>
      </c>
      <c r="BD843" t="s">
        <v>405</v>
      </c>
      <c r="BG843" t="s">
        <v>232</v>
      </c>
      <c r="BH843" s="1">
        <v>44837.833333333336</v>
      </c>
      <c r="BI843">
        <v>40</v>
      </c>
      <c r="BJ843">
        <v>0</v>
      </c>
      <c r="BK843">
        <v>8</v>
      </c>
      <c r="BL843">
        <v>8</v>
      </c>
      <c r="BM843">
        <v>8</v>
      </c>
      <c r="BN843">
        <v>8</v>
      </c>
      <c r="BO843">
        <v>8</v>
      </c>
      <c r="BP843">
        <v>0</v>
      </c>
      <c r="BQ843" t="str">
        <f>"7:00 AM"</f>
        <v>7:00 AM</v>
      </c>
      <c r="BR843" t="str">
        <f>"4:00 PM"</f>
        <v>4:00 PM</v>
      </c>
      <c r="BS843" t="s">
        <v>133</v>
      </c>
      <c r="BT843">
        <v>0</v>
      </c>
      <c r="BU843">
        <v>0</v>
      </c>
      <c r="BV843" t="s">
        <v>134</v>
      </c>
      <c r="BX843" s="2" t="s">
        <v>3289</v>
      </c>
      <c r="BY843" t="s">
        <v>3287</v>
      </c>
      <c r="CA843" t="s">
        <v>1545</v>
      </c>
      <c r="CB843" t="s">
        <v>232</v>
      </c>
      <c r="CC843" s="4" t="str">
        <f>"77043"</f>
        <v>77043</v>
      </c>
      <c r="CD843" t="s">
        <v>3290</v>
      </c>
      <c r="CE843" t="s">
        <v>873</v>
      </c>
      <c r="CF843" s="6">
        <v>15.56</v>
      </c>
      <c r="CG843" s="6">
        <v>15.56</v>
      </c>
      <c r="CH843" s="6">
        <v>23.34</v>
      </c>
      <c r="CI843" s="6">
        <v>23.34</v>
      </c>
      <c r="CJ843" t="s">
        <v>137</v>
      </c>
      <c r="CK843" t="s">
        <v>950</v>
      </c>
      <c r="CL843" t="s">
        <v>3291</v>
      </c>
      <c r="CO843" t="s">
        <v>138</v>
      </c>
      <c r="CP843" t="s">
        <v>114</v>
      </c>
      <c r="CQ843" t="s">
        <v>114</v>
      </c>
      <c r="CR843" t="s">
        <v>114</v>
      </c>
      <c r="CS843" t="s">
        <v>114</v>
      </c>
      <c r="CT843" t="s">
        <v>114</v>
      </c>
      <c r="CU843" t="s">
        <v>134</v>
      </c>
      <c r="CV843" s="2" t="s">
        <v>3292</v>
      </c>
      <c r="CW843" s="5" t="str">
        <f>"+13864376211"</f>
        <v>+13864376211</v>
      </c>
      <c r="CX843" t="s">
        <v>138</v>
      </c>
      <c r="CY843" t="s">
        <v>953</v>
      </c>
      <c r="CZ843" t="s">
        <v>139</v>
      </c>
      <c r="DA843" t="s">
        <v>134</v>
      </c>
      <c r="DB843" t="s">
        <v>114</v>
      </c>
      <c r="DC843" t="s">
        <v>114</v>
      </c>
      <c r="DD843" t="s">
        <v>134</v>
      </c>
    </row>
    <row r="844" spans="1:108" ht="15" customHeight="1" x14ac:dyDescent="0.25">
      <c r="A844" t="s">
        <v>15238</v>
      </c>
      <c r="B844" t="s">
        <v>165</v>
      </c>
      <c r="C844" s="1">
        <v>44837.60556585648</v>
      </c>
      <c r="D844" s="1">
        <v>44861</v>
      </c>
      <c r="E844" t="s">
        <v>134</v>
      </c>
      <c r="F844" t="s">
        <v>1106</v>
      </c>
      <c r="G844" t="str">
        <f>"45-4011.00"</f>
        <v>45-4011.00</v>
      </c>
      <c r="H844" t="s">
        <v>1107</v>
      </c>
      <c r="I844">
        <v>37</v>
      </c>
      <c r="J844">
        <v>37</v>
      </c>
      <c r="K844" s="1">
        <v>44927</v>
      </c>
      <c r="L844" s="1">
        <v>45137</v>
      </c>
      <c r="M844" s="1">
        <v>44927</v>
      </c>
      <c r="N844" s="1">
        <v>45137</v>
      </c>
      <c r="O844" t="s">
        <v>199</v>
      </c>
      <c r="P844" t="s">
        <v>15239</v>
      </c>
      <c r="R844" t="s">
        <v>15240</v>
      </c>
      <c r="T844" t="s">
        <v>7890</v>
      </c>
      <c r="U844" t="s">
        <v>511</v>
      </c>
      <c r="V844" s="4" t="str">
        <f>"97392"</f>
        <v>97392</v>
      </c>
      <c r="W844" t="s">
        <v>120</v>
      </c>
      <c r="Y844" s="5">
        <v>15035093409</v>
      </c>
      <c r="AA844">
        <v>115310</v>
      </c>
      <c r="AB844" t="s">
        <v>15241</v>
      </c>
      <c r="AC844" t="s">
        <v>15242</v>
      </c>
      <c r="AE844" t="s">
        <v>1710</v>
      </c>
      <c r="AF844" t="s">
        <v>15240</v>
      </c>
      <c r="AH844" t="s">
        <v>7890</v>
      </c>
      <c r="AI844" t="s">
        <v>511</v>
      </c>
      <c r="AJ844" s="4" t="str">
        <f>"97392"</f>
        <v>97392</v>
      </c>
      <c r="AK844" t="s">
        <v>120</v>
      </c>
      <c r="AM844" s="5">
        <v>15035093409</v>
      </c>
      <c r="AO844" t="s">
        <v>15243</v>
      </c>
      <c r="AP844" t="s">
        <v>256</v>
      </c>
      <c r="AQ844" t="s">
        <v>2277</v>
      </c>
      <c r="AR844" t="s">
        <v>1175</v>
      </c>
      <c r="AS844" t="s">
        <v>138</v>
      </c>
      <c r="AT844" t="s">
        <v>2278</v>
      </c>
      <c r="AU844" t="s">
        <v>347</v>
      </c>
      <c r="AV844" t="s">
        <v>15244</v>
      </c>
      <c r="AW844" t="s">
        <v>349</v>
      </c>
      <c r="AX844" s="4" t="str">
        <f>"83814"</f>
        <v>83814</v>
      </c>
      <c r="AY844" t="s">
        <v>120</v>
      </c>
      <c r="BA844" s="5">
        <v>12087772654</v>
      </c>
      <c r="BC844" t="s">
        <v>2279</v>
      </c>
      <c r="BD844" t="s">
        <v>351</v>
      </c>
      <c r="BG844" t="s">
        <v>511</v>
      </c>
      <c r="BH844" s="1">
        <v>44797.833333333336</v>
      </c>
      <c r="BI844">
        <v>40</v>
      </c>
      <c r="BJ844">
        <v>0</v>
      </c>
      <c r="BK844">
        <v>8</v>
      </c>
      <c r="BL844">
        <v>8</v>
      </c>
      <c r="BM844">
        <v>8</v>
      </c>
      <c r="BN844">
        <v>8</v>
      </c>
      <c r="BO844">
        <v>8</v>
      </c>
      <c r="BP844">
        <v>0</v>
      </c>
      <c r="BQ844" t="str">
        <f>"7:00 AM"</f>
        <v>7:00 AM</v>
      </c>
      <c r="BR844" t="str">
        <f>"3:30 PM"</f>
        <v>3:30 PM</v>
      </c>
      <c r="BS844" t="s">
        <v>133</v>
      </c>
      <c r="BT844">
        <v>0</v>
      </c>
      <c r="BU844">
        <v>3</v>
      </c>
      <c r="BV844" t="s">
        <v>134</v>
      </c>
      <c r="BX844" s="2" t="s">
        <v>2234</v>
      </c>
      <c r="BY844" t="s">
        <v>15245</v>
      </c>
      <c r="CA844" t="s">
        <v>7890</v>
      </c>
      <c r="CB844" t="s">
        <v>511</v>
      </c>
      <c r="CC844" s="4" t="str">
        <f>"97392"</f>
        <v>97392</v>
      </c>
      <c r="CD844" t="s">
        <v>638</v>
      </c>
      <c r="CE844" t="s">
        <v>3149</v>
      </c>
      <c r="CF844" s="6">
        <v>11.15</v>
      </c>
      <c r="CG844" s="6">
        <v>22.02</v>
      </c>
      <c r="CH844" s="6">
        <v>16.73</v>
      </c>
      <c r="CI844" s="6">
        <v>33.03</v>
      </c>
      <c r="CJ844" t="s">
        <v>137</v>
      </c>
      <c r="CK844" t="s">
        <v>3195</v>
      </c>
      <c r="CL844" t="s">
        <v>15246</v>
      </c>
      <c r="CO844" t="s">
        <v>138</v>
      </c>
      <c r="CP844" t="s">
        <v>114</v>
      </c>
      <c r="CQ844" t="s">
        <v>114</v>
      </c>
      <c r="CR844" t="s">
        <v>114</v>
      </c>
      <c r="CS844" t="s">
        <v>134</v>
      </c>
      <c r="CT844" t="s">
        <v>114</v>
      </c>
      <c r="CU844" t="s">
        <v>114</v>
      </c>
      <c r="CV844" t="s">
        <v>358</v>
      </c>
      <c r="CW844" s="5" t="str">
        <f>"+15035093409"</f>
        <v>+15035093409</v>
      </c>
      <c r="CX844" t="s">
        <v>138</v>
      </c>
      <c r="CY844" t="s">
        <v>3471</v>
      </c>
      <c r="CZ844" t="s">
        <v>139</v>
      </c>
      <c r="DA844" t="s">
        <v>134</v>
      </c>
      <c r="DB844" t="s">
        <v>134</v>
      </c>
      <c r="DC844" t="s">
        <v>114</v>
      </c>
      <c r="DD844" t="s">
        <v>134</v>
      </c>
    </row>
    <row r="845" spans="1:108" ht="15" customHeight="1" x14ac:dyDescent="0.25">
      <c r="A845" t="s">
        <v>16485</v>
      </c>
      <c r="B845" t="s">
        <v>165</v>
      </c>
      <c r="C845" s="1">
        <v>44837.562773032405</v>
      </c>
      <c r="D845" s="1">
        <v>44861</v>
      </c>
      <c r="E845" t="s">
        <v>134</v>
      </c>
      <c r="F845" t="s">
        <v>4070</v>
      </c>
      <c r="G845" t="str">
        <f>"37-3011.00"</f>
        <v>37-3011.00</v>
      </c>
      <c r="H845" t="s">
        <v>335</v>
      </c>
      <c r="I845">
        <v>60</v>
      </c>
      <c r="J845">
        <v>60</v>
      </c>
      <c r="K845" s="1">
        <v>44927</v>
      </c>
      <c r="L845" s="1">
        <v>45229</v>
      </c>
      <c r="M845" s="1">
        <v>44927</v>
      </c>
      <c r="N845" s="1">
        <v>45229</v>
      </c>
      <c r="O845" t="s">
        <v>199</v>
      </c>
      <c r="P845" t="s">
        <v>16486</v>
      </c>
      <c r="R845" t="s">
        <v>16487</v>
      </c>
      <c r="T845" t="s">
        <v>4616</v>
      </c>
      <c r="U845" t="s">
        <v>119</v>
      </c>
      <c r="V845" s="4" t="str">
        <f>"28771"</f>
        <v>28771</v>
      </c>
      <c r="W845" t="s">
        <v>120</v>
      </c>
      <c r="Y845" s="5">
        <v>18284794788</v>
      </c>
      <c r="AA845">
        <v>56173</v>
      </c>
      <c r="AB845" t="s">
        <v>7927</v>
      </c>
      <c r="AC845" t="s">
        <v>16488</v>
      </c>
      <c r="AE845" t="s">
        <v>342</v>
      </c>
      <c r="AF845" t="s">
        <v>16487</v>
      </c>
      <c r="AH845" t="s">
        <v>4616</v>
      </c>
      <c r="AI845" t="s">
        <v>119</v>
      </c>
      <c r="AJ845" s="4" t="str">
        <f>"28771"</f>
        <v>28771</v>
      </c>
      <c r="AK845" t="s">
        <v>120</v>
      </c>
      <c r="AM845" s="5">
        <v>18284794788</v>
      </c>
      <c r="AO845" t="s">
        <v>16489</v>
      </c>
      <c r="AP845" t="s">
        <v>256</v>
      </c>
      <c r="AQ845" t="s">
        <v>1420</v>
      </c>
      <c r="AR845" t="s">
        <v>1421</v>
      </c>
      <c r="AT845" t="s">
        <v>1422</v>
      </c>
      <c r="AU845" t="s">
        <v>347</v>
      </c>
      <c r="AV845" t="s">
        <v>828</v>
      </c>
      <c r="AW845" t="s">
        <v>349</v>
      </c>
      <c r="AX845" s="4" t="str">
        <f>"83814"</f>
        <v>83814</v>
      </c>
      <c r="AY845" t="s">
        <v>120</v>
      </c>
      <c r="BA845" s="5">
        <v>12087772654</v>
      </c>
      <c r="BC845" t="s">
        <v>1423</v>
      </c>
      <c r="BD845" t="s">
        <v>351</v>
      </c>
      <c r="BG845" t="s">
        <v>119</v>
      </c>
      <c r="BH845" s="1">
        <v>44836.833333333336</v>
      </c>
      <c r="BI845">
        <v>40</v>
      </c>
      <c r="BJ845">
        <v>0</v>
      </c>
      <c r="BK845">
        <v>8</v>
      </c>
      <c r="BL845">
        <v>8</v>
      </c>
      <c r="BM845">
        <v>8</v>
      </c>
      <c r="BN845">
        <v>8</v>
      </c>
      <c r="BO845">
        <v>8</v>
      </c>
      <c r="BP845">
        <v>0</v>
      </c>
      <c r="BQ845" t="str">
        <f>"7:00 AM"</f>
        <v>7:00 AM</v>
      </c>
      <c r="BR845" t="str">
        <f>"5:30 PM"</f>
        <v>5:30 PM</v>
      </c>
      <c r="BS845" t="s">
        <v>133</v>
      </c>
      <c r="BT845">
        <v>0</v>
      </c>
      <c r="BU845">
        <v>0</v>
      </c>
      <c r="BV845" t="s">
        <v>134</v>
      </c>
      <c r="BX845" s="2" t="s">
        <v>7928</v>
      </c>
      <c r="BY845" t="s">
        <v>16490</v>
      </c>
      <c r="CA845" t="s">
        <v>4616</v>
      </c>
      <c r="CB845" t="s">
        <v>119</v>
      </c>
      <c r="CC845" s="4" t="str">
        <f>"28771"</f>
        <v>28771</v>
      </c>
      <c r="CD845" t="s">
        <v>4617</v>
      </c>
      <c r="CE845" t="s">
        <v>4043</v>
      </c>
      <c r="CF845" s="6">
        <v>16.5</v>
      </c>
      <c r="CH845" s="6">
        <v>24.75</v>
      </c>
      <c r="CJ845" t="s">
        <v>137</v>
      </c>
      <c r="CK845" t="s">
        <v>1894</v>
      </c>
      <c r="CL845" t="s">
        <v>16491</v>
      </c>
      <c r="CO845" t="s">
        <v>138</v>
      </c>
      <c r="CP845" t="s">
        <v>114</v>
      </c>
      <c r="CQ845" t="s">
        <v>114</v>
      </c>
      <c r="CR845" t="s">
        <v>114</v>
      </c>
      <c r="CS845" t="s">
        <v>114</v>
      </c>
      <c r="CT845" t="s">
        <v>114</v>
      </c>
      <c r="CU845" t="s">
        <v>114</v>
      </c>
      <c r="CV845" t="s">
        <v>358</v>
      </c>
      <c r="CW845" s="5" t="str">
        <f>"+18284794788"</f>
        <v>+18284794788</v>
      </c>
      <c r="CX845" t="s">
        <v>16489</v>
      </c>
      <c r="CY845" t="s">
        <v>1740</v>
      </c>
      <c r="CZ845" t="s">
        <v>139</v>
      </c>
      <c r="DA845" t="s">
        <v>134</v>
      </c>
      <c r="DB845" t="s">
        <v>114</v>
      </c>
      <c r="DC845" t="s">
        <v>114</v>
      </c>
      <c r="DD845" t="s">
        <v>134</v>
      </c>
    </row>
    <row r="846" spans="1:108" ht="15" customHeight="1" x14ac:dyDescent="0.25">
      <c r="A846" t="s">
        <v>5383</v>
      </c>
      <c r="B846" t="s">
        <v>165</v>
      </c>
      <c r="C846" s="1">
        <v>44837.52861666667</v>
      </c>
      <c r="D846" s="1">
        <v>44861</v>
      </c>
      <c r="E846" t="s">
        <v>134</v>
      </c>
      <c r="F846" t="s">
        <v>571</v>
      </c>
      <c r="G846" t="str">
        <f>"35-3023.00"</f>
        <v>35-3023.00</v>
      </c>
      <c r="H846" t="s">
        <v>555</v>
      </c>
      <c r="I846">
        <v>33</v>
      </c>
      <c r="J846">
        <v>33</v>
      </c>
      <c r="K846" s="1">
        <v>44927</v>
      </c>
      <c r="L846" s="1">
        <v>45230</v>
      </c>
      <c r="M846" s="1">
        <v>44927</v>
      </c>
      <c r="N846" s="1">
        <v>45230</v>
      </c>
      <c r="O846" t="s">
        <v>199</v>
      </c>
      <c r="P846" t="s">
        <v>5384</v>
      </c>
      <c r="R846" t="s">
        <v>5385</v>
      </c>
      <c r="T846" t="s">
        <v>5386</v>
      </c>
      <c r="U846" t="s">
        <v>154</v>
      </c>
      <c r="V846" s="4" t="str">
        <f>"34610"</f>
        <v>34610</v>
      </c>
      <c r="W846" t="s">
        <v>120</v>
      </c>
      <c r="Y846" s="5">
        <v>18134776952</v>
      </c>
      <c r="AA846">
        <v>7139</v>
      </c>
      <c r="AB846" t="s">
        <v>5387</v>
      </c>
      <c r="AC846" t="s">
        <v>2594</v>
      </c>
      <c r="AE846" t="s">
        <v>342</v>
      </c>
      <c r="AF846" t="s">
        <v>5388</v>
      </c>
      <c r="AH846" t="s">
        <v>5386</v>
      </c>
      <c r="AI846" t="s">
        <v>154</v>
      </c>
      <c r="AJ846" s="4" t="str">
        <f>"34610"</f>
        <v>34610</v>
      </c>
      <c r="AK846" t="s">
        <v>120</v>
      </c>
      <c r="AM846" s="5">
        <v>18134776952</v>
      </c>
      <c r="AO846" t="s">
        <v>5389</v>
      </c>
      <c r="AP846" t="s">
        <v>256</v>
      </c>
      <c r="AQ846" t="s">
        <v>535</v>
      </c>
      <c r="AR846" t="s">
        <v>536</v>
      </c>
      <c r="AS846" t="s">
        <v>537</v>
      </c>
      <c r="AT846" t="s">
        <v>538</v>
      </c>
      <c r="AU846" t="s">
        <v>539</v>
      </c>
      <c r="AV846" t="s">
        <v>540</v>
      </c>
      <c r="AW846" t="s">
        <v>232</v>
      </c>
      <c r="AX846" s="4" t="str">
        <f t="shared" ref="AX846:AX856" si="51">"78550"</f>
        <v>78550</v>
      </c>
      <c r="AY846" t="s">
        <v>120</v>
      </c>
      <c r="BA846" s="5">
        <v>19564408720</v>
      </c>
      <c r="BB846">
        <v>0</v>
      </c>
      <c r="BC846" t="s">
        <v>563</v>
      </c>
      <c r="BD846" t="s">
        <v>543</v>
      </c>
      <c r="BG846" t="s">
        <v>154</v>
      </c>
      <c r="BH846" s="1">
        <v>44836.833333333336</v>
      </c>
      <c r="BI846">
        <v>40</v>
      </c>
      <c r="BJ846">
        <v>8</v>
      </c>
      <c r="BK846">
        <v>0</v>
      </c>
      <c r="BL846">
        <v>0</v>
      </c>
      <c r="BM846">
        <v>8</v>
      </c>
      <c r="BN846">
        <v>8</v>
      </c>
      <c r="BO846">
        <v>8</v>
      </c>
      <c r="BP846">
        <v>8</v>
      </c>
      <c r="BQ846" t="str">
        <f t="shared" ref="BQ846:BQ856" si="52">"1:00 PM"</f>
        <v>1:00 PM</v>
      </c>
      <c r="BR846" t="str">
        <f t="shared" ref="BR846:BR856" si="53">"10:00 PM"</f>
        <v>10:00 PM</v>
      </c>
      <c r="BS846" t="s">
        <v>133</v>
      </c>
      <c r="BT846">
        <v>0</v>
      </c>
      <c r="BU846">
        <v>0</v>
      </c>
      <c r="BV846" t="s">
        <v>134</v>
      </c>
      <c r="BX846" s="2" t="s">
        <v>579</v>
      </c>
      <c r="BY846" t="s">
        <v>5390</v>
      </c>
      <c r="CA846" t="s">
        <v>5386</v>
      </c>
      <c r="CB846" t="s">
        <v>154</v>
      </c>
      <c r="CC846" s="4" t="str">
        <f>"34610"</f>
        <v>34610</v>
      </c>
      <c r="CD846" t="s">
        <v>2262</v>
      </c>
      <c r="CE846" t="s">
        <v>567</v>
      </c>
      <c r="CF846" s="6">
        <v>8.98</v>
      </c>
      <c r="CG846" s="6">
        <v>14.06</v>
      </c>
      <c r="CJ846" t="s">
        <v>137</v>
      </c>
      <c r="CK846" t="s">
        <v>549</v>
      </c>
      <c r="CL846" t="s">
        <v>5391</v>
      </c>
      <c r="CO846" t="s">
        <v>138</v>
      </c>
      <c r="CP846" t="s">
        <v>114</v>
      </c>
      <c r="CQ846" t="s">
        <v>114</v>
      </c>
      <c r="CR846" t="s">
        <v>134</v>
      </c>
      <c r="CS846" t="s">
        <v>114</v>
      </c>
      <c r="CT846" t="s">
        <v>114</v>
      </c>
      <c r="CU846" t="s">
        <v>114</v>
      </c>
      <c r="CV846" t="s">
        <v>5392</v>
      </c>
      <c r="CW846" s="5" t="str">
        <f>"+13132156459"</f>
        <v>+13132156459</v>
      </c>
      <c r="CX846" t="s">
        <v>5393</v>
      </c>
      <c r="CY846" t="s">
        <v>138</v>
      </c>
      <c r="CZ846" t="s">
        <v>139</v>
      </c>
      <c r="DA846" t="s">
        <v>134</v>
      </c>
      <c r="DB846" t="s">
        <v>114</v>
      </c>
      <c r="DC846" t="s">
        <v>114</v>
      </c>
      <c r="DD846" t="s">
        <v>134</v>
      </c>
    </row>
    <row r="847" spans="1:108" ht="15" customHeight="1" x14ac:dyDescent="0.25">
      <c r="A847" t="s">
        <v>13060</v>
      </c>
      <c r="B847" t="s">
        <v>165</v>
      </c>
      <c r="C847" s="1">
        <v>44837.506360069441</v>
      </c>
      <c r="D847" s="1">
        <v>44861</v>
      </c>
      <c r="E847" t="s">
        <v>134</v>
      </c>
      <c r="F847" t="s">
        <v>1357</v>
      </c>
      <c r="G847" t="str">
        <f>"39-3091.00"</f>
        <v>39-3091.00</v>
      </c>
      <c r="H847" t="s">
        <v>362</v>
      </c>
      <c r="I847">
        <v>118</v>
      </c>
      <c r="J847">
        <v>118</v>
      </c>
      <c r="K847" s="1">
        <v>44927</v>
      </c>
      <c r="L847" s="1">
        <v>45230</v>
      </c>
      <c r="M847" s="1">
        <v>44927</v>
      </c>
      <c r="N847" s="1">
        <v>45230</v>
      </c>
      <c r="O847" t="s">
        <v>199</v>
      </c>
      <c r="P847" t="s">
        <v>13061</v>
      </c>
      <c r="R847" t="s">
        <v>13062</v>
      </c>
      <c r="S847" t="s">
        <v>13063</v>
      </c>
      <c r="T847" t="s">
        <v>13064</v>
      </c>
      <c r="U847" t="s">
        <v>1414</v>
      </c>
      <c r="V847" s="4" t="str">
        <f>"48169"</f>
        <v>48169</v>
      </c>
      <c r="W847" t="s">
        <v>120</v>
      </c>
      <c r="Y847" s="5">
        <v>17342661668</v>
      </c>
      <c r="AA847">
        <v>71119</v>
      </c>
      <c r="AB847" t="s">
        <v>5387</v>
      </c>
      <c r="AC847" t="s">
        <v>2594</v>
      </c>
      <c r="AE847" t="s">
        <v>342</v>
      </c>
      <c r="AF847" t="s">
        <v>13062</v>
      </c>
      <c r="AG847" t="s">
        <v>13063</v>
      </c>
      <c r="AH847" t="s">
        <v>13064</v>
      </c>
      <c r="AI847" t="s">
        <v>1414</v>
      </c>
      <c r="AJ847" s="4" t="str">
        <f>"48169"</f>
        <v>48169</v>
      </c>
      <c r="AK847" t="s">
        <v>120</v>
      </c>
      <c r="AM847" s="5">
        <v>18134776952</v>
      </c>
      <c r="AO847" t="s">
        <v>5389</v>
      </c>
      <c r="AP847" t="s">
        <v>256</v>
      </c>
      <c r="AQ847" t="s">
        <v>535</v>
      </c>
      <c r="AR847" t="s">
        <v>536</v>
      </c>
      <c r="AS847" t="s">
        <v>537</v>
      </c>
      <c r="AT847" t="s">
        <v>538</v>
      </c>
      <c r="AU847" t="s">
        <v>539</v>
      </c>
      <c r="AV847" t="s">
        <v>540</v>
      </c>
      <c r="AW847" t="s">
        <v>232</v>
      </c>
      <c r="AX847" s="4" t="str">
        <f t="shared" si="51"/>
        <v>78550</v>
      </c>
      <c r="AY847" t="s">
        <v>120</v>
      </c>
      <c r="BA847" s="5">
        <v>19564408720</v>
      </c>
      <c r="BB847">
        <v>0</v>
      </c>
      <c r="BC847" t="s">
        <v>563</v>
      </c>
      <c r="BD847" t="s">
        <v>543</v>
      </c>
      <c r="BG847" t="s">
        <v>1414</v>
      </c>
      <c r="BH847" s="1">
        <v>44836.833333333336</v>
      </c>
      <c r="BI847">
        <v>40</v>
      </c>
      <c r="BJ847">
        <v>8</v>
      </c>
      <c r="BK847">
        <v>0</v>
      </c>
      <c r="BL847">
        <v>0</v>
      </c>
      <c r="BM847">
        <v>8</v>
      </c>
      <c r="BN847">
        <v>8</v>
      </c>
      <c r="BO847">
        <v>8</v>
      </c>
      <c r="BP847">
        <v>8</v>
      </c>
      <c r="BQ847" t="str">
        <f t="shared" si="52"/>
        <v>1:00 PM</v>
      </c>
      <c r="BR847" t="str">
        <f t="shared" si="53"/>
        <v>10:00 PM</v>
      </c>
      <c r="BS847" t="s">
        <v>133</v>
      </c>
      <c r="BT847">
        <v>0</v>
      </c>
      <c r="BU847">
        <v>0</v>
      </c>
      <c r="BV847" t="s">
        <v>134</v>
      </c>
      <c r="BX847" s="2" t="s">
        <v>579</v>
      </c>
      <c r="BY847" t="s">
        <v>13062</v>
      </c>
      <c r="CA847" t="s">
        <v>13064</v>
      </c>
      <c r="CB847" t="s">
        <v>1414</v>
      </c>
      <c r="CC847" s="4" t="str">
        <f>"48169"</f>
        <v>48169</v>
      </c>
      <c r="CD847" t="s">
        <v>1627</v>
      </c>
      <c r="CE847" t="s">
        <v>1814</v>
      </c>
      <c r="CF847" s="6">
        <v>9.51</v>
      </c>
      <c r="CG847" s="6">
        <v>14.06</v>
      </c>
      <c r="CJ847" t="s">
        <v>137</v>
      </c>
      <c r="CK847" t="s">
        <v>549</v>
      </c>
      <c r="CL847" t="s">
        <v>13065</v>
      </c>
      <c r="CO847" t="s">
        <v>138</v>
      </c>
      <c r="CP847" t="s">
        <v>114</v>
      </c>
      <c r="CQ847" t="s">
        <v>114</v>
      </c>
      <c r="CR847" t="s">
        <v>134</v>
      </c>
      <c r="CS847" t="s">
        <v>114</v>
      </c>
      <c r="CT847" t="s">
        <v>114</v>
      </c>
      <c r="CU847" t="s">
        <v>114</v>
      </c>
      <c r="CV847" t="s">
        <v>7455</v>
      </c>
      <c r="CW847" s="5" t="str">
        <f>"+17342661668"</f>
        <v>+17342661668</v>
      </c>
      <c r="CX847" t="s">
        <v>13066</v>
      </c>
      <c r="CY847" t="s">
        <v>138</v>
      </c>
      <c r="CZ847" t="s">
        <v>139</v>
      </c>
      <c r="DA847" t="s">
        <v>134</v>
      </c>
      <c r="DB847" t="s">
        <v>114</v>
      </c>
      <c r="DC847" t="s">
        <v>114</v>
      </c>
      <c r="DD847" t="s">
        <v>134</v>
      </c>
    </row>
    <row r="848" spans="1:108" ht="15" customHeight="1" x14ac:dyDescent="0.25">
      <c r="A848" t="s">
        <v>9617</v>
      </c>
      <c r="B848" t="s">
        <v>165</v>
      </c>
      <c r="C848" s="1">
        <v>44837.451483449076</v>
      </c>
      <c r="D848" s="1">
        <v>44861</v>
      </c>
      <c r="E848" t="s">
        <v>134</v>
      </c>
      <c r="F848" t="s">
        <v>9618</v>
      </c>
      <c r="G848" t="str">
        <f>"35-3023.00"</f>
        <v>35-3023.00</v>
      </c>
      <c r="H848" t="s">
        <v>555</v>
      </c>
      <c r="I848">
        <v>35</v>
      </c>
      <c r="J848">
        <v>35</v>
      </c>
      <c r="K848" s="1">
        <v>44927</v>
      </c>
      <c r="L848" s="1">
        <v>45230</v>
      </c>
      <c r="M848" s="1">
        <v>44927</v>
      </c>
      <c r="N848" s="1">
        <v>45230</v>
      </c>
      <c r="O848" t="s">
        <v>199</v>
      </c>
      <c r="P848" t="s">
        <v>9619</v>
      </c>
      <c r="R848" t="s">
        <v>5388</v>
      </c>
      <c r="S848" t="s">
        <v>9620</v>
      </c>
      <c r="T848" t="s">
        <v>9621</v>
      </c>
      <c r="U848" t="s">
        <v>154</v>
      </c>
      <c r="V848" s="4" t="str">
        <f>"34610"</f>
        <v>34610</v>
      </c>
      <c r="W848" t="s">
        <v>120</v>
      </c>
      <c r="Y848" s="5">
        <v>18439563410</v>
      </c>
      <c r="AA848">
        <v>7139</v>
      </c>
      <c r="AB848" t="s">
        <v>9622</v>
      </c>
      <c r="AC848" t="s">
        <v>9623</v>
      </c>
      <c r="AE848" t="s">
        <v>252</v>
      </c>
      <c r="AF848" t="s">
        <v>5388</v>
      </c>
      <c r="AG848" t="s">
        <v>9620</v>
      </c>
      <c r="AH848" t="s">
        <v>9621</v>
      </c>
      <c r="AI848" t="s">
        <v>154</v>
      </c>
      <c r="AJ848" s="4" t="str">
        <f>"34610"</f>
        <v>34610</v>
      </c>
      <c r="AK848" t="s">
        <v>120</v>
      </c>
      <c r="AM848" s="5">
        <v>18439563410</v>
      </c>
      <c r="AO848" t="s">
        <v>9624</v>
      </c>
      <c r="AP848" t="s">
        <v>256</v>
      </c>
      <c r="AQ848" t="s">
        <v>535</v>
      </c>
      <c r="AR848" t="s">
        <v>536</v>
      </c>
      <c r="AS848" t="s">
        <v>537</v>
      </c>
      <c r="AT848" t="s">
        <v>538</v>
      </c>
      <c r="AU848" t="s">
        <v>539</v>
      </c>
      <c r="AV848" t="s">
        <v>540</v>
      </c>
      <c r="AW848" t="s">
        <v>232</v>
      </c>
      <c r="AX848" s="4" t="str">
        <f t="shared" si="51"/>
        <v>78550</v>
      </c>
      <c r="AY848" t="s">
        <v>120</v>
      </c>
      <c r="BA848" s="5">
        <v>19564408720</v>
      </c>
      <c r="BB848">
        <v>0</v>
      </c>
      <c r="BC848" t="s">
        <v>563</v>
      </c>
      <c r="BD848" t="s">
        <v>543</v>
      </c>
      <c r="BG848" t="s">
        <v>154</v>
      </c>
      <c r="BH848" s="1">
        <v>44836.833333333336</v>
      </c>
      <c r="BI848">
        <v>40</v>
      </c>
      <c r="BJ848">
        <v>8</v>
      </c>
      <c r="BK848">
        <v>0</v>
      </c>
      <c r="BL848">
        <v>0</v>
      </c>
      <c r="BM848">
        <v>8</v>
      </c>
      <c r="BN848">
        <v>8</v>
      </c>
      <c r="BO848">
        <v>8</v>
      </c>
      <c r="BP848">
        <v>8</v>
      </c>
      <c r="BQ848" t="str">
        <f t="shared" si="52"/>
        <v>1:00 PM</v>
      </c>
      <c r="BR848" t="str">
        <f t="shared" si="53"/>
        <v>10:00 PM</v>
      </c>
      <c r="BS848" t="s">
        <v>133</v>
      </c>
      <c r="BT848">
        <v>0</v>
      </c>
      <c r="BU848">
        <v>0</v>
      </c>
      <c r="BV848" t="s">
        <v>134</v>
      </c>
      <c r="BX848" s="2" t="s">
        <v>579</v>
      </c>
      <c r="BY848" t="s">
        <v>5385</v>
      </c>
      <c r="CA848" t="s">
        <v>5386</v>
      </c>
      <c r="CB848" t="s">
        <v>154</v>
      </c>
      <c r="CC848" s="4" t="str">
        <f>"34610"</f>
        <v>34610</v>
      </c>
      <c r="CD848" t="s">
        <v>2262</v>
      </c>
      <c r="CE848" t="s">
        <v>567</v>
      </c>
      <c r="CF848" s="6">
        <v>8.98</v>
      </c>
      <c r="CG848" s="6">
        <v>14.06</v>
      </c>
      <c r="CJ848" t="s">
        <v>137</v>
      </c>
      <c r="CK848" t="s">
        <v>549</v>
      </c>
      <c r="CL848" t="s">
        <v>9625</v>
      </c>
      <c r="CO848" t="s">
        <v>138</v>
      </c>
      <c r="CP848" t="s">
        <v>114</v>
      </c>
      <c r="CQ848" t="s">
        <v>114</v>
      </c>
      <c r="CR848" t="s">
        <v>134</v>
      </c>
      <c r="CS848" t="s">
        <v>114</v>
      </c>
      <c r="CT848" t="s">
        <v>114</v>
      </c>
      <c r="CU848" t="s">
        <v>114</v>
      </c>
      <c r="CV848" t="s">
        <v>9626</v>
      </c>
      <c r="CW848" s="5" t="str">
        <f>"+18439563410"</f>
        <v>+18439563410</v>
      </c>
      <c r="CX848" t="s">
        <v>9624</v>
      </c>
      <c r="CY848" t="s">
        <v>138</v>
      </c>
      <c r="CZ848" t="s">
        <v>139</v>
      </c>
      <c r="DA848" t="s">
        <v>134</v>
      </c>
      <c r="DB848" t="s">
        <v>114</v>
      </c>
      <c r="DC848" t="s">
        <v>114</v>
      </c>
      <c r="DD848" t="s">
        <v>134</v>
      </c>
    </row>
    <row r="849" spans="1:108" ht="15" customHeight="1" x14ac:dyDescent="0.25">
      <c r="A849" t="s">
        <v>7501</v>
      </c>
      <c r="B849" t="s">
        <v>165</v>
      </c>
      <c r="C849" s="1">
        <v>44837.445613425924</v>
      </c>
      <c r="D849" s="1">
        <v>44861</v>
      </c>
      <c r="E849" t="s">
        <v>134</v>
      </c>
      <c r="F849" t="s">
        <v>7502</v>
      </c>
      <c r="G849" t="str">
        <f>"39-3091.00"</f>
        <v>39-3091.00</v>
      </c>
      <c r="H849" t="s">
        <v>362</v>
      </c>
      <c r="I849">
        <v>45</v>
      </c>
      <c r="J849">
        <v>45</v>
      </c>
      <c r="K849" s="1">
        <v>44927</v>
      </c>
      <c r="L849" s="1">
        <v>45230</v>
      </c>
      <c r="M849" s="1">
        <v>44927</v>
      </c>
      <c r="N849" s="1">
        <v>45230</v>
      </c>
      <c r="O849" t="s">
        <v>199</v>
      </c>
      <c r="P849" t="s">
        <v>7503</v>
      </c>
      <c r="Q849" t="s">
        <v>138</v>
      </c>
      <c r="R849" t="s">
        <v>7504</v>
      </c>
      <c r="S849" t="s">
        <v>7505</v>
      </c>
      <c r="T849" t="s">
        <v>7506</v>
      </c>
      <c r="U849" t="s">
        <v>444</v>
      </c>
      <c r="V849" s="4" t="str">
        <f>"92274"</f>
        <v>92274</v>
      </c>
      <c r="W849" t="s">
        <v>120</v>
      </c>
      <c r="X849" t="s">
        <v>138</v>
      </c>
      <c r="Y849" s="5">
        <v>17079742365</v>
      </c>
      <c r="Z849">
        <v>0</v>
      </c>
      <c r="AA849">
        <v>7139</v>
      </c>
      <c r="AB849" t="s">
        <v>7507</v>
      </c>
      <c r="AC849" t="s">
        <v>4190</v>
      </c>
      <c r="AD849" t="s">
        <v>138</v>
      </c>
      <c r="AE849" t="s">
        <v>424</v>
      </c>
      <c r="AF849" t="s">
        <v>7504</v>
      </c>
      <c r="AG849" t="s">
        <v>7508</v>
      </c>
      <c r="AH849" t="s">
        <v>7506</v>
      </c>
      <c r="AI849" t="s">
        <v>444</v>
      </c>
      <c r="AJ849" s="4" t="str">
        <f>"92274"</f>
        <v>92274</v>
      </c>
      <c r="AK849" t="s">
        <v>120</v>
      </c>
      <c r="AM849" s="5">
        <v>17079742365</v>
      </c>
      <c r="AN849">
        <v>0</v>
      </c>
      <c r="AO849" t="s">
        <v>7509</v>
      </c>
      <c r="AP849" t="s">
        <v>256</v>
      </c>
      <c r="AQ849" t="s">
        <v>535</v>
      </c>
      <c r="AR849" t="s">
        <v>536</v>
      </c>
      <c r="AS849" t="s">
        <v>537</v>
      </c>
      <c r="AT849" t="s">
        <v>538</v>
      </c>
      <c r="AU849" t="s">
        <v>539</v>
      </c>
      <c r="AV849" t="s">
        <v>540</v>
      </c>
      <c r="AW849" t="s">
        <v>232</v>
      </c>
      <c r="AX849" s="4" t="str">
        <f t="shared" si="51"/>
        <v>78550</v>
      </c>
      <c r="AY849" t="s">
        <v>120</v>
      </c>
      <c r="BA849" s="5">
        <v>19564408720</v>
      </c>
      <c r="BB849">
        <v>0</v>
      </c>
      <c r="BC849" t="s">
        <v>563</v>
      </c>
      <c r="BD849" t="s">
        <v>543</v>
      </c>
      <c r="BG849" t="s">
        <v>444</v>
      </c>
      <c r="BH849" s="1">
        <v>44836.833333333336</v>
      </c>
      <c r="BI849">
        <v>40</v>
      </c>
      <c r="BJ849">
        <v>8</v>
      </c>
      <c r="BK849">
        <v>0</v>
      </c>
      <c r="BL849">
        <v>0</v>
      </c>
      <c r="BM849">
        <v>8</v>
      </c>
      <c r="BN849">
        <v>8</v>
      </c>
      <c r="BO849">
        <v>8</v>
      </c>
      <c r="BP849">
        <v>8</v>
      </c>
      <c r="BQ849" t="str">
        <f t="shared" si="52"/>
        <v>1:00 PM</v>
      </c>
      <c r="BR849" t="str">
        <f t="shared" si="53"/>
        <v>10:00 PM</v>
      </c>
      <c r="BS849" t="s">
        <v>133</v>
      </c>
      <c r="BT849">
        <v>0</v>
      </c>
      <c r="BU849">
        <v>0</v>
      </c>
      <c r="BV849" t="s">
        <v>134</v>
      </c>
      <c r="BX849" s="2" t="s">
        <v>579</v>
      </c>
      <c r="BY849" t="s">
        <v>7504</v>
      </c>
      <c r="CA849" t="s">
        <v>7506</v>
      </c>
      <c r="CB849" t="s">
        <v>444</v>
      </c>
      <c r="CC849" s="4" t="str">
        <f>"92274"</f>
        <v>92274</v>
      </c>
      <c r="CD849" t="s">
        <v>602</v>
      </c>
      <c r="CE849" t="s">
        <v>609</v>
      </c>
      <c r="CF849" s="6">
        <v>10.86</v>
      </c>
      <c r="CG849" s="6">
        <v>17.690000000000001</v>
      </c>
      <c r="CJ849" t="s">
        <v>137</v>
      </c>
      <c r="CK849" t="s">
        <v>549</v>
      </c>
      <c r="CL849" t="s">
        <v>7510</v>
      </c>
      <c r="CO849" t="s">
        <v>138</v>
      </c>
      <c r="CP849" t="s">
        <v>114</v>
      </c>
      <c r="CQ849" t="s">
        <v>114</v>
      </c>
      <c r="CR849" t="s">
        <v>134</v>
      </c>
      <c r="CS849" t="s">
        <v>114</v>
      </c>
      <c r="CT849" t="s">
        <v>114</v>
      </c>
      <c r="CU849" t="s">
        <v>114</v>
      </c>
      <c r="CV849" t="s">
        <v>7511</v>
      </c>
      <c r="CW849" s="5" t="str">
        <f>"+17605787592"</f>
        <v>+17605787592</v>
      </c>
      <c r="CX849" t="s">
        <v>7512</v>
      </c>
      <c r="CY849" t="s">
        <v>138</v>
      </c>
      <c r="CZ849" t="s">
        <v>139</v>
      </c>
      <c r="DA849" t="s">
        <v>134</v>
      </c>
      <c r="DB849" t="s">
        <v>134</v>
      </c>
      <c r="DC849" t="s">
        <v>114</v>
      </c>
      <c r="DD849" t="s">
        <v>134</v>
      </c>
    </row>
    <row r="850" spans="1:108" ht="15" customHeight="1" x14ac:dyDescent="0.25">
      <c r="A850" t="s">
        <v>16546</v>
      </c>
      <c r="B850" t="s">
        <v>165</v>
      </c>
      <c r="C850" s="1">
        <v>44837.41093726852</v>
      </c>
      <c r="D850" s="1">
        <v>44861</v>
      </c>
      <c r="E850" t="s">
        <v>134</v>
      </c>
      <c r="F850" t="s">
        <v>2308</v>
      </c>
      <c r="G850" t="str">
        <f>"39-3091.00"</f>
        <v>39-3091.00</v>
      </c>
      <c r="H850" t="s">
        <v>362</v>
      </c>
      <c r="I850">
        <v>6</v>
      </c>
      <c r="J850">
        <v>6</v>
      </c>
      <c r="K850" s="1">
        <v>44927</v>
      </c>
      <c r="L850" s="1">
        <v>45230</v>
      </c>
      <c r="M850" s="1">
        <v>44927</v>
      </c>
      <c r="N850" s="1">
        <v>45230</v>
      </c>
      <c r="O850" t="s">
        <v>199</v>
      </c>
      <c r="P850" t="s">
        <v>16547</v>
      </c>
      <c r="R850" t="s">
        <v>16548</v>
      </c>
      <c r="S850" t="s">
        <v>16549</v>
      </c>
      <c r="T850" t="s">
        <v>16550</v>
      </c>
      <c r="U850" t="s">
        <v>232</v>
      </c>
      <c r="V850" s="4" t="str">
        <f>"76043"</f>
        <v>76043</v>
      </c>
      <c r="W850" t="s">
        <v>120</v>
      </c>
      <c r="Y850" s="5">
        <v>12543962645</v>
      </c>
      <c r="AA850">
        <v>71399</v>
      </c>
      <c r="AB850" t="s">
        <v>16551</v>
      </c>
      <c r="AC850" t="s">
        <v>2316</v>
      </c>
      <c r="AE850" t="s">
        <v>424</v>
      </c>
      <c r="AF850" t="s">
        <v>16548</v>
      </c>
      <c r="AG850" t="s">
        <v>16549</v>
      </c>
      <c r="AH850" t="s">
        <v>16550</v>
      </c>
      <c r="AI850" t="s">
        <v>232</v>
      </c>
      <c r="AJ850" s="4" t="str">
        <f>"76043"</f>
        <v>76043</v>
      </c>
      <c r="AK850" t="s">
        <v>120</v>
      </c>
      <c r="AM850" s="5">
        <v>12543962645</v>
      </c>
      <c r="AO850" t="s">
        <v>16552</v>
      </c>
      <c r="AP850" t="s">
        <v>256</v>
      </c>
      <c r="AQ850" t="s">
        <v>535</v>
      </c>
      <c r="AR850" t="s">
        <v>536</v>
      </c>
      <c r="AS850" t="s">
        <v>537</v>
      </c>
      <c r="AT850" t="s">
        <v>538</v>
      </c>
      <c r="AU850" t="s">
        <v>539</v>
      </c>
      <c r="AV850" t="s">
        <v>540</v>
      </c>
      <c r="AW850" t="s">
        <v>232</v>
      </c>
      <c r="AX850" s="4" t="str">
        <f t="shared" si="51"/>
        <v>78550</v>
      </c>
      <c r="AY850" t="s">
        <v>120</v>
      </c>
      <c r="BA850" s="5">
        <v>19564408720</v>
      </c>
      <c r="BB850">
        <v>0</v>
      </c>
      <c r="BC850" t="s">
        <v>1022</v>
      </c>
      <c r="BD850" t="s">
        <v>543</v>
      </c>
      <c r="BG850" t="s">
        <v>232</v>
      </c>
      <c r="BH850" s="1">
        <v>44836.833333333336</v>
      </c>
      <c r="BI850">
        <v>40</v>
      </c>
      <c r="BJ850">
        <v>8</v>
      </c>
      <c r="BK850">
        <v>0</v>
      </c>
      <c r="BL850">
        <v>0</v>
      </c>
      <c r="BM850">
        <v>8</v>
      </c>
      <c r="BN850">
        <v>8</v>
      </c>
      <c r="BO850">
        <v>8</v>
      </c>
      <c r="BP850">
        <v>8</v>
      </c>
      <c r="BQ850" t="str">
        <f t="shared" si="52"/>
        <v>1:00 PM</v>
      </c>
      <c r="BR850" t="str">
        <f t="shared" si="53"/>
        <v>10:00 PM</v>
      </c>
      <c r="BS850" t="s">
        <v>133</v>
      </c>
      <c r="BT850">
        <v>0</v>
      </c>
      <c r="BU850">
        <v>0</v>
      </c>
      <c r="BV850" t="s">
        <v>134</v>
      </c>
      <c r="BX850" s="2" t="s">
        <v>579</v>
      </c>
      <c r="BY850" t="s">
        <v>5906</v>
      </c>
      <c r="CA850" t="s">
        <v>2206</v>
      </c>
      <c r="CB850" t="s">
        <v>232</v>
      </c>
      <c r="CC850" s="4" t="str">
        <f>"76107"</f>
        <v>76107</v>
      </c>
      <c r="CD850" t="s">
        <v>2054</v>
      </c>
      <c r="CE850" t="s">
        <v>1528</v>
      </c>
      <c r="CF850" s="6">
        <v>9.27</v>
      </c>
      <c r="CG850" s="6">
        <v>15.5</v>
      </c>
      <c r="CJ850" t="s">
        <v>137</v>
      </c>
      <c r="CK850" t="s">
        <v>549</v>
      </c>
      <c r="CL850" t="s">
        <v>16553</v>
      </c>
      <c r="CO850" t="s">
        <v>138</v>
      </c>
      <c r="CP850" t="s">
        <v>114</v>
      </c>
      <c r="CQ850" t="s">
        <v>114</v>
      </c>
      <c r="CR850" t="s">
        <v>134</v>
      </c>
      <c r="CS850" t="s">
        <v>114</v>
      </c>
      <c r="CT850" t="s">
        <v>114</v>
      </c>
      <c r="CU850" t="s">
        <v>114</v>
      </c>
      <c r="CV850" t="s">
        <v>569</v>
      </c>
      <c r="CW850" s="5" t="str">
        <f>"+12543962645"</f>
        <v>+12543962645</v>
      </c>
      <c r="CX850" t="s">
        <v>16552</v>
      </c>
      <c r="CY850" t="s">
        <v>138</v>
      </c>
      <c r="CZ850" t="s">
        <v>139</v>
      </c>
      <c r="DA850" t="s">
        <v>134</v>
      </c>
      <c r="DB850" t="s">
        <v>114</v>
      </c>
      <c r="DC850" t="s">
        <v>114</v>
      </c>
      <c r="DD850" t="s">
        <v>134</v>
      </c>
    </row>
    <row r="851" spans="1:108" ht="15" customHeight="1" x14ac:dyDescent="0.25">
      <c r="A851" t="s">
        <v>14351</v>
      </c>
      <c r="B851" t="s">
        <v>165</v>
      </c>
      <c r="C851" s="1">
        <v>44837.358797569446</v>
      </c>
      <c r="D851" s="1">
        <v>44861</v>
      </c>
      <c r="E851" t="s">
        <v>134</v>
      </c>
      <c r="F851" t="s">
        <v>1357</v>
      </c>
      <c r="G851" t="str">
        <f>"39-3091.00"</f>
        <v>39-3091.00</v>
      </c>
      <c r="H851" t="s">
        <v>362</v>
      </c>
      <c r="I851">
        <v>40</v>
      </c>
      <c r="J851">
        <v>40</v>
      </c>
      <c r="K851" s="1">
        <v>44927</v>
      </c>
      <c r="L851" s="1">
        <v>45230</v>
      </c>
      <c r="M851" s="1">
        <v>44927</v>
      </c>
      <c r="N851" s="1">
        <v>45230</v>
      </c>
      <c r="O851" t="s">
        <v>199</v>
      </c>
      <c r="P851" t="s">
        <v>14352</v>
      </c>
      <c r="R851" t="s">
        <v>14353</v>
      </c>
      <c r="S851" t="s">
        <v>14354</v>
      </c>
      <c r="T851" t="s">
        <v>546</v>
      </c>
      <c r="U851" t="s">
        <v>530</v>
      </c>
      <c r="V851" s="4" t="str">
        <f>"85122"</f>
        <v>85122</v>
      </c>
      <c r="W851" t="s">
        <v>120</v>
      </c>
      <c r="Y851" s="5">
        <v>19517576607</v>
      </c>
      <c r="AA851">
        <v>71119</v>
      </c>
      <c r="AB851" t="s">
        <v>14355</v>
      </c>
      <c r="AC851" t="s">
        <v>2594</v>
      </c>
      <c r="AE851" t="s">
        <v>424</v>
      </c>
      <c r="AF851" t="s">
        <v>14353</v>
      </c>
      <c r="AG851" t="s">
        <v>14354</v>
      </c>
      <c r="AH851" t="s">
        <v>546</v>
      </c>
      <c r="AI851" t="s">
        <v>530</v>
      </c>
      <c r="AJ851" s="4" t="str">
        <f>"85122"</f>
        <v>85122</v>
      </c>
      <c r="AK851" t="s">
        <v>120</v>
      </c>
      <c r="AM851" s="5">
        <v>19517576607</v>
      </c>
      <c r="AO851" t="s">
        <v>14356</v>
      </c>
      <c r="AP851" t="s">
        <v>256</v>
      </c>
      <c r="AQ851" t="s">
        <v>535</v>
      </c>
      <c r="AR851" t="s">
        <v>536</v>
      </c>
      <c r="AS851" t="s">
        <v>537</v>
      </c>
      <c r="AT851" t="s">
        <v>538</v>
      </c>
      <c r="AU851" t="s">
        <v>539</v>
      </c>
      <c r="AV851" t="s">
        <v>540</v>
      </c>
      <c r="AW851" t="s">
        <v>232</v>
      </c>
      <c r="AX851" s="4" t="str">
        <f t="shared" si="51"/>
        <v>78550</v>
      </c>
      <c r="AY851" t="s">
        <v>120</v>
      </c>
      <c r="BA851" s="5">
        <v>19564408720</v>
      </c>
      <c r="BB851">
        <v>0</v>
      </c>
      <c r="BC851" t="s">
        <v>563</v>
      </c>
      <c r="BD851" t="s">
        <v>543</v>
      </c>
      <c r="BG851" t="s">
        <v>530</v>
      </c>
      <c r="BH851" s="1">
        <v>44836.833333333336</v>
      </c>
      <c r="BI851">
        <v>40</v>
      </c>
      <c r="BJ851">
        <v>8</v>
      </c>
      <c r="BK851">
        <v>0</v>
      </c>
      <c r="BL851">
        <v>0</v>
      </c>
      <c r="BM851">
        <v>8</v>
      </c>
      <c r="BN851">
        <v>8</v>
      </c>
      <c r="BO851">
        <v>8</v>
      </c>
      <c r="BP851">
        <v>8</v>
      </c>
      <c r="BQ851" t="str">
        <f t="shared" si="52"/>
        <v>1:00 PM</v>
      </c>
      <c r="BR851" t="str">
        <f t="shared" si="53"/>
        <v>10:00 PM</v>
      </c>
      <c r="BS851" t="s">
        <v>133</v>
      </c>
      <c r="BT851">
        <v>0</v>
      </c>
      <c r="BU851">
        <v>0</v>
      </c>
      <c r="BV851" t="s">
        <v>134</v>
      </c>
      <c r="BX851" s="2" t="s">
        <v>579</v>
      </c>
      <c r="BY851" t="s">
        <v>14353</v>
      </c>
      <c r="CA851" t="s">
        <v>546</v>
      </c>
      <c r="CB851" t="s">
        <v>530</v>
      </c>
      <c r="CC851" s="4" t="str">
        <f>"85122"</f>
        <v>85122</v>
      </c>
      <c r="CD851" t="s">
        <v>547</v>
      </c>
      <c r="CE851" t="s">
        <v>548</v>
      </c>
      <c r="CF851" s="6">
        <v>13.46</v>
      </c>
      <c r="CG851" s="6">
        <v>15.5</v>
      </c>
      <c r="CJ851" t="s">
        <v>137</v>
      </c>
      <c r="CK851" t="s">
        <v>549</v>
      </c>
      <c r="CL851" t="s">
        <v>14357</v>
      </c>
      <c r="CO851" t="s">
        <v>138</v>
      </c>
      <c r="CP851" t="s">
        <v>114</v>
      </c>
      <c r="CQ851" t="s">
        <v>114</v>
      </c>
      <c r="CR851" t="s">
        <v>134</v>
      </c>
      <c r="CS851" t="s">
        <v>114</v>
      </c>
      <c r="CT851" t="s">
        <v>114</v>
      </c>
      <c r="CU851" t="s">
        <v>114</v>
      </c>
      <c r="CV851" t="s">
        <v>7511</v>
      </c>
      <c r="CW851" s="5" t="str">
        <f>"+19517576607"</f>
        <v>+19517576607</v>
      </c>
      <c r="CX851" t="s">
        <v>14356</v>
      </c>
      <c r="CY851" t="s">
        <v>138</v>
      </c>
      <c r="CZ851" t="s">
        <v>139</v>
      </c>
      <c r="DA851" t="s">
        <v>134</v>
      </c>
      <c r="DB851" t="s">
        <v>114</v>
      </c>
      <c r="DC851" t="s">
        <v>114</v>
      </c>
      <c r="DD851" t="s">
        <v>134</v>
      </c>
    </row>
    <row r="852" spans="1:108" ht="15" customHeight="1" x14ac:dyDescent="0.25">
      <c r="A852" t="s">
        <v>10523</v>
      </c>
      <c r="B852" t="s">
        <v>165</v>
      </c>
      <c r="C852" s="1">
        <v>44837.306870949076</v>
      </c>
      <c r="D852" s="1">
        <v>44861</v>
      </c>
      <c r="E852" t="s">
        <v>134</v>
      </c>
      <c r="F852" t="s">
        <v>10524</v>
      </c>
      <c r="G852" t="str">
        <f>"49-9071.00"</f>
        <v>49-9071.00</v>
      </c>
      <c r="H852" t="s">
        <v>2375</v>
      </c>
      <c r="I852">
        <v>12</v>
      </c>
      <c r="J852">
        <v>12</v>
      </c>
      <c r="K852" s="1">
        <v>44927</v>
      </c>
      <c r="L852" s="1">
        <v>45230</v>
      </c>
      <c r="M852" s="1">
        <v>44927</v>
      </c>
      <c r="N852" s="1">
        <v>45230</v>
      </c>
      <c r="O852" t="s">
        <v>199</v>
      </c>
      <c r="P852" t="s">
        <v>1014</v>
      </c>
      <c r="R852" t="s">
        <v>1015</v>
      </c>
      <c r="S852" t="s">
        <v>1016</v>
      </c>
      <c r="T852" t="s">
        <v>1017</v>
      </c>
      <c r="U852" t="s">
        <v>511</v>
      </c>
      <c r="V852" s="4" t="str">
        <f>"97008"</f>
        <v>97008</v>
      </c>
      <c r="W852" t="s">
        <v>120</v>
      </c>
      <c r="Y852" s="5">
        <v>15036436610</v>
      </c>
      <c r="AA852">
        <v>71399</v>
      </c>
      <c r="AB852" t="s">
        <v>1018</v>
      </c>
      <c r="AC852" t="s">
        <v>1019</v>
      </c>
      <c r="AD852" t="s">
        <v>1020</v>
      </c>
      <c r="AE852" t="s">
        <v>342</v>
      </c>
      <c r="AF852" t="s">
        <v>1015</v>
      </c>
      <c r="AG852" t="s">
        <v>1016</v>
      </c>
      <c r="AH852" t="s">
        <v>1017</v>
      </c>
      <c r="AI852" t="s">
        <v>511</v>
      </c>
      <c r="AJ852" s="4" t="str">
        <f>"97008"</f>
        <v>97008</v>
      </c>
      <c r="AK852" t="s">
        <v>120</v>
      </c>
      <c r="AM852" s="5">
        <v>14082106653</v>
      </c>
      <c r="AO852" t="s">
        <v>1021</v>
      </c>
      <c r="AP852" t="s">
        <v>256</v>
      </c>
      <c r="AQ852" t="s">
        <v>535</v>
      </c>
      <c r="AR852" t="s">
        <v>536</v>
      </c>
      <c r="AS852" t="s">
        <v>537</v>
      </c>
      <c r="AT852" t="s">
        <v>538</v>
      </c>
      <c r="AU852" t="s">
        <v>539</v>
      </c>
      <c r="AV852" t="s">
        <v>540</v>
      </c>
      <c r="AW852" t="s">
        <v>232</v>
      </c>
      <c r="AX852" s="4" t="str">
        <f t="shared" si="51"/>
        <v>78550</v>
      </c>
      <c r="AY852" t="s">
        <v>120</v>
      </c>
      <c r="BA852" s="5">
        <v>19564408720</v>
      </c>
      <c r="BB852">
        <v>0</v>
      </c>
      <c r="BC852" t="s">
        <v>1022</v>
      </c>
      <c r="BD852" t="s">
        <v>543</v>
      </c>
      <c r="BG852" t="s">
        <v>792</v>
      </c>
      <c r="BH852" s="1">
        <v>44836.833333333336</v>
      </c>
      <c r="BI852">
        <v>40</v>
      </c>
      <c r="BJ852">
        <v>8</v>
      </c>
      <c r="BK852">
        <v>0</v>
      </c>
      <c r="BL852">
        <v>0</v>
      </c>
      <c r="BM852">
        <v>8</v>
      </c>
      <c r="BN852">
        <v>8</v>
      </c>
      <c r="BO852">
        <v>8</v>
      </c>
      <c r="BP852">
        <v>8</v>
      </c>
      <c r="BQ852" t="str">
        <f t="shared" si="52"/>
        <v>1:00 PM</v>
      </c>
      <c r="BR852" t="str">
        <f t="shared" si="53"/>
        <v>10:00 PM</v>
      </c>
      <c r="BS852" t="s">
        <v>133</v>
      </c>
      <c r="BT852">
        <v>0</v>
      </c>
      <c r="BU852">
        <v>6</v>
      </c>
      <c r="BV852" t="s">
        <v>134</v>
      </c>
      <c r="BX852" s="2" t="s">
        <v>579</v>
      </c>
      <c r="BY852" t="s">
        <v>10525</v>
      </c>
      <c r="CA852" t="s">
        <v>1025</v>
      </c>
      <c r="CB852" t="s">
        <v>792</v>
      </c>
      <c r="CC852" s="4" t="str">
        <f>"98901"</f>
        <v>98901</v>
      </c>
      <c r="CD852" t="s">
        <v>1026</v>
      </c>
      <c r="CE852" t="s">
        <v>1027</v>
      </c>
      <c r="CF852" s="6">
        <v>17.899999999999999</v>
      </c>
      <c r="CG852" s="6">
        <v>28.96</v>
      </c>
      <c r="CJ852" t="s">
        <v>137</v>
      </c>
      <c r="CK852" t="s">
        <v>549</v>
      </c>
      <c r="CL852" t="s">
        <v>10526</v>
      </c>
      <c r="CO852" t="s">
        <v>138</v>
      </c>
      <c r="CP852" t="s">
        <v>114</v>
      </c>
      <c r="CQ852" t="s">
        <v>114</v>
      </c>
      <c r="CR852" t="s">
        <v>134</v>
      </c>
      <c r="CS852" t="s">
        <v>114</v>
      </c>
      <c r="CT852" t="s">
        <v>114</v>
      </c>
      <c r="CU852" t="s">
        <v>114</v>
      </c>
      <c r="CV852" t="s">
        <v>1029</v>
      </c>
      <c r="CW852" s="5" t="str">
        <f>"N/A"</f>
        <v>N/A</v>
      </c>
      <c r="CX852" t="s">
        <v>1030</v>
      </c>
      <c r="CY852" t="s">
        <v>1031</v>
      </c>
      <c r="CZ852" t="s">
        <v>139</v>
      </c>
      <c r="DA852" t="s">
        <v>134</v>
      </c>
      <c r="DB852" t="s">
        <v>114</v>
      </c>
      <c r="DC852" t="s">
        <v>114</v>
      </c>
      <c r="DD852" t="s">
        <v>134</v>
      </c>
    </row>
    <row r="853" spans="1:108" ht="15" customHeight="1" x14ac:dyDescent="0.25">
      <c r="A853" t="s">
        <v>1012</v>
      </c>
      <c r="B853" t="s">
        <v>165</v>
      </c>
      <c r="C853" s="1">
        <v>44837.305001620371</v>
      </c>
      <c r="D853" s="1">
        <v>44861</v>
      </c>
      <c r="E853" t="s">
        <v>134</v>
      </c>
      <c r="F853" t="s">
        <v>1013</v>
      </c>
      <c r="G853" t="str">
        <f>"53-3032.00"</f>
        <v>53-3032.00</v>
      </c>
      <c r="H853" t="s">
        <v>227</v>
      </c>
      <c r="I853">
        <v>25</v>
      </c>
      <c r="J853">
        <v>25</v>
      </c>
      <c r="K853" s="1">
        <v>44927</v>
      </c>
      <c r="L853" s="1">
        <v>45230</v>
      </c>
      <c r="M853" s="1">
        <v>44927</v>
      </c>
      <c r="N853" s="1">
        <v>45230</v>
      </c>
      <c r="O853" t="s">
        <v>199</v>
      </c>
      <c r="P853" t="s">
        <v>1014</v>
      </c>
      <c r="R853" t="s">
        <v>1015</v>
      </c>
      <c r="S853" t="s">
        <v>1016</v>
      </c>
      <c r="T853" t="s">
        <v>1017</v>
      </c>
      <c r="U853" t="s">
        <v>511</v>
      </c>
      <c r="V853" s="4" t="str">
        <f>"97008"</f>
        <v>97008</v>
      </c>
      <c r="W853" t="s">
        <v>120</v>
      </c>
      <c r="Y853" s="5">
        <v>15036436610</v>
      </c>
      <c r="AA853">
        <v>71399</v>
      </c>
      <c r="AB853" t="s">
        <v>1018</v>
      </c>
      <c r="AC853" t="s">
        <v>1019</v>
      </c>
      <c r="AD853" t="s">
        <v>1020</v>
      </c>
      <c r="AE853" t="s">
        <v>342</v>
      </c>
      <c r="AF853" t="s">
        <v>1015</v>
      </c>
      <c r="AG853" t="s">
        <v>1016</v>
      </c>
      <c r="AH853" t="s">
        <v>1017</v>
      </c>
      <c r="AI853" t="s">
        <v>511</v>
      </c>
      <c r="AJ853" s="4" t="str">
        <f>"97008"</f>
        <v>97008</v>
      </c>
      <c r="AK853" t="s">
        <v>120</v>
      </c>
      <c r="AM853" s="5">
        <v>14082106653</v>
      </c>
      <c r="AO853" t="s">
        <v>1021</v>
      </c>
      <c r="AP853" t="s">
        <v>256</v>
      </c>
      <c r="AQ853" t="s">
        <v>535</v>
      </c>
      <c r="AR853" t="s">
        <v>536</v>
      </c>
      <c r="AS853" t="s">
        <v>537</v>
      </c>
      <c r="AT853" t="s">
        <v>538</v>
      </c>
      <c r="AU853" t="s">
        <v>539</v>
      </c>
      <c r="AV853" t="s">
        <v>540</v>
      </c>
      <c r="AW853" t="s">
        <v>232</v>
      </c>
      <c r="AX853" s="4" t="str">
        <f t="shared" si="51"/>
        <v>78550</v>
      </c>
      <c r="AY853" t="s">
        <v>120</v>
      </c>
      <c r="BA853" s="5">
        <v>19564408720</v>
      </c>
      <c r="BB853">
        <v>0</v>
      </c>
      <c r="BC853" t="s">
        <v>1022</v>
      </c>
      <c r="BD853" t="s">
        <v>543</v>
      </c>
      <c r="BG853" t="s">
        <v>792</v>
      </c>
      <c r="BH853" s="1">
        <v>44836.833333333336</v>
      </c>
      <c r="BI853">
        <v>40</v>
      </c>
      <c r="BJ853">
        <v>8</v>
      </c>
      <c r="BK853">
        <v>0</v>
      </c>
      <c r="BL853">
        <v>0</v>
      </c>
      <c r="BM853">
        <v>8</v>
      </c>
      <c r="BN853">
        <v>8</v>
      </c>
      <c r="BO853">
        <v>8</v>
      </c>
      <c r="BP853">
        <v>8</v>
      </c>
      <c r="BQ853" t="str">
        <f t="shared" si="52"/>
        <v>1:00 PM</v>
      </c>
      <c r="BR853" t="str">
        <f t="shared" si="53"/>
        <v>10:00 PM</v>
      </c>
      <c r="BS853" t="s">
        <v>133</v>
      </c>
      <c r="BT853">
        <v>0</v>
      </c>
      <c r="BU853">
        <v>0</v>
      </c>
      <c r="BV853" t="s">
        <v>134</v>
      </c>
      <c r="BX853" s="2" t="s">
        <v>1023</v>
      </c>
      <c r="BY853" t="s">
        <v>1024</v>
      </c>
      <c r="CA853" t="s">
        <v>1025</v>
      </c>
      <c r="CB853" t="s">
        <v>792</v>
      </c>
      <c r="CC853" s="4" t="str">
        <f>"98901"</f>
        <v>98901</v>
      </c>
      <c r="CD853" t="s">
        <v>1026</v>
      </c>
      <c r="CE853" t="s">
        <v>1027</v>
      </c>
      <c r="CF853" s="6">
        <v>20.64</v>
      </c>
      <c r="CG853" s="6">
        <v>29.95</v>
      </c>
      <c r="CJ853" t="s">
        <v>137</v>
      </c>
      <c r="CK853" t="s">
        <v>549</v>
      </c>
      <c r="CL853" t="s">
        <v>1028</v>
      </c>
      <c r="CO853" t="s">
        <v>138</v>
      </c>
      <c r="CP853" t="s">
        <v>114</v>
      </c>
      <c r="CQ853" t="s">
        <v>114</v>
      </c>
      <c r="CR853" t="s">
        <v>134</v>
      </c>
      <c r="CS853" t="s">
        <v>114</v>
      </c>
      <c r="CT853" t="s">
        <v>114</v>
      </c>
      <c r="CU853" t="s">
        <v>114</v>
      </c>
      <c r="CV853" t="s">
        <v>1029</v>
      </c>
      <c r="CW853" s="5" t="str">
        <f>"N/A"</f>
        <v>N/A</v>
      </c>
      <c r="CX853" t="s">
        <v>1030</v>
      </c>
      <c r="CY853" t="s">
        <v>1031</v>
      </c>
      <c r="CZ853" t="s">
        <v>139</v>
      </c>
      <c r="DA853" t="s">
        <v>134</v>
      </c>
      <c r="DB853" t="s">
        <v>114</v>
      </c>
      <c r="DC853" t="s">
        <v>114</v>
      </c>
      <c r="DD853" t="s">
        <v>134</v>
      </c>
    </row>
    <row r="854" spans="1:108" ht="15" customHeight="1" x14ac:dyDescent="0.25">
      <c r="A854" t="s">
        <v>6627</v>
      </c>
      <c r="B854" t="s">
        <v>165</v>
      </c>
      <c r="C854" s="1">
        <v>44837.303075694443</v>
      </c>
      <c r="D854" s="1">
        <v>44861</v>
      </c>
      <c r="E854" t="s">
        <v>134</v>
      </c>
      <c r="F854" t="s">
        <v>6628</v>
      </c>
      <c r="G854" t="str">
        <f>"39-3091.00"</f>
        <v>39-3091.00</v>
      </c>
      <c r="H854" t="s">
        <v>362</v>
      </c>
      <c r="I854">
        <v>15</v>
      </c>
      <c r="J854">
        <v>15</v>
      </c>
      <c r="K854" s="1">
        <v>44927</v>
      </c>
      <c r="L854" s="1">
        <v>45230</v>
      </c>
      <c r="M854" s="1">
        <v>44927</v>
      </c>
      <c r="N854" s="1">
        <v>45230</v>
      </c>
      <c r="O854" t="s">
        <v>199</v>
      </c>
      <c r="P854" t="s">
        <v>1014</v>
      </c>
      <c r="R854" t="s">
        <v>1015</v>
      </c>
      <c r="S854" t="s">
        <v>1016</v>
      </c>
      <c r="T854" t="s">
        <v>1017</v>
      </c>
      <c r="U854" t="s">
        <v>511</v>
      </c>
      <c r="V854" s="4" t="str">
        <f>"97008"</f>
        <v>97008</v>
      </c>
      <c r="W854" t="s">
        <v>120</v>
      </c>
      <c r="Y854" s="5">
        <v>15036436610</v>
      </c>
      <c r="AA854">
        <v>71399</v>
      </c>
      <c r="AB854" t="s">
        <v>1018</v>
      </c>
      <c r="AC854" t="s">
        <v>1019</v>
      </c>
      <c r="AD854" t="s">
        <v>1020</v>
      </c>
      <c r="AE854" t="s">
        <v>342</v>
      </c>
      <c r="AF854" t="s">
        <v>1015</v>
      </c>
      <c r="AG854" t="s">
        <v>1016</v>
      </c>
      <c r="AH854" t="s">
        <v>1017</v>
      </c>
      <c r="AI854" t="s">
        <v>511</v>
      </c>
      <c r="AJ854" s="4" t="str">
        <f>"97008"</f>
        <v>97008</v>
      </c>
      <c r="AK854" t="s">
        <v>120</v>
      </c>
      <c r="AM854" s="5">
        <v>14082106653</v>
      </c>
      <c r="AO854" t="s">
        <v>1021</v>
      </c>
      <c r="AP854" t="s">
        <v>256</v>
      </c>
      <c r="AQ854" t="s">
        <v>535</v>
      </c>
      <c r="AR854" t="s">
        <v>536</v>
      </c>
      <c r="AS854" t="s">
        <v>537</v>
      </c>
      <c r="AT854" t="s">
        <v>538</v>
      </c>
      <c r="AU854" t="s">
        <v>539</v>
      </c>
      <c r="AV854" t="s">
        <v>540</v>
      </c>
      <c r="AW854" t="s">
        <v>232</v>
      </c>
      <c r="AX854" s="4" t="str">
        <f t="shared" si="51"/>
        <v>78550</v>
      </c>
      <c r="AY854" t="s">
        <v>120</v>
      </c>
      <c r="BA854" s="5">
        <v>19564408720</v>
      </c>
      <c r="BB854">
        <v>0</v>
      </c>
      <c r="BC854" t="s">
        <v>1022</v>
      </c>
      <c r="BD854" t="s">
        <v>543</v>
      </c>
      <c r="BG854" t="s">
        <v>792</v>
      </c>
      <c r="BH854" s="1">
        <v>44836.833333333336</v>
      </c>
      <c r="BI854">
        <v>40</v>
      </c>
      <c r="BJ854">
        <v>8</v>
      </c>
      <c r="BK854">
        <v>0</v>
      </c>
      <c r="BL854">
        <v>0</v>
      </c>
      <c r="BM854">
        <v>8</v>
      </c>
      <c r="BN854">
        <v>8</v>
      </c>
      <c r="BO854">
        <v>8</v>
      </c>
      <c r="BP854">
        <v>8</v>
      </c>
      <c r="BQ854" t="str">
        <f t="shared" si="52"/>
        <v>1:00 PM</v>
      </c>
      <c r="BR854" t="str">
        <f t="shared" si="53"/>
        <v>10:00 PM</v>
      </c>
      <c r="BS854" t="s">
        <v>133</v>
      </c>
      <c r="BT854">
        <v>0</v>
      </c>
      <c r="BU854">
        <v>6</v>
      </c>
      <c r="BV854" t="s">
        <v>114</v>
      </c>
      <c r="BW854">
        <v>6</v>
      </c>
      <c r="BX854" s="2" t="s">
        <v>579</v>
      </c>
      <c r="BY854" t="s">
        <v>6629</v>
      </c>
      <c r="CA854" t="s">
        <v>1025</v>
      </c>
      <c r="CB854" t="s">
        <v>792</v>
      </c>
      <c r="CC854" s="4" t="str">
        <f>"98901"</f>
        <v>98901</v>
      </c>
      <c r="CD854" t="s">
        <v>1026</v>
      </c>
      <c r="CE854" t="s">
        <v>1027</v>
      </c>
      <c r="CF854" s="6">
        <v>18.75</v>
      </c>
      <c r="CG854" s="6">
        <v>18.75</v>
      </c>
      <c r="CJ854" t="s">
        <v>137</v>
      </c>
      <c r="CK854" t="s">
        <v>549</v>
      </c>
      <c r="CL854" t="s">
        <v>6630</v>
      </c>
      <c r="CO854" t="s">
        <v>138</v>
      </c>
      <c r="CP854" t="s">
        <v>114</v>
      </c>
      <c r="CQ854" t="s">
        <v>114</v>
      </c>
      <c r="CR854" t="s">
        <v>134</v>
      </c>
      <c r="CS854" t="s">
        <v>114</v>
      </c>
      <c r="CT854" t="s">
        <v>114</v>
      </c>
      <c r="CU854" t="s">
        <v>114</v>
      </c>
      <c r="CV854" t="s">
        <v>1029</v>
      </c>
      <c r="CW854" s="5" t="str">
        <f>"N/A"</f>
        <v>N/A</v>
      </c>
      <c r="CX854" t="s">
        <v>1030</v>
      </c>
      <c r="CY854" t="s">
        <v>1031</v>
      </c>
      <c r="CZ854" t="s">
        <v>139</v>
      </c>
      <c r="DA854" t="s">
        <v>134</v>
      </c>
      <c r="DB854" t="s">
        <v>114</v>
      </c>
      <c r="DC854" t="s">
        <v>114</v>
      </c>
      <c r="DD854" t="s">
        <v>134</v>
      </c>
    </row>
    <row r="855" spans="1:108" ht="15" customHeight="1" x14ac:dyDescent="0.25">
      <c r="A855" t="s">
        <v>5131</v>
      </c>
      <c r="B855" t="s">
        <v>165</v>
      </c>
      <c r="C855" s="1">
        <v>44837.300909143516</v>
      </c>
      <c r="D855" s="1">
        <v>44861</v>
      </c>
      <c r="E855" t="s">
        <v>134</v>
      </c>
      <c r="F855" t="s">
        <v>1357</v>
      </c>
      <c r="G855" t="str">
        <f>"39-3091.00"</f>
        <v>39-3091.00</v>
      </c>
      <c r="H855" t="s">
        <v>362</v>
      </c>
      <c r="I855">
        <v>290</v>
      </c>
      <c r="J855">
        <v>290</v>
      </c>
      <c r="K855" s="1">
        <v>44927</v>
      </c>
      <c r="L855" s="1">
        <v>45230</v>
      </c>
      <c r="M855" s="1">
        <v>44927</v>
      </c>
      <c r="N855" s="1">
        <v>45230</v>
      </c>
      <c r="O855" t="s">
        <v>199</v>
      </c>
      <c r="P855" t="s">
        <v>1014</v>
      </c>
      <c r="R855" t="s">
        <v>1015</v>
      </c>
      <c r="S855" t="s">
        <v>1016</v>
      </c>
      <c r="T855" t="s">
        <v>1017</v>
      </c>
      <c r="U855" t="s">
        <v>511</v>
      </c>
      <c r="V855" s="4" t="str">
        <f>"97008"</f>
        <v>97008</v>
      </c>
      <c r="W855" t="s">
        <v>120</v>
      </c>
      <c r="Y855" s="5">
        <v>15036436610</v>
      </c>
      <c r="AA855">
        <v>71399</v>
      </c>
      <c r="AB855" t="s">
        <v>1018</v>
      </c>
      <c r="AC855" t="s">
        <v>1019</v>
      </c>
      <c r="AD855" t="s">
        <v>1020</v>
      </c>
      <c r="AE855" t="s">
        <v>342</v>
      </c>
      <c r="AF855" t="s">
        <v>1015</v>
      </c>
      <c r="AG855" t="s">
        <v>1016</v>
      </c>
      <c r="AH855" t="s">
        <v>1017</v>
      </c>
      <c r="AI855" t="s">
        <v>511</v>
      </c>
      <c r="AJ855" s="4" t="str">
        <f>"97008"</f>
        <v>97008</v>
      </c>
      <c r="AK855" t="s">
        <v>120</v>
      </c>
      <c r="AM855" s="5">
        <v>14082106653</v>
      </c>
      <c r="AO855" t="s">
        <v>1021</v>
      </c>
      <c r="AP855" t="s">
        <v>256</v>
      </c>
      <c r="AQ855" t="s">
        <v>535</v>
      </c>
      <c r="AR855" t="s">
        <v>536</v>
      </c>
      <c r="AS855" t="s">
        <v>537</v>
      </c>
      <c r="AT855" t="s">
        <v>538</v>
      </c>
      <c r="AU855" t="s">
        <v>539</v>
      </c>
      <c r="AV855" t="s">
        <v>540</v>
      </c>
      <c r="AW855" t="s">
        <v>232</v>
      </c>
      <c r="AX855" s="4" t="str">
        <f t="shared" si="51"/>
        <v>78550</v>
      </c>
      <c r="AY855" t="s">
        <v>120</v>
      </c>
      <c r="BA855" s="5">
        <v>19564408720</v>
      </c>
      <c r="BB855">
        <v>0</v>
      </c>
      <c r="BC855" t="s">
        <v>1022</v>
      </c>
      <c r="BD855" t="s">
        <v>543</v>
      </c>
      <c r="BG855" t="s">
        <v>792</v>
      </c>
      <c r="BH855" s="1">
        <v>44836.833333333336</v>
      </c>
      <c r="BI855">
        <v>40</v>
      </c>
      <c r="BJ855">
        <v>8</v>
      </c>
      <c r="BK855">
        <v>0</v>
      </c>
      <c r="BL855">
        <v>0</v>
      </c>
      <c r="BM855">
        <v>8</v>
      </c>
      <c r="BN855">
        <v>8</v>
      </c>
      <c r="BO855">
        <v>8</v>
      </c>
      <c r="BP855">
        <v>8</v>
      </c>
      <c r="BQ855" t="str">
        <f t="shared" si="52"/>
        <v>1:00 PM</v>
      </c>
      <c r="BR855" t="str">
        <f t="shared" si="53"/>
        <v>10:00 PM</v>
      </c>
      <c r="BS855" t="s">
        <v>133</v>
      </c>
      <c r="BT855">
        <v>0</v>
      </c>
      <c r="BU855">
        <v>0</v>
      </c>
      <c r="BV855" t="s">
        <v>134</v>
      </c>
      <c r="BX855" s="2" t="s">
        <v>579</v>
      </c>
      <c r="BY855" t="s">
        <v>5132</v>
      </c>
      <c r="CA855" t="s">
        <v>1025</v>
      </c>
      <c r="CB855" t="s">
        <v>792</v>
      </c>
      <c r="CC855" s="4" t="str">
        <f>"98901"</f>
        <v>98901</v>
      </c>
      <c r="CD855" t="s">
        <v>1026</v>
      </c>
      <c r="CE855" t="s">
        <v>1027</v>
      </c>
      <c r="CF855" s="6">
        <v>10.86</v>
      </c>
      <c r="CG855" s="6">
        <v>17.690000000000001</v>
      </c>
      <c r="CJ855" t="s">
        <v>137</v>
      </c>
      <c r="CK855" t="s">
        <v>549</v>
      </c>
      <c r="CL855" t="s">
        <v>5133</v>
      </c>
      <c r="CO855" t="s">
        <v>138</v>
      </c>
      <c r="CP855" t="s">
        <v>114</v>
      </c>
      <c r="CQ855" t="s">
        <v>114</v>
      </c>
      <c r="CR855" t="s">
        <v>134</v>
      </c>
      <c r="CS855" t="s">
        <v>114</v>
      </c>
      <c r="CT855" t="s">
        <v>114</v>
      </c>
      <c r="CU855" t="s">
        <v>114</v>
      </c>
      <c r="CV855" t="s">
        <v>1029</v>
      </c>
      <c r="CW855" s="5" t="str">
        <f>"N/A"</f>
        <v>N/A</v>
      </c>
      <c r="CX855" t="s">
        <v>1030</v>
      </c>
      <c r="CY855" t="s">
        <v>1031</v>
      </c>
      <c r="CZ855" t="s">
        <v>139</v>
      </c>
      <c r="DA855" t="s">
        <v>134</v>
      </c>
      <c r="DB855" t="s">
        <v>114</v>
      </c>
      <c r="DC855" t="s">
        <v>114</v>
      </c>
      <c r="DD855" t="s">
        <v>134</v>
      </c>
    </row>
    <row r="856" spans="1:108" ht="15" customHeight="1" x14ac:dyDescent="0.25">
      <c r="A856" t="s">
        <v>13797</v>
      </c>
      <c r="B856" t="s">
        <v>165</v>
      </c>
      <c r="C856" s="1">
        <v>44837.291798379629</v>
      </c>
      <c r="D856" s="1">
        <v>44861</v>
      </c>
      <c r="E856" t="s">
        <v>134</v>
      </c>
      <c r="F856" t="s">
        <v>1357</v>
      </c>
      <c r="G856" t="str">
        <f>"39-3091.00"</f>
        <v>39-3091.00</v>
      </c>
      <c r="H856" t="s">
        <v>362</v>
      </c>
      <c r="I856">
        <v>169</v>
      </c>
      <c r="J856">
        <v>169</v>
      </c>
      <c r="K856" s="1">
        <v>44927</v>
      </c>
      <c r="L856" s="1">
        <v>45230</v>
      </c>
      <c r="M856" s="1">
        <v>44927</v>
      </c>
      <c r="N856" s="1">
        <v>45230</v>
      </c>
      <c r="O856" t="s">
        <v>199</v>
      </c>
      <c r="P856" t="s">
        <v>13798</v>
      </c>
      <c r="R856" t="s">
        <v>13799</v>
      </c>
      <c r="T856" t="s">
        <v>13800</v>
      </c>
      <c r="U856" t="s">
        <v>2371</v>
      </c>
      <c r="V856" s="4" t="str">
        <f>"47340"</f>
        <v>47340</v>
      </c>
      <c r="W856" t="s">
        <v>120</v>
      </c>
      <c r="Y856" s="5">
        <v>17654333038</v>
      </c>
      <c r="AA856">
        <v>71399</v>
      </c>
      <c r="AB856" t="s">
        <v>6690</v>
      </c>
      <c r="AC856" t="s">
        <v>6691</v>
      </c>
      <c r="AE856" t="s">
        <v>1710</v>
      </c>
      <c r="AF856" t="s">
        <v>13801</v>
      </c>
      <c r="AH856" t="s">
        <v>13800</v>
      </c>
      <c r="AI856" t="s">
        <v>2371</v>
      </c>
      <c r="AJ856" s="4" t="str">
        <f>"47340"</f>
        <v>47340</v>
      </c>
      <c r="AK856" t="s">
        <v>120</v>
      </c>
      <c r="AM856" s="5">
        <v>17657609135</v>
      </c>
      <c r="AO856" t="s">
        <v>6692</v>
      </c>
      <c r="AP856" t="s">
        <v>256</v>
      </c>
      <c r="AQ856" t="s">
        <v>535</v>
      </c>
      <c r="AR856" t="s">
        <v>536</v>
      </c>
      <c r="AS856" t="s">
        <v>537</v>
      </c>
      <c r="AT856" t="s">
        <v>538</v>
      </c>
      <c r="AU856" t="s">
        <v>539</v>
      </c>
      <c r="AV856" t="s">
        <v>540</v>
      </c>
      <c r="AW856" t="s">
        <v>232</v>
      </c>
      <c r="AX856" s="4" t="str">
        <f t="shared" si="51"/>
        <v>78550</v>
      </c>
      <c r="AY856" t="s">
        <v>120</v>
      </c>
      <c r="BA856" s="5">
        <v>19564408720</v>
      </c>
      <c r="BB856">
        <v>0</v>
      </c>
      <c r="BC856" t="s">
        <v>563</v>
      </c>
      <c r="BD856" t="s">
        <v>543</v>
      </c>
      <c r="BG856" t="s">
        <v>2371</v>
      </c>
      <c r="BH856" s="1">
        <v>44836.833333333336</v>
      </c>
      <c r="BI856">
        <v>40</v>
      </c>
      <c r="BJ856">
        <v>8</v>
      </c>
      <c r="BK856">
        <v>0</v>
      </c>
      <c r="BL856">
        <v>0</v>
      </c>
      <c r="BM856">
        <v>8</v>
      </c>
      <c r="BN856">
        <v>8</v>
      </c>
      <c r="BO856">
        <v>8</v>
      </c>
      <c r="BP856">
        <v>8</v>
      </c>
      <c r="BQ856" t="str">
        <f t="shared" si="52"/>
        <v>1:00 PM</v>
      </c>
      <c r="BR856" t="str">
        <f t="shared" si="53"/>
        <v>10:00 PM</v>
      </c>
      <c r="BS856" t="s">
        <v>133</v>
      </c>
      <c r="BT856">
        <v>0</v>
      </c>
      <c r="BU856">
        <v>0</v>
      </c>
      <c r="BV856" t="s">
        <v>134</v>
      </c>
      <c r="BX856" s="2" t="s">
        <v>579</v>
      </c>
      <c r="BY856" t="s">
        <v>13802</v>
      </c>
      <c r="CA856" t="s">
        <v>13800</v>
      </c>
      <c r="CB856" t="s">
        <v>2371</v>
      </c>
      <c r="CC856" s="4" t="str">
        <f>"47340"</f>
        <v>47340</v>
      </c>
      <c r="CD856" t="s">
        <v>3760</v>
      </c>
      <c r="CE856" t="s">
        <v>6958</v>
      </c>
      <c r="CF856" s="6">
        <v>9.5500000000000007</v>
      </c>
      <c r="CG856" s="6">
        <v>14.37</v>
      </c>
      <c r="CJ856" t="s">
        <v>137</v>
      </c>
      <c r="CK856" t="s">
        <v>549</v>
      </c>
      <c r="CL856" t="s">
        <v>13803</v>
      </c>
      <c r="CO856" t="s">
        <v>138</v>
      </c>
      <c r="CP856" t="s">
        <v>114</v>
      </c>
      <c r="CQ856" t="s">
        <v>114</v>
      </c>
      <c r="CR856" t="s">
        <v>134</v>
      </c>
      <c r="CS856" t="s">
        <v>114</v>
      </c>
      <c r="CT856" t="s">
        <v>114</v>
      </c>
      <c r="CU856" t="s">
        <v>114</v>
      </c>
      <c r="CV856" t="s">
        <v>5923</v>
      </c>
      <c r="CW856" s="5" t="str">
        <f>"+17654333038"</f>
        <v>+17654333038</v>
      </c>
      <c r="CX856" t="s">
        <v>6692</v>
      </c>
      <c r="CY856" t="s">
        <v>138</v>
      </c>
      <c r="CZ856" t="s">
        <v>139</v>
      </c>
      <c r="DA856" t="s">
        <v>134</v>
      </c>
      <c r="DB856" t="s">
        <v>114</v>
      </c>
      <c r="DC856" t="s">
        <v>114</v>
      </c>
      <c r="DD856" t="s">
        <v>134</v>
      </c>
    </row>
    <row r="857" spans="1:108" ht="15" customHeight="1" x14ac:dyDescent="0.25">
      <c r="A857" t="s">
        <v>8636</v>
      </c>
      <c r="B857" t="s">
        <v>165</v>
      </c>
      <c r="C857" s="1">
        <v>44837.003759722225</v>
      </c>
      <c r="D857" s="1">
        <v>44861</v>
      </c>
      <c r="E857" t="s">
        <v>134</v>
      </c>
      <c r="F857" t="s">
        <v>361</v>
      </c>
      <c r="G857" t="str">
        <f>"39-3091.00"</f>
        <v>39-3091.00</v>
      </c>
      <c r="H857" t="s">
        <v>362</v>
      </c>
      <c r="I857">
        <v>50</v>
      </c>
      <c r="J857">
        <v>50</v>
      </c>
      <c r="K857" s="1">
        <v>44927</v>
      </c>
      <c r="L857" s="1">
        <v>45205</v>
      </c>
      <c r="M857" s="1">
        <v>44927</v>
      </c>
      <c r="N857" s="1">
        <v>45205</v>
      </c>
      <c r="O857" t="s">
        <v>199</v>
      </c>
      <c r="P857" t="s">
        <v>8637</v>
      </c>
      <c r="R857" t="s">
        <v>8638</v>
      </c>
      <c r="T857" t="s">
        <v>8639</v>
      </c>
      <c r="U857" t="s">
        <v>1411</v>
      </c>
      <c r="V857" s="4" t="str">
        <f>"43953"</f>
        <v>43953</v>
      </c>
      <c r="W857" t="s">
        <v>120</v>
      </c>
      <c r="Y857" s="5">
        <v>17402662950</v>
      </c>
      <c r="AA857">
        <v>71399</v>
      </c>
      <c r="AB857" t="s">
        <v>8640</v>
      </c>
      <c r="AC857" t="s">
        <v>2810</v>
      </c>
      <c r="AE857" t="s">
        <v>1567</v>
      </c>
      <c r="AF857" t="s">
        <v>8638</v>
      </c>
      <c r="AH857" t="s">
        <v>8639</v>
      </c>
      <c r="AI857" t="s">
        <v>1411</v>
      </c>
      <c r="AJ857" s="4" t="str">
        <f>"43953"</f>
        <v>43953</v>
      </c>
      <c r="AK857" t="s">
        <v>120</v>
      </c>
      <c r="AM857" s="5">
        <v>17402662950</v>
      </c>
      <c r="AO857" t="s">
        <v>8641</v>
      </c>
      <c r="AP857" t="s">
        <v>256</v>
      </c>
      <c r="AQ857" t="s">
        <v>400</v>
      </c>
      <c r="AR857" t="s">
        <v>401</v>
      </c>
      <c r="AS857" t="s">
        <v>397</v>
      </c>
      <c r="AT857" t="s">
        <v>402</v>
      </c>
      <c r="AU857" t="s">
        <v>152</v>
      </c>
      <c r="AV857" t="s">
        <v>403</v>
      </c>
      <c r="AW857" t="s">
        <v>232</v>
      </c>
      <c r="AX857" s="4" t="str">
        <f>"75033"</f>
        <v>75033</v>
      </c>
      <c r="AY857" t="s">
        <v>120</v>
      </c>
      <c r="BA857" s="5">
        <v>19727789690</v>
      </c>
      <c r="BC857" t="s">
        <v>404</v>
      </c>
      <c r="BD857" t="s">
        <v>405</v>
      </c>
      <c r="BG857" t="s">
        <v>1411</v>
      </c>
      <c r="BH857" s="1">
        <v>45201.833333333336</v>
      </c>
      <c r="BI857">
        <v>48</v>
      </c>
      <c r="BJ857">
        <v>8</v>
      </c>
      <c r="BK857">
        <v>0</v>
      </c>
      <c r="BL857">
        <v>8</v>
      </c>
      <c r="BM857">
        <v>8</v>
      </c>
      <c r="BN857">
        <v>8</v>
      </c>
      <c r="BO857">
        <v>8</v>
      </c>
      <c r="BP857">
        <v>8</v>
      </c>
      <c r="BQ857" t="str">
        <f>"10:00 AM"</f>
        <v>10:00 AM</v>
      </c>
      <c r="BR857" t="str">
        <f>"7:00 PM"</f>
        <v>7:00 PM</v>
      </c>
      <c r="BS857" t="s">
        <v>133</v>
      </c>
      <c r="BT857">
        <v>0</v>
      </c>
      <c r="BU857">
        <v>0</v>
      </c>
      <c r="BV857" t="s">
        <v>134</v>
      </c>
      <c r="BX857" s="2" t="s">
        <v>8642</v>
      </c>
      <c r="BY857" t="s">
        <v>8638</v>
      </c>
      <c r="CA857" t="s">
        <v>8639</v>
      </c>
      <c r="CB857" t="s">
        <v>1411</v>
      </c>
      <c r="CC857" s="4" t="str">
        <f>"43953"</f>
        <v>43953</v>
      </c>
      <c r="CD857" t="s">
        <v>1387</v>
      </c>
      <c r="CE857" t="s">
        <v>8379</v>
      </c>
      <c r="CF857" s="6">
        <v>10.67</v>
      </c>
      <c r="CG857" s="6">
        <v>11.72</v>
      </c>
      <c r="CH857" s="6">
        <v>16.010000000000002</v>
      </c>
      <c r="CI857" s="6">
        <v>17.579999999999998</v>
      </c>
      <c r="CJ857" t="s">
        <v>137</v>
      </c>
      <c r="CK857" t="s">
        <v>593</v>
      </c>
      <c r="CL857" t="s">
        <v>8643</v>
      </c>
      <c r="CO857" t="s">
        <v>138</v>
      </c>
      <c r="CP857" t="s">
        <v>114</v>
      </c>
      <c r="CQ857" t="s">
        <v>114</v>
      </c>
      <c r="CR857" t="s">
        <v>114</v>
      </c>
      <c r="CS857" t="s">
        <v>114</v>
      </c>
      <c r="CT857" t="s">
        <v>114</v>
      </c>
      <c r="CU857" t="s">
        <v>114</v>
      </c>
      <c r="CV857" s="2" t="s">
        <v>8644</v>
      </c>
      <c r="CW857" s="5" t="str">
        <f>"+17402662950"</f>
        <v>+17402662950</v>
      </c>
      <c r="CX857" t="s">
        <v>138</v>
      </c>
      <c r="CY857" t="s">
        <v>8645</v>
      </c>
      <c r="CZ857" t="s">
        <v>139</v>
      </c>
      <c r="DA857" t="s">
        <v>134</v>
      </c>
      <c r="DB857" t="s">
        <v>114</v>
      </c>
      <c r="DC857" t="s">
        <v>114</v>
      </c>
      <c r="DD857" t="s">
        <v>134</v>
      </c>
    </row>
    <row r="858" spans="1:108" ht="15" customHeight="1" x14ac:dyDescent="0.25">
      <c r="A858" t="s">
        <v>1076</v>
      </c>
      <c r="B858" t="s">
        <v>165</v>
      </c>
      <c r="C858" s="1">
        <v>44837.003244675929</v>
      </c>
      <c r="D858" s="1">
        <v>44861</v>
      </c>
      <c r="E858" t="s">
        <v>134</v>
      </c>
      <c r="F858" t="s">
        <v>361</v>
      </c>
      <c r="G858" t="str">
        <f>"39-3091.00"</f>
        <v>39-3091.00</v>
      </c>
      <c r="H858" t="s">
        <v>362</v>
      </c>
      <c r="I858">
        <v>50</v>
      </c>
      <c r="J858">
        <v>50</v>
      </c>
      <c r="K858" s="1">
        <v>44927</v>
      </c>
      <c r="L858" s="1">
        <v>45009</v>
      </c>
      <c r="M858" s="1">
        <v>44927</v>
      </c>
      <c r="N858" s="1">
        <v>45009</v>
      </c>
      <c r="O858" t="s">
        <v>199</v>
      </c>
      <c r="P858" t="s">
        <v>1077</v>
      </c>
      <c r="R858" t="s">
        <v>1078</v>
      </c>
      <c r="T858" t="s">
        <v>1079</v>
      </c>
      <c r="U858" t="s">
        <v>232</v>
      </c>
      <c r="V858" s="4" t="str">
        <f>"75656"</f>
        <v>75656</v>
      </c>
      <c r="W858" t="s">
        <v>120</v>
      </c>
      <c r="Y858" s="5">
        <v>19036397016</v>
      </c>
      <c r="AA858">
        <v>7139</v>
      </c>
      <c r="AB858" t="s">
        <v>1080</v>
      </c>
      <c r="AC858" t="s">
        <v>1081</v>
      </c>
      <c r="AE858" t="s">
        <v>424</v>
      </c>
      <c r="AF858" t="s">
        <v>1078</v>
      </c>
      <c r="AH858" t="s">
        <v>1079</v>
      </c>
      <c r="AI858" t="s">
        <v>232</v>
      </c>
      <c r="AJ858" s="4" t="str">
        <f>"75656"</f>
        <v>75656</v>
      </c>
      <c r="AK858" t="s">
        <v>120</v>
      </c>
      <c r="AM858" s="5">
        <v>19036397016</v>
      </c>
      <c r="AO858" t="s">
        <v>1082</v>
      </c>
      <c r="AP858" t="s">
        <v>256</v>
      </c>
      <c r="AQ858" t="s">
        <v>400</v>
      </c>
      <c r="AR858" t="s">
        <v>401</v>
      </c>
      <c r="AS858" t="s">
        <v>397</v>
      </c>
      <c r="AT858" t="s">
        <v>402</v>
      </c>
      <c r="AU858" t="s">
        <v>152</v>
      </c>
      <c r="AV858" t="s">
        <v>403</v>
      </c>
      <c r="AW858" t="s">
        <v>232</v>
      </c>
      <c r="AX858" s="4" t="str">
        <f>"75033"</f>
        <v>75033</v>
      </c>
      <c r="AY858" t="s">
        <v>120</v>
      </c>
      <c r="BA858" s="5">
        <v>19727789690</v>
      </c>
      <c r="BC858" t="s">
        <v>404</v>
      </c>
      <c r="BD858" t="s">
        <v>405</v>
      </c>
      <c r="BG858" t="s">
        <v>232</v>
      </c>
      <c r="BH858" s="1">
        <v>44836.833333333336</v>
      </c>
      <c r="BI858">
        <v>48</v>
      </c>
      <c r="BJ858">
        <v>8</v>
      </c>
      <c r="BK858">
        <v>0</v>
      </c>
      <c r="BL858">
        <v>8</v>
      </c>
      <c r="BM858">
        <v>8</v>
      </c>
      <c r="BN858">
        <v>8</v>
      </c>
      <c r="BO858">
        <v>8</v>
      </c>
      <c r="BP858">
        <v>8</v>
      </c>
      <c r="BQ858" t="str">
        <f>"10:00 AM"</f>
        <v>10:00 AM</v>
      </c>
      <c r="BR858" t="str">
        <f>"7:00 PM"</f>
        <v>7:00 PM</v>
      </c>
      <c r="BS858" t="s">
        <v>133</v>
      </c>
      <c r="BT858">
        <v>0</v>
      </c>
      <c r="BU858">
        <v>0</v>
      </c>
      <c r="BV858" t="s">
        <v>134</v>
      </c>
      <c r="BX858" s="2" t="s">
        <v>1083</v>
      </c>
      <c r="BY858" t="s">
        <v>1078</v>
      </c>
      <c r="CA858" t="s">
        <v>1079</v>
      </c>
      <c r="CB858" t="s">
        <v>232</v>
      </c>
      <c r="CC858" s="4" t="str">
        <f>"75656"</f>
        <v>75656</v>
      </c>
      <c r="CD858" t="s">
        <v>1084</v>
      </c>
      <c r="CE858" t="s">
        <v>1085</v>
      </c>
      <c r="CF858" s="6">
        <v>10.28</v>
      </c>
      <c r="CG858" s="6">
        <v>11.53</v>
      </c>
      <c r="CH858" s="6">
        <v>0</v>
      </c>
      <c r="CI858" s="6">
        <v>0</v>
      </c>
      <c r="CJ858" t="s">
        <v>137</v>
      </c>
      <c r="CK858" t="s">
        <v>593</v>
      </c>
      <c r="CL858" t="s">
        <v>1086</v>
      </c>
      <c r="CO858" t="s">
        <v>138</v>
      </c>
      <c r="CP858" t="s">
        <v>114</v>
      </c>
      <c r="CQ858" t="s">
        <v>114</v>
      </c>
      <c r="CR858" t="s">
        <v>134</v>
      </c>
      <c r="CS858" t="s">
        <v>114</v>
      </c>
      <c r="CT858" t="s">
        <v>114</v>
      </c>
      <c r="CU858" t="s">
        <v>114</v>
      </c>
      <c r="CV858" s="2" t="s">
        <v>1087</v>
      </c>
      <c r="CW858" s="5" t="str">
        <f>"+19036397016"</f>
        <v>+19036397016</v>
      </c>
      <c r="CX858" t="s">
        <v>138</v>
      </c>
      <c r="CY858" t="s">
        <v>953</v>
      </c>
      <c r="CZ858" t="s">
        <v>139</v>
      </c>
      <c r="DA858" t="s">
        <v>134</v>
      </c>
      <c r="DB858" t="s">
        <v>114</v>
      </c>
      <c r="DC858" t="s">
        <v>114</v>
      </c>
      <c r="DD858" t="s">
        <v>134</v>
      </c>
    </row>
    <row r="859" spans="1:108" ht="15" customHeight="1" x14ac:dyDescent="0.25">
      <c r="A859" t="s">
        <v>7423</v>
      </c>
      <c r="B859" t="s">
        <v>165</v>
      </c>
      <c r="C859" s="1">
        <v>44834.715736921295</v>
      </c>
      <c r="D859" s="1">
        <v>44861</v>
      </c>
      <c r="E859" t="s">
        <v>134</v>
      </c>
      <c r="F859" t="s">
        <v>7424</v>
      </c>
      <c r="G859" t="str">
        <f>"49-9099.00"</f>
        <v>49-9099.00</v>
      </c>
      <c r="H859" t="s">
        <v>4721</v>
      </c>
      <c r="I859">
        <v>8</v>
      </c>
      <c r="J859">
        <v>8</v>
      </c>
      <c r="K859" s="1">
        <v>44909</v>
      </c>
      <c r="L859" s="1">
        <v>45031</v>
      </c>
      <c r="M859" s="1">
        <v>44909</v>
      </c>
      <c r="N859" s="1">
        <v>45031</v>
      </c>
      <c r="O859" t="s">
        <v>199</v>
      </c>
      <c r="P859" t="s">
        <v>7425</v>
      </c>
      <c r="R859" t="s">
        <v>7426</v>
      </c>
      <c r="S859" t="s">
        <v>7427</v>
      </c>
      <c r="T859" t="s">
        <v>2668</v>
      </c>
      <c r="U859" t="s">
        <v>631</v>
      </c>
      <c r="V859" s="4" t="str">
        <f>"74019"</f>
        <v>74019</v>
      </c>
      <c r="W859" t="s">
        <v>120</v>
      </c>
      <c r="X859" t="s">
        <v>138</v>
      </c>
      <c r="Y859" s="5">
        <v>19183521421</v>
      </c>
      <c r="Z859">
        <v>0</v>
      </c>
      <c r="AA859">
        <v>5617</v>
      </c>
      <c r="AB859" t="s">
        <v>2645</v>
      </c>
      <c r="AC859" t="s">
        <v>7336</v>
      </c>
      <c r="AD859" t="s">
        <v>1020</v>
      </c>
      <c r="AE859" t="s">
        <v>3191</v>
      </c>
      <c r="AF859" t="s">
        <v>7426</v>
      </c>
      <c r="AG859" t="s">
        <v>7427</v>
      </c>
      <c r="AH859" t="s">
        <v>2668</v>
      </c>
      <c r="AI859" t="s">
        <v>631</v>
      </c>
      <c r="AJ859" s="4" t="str">
        <f>"74019"</f>
        <v>74019</v>
      </c>
      <c r="AK859" t="s">
        <v>120</v>
      </c>
      <c r="AM859" s="5">
        <v>19183521421</v>
      </c>
      <c r="AN859">
        <v>0</v>
      </c>
      <c r="AO859" t="s">
        <v>7428</v>
      </c>
      <c r="AP859" t="s">
        <v>256</v>
      </c>
      <c r="AQ859" t="s">
        <v>535</v>
      </c>
      <c r="AR859" t="s">
        <v>536</v>
      </c>
      <c r="AS859" t="s">
        <v>537</v>
      </c>
      <c r="AT859" t="s">
        <v>538</v>
      </c>
      <c r="AU859" t="s">
        <v>539</v>
      </c>
      <c r="AV859" t="s">
        <v>540</v>
      </c>
      <c r="AW859" t="s">
        <v>232</v>
      </c>
      <c r="AX859" s="4" t="str">
        <f>"78550"</f>
        <v>78550</v>
      </c>
      <c r="AY859" t="s">
        <v>120</v>
      </c>
      <c r="AZ859" t="s">
        <v>541</v>
      </c>
      <c r="BA859" s="5">
        <v>19564408720</v>
      </c>
      <c r="BB859">
        <v>0</v>
      </c>
      <c r="BC859" t="s">
        <v>542</v>
      </c>
      <c r="BD859" t="s">
        <v>543</v>
      </c>
      <c r="BG859" t="s">
        <v>631</v>
      </c>
      <c r="BH859" s="1">
        <v>44833.833333333336</v>
      </c>
      <c r="BI859">
        <v>40</v>
      </c>
      <c r="BJ859">
        <v>0</v>
      </c>
      <c r="BK859">
        <v>8</v>
      </c>
      <c r="BL859">
        <v>8</v>
      </c>
      <c r="BM859">
        <v>8</v>
      </c>
      <c r="BN859">
        <v>8</v>
      </c>
      <c r="BO859">
        <v>8</v>
      </c>
      <c r="BP859">
        <v>0</v>
      </c>
      <c r="BQ859" t="str">
        <f>"7:00 AM"</f>
        <v>7:00 AM</v>
      </c>
      <c r="BR859" t="str">
        <f>"4:00 PM"</f>
        <v>4:00 PM</v>
      </c>
      <c r="BS859" t="s">
        <v>133</v>
      </c>
      <c r="BT859">
        <v>0</v>
      </c>
      <c r="BU859">
        <v>0</v>
      </c>
      <c r="BV859" t="s">
        <v>134</v>
      </c>
      <c r="BX859" t="s">
        <v>7429</v>
      </c>
      <c r="BY859" t="s">
        <v>7430</v>
      </c>
      <c r="CA859" t="s">
        <v>2668</v>
      </c>
      <c r="CB859" t="s">
        <v>631</v>
      </c>
      <c r="CC859" s="4" t="str">
        <f>"74019"</f>
        <v>74019</v>
      </c>
      <c r="CD859" t="s">
        <v>2670</v>
      </c>
      <c r="CE859" t="s">
        <v>2291</v>
      </c>
      <c r="CF859" s="6">
        <v>20.9</v>
      </c>
      <c r="CG859" s="6">
        <v>20.9</v>
      </c>
      <c r="CH859" s="6">
        <v>31.35</v>
      </c>
      <c r="CI859" s="6">
        <v>31.35</v>
      </c>
      <c r="CJ859" t="s">
        <v>137</v>
      </c>
      <c r="CL859" t="s">
        <v>7431</v>
      </c>
      <c r="CO859" t="s">
        <v>138</v>
      </c>
      <c r="CP859" t="s">
        <v>114</v>
      </c>
      <c r="CQ859" t="s">
        <v>114</v>
      </c>
      <c r="CR859" t="s">
        <v>114</v>
      </c>
      <c r="CS859" t="s">
        <v>114</v>
      </c>
      <c r="CT859" t="s">
        <v>114</v>
      </c>
      <c r="CU859" t="s">
        <v>134</v>
      </c>
      <c r="CV859" s="2" t="s">
        <v>7432</v>
      </c>
      <c r="CW859" s="5" t="str">
        <f>"+19183521421"</f>
        <v>+19183521421</v>
      </c>
      <c r="CX859" t="s">
        <v>7428</v>
      </c>
      <c r="CY859" t="s">
        <v>138</v>
      </c>
      <c r="CZ859" t="s">
        <v>139</v>
      </c>
      <c r="DA859" t="s">
        <v>134</v>
      </c>
      <c r="DB859" t="s">
        <v>134</v>
      </c>
      <c r="DC859" t="s">
        <v>114</v>
      </c>
      <c r="DD859" t="s">
        <v>134</v>
      </c>
    </row>
    <row r="860" spans="1:108" ht="15" customHeight="1" x14ac:dyDescent="0.25">
      <c r="A860" t="s">
        <v>3572</v>
      </c>
      <c r="B860" t="s">
        <v>165</v>
      </c>
      <c r="C860" s="1">
        <v>44831.555766087964</v>
      </c>
      <c r="D860" s="1">
        <v>44861</v>
      </c>
      <c r="E860" t="s">
        <v>134</v>
      </c>
      <c r="F860" t="s">
        <v>614</v>
      </c>
      <c r="G860" t="str">
        <f>"39-2021.00"</f>
        <v>39-2021.00</v>
      </c>
      <c r="H860" t="s">
        <v>615</v>
      </c>
      <c r="I860">
        <v>7</v>
      </c>
      <c r="J860">
        <v>7</v>
      </c>
      <c r="K860" s="1">
        <v>44880</v>
      </c>
      <c r="L860" s="1">
        <v>45183</v>
      </c>
      <c r="M860" s="1">
        <v>44880</v>
      </c>
      <c r="N860" s="1">
        <v>45183</v>
      </c>
      <c r="O860" t="s">
        <v>199</v>
      </c>
      <c r="P860" t="s">
        <v>3573</v>
      </c>
      <c r="R860" t="s">
        <v>3574</v>
      </c>
      <c r="T860" t="s">
        <v>3575</v>
      </c>
      <c r="U860" t="s">
        <v>339</v>
      </c>
      <c r="V860" s="4" t="str">
        <f>"21727"</f>
        <v>21727</v>
      </c>
      <c r="W860" t="s">
        <v>120</v>
      </c>
      <c r="Y860" s="5">
        <v>14103530419</v>
      </c>
      <c r="AA860">
        <v>711212</v>
      </c>
      <c r="AB860" t="s">
        <v>3576</v>
      </c>
      <c r="AC860" t="s">
        <v>975</v>
      </c>
      <c r="AE860" t="s">
        <v>622</v>
      </c>
      <c r="AF860" t="s">
        <v>3574</v>
      </c>
      <c r="AH860" t="s">
        <v>3575</v>
      </c>
      <c r="AI860" t="s">
        <v>339</v>
      </c>
      <c r="AJ860" s="4" t="str">
        <f>"21727"</f>
        <v>21727</v>
      </c>
      <c r="AK860" t="s">
        <v>120</v>
      </c>
      <c r="AM860" s="5">
        <v>14103530419</v>
      </c>
      <c r="AO860" t="s">
        <v>3577</v>
      </c>
      <c r="AP860" t="s">
        <v>122</v>
      </c>
      <c r="AQ860" t="s">
        <v>625</v>
      </c>
      <c r="AR860" t="s">
        <v>626</v>
      </c>
      <c r="AS860" t="s">
        <v>627</v>
      </c>
      <c r="AT860" t="s">
        <v>628</v>
      </c>
      <c r="AU860" t="s">
        <v>629</v>
      </c>
      <c r="AV860" t="s">
        <v>630</v>
      </c>
      <c r="AW860" t="s">
        <v>631</v>
      </c>
      <c r="AX860" s="4" t="str">
        <f>"73069"</f>
        <v>73069</v>
      </c>
      <c r="AY860" t="s">
        <v>120</v>
      </c>
      <c r="BA860" s="5">
        <v>14053642525</v>
      </c>
      <c r="BC860" t="s">
        <v>632</v>
      </c>
      <c r="BD860" t="s">
        <v>633</v>
      </c>
      <c r="BE860" t="s">
        <v>631</v>
      </c>
      <c r="BF860" t="s">
        <v>634</v>
      </c>
      <c r="BG860" t="s">
        <v>339</v>
      </c>
      <c r="BH860" s="1">
        <v>44817.833333333336</v>
      </c>
      <c r="BI860">
        <v>56</v>
      </c>
      <c r="BJ860">
        <v>8</v>
      </c>
      <c r="BK860">
        <v>8</v>
      </c>
      <c r="BL860">
        <v>8</v>
      </c>
      <c r="BM860">
        <v>8</v>
      </c>
      <c r="BN860">
        <v>8</v>
      </c>
      <c r="BO860">
        <v>8</v>
      </c>
      <c r="BP860">
        <v>8</v>
      </c>
      <c r="BQ860" t="str">
        <f>"5:00 AM"</f>
        <v>5:00 AM</v>
      </c>
      <c r="BR860" t="str">
        <f>"5:00 PM"</f>
        <v>5:00 PM</v>
      </c>
      <c r="BS860" t="s">
        <v>133</v>
      </c>
      <c r="BT860">
        <v>0</v>
      </c>
      <c r="BU860">
        <v>1</v>
      </c>
      <c r="BV860" t="s">
        <v>134</v>
      </c>
      <c r="BX860" s="2" t="s">
        <v>3578</v>
      </c>
      <c r="BY860" t="s">
        <v>1099</v>
      </c>
      <c r="BZ860" t="s">
        <v>1100</v>
      </c>
      <c r="CA860" t="s">
        <v>1101</v>
      </c>
      <c r="CB860" t="s">
        <v>339</v>
      </c>
      <c r="CC860" s="4" t="str">
        <f>"20724"</f>
        <v>20724</v>
      </c>
      <c r="CD860" t="s">
        <v>1102</v>
      </c>
      <c r="CE860" t="s">
        <v>355</v>
      </c>
      <c r="CF860" s="6">
        <v>15.56</v>
      </c>
      <c r="CG860" s="6">
        <v>15.56</v>
      </c>
      <c r="CH860" s="6">
        <v>23.34</v>
      </c>
      <c r="CI860" s="6">
        <v>23.34</v>
      </c>
      <c r="CJ860" t="s">
        <v>137</v>
      </c>
      <c r="CL860" t="s">
        <v>3579</v>
      </c>
      <c r="CO860" t="s">
        <v>114</v>
      </c>
      <c r="CP860" t="s">
        <v>134</v>
      </c>
      <c r="CQ860" t="s">
        <v>134</v>
      </c>
      <c r="CR860" t="s">
        <v>114</v>
      </c>
      <c r="CS860" t="s">
        <v>134</v>
      </c>
      <c r="CT860" t="s">
        <v>114</v>
      </c>
      <c r="CU860" t="s">
        <v>114</v>
      </c>
      <c r="CV860" s="2" t="s">
        <v>3580</v>
      </c>
      <c r="CW860" s="5" t="str">
        <f>"+13013629708"</f>
        <v>+13013629708</v>
      </c>
      <c r="CX860" t="s">
        <v>3577</v>
      </c>
      <c r="CY860" t="s">
        <v>138</v>
      </c>
      <c r="CZ860" t="s">
        <v>139</v>
      </c>
      <c r="DA860" t="s">
        <v>134</v>
      </c>
      <c r="DB860" t="s">
        <v>134</v>
      </c>
      <c r="DC860" t="s">
        <v>114</v>
      </c>
      <c r="DD860" t="s">
        <v>134</v>
      </c>
    </row>
    <row r="861" spans="1:108" ht="15" customHeight="1" x14ac:dyDescent="0.25">
      <c r="A861" t="s">
        <v>14690</v>
      </c>
      <c r="B861" t="s">
        <v>165</v>
      </c>
      <c r="C861" s="1">
        <v>44811.937354861111</v>
      </c>
      <c r="D861" s="1">
        <v>44861</v>
      </c>
      <c r="E861" t="s">
        <v>134</v>
      </c>
      <c r="F861" t="s">
        <v>115</v>
      </c>
      <c r="G861" t="str">
        <f>"37-2012.00"</f>
        <v>37-2012.00</v>
      </c>
      <c r="H861" t="s">
        <v>116</v>
      </c>
      <c r="I861">
        <v>10</v>
      </c>
      <c r="J861">
        <v>10</v>
      </c>
      <c r="K861" s="1">
        <v>44886</v>
      </c>
      <c r="L861" s="1">
        <v>45037</v>
      </c>
      <c r="M861" s="1">
        <v>44886</v>
      </c>
      <c r="N861" s="1">
        <v>45037</v>
      </c>
      <c r="O861" t="s">
        <v>117</v>
      </c>
      <c r="P861" t="s">
        <v>7631</v>
      </c>
      <c r="Q861" t="s">
        <v>7632</v>
      </c>
      <c r="R861" t="s">
        <v>7633</v>
      </c>
      <c r="S861" t="s">
        <v>14670</v>
      </c>
      <c r="T861" t="s">
        <v>664</v>
      </c>
      <c r="U861" t="s">
        <v>661</v>
      </c>
      <c r="V861" s="4" t="str">
        <f>"59716"</f>
        <v>59716</v>
      </c>
      <c r="W861" t="s">
        <v>120</v>
      </c>
      <c r="Y861" s="5">
        <v>14069957700</v>
      </c>
      <c r="AA861">
        <v>713910</v>
      </c>
      <c r="AB861" t="s">
        <v>7635</v>
      </c>
      <c r="AC861" t="s">
        <v>1980</v>
      </c>
      <c r="AE861" t="s">
        <v>1567</v>
      </c>
      <c r="AF861" t="s">
        <v>7633</v>
      </c>
      <c r="AG861" t="s">
        <v>7634</v>
      </c>
      <c r="AH861" t="s">
        <v>664</v>
      </c>
      <c r="AI861" t="s">
        <v>661</v>
      </c>
      <c r="AJ861" s="4" t="str">
        <f>"59716"</f>
        <v>59716</v>
      </c>
      <c r="AK861" t="s">
        <v>120</v>
      </c>
      <c r="AM861" s="5">
        <v>14069957700</v>
      </c>
      <c r="AO861" t="s">
        <v>7636</v>
      </c>
      <c r="AP861" t="s">
        <v>122</v>
      </c>
      <c r="AQ861" t="s">
        <v>753</v>
      </c>
      <c r="AR861" t="s">
        <v>754</v>
      </c>
      <c r="AS861" t="s">
        <v>755</v>
      </c>
      <c r="AT861" t="s">
        <v>756</v>
      </c>
      <c r="AU861" t="s">
        <v>757</v>
      </c>
      <c r="AV861" t="s">
        <v>758</v>
      </c>
      <c r="AW861" t="s">
        <v>281</v>
      </c>
      <c r="AX861" s="4" t="str">
        <f>"01701"</f>
        <v>01701</v>
      </c>
      <c r="AY861" t="s">
        <v>120</v>
      </c>
      <c r="BA861" s="5">
        <v>16179399444</v>
      </c>
      <c r="BC861" t="s">
        <v>2487</v>
      </c>
      <c r="BD861" t="s">
        <v>760</v>
      </c>
      <c r="BE861" t="s">
        <v>281</v>
      </c>
      <c r="BF861" t="s">
        <v>761</v>
      </c>
      <c r="BG861" t="s">
        <v>661</v>
      </c>
      <c r="BH861" s="1">
        <v>44797.833333333336</v>
      </c>
      <c r="BI861">
        <v>40</v>
      </c>
      <c r="BJ861">
        <v>0</v>
      </c>
      <c r="BK861">
        <v>8</v>
      </c>
      <c r="BL861">
        <v>8</v>
      </c>
      <c r="BM861">
        <v>8</v>
      </c>
      <c r="BN861">
        <v>8</v>
      </c>
      <c r="BO861">
        <v>8</v>
      </c>
      <c r="BP861">
        <v>0</v>
      </c>
      <c r="BQ861" t="str">
        <f>"9:00 AM"</f>
        <v>9:00 AM</v>
      </c>
      <c r="BR861" t="str">
        <f>"5:00 PM"</f>
        <v>5:00 PM</v>
      </c>
      <c r="BS861" t="s">
        <v>133</v>
      </c>
      <c r="BT861">
        <v>0</v>
      </c>
      <c r="BU861">
        <v>3</v>
      </c>
      <c r="BV861" t="s">
        <v>134</v>
      </c>
      <c r="BX861" s="2" t="s">
        <v>14691</v>
      </c>
      <c r="BY861" t="s">
        <v>7638</v>
      </c>
      <c r="CA861" t="s">
        <v>14692</v>
      </c>
      <c r="CB861" t="s">
        <v>661</v>
      </c>
      <c r="CC861" s="4" t="str">
        <f>"59716"</f>
        <v>59716</v>
      </c>
      <c r="CD861" t="s">
        <v>665</v>
      </c>
      <c r="CE861" t="s">
        <v>666</v>
      </c>
      <c r="CF861" s="6">
        <v>16</v>
      </c>
      <c r="CG861" s="6">
        <v>18</v>
      </c>
      <c r="CH861" s="6">
        <v>24</v>
      </c>
      <c r="CI861" s="6">
        <v>27</v>
      </c>
      <c r="CJ861" t="s">
        <v>137</v>
      </c>
      <c r="CK861" t="s">
        <v>7639</v>
      </c>
      <c r="CL861" t="s">
        <v>14693</v>
      </c>
      <c r="CO861" t="s">
        <v>138</v>
      </c>
      <c r="CP861" t="s">
        <v>134</v>
      </c>
      <c r="CQ861" t="s">
        <v>114</v>
      </c>
      <c r="CR861" t="s">
        <v>114</v>
      </c>
      <c r="CS861" t="s">
        <v>114</v>
      </c>
      <c r="CT861" t="s">
        <v>114</v>
      </c>
      <c r="CU861" t="s">
        <v>114</v>
      </c>
      <c r="CV861" t="s">
        <v>14694</v>
      </c>
      <c r="CW861" s="5" t="str">
        <f>"+14069957700"</f>
        <v>+14069957700</v>
      </c>
      <c r="CX861" t="s">
        <v>7642</v>
      </c>
      <c r="CY861" t="s">
        <v>138</v>
      </c>
      <c r="CZ861" t="s">
        <v>139</v>
      </c>
      <c r="DA861" t="s">
        <v>134</v>
      </c>
      <c r="DB861" t="s">
        <v>134</v>
      </c>
      <c r="DC861" t="s">
        <v>114</v>
      </c>
      <c r="DD861" t="s">
        <v>134</v>
      </c>
    </row>
    <row r="862" spans="1:108" ht="15" customHeight="1" x14ac:dyDescent="0.25">
      <c r="A862" t="s">
        <v>14668</v>
      </c>
      <c r="B862" t="s">
        <v>165</v>
      </c>
      <c r="C862" s="1">
        <v>44811.926683101854</v>
      </c>
      <c r="D862" s="1">
        <v>44861</v>
      </c>
      <c r="E862" t="s">
        <v>134</v>
      </c>
      <c r="F862" t="s">
        <v>388</v>
      </c>
      <c r="G862" t="str">
        <f>"35-3031.00"</f>
        <v>35-3031.00</v>
      </c>
      <c r="H862" t="s">
        <v>389</v>
      </c>
      <c r="I862">
        <v>10</v>
      </c>
      <c r="J862">
        <v>10</v>
      </c>
      <c r="K862" s="1">
        <v>44886</v>
      </c>
      <c r="L862" s="1">
        <v>45037</v>
      </c>
      <c r="M862" s="1">
        <v>44886</v>
      </c>
      <c r="N862" s="1">
        <v>45037</v>
      </c>
      <c r="O862" t="s">
        <v>117</v>
      </c>
      <c r="P862" t="s">
        <v>14669</v>
      </c>
      <c r="Q862" t="s">
        <v>7632</v>
      </c>
      <c r="R862" t="s">
        <v>7633</v>
      </c>
      <c r="S862" t="s">
        <v>14670</v>
      </c>
      <c r="T862" t="s">
        <v>664</v>
      </c>
      <c r="U862" t="s">
        <v>661</v>
      </c>
      <c r="V862" s="4" t="str">
        <f>"59716"</f>
        <v>59716</v>
      </c>
      <c r="W862" t="s">
        <v>120</v>
      </c>
      <c r="Y862" s="5">
        <v>14069957700</v>
      </c>
      <c r="AA862">
        <v>713910</v>
      </c>
      <c r="AB862" t="s">
        <v>7635</v>
      </c>
      <c r="AC862" t="s">
        <v>1980</v>
      </c>
      <c r="AE862" t="s">
        <v>1567</v>
      </c>
      <c r="AF862" t="s">
        <v>7633</v>
      </c>
      <c r="AG862" t="s">
        <v>14671</v>
      </c>
      <c r="AH862" t="s">
        <v>664</v>
      </c>
      <c r="AI862" t="s">
        <v>661</v>
      </c>
      <c r="AJ862" s="4" t="str">
        <f>"59716"</f>
        <v>59716</v>
      </c>
      <c r="AK862" t="s">
        <v>120</v>
      </c>
      <c r="AM862" s="5">
        <v>14069957700</v>
      </c>
      <c r="AO862" t="s">
        <v>7636</v>
      </c>
      <c r="AP862" t="s">
        <v>122</v>
      </c>
      <c r="AQ862" t="s">
        <v>753</v>
      </c>
      <c r="AR862" t="s">
        <v>754</v>
      </c>
      <c r="AS862" t="s">
        <v>755</v>
      </c>
      <c r="AT862" t="s">
        <v>756</v>
      </c>
      <c r="AU862" t="s">
        <v>757</v>
      </c>
      <c r="AV862" t="s">
        <v>758</v>
      </c>
      <c r="AW862" t="s">
        <v>281</v>
      </c>
      <c r="AX862" s="4" t="str">
        <f>"01701"</f>
        <v>01701</v>
      </c>
      <c r="AY862" t="s">
        <v>120</v>
      </c>
      <c r="BA862" s="5">
        <v>16179399444</v>
      </c>
      <c r="BC862" t="s">
        <v>2487</v>
      </c>
      <c r="BD862" t="s">
        <v>760</v>
      </c>
      <c r="BE862" t="s">
        <v>281</v>
      </c>
      <c r="BF862" t="s">
        <v>761</v>
      </c>
      <c r="BG862" t="s">
        <v>661</v>
      </c>
      <c r="BH862" s="1">
        <v>44797.833333333336</v>
      </c>
      <c r="BI862">
        <v>40</v>
      </c>
      <c r="BJ862">
        <v>0</v>
      </c>
      <c r="BK862">
        <v>8</v>
      </c>
      <c r="BL862">
        <v>8</v>
      </c>
      <c r="BM862">
        <v>8</v>
      </c>
      <c r="BN862">
        <v>8</v>
      </c>
      <c r="BO862">
        <v>8</v>
      </c>
      <c r="BP862">
        <v>0</v>
      </c>
      <c r="BQ862" t="str">
        <f>"9:00 AM"</f>
        <v>9:00 AM</v>
      </c>
      <c r="BR862" t="str">
        <f>"5:00 PM"</f>
        <v>5:00 PM</v>
      </c>
      <c r="BS862" t="s">
        <v>133</v>
      </c>
      <c r="BT862">
        <v>0</v>
      </c>
      <c r="BU862">
        <v>3</v>
      </c>
      <c r="BV862" t="s">
        <v>134</v>
      </c>
      <c r="BX862" s="2" t="s">
        <v>14672</v>
      </c>
      <c r="BY862" t="s">
        <v>7638</v>
      </c>
      <c r="CA862" t="s">
        <v>664</v>
      </c>
      <c r="CB862" t="s">
        <v>661</v>
      </c>
      <c r="CC862" s="4" t="str">
        <f>"59716"</f>
        <v>59716</v>
      </c>
      <c r="CD862" t="s">
        <v>665</v>
      </c>
      <c r="CE862" t="s">
        <v>666</v>
      </c>
      <c r="CF862" s="6">
        <v>15</v>
      </c>
      <c r="CG862" s="6">
        <v>17</v>
      </c>
      <c r="CH862" s="6">
        <v>22.5</v>
      </c>
      <c r="CI862" s="6">
        <v>25.5</v>
      </c>
      <c r="CJ862" t="s">
        <v>137</v>
      </c>
      <c r="CK862" t="s">
        <v>7639</v>
      </c>
      <c r="CL862" t="s">
        <v>14673</v>
      </c>
      <c r="CO862" t="s">
        <v>138</v>
      </c>
      <c r="CP862" t="s">
        <v>134</v>
      </c>
      <c r="CQ862" t="s">
        <v>114</v>
      </c>
      <c r="CR862" t="s">
        <v>114</v>
      </c>
      <c r="CS862" t="s">
        <v>114</v>
      </c>
      <c r="CT862" t="s">
        <v>114</v>
      </c>
      <c r="CU862" t="s">
        <v>114</v>
      </c>
      <c r="CV862" t="s">
        <v>7641</v>
      </c>
      <c r="CW862" s="5" t="str">
        <f>"+14069957700"</f>
        <v>+14069957700</v>
      </c>
      <c r="CX862" t="s">
        <v>7642</v>
      </c>
      <c r="CY862" t="s">
        <v>138</v>
      </c>
      <c r="CZ862" t="s">
        <v>139</v>
      </c>
      <c r="DA862" t="s">
        <v>134</v>
      </c>
      <c r="DB862" t="s">
        <v>134</v>
      </c>
      <c r="DC862" t="s">
        <v>114</v>
      </c>
      <c r="DD862" t="s">
        <v>134</v>
      </c>
    </row>
    <row r="863" spans="1:108" ht="15" customHeight="1" x14ac:dyDescent="0.25">
      <c r="A863" t="s">
        <v>7723</v>
      </c>
      <c r="B863" t="s">
        <v>165</v>
      </c>
      <c r="C863" s="1">
        <v>44839.583724421296</v>
      </c>
      <c r="D863" s="1">
        <v>44860</v>
      </c>
      <c r="E863" t="s">
        <v>134</v>
      </c>
      <c r="F863" t="s">
        <v>571</v>
      </c>
      <c r="G863" t="str">
        <f>"35-3023.00"</f>
        <v>35-3023.00</v>
      </c>
      <c r="H863" t="s">
        <v>555</v>
      </c>
      <c r="I863">
        <v>7</v>
      </c>
      <c r="J863">
        <v>7</v>
      </c>
      <c r="K863" s="1">
        <v>44929</v>
      </c>
      <c r="L863" s="1">
        <v>45232</v>
      </c>
      <c r="M863" s="1">
        <v>44929</v>
      </c>
      <c r="N863" s="1">
        <v>45232</v>
      </c>
      <c r="O863" t="s">
        <v>199</v>
      </c>
      <c r="P863" t="s">
        <v>7724</v>
      </c>
      <c r="Q863" t="s">
        <v>7725</v>
      </c>
      <c r="R863" t="s">
        <v>7726</v>
      </c>
      <c r="S863" t="s">
        <v>7727</v>
      </c>
      <c r="T863" t="s">
        <v>7728</v>
      </c>
      <c r="U863" t="s">
        <v>444</v>
      </c>
      <c r="V863" s="4" t="str">
        <f>"92585"</f>
        <v>92585</v>
      </c>
      <c r="W863" t="s">
        <v>120</v>
      </c>
      <c r="Y863" s="5">
        <v>19095196445</v>
      </c>
      <c r="AA863">
        <v>71399</v>
      </c>
      <c r="AB863" t="s">
        <v>7729</v>
      </c>
      <c r="AC863" t="s">
        <v>7730</v>
      </c>
      <c r="AD863" t="s">
        <v>1685</v>
      </c>
      <c r="AE863" t="s">
        <v>342</v>
      </c>
      <c r="AF863" t="s">
        <v>7726</v>
      </c>
      <c r="AG863" t="s">
        <v>7727</v>
      </c>
      <c r="AH863" t="s">
        <v>7728</v>
      </c>
      <c r="AI863" t="s">
        <v>444</v>
      </c>
      <c r="AJ863" s="4" t="str">
        <f>"92585"</f>
        <v>92585</v>
      </c>
      <c r="AK863" t="s">
        <v>120</v>
      </c>
      <c r="AM863" s="5">
        <v>19095196445</v>
      </c>
      <c r="AO863" t="s">
        <v>7731</v>
      </c>
      <c r="AP863" t="s">
        <v>256</v>
      </c>
      <c r="AQ863" t="s">
        <v>535</v>
      </c>
      <c r="AR863" t="s">
        <v>536</v>
      </c>
      <c r="AS863" t="s">
        <v>537</v>
      </c>
      <c r="AT863" t="s">
        <v>538</v>
      </c>
      <c r="AU863" t="s">
        <v>539</v>
      </c>
      <c r="AV863" t="s">
        <v>540</v>
      </c>
      <c r="AW863" t="s">
        <v>232</v>
      </c>
      <c r="AX863" s="4" t="str">
        <f>"78550"</f>
        <v>78550</v>
      </c>
      <c r="AY863" t="s">
        <v>120</v>
      </c>
      <c r="BA863" s="5">
        <v>19564408720</v>
      </c>
      <c r="BB863">
        <v>0</v>
      </c>
      <c r="BC863" t="s">
        <v>563</v>
      </c>
      <c r="BD863" t="s">
        <v>543</v>
      </c>
      <c r="BG863" t="s">
        <v>444</v>
      </c>
      <c r="BH863" s="1">
        <v>44838.833333333336</v>
      </c>
      <c r="BI863">
        <v>40</v>
      </c>
      <c r="BJ863">
        <v>8</v>
      </c>
      <c r="BK863">
        <v>0</v>
      </c>
      <c r="BL863">
        <v>0</v>
      </c>
      <c r="BM863">
        <v>8</v>
      </c>
      <c r="BN863">
        <v>8</v>
      </c>
      <c r="BO863">
        <v>8</v>
      </c>
      <c r="BP863">
        <v>8</v>
      </c>
      <c r="BQ863" t="str">
        <f>"1:00 PM"</f>
        <v>1:00 PM</v>
      </c>
      <c r="BR863" t="str">
        <f>"10:00 PM"</f>
        <v>10:00 PM</v>
      </c>
      <c r="BS863" t="s">
        <v>133</v>
      </c>
      <c r="BT863">
        <v>0</v>
      </c>
      <c r="BU863">
        <v>0</v>
      </c>
      <c r="BV863" t="s">
        <v>134</v>
      </c>
      <c r="BX863" s="2" t="s">
        <v>579</v>
      </c>
      <c r="BY863" t="s">
        <v>7732</v>
      </c>
      <c r="CA863" t="s">
        <v>7728</v>
      </c>
      <c r="CB863" t="s">
        <v>444</v>
      </c>
      <c r="CC863" s="4" t="str">
        <f>"92585"</f>
        <v>92585</v>
      </c>
      <c r="CD863" t="s">
        <v>602</v>
      </c>
      <c r="CE863" t="s">
        <v>609</v>
      </c>
      <c r="CF863" s="6">
        <v>11.04</v>
      </c>
      <c r="CG863" s="6">
        <v>15.5</v>
      </c>
      <c r="CJ863" t="s">
        <v>137</v>
      </c>
      <c r="CK863" t="s">
        <v>549</v>
      </c>
      <c r="CL863" t="s">
        <v>7733</v>
      </c>
      <c r="CO863" t="s">
        <v>138</v>
      </c>
      <c r="CP863" t="s">
        <v>114</v>
      </c>
      <c r="CQ863" t="s">
        <v>114</v>
      </c>
      <c r="CR863" t="s">
        <v>134</v>
      </c>
      <c r="CS863" t="s">
        <v>114</v>
      </c>
      <c r="CT863" t="s">
        <v>114</v>
      </c>
      <c r="CU863" t="s">
        <v>114</v>
      </c>
      <c r="CV863" t="s">
        <v>7511</v>
      </c>
      <c r="CW863" s="5" t="str">
        <f>"+19099388915"</f>
        <v>+19099388915</v>
      </c>
      <c r="CX863" t="s">
        <v>7731</v>
      </c>
      <c r="CY863" t="s">
        <v>138</v>
      </c>
      <c r="CZ863" t="s">
        <v>139</v>
      </c>
      <c r="DA863" t="s">
        <v>134</v>
      </c>
      <c r="DB863" t="s">
        <v>134</v>
      </c>
      <c r="DC863" t="s">
        <v>114</v>
      </c>
      <c r="DD863" t="s">
        <v>134</v>
      </c>
    </row>
    <row r="864" spans="1:108" ht="15" customHeight="1" x14ac:dyDescent="0.25">
      <c r="A864" t="s">
        <v>16395</v>
      </c>
      <c r="B864" t="s">
        <v>165</v>
      </c>
      <c r="C864" s="1">
        <v>44837.789890972221</v>
      </c>
      <c r="D864" s="1">
        <v>44860</v>
      </c>
      <c r="E864" t="s">
        <v>134</v>
      </c>
      <c r="F864" t="s">
        <v>1106</v>
      </c>
      <c r="G864" t="str">
        <f>"45-4011.00"</f>
        <v>45-4011.00</v>
      </c>
      <c r="H864" t="s">
        <v>1107</v>
      </c>
      <c r="I864">
        <v>30</v>
      </c>
      <c r="J864">
        <v>30</v>
      </c>
      <c r="K864" s="1">
        <v>44927</v>
      </c>
      <c r="L864" s="1">
        <v>45229</v>
      </c>
      <c r="M864" s="1">
        <v>44927</v>
      </c>
      <c r="N864" s="1">
        <v>45229</v>
      </c>
      <c r="O864" t="s">
        <v>199</v>
      </c>
      <c r="P864" t="s">
        <v>16396</v>
      </c>
      <c r="R864" t="s">
        <v>16397</v>
      </c>
      <c r="T864" t="s">
        <v>2119</v>
      </c>
      <c r="U864" t="s">
        <v>511</v>
      </c>
      <c r="V864" s="4" t="str">
        <f>"97502"</f>
        <v>97502</v>
      </c>
      <c r="W864" t="s">
        <v>120</v>
      </c>
      <c r="Y864" s="5">
        <v>15418904035</v>
      </c>
      <c r="AA864">
        <v>11531</v>
      </c>
      <c r="AB864" t="s">
        <v>2435</v>
      </c>
      <c r="AC864" t="s">
        <v>16398</v>
      </c>
      <c r="AE864" t="s">
        <v>6161</v>
      </c>
      <c r="AF864" t="s">
        <v>16397</v>
      </c>
      <c r="AH864" t="s">
        <v>2119</v>
      </c>
      <c r="AI864" t="s">
        <v>511</v>
      </c>
      <c r="AJ864" s="4" t="str">
        <f>"97502"</f>
        <v>97502</v>
      </c>
      <c r="AK864" t="s">
        <v>120</v>
      </c>
      <c r="AM864" s="5">
        <v>15418904035</v>
      </c>
      <c r="AO864" t="s">
        <v>16399</v>
      </c>
      <c r="AP864" t="s">
        <v>256</v>
      </c>
      <c r="AQ864" t="s">
        <v>2277</v>
      </c>
      <c r="AR864" t="s">
        <v>1175</v>
      </c>
      <c r="AS864" t="s">
        <v>138</v>
      </c>
      <c r="AT864" t="s">
        <v>2278</v>
      </c>
      <c r="AU864" t="s">
        <v>347</v>
      </c>
      <c r="AV864" t="s">
        <v>828</v>
      </c>
      <c r="AW864" t="s">
        <v>349</v>
      </c>
      <c r="AX864" s="4" t="str">
        <f>"83814"</f>
        <v>83814</v>
      </c>
      <c r="AY864" t="s">
        <v>120</v>
      </c>
      <c r="BA864" s="5">
        <v>12087772654</v>
      </c>
      <c r="BC864" t="s">
        <v>2279</v>
      </c>
      <c r="BD864" t="s">
        <v>351</v>
      </c>
      <c r="BG864" t="s">
        <v>511</v>
      </c>
      <c r="BH864" s="1">
        <v>44822.833333333336</v>
      </c>
      <c r="BI864">
        <v>40</v>
      </c>
      <c r="BJ864">
        <v>0</v>
      </c>
      <c r="BK864">
        <v>8</v>
      </c>
      <c r="BL864">
        <v>8</v>
      </c>
      <c r="BM864">
        <v>8</v>
      </c>
      <c r="BN864">
        <v>8</v>
      </c>
      <c r="BO864">
        <v>8</v>
      </c>
      <c r="BP864">
        <v>0</v>
      </c>
      <c r="BQ864" t="str">
        <f>"7:00 AM"</f>
        <v>7:00 AM</v>
      </c>
      <c r="BR864" t="str">
        <f>"4:00 PM"</f>
        <v>4:00 PM</v>
      </c>
      <c r="BS864" t="s">
        <v>133</v>
      </c>
      <c r="BT864">
        <v>0</v>
      </c>
      <c r="BU864">
        <v>0</v>
      </c>
      <c r="BV864" t="s">
        <v>134</v>
      </c>
      <c r="BX864" t="s">
        <v>8617</v>
      </c>
      <c r="BY864" t="s">
        <v>16400</v>
      </c>
      <c r="CA864" t="s">
        <v>2119</v>
      </c>
      <c r="CB864" t="s">
        <v>511</v>
      </c>
      <c r="CC864" s="4" t="str">
        <f>"97502"</f>
        <v>97502</v>
      </c>
      <c r="CD864" t="s">
        <v>1116</v>
      </c>
      <c r="CE864" t="s">
        <v>1117</v>
      </c>
      <c r="CF864" s="6">
        <v>15</v>
      </c>
      <c r="CG864" s="6">
        <v>21.21</v>
      </c>
      <c r="CH864" s="6">
        <v>22.5</v>
      </c>
      <c r="CI864" s="6">
        <v>31.82</v>
      </c>
      <c r="CJ864" t="s">
        <v>137</v>
      </c>
      <c r="CK864" t="s">
        <v>2125</v>
      </c>
      <c r="CL864" t="s">
        <v>16401</v>
      </c>
      <c r="CO864" t="s">
        <v>138</v>
      </c>
      <c r="CP864" t="s">
        <v>114</v>
      </c>
      <c r="CQ864" t="s">
        <v>114</v>
      </c>
      <c r="CR864" t="s">
        <v>114</v>
      </c>
      <c r="CS864" t="s">
        <v>114</v>
      </c>
      <c r="CT864" t="s">
        <v>114</v>
      </c>
      <c r="CU864" t="s">
        <v>114</v>
      </c>
      <c r="CV864" t="s">
        <v>358</v>
      </c>
      <c r="CW864" s="5" t="str">
        <f>"+15418904035"</f>
        <v>+15418904035</v>
      </c>
      <c r="CX864" t="s">
        <v>138</v>
      </c>
      <c r="CY864" t="s">
        <v>3471</v>
      </c>
      <c r="CZ864" t="s">
        <v>139</v>
      </c>
      <c r="DA864" t="s">
        <v>134</v>
      </c>
      <c r="DB864" t="s">
        <v>134</v>
      </c>
      <c r="DC864" t="s">
        <v>114</v>
      </c>
      <c r="DD864" t="s">
        <v>134</v>
      </c>
    </row>
    <row r="865" spans="1:113" ht="15" customHeight="1" x14ac:dyDescent="0.25">
      <c r="A865" t="s">
        <v>9413</v>
      </c>
      <c r="B865" t="s">
        <v>165</v>
      </c>
      <c r="C865" s="1">
        <v>44837.725075231479</v>
      </c>
      <c r="D865" s="1">
        <v>44860</v>
      </c>
      <c r="E865" t="s">
        <v>134</v>
      </c>
      <c r="F865" t="s">
        <v>571</v>
      </c>
      <c r="G865" t="str">
        <f>"35-3023.00"</f>
        <v>35-3023.00</v>
      </c>
      <c r="H865" t="s">
        <v>555</v>
      </c>
      <c r="I865">
        <v>8</v>
      </c>
      <c r="J865">
        <v>8</v>
      </c>
      <c r="K865" s="1">
        <v>44927</v>
      </c>
      <c r="L865" s="1">
        <v>45230</v>
      </c>
      <c r="M865" s="1">
        <v>44927</v>
      </c>
      <c r="N865" s="1">
        <v>45230</v>
      </c>
      <c r="O865" t="s">
        <v>199</v>
      </c>
      <c r="P865" t="s">
        <v>9414</v>
      </c>
      <c r="R865" t="s">
        <v>9415</v>
      </c>
      <c r="T865" t="s">
        <v>9416</v>
      </c>
      <c r="U865" t="s">
        <v>444</v>
      </c>
      <c r="V865" s="4" t="str">
        <f>"93601"</f>
        <v>93601</v>
      </c>
      <c r="W865" t="s">
        <v>120</v>
      </c>
      <c r="Y865" s="5">
        <v>15596762815</v>
      </c>
      <c r="AA865">
        <v>7139</v>
      </c>
      <c r="AB865" t="s">
        <v>9417</v>
      </c>
      <c r="AC865" t="s">
        <v>1568</v>
      </c>
      <c r="AE865" t="s">
        <v>6267</v>
      </c>
      <c r="AF865" t="s">
        <v>9415</v>
      </c>
      <c r="AH865" t="s">
        <v>9416</v>
      </c>
      <c r="AI865" t="s">
        <v>444</v>
      </c>
      <c r="AJ865" s="4" t="str">
        <f>"93601"</f>
        <v>93601</v>
      </c>
      <c r="AK865" t="s">
        <v>120</v>
      </c>
      <c r="AM865" s="5">
        <v>15596762815</v>
      </c>
      <c r="AO865" t="s">
        <v>9418</v>
      </c>
      <c r="AP865" t="s">
        <v>256</v>
      </c>
      <c r="AQ865" t="s">
        <v>535</v>
      </c>
      <c r="AR865" t="s">
        <v>536</v>
      </c>
      <c r="AS865" t="s">
        <v>537</v>
      </c>
      <c r="AT865" t="s">
        <v>538</v>
      </c>
      <c r="AU865" t="s">
        <v>539</v>
      </c>
      <c r="AV865" t="s">
        <v>540</v>
      </c>
      <c r="AW865" t="s">
        <v>232</v>
      </c>
      <c r="AX865" s="4" t="str">
        <f>"78550"</f>
        <v>78550</v>
      </c>
      <c r="AY865" t="s">
        <v>120</v>
      </c>
      <c r="BA865" s="5">
        <v>19564408720</v>
      </c>
      <c r="BB865">
        <v>0</v>
      </c>
      <c r="BC865" t="s">
        <v>1022</v>
      </c>
      <c r="BD865" t="s">
        <v>543</v>
      </c>
      <c r="BG865" t="s">
        <v>444</v>
      </c>
      <c r="BH865" s="1">
        <v>44836.833333333336</v>
      </c>
      <c r="BI865">
        <v>40</v>
      </c>
      <c r="BJ865">
        <v>8</v>
      </c>
      <c r="BK865">
        <v>0</v>
      </c>
      <c r="BL865">
        <v>0</v>
      </c>
      <c r="BM865">
        <v>8</v>
      </c>
      <c r="BN865">
        <v>8</v>
      </c>
      <c r="BO865">
        <v>8</v>
      </c>
      <c r="BP865">
        <v>8</v>
      </c>
      <c r="BQ865" t="str">
        <f>"1:00 PM"</f>
        <v>1:00 PM</v>
      </c>
      <c r="BR865" t="str">
        <f>"10:00 PM"</f>
        <v>10:00 PM</v>
      </c>
      <c r="BS865" t="s">
        <v>133</v>
      </c>
      <c r="BT865">
        <v>0</v>
      </c>
      <c r="BU865">
        <v>0</v>
      </c>
      <c r="BV865" t="s">
        <v>134</v>
      </c>
      <c r="BX865" s="2" t="s">
        <v>579</v>
      </c>
      <c r="BY865" t="s">
        <v>9415</v>
      </c>
      <c r="CA865" t="s">
        <v>9419</v>
      </c>
      <c r="CB865" t="s">
        <v>444</v>
      </c>
      <c r="CC865" s="4" t="str">
        <f>"93601"</f>
        <v>93601</v>
      </c>
      <c r="CD865" t="s">
        <v>1851</v>
      </c>
      <c r="CE865" t="s">
        <v>1852</v>
      </c>
      <c r="CF865" s="6">
        <v>14.13</v>
      </c>
      <c r="CG865" s="6">
        <v>16.37</v>
      </c>
      <c r="CJ865" t="s">
        <v>137</v>
      </c>
      <c r="CK865" t="s">
        <v>549</v>
      </c>
      <c r="CL865" t="s">
        <v>9420</v>
      </c>
      <c r="CO865" t="s">
        <v>138</v>
      </c>
      <c r="CP865" t="s">
        <v>114</v>
      </c>
      <c r="CQ865" t="s">
        <v>114</v>
      </c>
      <c r="CR865" t="s">
        <v>134</v>
      </c>
      <c r="CS865" t="s">
        <v>114</v>
      </c>
      <c r="CT865" t="s">
        <v>114</v>
      </c>
      <c r="CU865" t="s">
        <v>114</v>
      </c>
      <c r="CV865" t="s">
        <v>1360</v>
      </c>
      <c r="CW865" s="5" t="str">
        <f>"+15596762815"</f>
        <v>+15596762815</v>
      </c>
      <c r="CX865" t="s">
        <v>9418</v>
      </c>
      <c r="CY865" t="s">
        <v>138</v>
      </c>
      <c r="CZ865" t="s">
        <v>139</v>
      </c>
      <c r="DA865" t="s">
        <v>134</v>
      </c>
      <c r="DB865" t="s">
        <v>134</v>
      </c>
      <c r="DC865" t="s">
        <v>114</v>
      </c>
      <c r="DD865" t="s">
        <v>134</v>
      </c>
    </row>
    <row r="866" spans="1:113" ht="15" customHeight="1" x14ac:dyDescent="0.25">
      <c r="A866" t="s">
        <v>15793</v>
      </c>
      <c r="B866" t="s">
        <v>165</v>
      </c>
      <c r="C866" s="1">
        <v>44837.665923958331</v>
      </c>
      <c r="D866" s="1">
        <v>44860</v>
      </c>
      <c r="E866" t="s">
        <v>134</v>
      </c>
      <c r="F866" t="s">
        <v>1514</v>
      </c>
      <c r="G866" t="str">
        <f>"45-4011.00"</f>
        <v>45-4011.00</v>
      </c>
      <c r="H866" t="s">
        <v>1107</v>
      </c>
      <c r="I866">
        <v>125</v>
      </c>
      <c r="J866">
        <v>125</v>
      </c>
      <c r="K866" s="1">
        <v>44927</v>
      </c>
      <c r="L866" s="1">
        <v>45093</v>
      </c>
      <c r="M866" s="1">
        <v>44927</v>
      </c>
      <c r="N866" s="1">
        <v>45093</v>
      </c>
      <c r="O866" t="s">
        <v>199</v>
      </c>
      <c r="P866" t="s">
        <v>7993</v>
      </c>
      <c r="R866" t="s">
        <v>15794</v>
      </c>
      <c r="T866" t="s">
        <v>1515</v>
      </c>
      <c r="U866" t="s">
        <v>349</v>
      </c>
      <c r="V866" s="4" t="str">
        <f>"83814"</f>
        <v>83814</v>
      </c>
      <c r="W866" t="s">
        <v>120</v>
      </c>
      <c r="Y866" s="5">
        <v>12087650880</v>
      </c>
      <c r="AA866">
        <v>11531</v>
      </c>
      <c r="AB866" t="s">
        <v>5556</v>
      </c>
      <c r="AC866" t="s">
        <v>4347</v>
      </c>
      <c r="AE866" t="s">
        <v>7994</v>
      </c>
      <c r="AF866" t="s">
        <v>15795</v>
      </c>
      <c r="AH866" t="s">
        <v>2260</v>
      </c>
      <c r="AI866" t="s">
        <v>349</v>
      </c>
      <c r="AJ866" s="4" t="str">
        <f>"83814"</f>
        <v>83814</v>
      </c>
      <c r="AK866" t="s">
        <v>120</v>
      </c>
      <c r="AM866" s="5">
        <v>12087650880</v>
      </c>
      <c r="AO866" t="s">
        <v>7995</v>
      </c>
      <c r="AP866" t="s">
        <v>256</v>
      </c>
      <c r="AQ866" t="s">
        <v>1517</v>
      </c>
      <c r="AR866" t="s">
        <v>1518</v>
      </c>
      <c r="AT866" t="s">
        <v>1519</v>
      </c>
      <c r="AV866" t="s">
        <v>2260</v>
      </c>
      <c r="AW866" t="s">
        <v>349</v>
      </c>
      <c r="AX866" s="4" t="str">
        <f>"83815"</f>
        <v>83815</v>
      </c>
      <c r="AY866" t="s">
        <v>120</v>
      </c>
      <c r="BA866" s="5">
        <v>12089303246</v>
      </c>
      <c r="BC866" t="s">
        <v>1520</v>
      </c>
      <c r="BD866" t="s">
        <v>1521</v>
      </c>
      <c r="BG866" t="s">
        <v>511</v>
      </c>
      <c r="BH866" s="1">
        <v>44832.833333333336</v>
      </c>
      <c r="BI866">
        <v>35</v>
      </c>
      <c r="BJ866">
        <v>0</v>
      </c>
      <c r="BK866">
        <v>7</v>
      </c>
      <c r="BL866">
        <v>7</v>
      </c>
      <c r="BM866">
        <v>7</v>
      </c>
      <c r="BN866">
        <v>7</v>
      </c>
      <c r="BO866">
        <v>7</v>
      </c>
      <c r="BP866">
        <v>0</v>
      </c>
      <c r="BQ866" t="str">
        <f>"7:00 AM"</f>
        <v>7:00 AM</v>
      </c>
      <c r="BR866" t="str">
        <f>"3:30 PM"</f>
        <v>3:30 PM</v>
      </c>
      <c r="BS866" t="s">
        <v>133</v>
      </c>
      <c r="BT866">
        <v>0</v>
      </c>
      <c r="BU866">
        <v>0</v>
      </c>
      <c r="BV866" t="s">
        <v>134</v>
      </c>
      <c r="BX866" t="s">
        <v>15796</v>
      </c>
      <c r="BY866" t="s">
        <v>15797</v>
      </c>
      <c r="CA866" t="s">
        <v>15798</v>
      </c>
      <c r="CB866" t="s">
        <v>511</v>
      </c>
      <c r="CC866" s="4" t="str">
        <f>"97504"</f>
        <v>97504</v>
      </c>
      <c r="CD866" t="s">
        <v>1116</v>
      </c>
      <c r="CE866" t="s">
        <v>1117</v>
      </c>
      <c r="CF866" s="6">
        <v>15.05</v>
      </c>
      <c r="CG866" s="6">
        <v>21.04</v>
      </c>
      <c r="CH866" s="6">
        <v>22.58</v>
      </c>
      <c r="CI866" s="6">
        <v>31.56</v>
      </c>
      <c r="CJ866" t="s">
        <v>137</v>
      </c>
      <c r="CK866" t="s">
        <v>1524</v>
      </c>
      <c r="CL866" t="s">
        <v>7996</v>
      </c>
      <c r="CO866" t="s">
        <v>138</v>
      </c>
      <c r="CP866" t="s">
        <v>114</v>
      </c>
      <c r="CQ866" t="s">
        <v>114</v>
      </c>
      <c r="CR866" t="s">
        <v>114</v>
      </c>
      <c r="CS866" t="s">
        <v>114</v>
      </c>
      <c r="CT866" t="s">
        <v>114</v>
      </c>
      <c r="CU866" t="s">
        <v>114</v>
      </c>
      <c r="CV866" s="2" t="s">
        <v>15799</v>
      </c>
      <c r="CW866" s="5" t="str">
        <f>"+12087650880"</f>
        <v>+12087650880</v>
      </c>
      <c r="CX866" t="s">
        <v>7997</v>
      </c>
      <c r="CY866" t="s">
        <v>138</v>
      </c>
      <c r="CZ866" t="s">
        <v>139</v>
      </c>
      <c r="DA866" t="s">
        <v>134</v>
      </c>
      <c r="DB866" t="s">
        <v>134</v>
      </c>
      <c r="DC866" t="s">
        <v>114</v>
      </c>
      <c r="DD866" t="s">
        <v>134</v>
      </c>
    </row>
    <row r="867" spans="1:113" ht="15" customHeight="1" x14ac:dyDescent="0.25">
      <c r="A867" t="s">
        <v>13631</v>
      </c>
      <c r="B867" t="s">
        <v>165</v>
      </c>
      <c r="C867" s="1">
        <v>44825.607994212965</v>
      </c>
      <c r="D867" s="1">
        <v>44860</v>
      </c>
      <c r="E867" t="s">
        <v>134</v>
      </c>
      <c r="F867" t="s">
        <v>13632</v>
      </c>
      <c r="G867" t="str">
        <f>"45-4011.00"</f>
        <v>45-4011.00</v>
      </c>
      <c r="H867" t="s">
        <v>1107</v>
      </c>
      <c r="I867">
        <v>42</v>
      </c>
      <c r="J867">
        <v>42</v>
      </c>
      <c r="K867" s="1">
        <v>44913</v>
      </c>
      <c r="L867" s="1">
        <v>44982</v>
      </c>
      <c r="M867" s="1">
        <v>44913</v>
      </c>
      <c r="N867" s="1">
        <v>44982</v>
      </c>
      <c r="O867" t="s">
        <v>199</v>
      </c>
      <c r="P867" t="s">
        <v>13633</v>
      </c>
      <c r="Q867" t="s">
        <v>13634</v>
      </c>
      <c r="R867" t="s">
        <v>13635</v>
      </c>
      <c r="S867" t="s">
        <v>1897</v>
      </c>
      <c r="T867" t="s">
        <v>13636</v>
      </c>
      <c r="U867" t="s">
        <v>657</v>
      </c>
      <c r="V867" s="4" t="str">
        <f>"37343"</f>
        <v>37343</v>
      </c>
      <c r="W867" t="s">
        <v>120</v>
      </c>
      <c r="X867" t="s">
        <v>1897</v>
      </c>
      <c r="Y867" s="5">
        <v>14232403514</v>
      </c>
      <c r="Z867">
        <v>0</v>
      </c>
      <c r="AA867">
        <v>115310</v>
      </c>
      <c r="AB867" t="s">
        <v>13637</v>
      </c>
      <c r="AC867" t="s">
        <v>1677</v>
      </c>
      <c r="AD867" t="s">
        <v>1997</v>
      </c>
      <c r="AE867" t="s">
        <v>424</v>
      </c>
      <c r="AF867" t="s">
        <v>13638</v>
      </c>
      <c r="AG867" t="s">
        <v>1897</v>
      </c>
      <c r="AH867" t="s">
        <v>13636</v>
      </c>
      <c r="AI867" t="s">
        <v>657</v>
      </c>
      <c r="AJ867" s="4" t="str">
        <f>"37343"</f>
        <v>37343</v>
      </c>
      <c r="AK867" t="s">
        <v>120</v>
      </c>
      <c r="AM867" s="5">
        <v>14232403514</v>
      </c>
      <c r="AN867">
        <v>0</v>
      </c>
      <c r="AO867" t="s">
        <v>13639</v>
      </c>
      <c r="AX867" s="4" t="str">
        <f>""</f>
        <v/>
      </c>
      <c r="BG867" t="s">
        <v>129</v>
      </c>
      <c r="BH867" s="1">
        <v>44824.833333333336</v>
      </c>
      <c r="BI867">
        <v>40</v>
      </c>
      <c r="BJ867">
        <v>0</v>
      </c>
      <c r="BK867">
        <v>8</v>
      </c>
      <c r="BL867">
        <v>8</v>
      </c>
      <c r="BM867">
        <v>8</v>
      </c>
      <c r="BN867">
        <v>8</v>
      </c>
      <c r="BO867">
        <v>8</v>
      </c>
      <c r="BP867">
        <v>0</v>
      </c>
      <c r="BQ867" t="str">
        <f>"8:00 AM"</f>
        <v>8:00 AM</v>
      </c>
      <c r="BR867" t="str">
        <f>"4:00 PM"</f>
        <v>4:00 PM</v>
      </c>
      <c r="BS867" t="s">
        <v>133</v>
      </c>
      <c r="BT867">
        <v>0</v>
      </c>
      <c r="BU867">
        <v>0</v>
      </c>
      <c r="BV867" t="s">
        <v>134</v>
      </c>
      <c r="BX867" t="s">
        <v>13640</v>
      </c>
      <c r="BY867" t="s">
        <v>13641</v>
      </c>
      <c r="BZ867" t="s">
        <v>1897</v>
      </c>
      <c r="CA867" t="s">
        <v>10078</v>
      </c>
      <c r="CB867" t="s">
        <v>129</v>
      </c>
      <c r="CC867" s="4" t="str">
        <f>"31021"</f>
        <v>31021</v>
      </c>
      <c r="CD867" t="s">
        <v>13642</v>
      </c>
      <c r="CE867" t="s">
        <v>2331</v>
      </c>
      <c r="CF867" s="6">
        <v>14.02</v>
      </c>
      <c r="CG867" s="6">
        <v>16.2</v>
      </c>
      <c r="CH867" s="6">
        <v>0</v>
      </c>
      <c r="CI867" s="6">
        <v>0</v>
      </c>
      <c r="CJ867" t="s">
        <v>137</v>
      </c>
      <c r="CK867" t="s">
        <v>13643</v>
      </c>
      <c r="CL867" t="s">
        <v>13644</v>
      </c>
      <c r="CO867" t="s">
        <v>138</v>
      </c>
      <c r="CP867" t="s">
        <v>114</v>
      </c>
      <c r="CQ867" t="s">
        <v>114</v>
      </c>
      <c r="CR867" t="s">
        <v>134</v>
      </c>
      <c r="CS867" t="s">
        <v>114</v>
      </c>
      <c r="CT867" t="s">
        <v>114</v>
      </c>
      <c r="CU867" t="s">
        <v>114</v>
      </c>
      <c r="CV867" t="s">
        <v>13645</v>
      </c>
      <c r="CW867" s="5" t="str">
        <f>"+14238420683"</f>
        <v>+14238420683</v>
      </c>
      <c r="CX867" t="s">
        <v>13639</v>
      </c>
      <c r="CY867" t="s">
        <v>138</v>
      </c>
      <c r="CZ867" t="s">
        <v>139</v>
      </c>
      <c r="DA867" t="s">
        <v>134</v>
      </c>
      <c r="DB867" t="s">
        <v>134</v>
      </c>
      <c r="DC867" t="s">
        <v>114</v>
      </c>
      <c r="DD867" t="s">
        <v>134</v>
      </c>
    </row>
    <row r="868" spans="1:113" ht="15" customHeight="1" x14ac:dyDescent="0.25">
      <c r="A868" t="s">
        <v>9609</v>
      </c>
      <c r="B868" t="s">
        <v>165</v>
      </c>
      <c r="C868" s="1">
        <v>44790.896611458331</v>
      </c>
      <c r="D868" s="1">
        <v>44860</v>
      </c>
      <c r="E868" t="s">
        <v>134</v>
      </c>
      <c r="F868" t="s">
        <v>166</v>
      </c>
      <c r="G868" t="str">
        <f>"51-2092.00"</f>
        <v>51-2092.00</v>
      </c>
      <c r="H868" t="s">
        <v>167</v>
      </c>
      <c r="I868">
        <v>20</v>
      </c>
      <c r="J868">
        <v>20</v>
      </c>
      <c r="K868" s="1">
        <v>44866</v>
      </c>
      <c r="L868" s="1">
        <v>45016</v>
      </c>
      <c r="M868" s="1">
        <v>44866</v>
      </c>
      <c r="N868" s="1">
        <v>45016</v>
      </c>
      <c r="O868" t="s">
        <v>168</v>
      </c>
      <c r="P868" t="s">
        <v>169</v>
      </c>
      <c r="R868" t="s">
        <v>170</v>
      </c>
      <c r="T868" t="s">
        <v>171</v>
      </c>
      <c r="U868" t="s">
        <v>119</v>
      </c>
      <c r="V868" s="4" t="str">
        <f>"27006"</f>
        <v>27006</v>
      </c>
      <c r="W868" t="s">
        <v>120</v>
      </c>
      <c r="Y868" s="5">
        <v>16088635999</v>
      </c>
      <c r="AA868">
        <v>337121</v>
      </c>
      <c r="AB868" t="s">
        <v>172</v>
      </c>
      <c r="AC868" t="s">
        <v>173</v>
      </c>
      <c r="AE868" t="s">
        <v>174</v>
      </c>
      <c r="AF868" t="s">
        <v>170</v>
      </c>
      <c r="AH868" t="s">
        <v>171</v>
      </c>
      <c r="AI868" t="s">
        <v>119</v>
      </c>
      <c r="AJ868" s="4" t="str">
        <f>"27006"</f>
        <v>27006</v>
      </c>
      <c r="AK868" t="s">
        <v>120</v>
      </c>
      <c r="AM868" s="5">
        <v>16088635999</v>
      </c>
      <c r="AO868" t="s">
        <v>175</v>
      </c>
      <c r="AP868" t="s">
        <v>122</v>
      </c>
      <c r="AQ868" t="s">
        <v>176</v>
      </c>
      <c r="AR868" t="s">
        <v>146</v>
      </c>
      <c r="AS868" t="s">
        <v>177</v>
      </c>
      <c r="AT868" t="s">
        <v>178</v>
      </c>
      <c r="AU868" t="s">
        <v>179</v>
      </c>
      <c r="AV868" t="s">
        <v>180</v>
      </c>
      <c r="AW868" t="s">
        <v>181</v>
      </c>
      <c r="AX868" s="4" t="str">
        <f>"80222"</f>
        <v>80222</v>
      </c>
      <c r="AY868" t="s">
        <v>120</v>
      </c>
      <c r="BA868" s="5">
        <v>13037646802</v>
      </c>
      <c r="BC868" t="s">
        <v>182</v>
      </c>
      <c r="BD868" t="s">
        <v>183</v>
      </c>
      <c r="BE868" t="s">
        <v>184</v>
      </c>
      <c r="BF868" t="s">
        <v>185</v>
      </c>
      <c r="BG868" t="s">
        <v>1147</v>
      </c>
      <c r="BH868" s="1">
        <v>44788.833333333336</v>
      </c>
      <c r="BI868">
        <v>40</v>
      </c>
      <c r="BJ868">
        <v>0</v>
      </c>
      <c r="BK868">
        <v>10</v>
      </c>
      <c r="BL868">
        <v>10</v>
      </c>
      <c r="BM868">
        <v>10</v>
      </c>
      <c r="BN868">
        <v>10</v>
      </c>
      <c r="BO868">
        <v>0</v>
      </c>
      <c r="BP868">
        <v>0</v>
      </c>
      <c r="BQ868" t="str">
        <f>"5:00 PM"</f>
        <v>5:00 PM</v>
      </c>
      <c r="BR868" t="str">
        <f>"3:00 AM"</f>
        <v>3:00 AM</v>
      </c>
      <c r="BS868" t="s">
        <v>133</v>
      </c>
      <c r="BT868">
        <v>0</v>
      </c>
      <c r="BU868">
        <v>0</v>
      </c>
      <c r="BV868" t="s">
        <v>134</v>
      </c>
      <c r="BX868" t="s">
        <v>186</v>
      </c>
      <c r="BY868" t="s">
        <v>5141</v>
      </c>
      <c r="CA868" t="s">
        <v>5142</v>
      </c>
      <c r="CB868" t="s">
        <v>1147</v>
      </c>
      <c r="CC868" s="4" t="str">
        <f>"54612"</f>
        <v>54612</v>
      </c>
      <c r="CD868" t="s">
        <v>5143</v>
      </c>
      <c r="CE868" t="s">
        <v>5144</v>
      </c>
      <c r="CF868" s="6">
        <v>16.739999999999998</v>
      </c>
      <c r="CG868" s="6">
        <v>19.739999999999998</v>
      </c>
      <c r="CH868" s="6">
        <v>25.11</v>
      </c>
      <c r="CI868" s="6">
        <v>29.61</v>
      </c>
      <c r="CJ868" t="s">
        <v>137</v>
      </c>
      <c r="CK868" t="s">
        <v>189</v>
      </c>
      <c r="CL868" t="s">
        <v>9610</v>
      </c>
      <c r="CO868" t="s">
        <v>138</v>
      </c>
      <c r="CP868" t="s">
        <v>134</v>
      </c>
      <c r="CQ868" t="s">
        <v>114</v>
      </c>
      <c r="CR868" t="s">
        <v>114</v>
      </c>
      <c r="CS868" t="s">
        <v>114</v>
      </c>
      <c r="CT868" t="s">
        <v>114</v>
      </c>
      <c r="CU868" t="s">
        <v>114</v>
      </c>
      <c r="CV868" t="s">
        <v>191</v>
      </c>
      <c r="CW868" s="5" t="str">
        <f>"+16088635999"</f>
        <v>+16088635999</v>
      </c>
      <c r="CX868" t="s">
        <v>138</v>
      </c>
      <c r="CY868" t="s">
        <v>192</v>
      </c>
      <c r="CZ868" t="s">
        <v>139</v>
      </c>
      <c r="DA868" t="s">
        <v>134</v>
      </c>
      <c r="DB868" t="s">
        <v>114</v>
      </c>
      <c r="DC868" t="s">
        <v>114</v>
      </c>
      <c r="DD868" t="s">
        <v>134</v>
      </c>
      <c r="DE868" t="s">
        <v>193</v>
      </c>
      <c r="DF868" t="s">
        <v>194</v>
      </c>
      <c r="DH868" t="s">
        <v>183</v>
      </c>
      <c r="DI868" t="s">
        <v>195</v>
      </c>
    </row>
    <row r="869" spans="1:113" ht="15" customHeight="1" x14ac:dyDescent="0.25">
      <c r="A869" t="s">
        <v>15218</v>
      </c>
      <c r="B869" t="s">
        <v>165</v>
      </c>
      <c r="C869" s="1">
        <v>44830.521700231482</v>
      </c>
      <c r="D869" s="1">
        <v>44859</v>
      </c>
      <c r="E869" t="s">
        <v>134</v>
      </c>
      <c r="F869" t="s">
        <v>416</v>
      </c>
      <c r="G869" t="str">
        <f>"37-3011.00"</f>
        <v>37-3011.00</v>
      </c>
      <c r="H869" t="s">
        <v>335</v>
      </c>
      <c r="I869">
        <v>3</v>
      </c>
      <c r="J869">
        <v>3</v>
      </c>
      <c r="K869" s="1">
        <v>44907</v>
      </c>
      <c r="L869" s="1">
        <v>45016</v>
      </c>
      <c r="M869" s="1">
        <v>44907</v>
      </c>
      <c r="N869" s="1">
        <v>45016</v>
      </c>
      <c r="O869" t="s">
        <v>199</v>
      </c>
      <c r="P869" t="s">
        <v>4546</v>
      </c>
      <c r="R869" t="s">
        <v>4547</v>
      </c>
      <c r="T869" t="s">
        <v>4032</v>
      </c>
      <c r="U869" t="s">
        <v>420</v>
      </c>
      <c r="V869" s="4" t="str">
        <f>"84065"</f>
        <v>84065</v>
      </c>
      <c r="W869" t="s">
        <v>120</v>
      </c>
      <c r="Y869" s="5">
        <v>18016319247</v>
      </c>
      <c r="AA869">
        <v>56173</v>
      </c>
      <c r="AB869" t="s">
        <v>4548</v>
      </c>
      <c r="AC869" t="s">
        <v>1568</v>
      </c>
      <c r="AE869" t="s">
        <v>424</v>
      </c>
      <c r="AF869" t="s">
        <v>4549</v>
      </c>
      <c r="AH869" t="s">
        <v>4032</v>
      </c>
      <c r="AI869" t="s">
        <v>420</v>
      </c>
      <c r="AJ869" s="4" t="str">
        <f>"84065"</f>
        <v>84065</v>
      </c>
      <c r="AK869" t="s">
        <v>120</v>
      </c>
      <c r="AM869" s="5">
        <v>18016319247</v>
      </c>
      <c r="AO869" t="s">
        <v>4550</v>
      </c>
      <c r="AP869" t="s">
        <v>256</v>
      </c>
      <c r="AQ869" t="s">
        <v>426</v>
      </c>
      <c r="AR869" t="s">
        <v>427</v>
      </c>
      <c r="AT869" t="s">
        <v>428</v>
      </c>
      <c r="AV869" t="s">
        <v>429</v>
      </c>
      <c r="AW869" t="s">
        <v>420</v>
      </c>
      <c r="AX869" s="4" t="str">
        <f>"84059"</f>
        <v>84059</v>
      </c>
      <c r="AY869" t="s">
        <v>120</v>
      </c>
      <c r="BA869" s="5">
        <v>18013677097</v>
      </c>
      <c r="BC869" t="s">
        <v>430</v>
      </c>
      <c r="BD869" t="s">
        <v>431</v>
      </c>
      <c r="BG869" t="s">
        <v>420</v>
      </c>
      <c r="BH869" s="1">
        <v>44829.833333333336</v>
      </c>
      <c r="BI869">
        <v>35</v>
      </c>
      <c r="BJ869">
        <v>0</v>
      </c>
      <c r="BK869">
        <v>7</v>
      </c>
      <c r="BL869">
        <v>7</v>
      </c>
      <c r="BM869">
        <v>7</v>
      </c>
      <c r="BN869">
        <v>7</v>
      </c>
      <c r="BO869">
        <v>7</v>
      </c>
      <c r="BP869">
        <v>0</v>
      </c>
      <c r="BQ869" t="str">
        <f>"8:00 AM"</f>
        <v>8:00 AM</v>
      </c>
      <c r="BR869" t="str">
        <f>"3:30 PM"</f>
        <v>3:30 PM</v>
      </c>
      <c r="BS869" t="s">
        <v>133</v>
      </c>
      <c r="BT869">
        <v>0</v>
      </c>
      <c r="BU869">
        <v>0</v>
      </c>
      <c r="BV869" t="s">
        <v>134</v>
      </c>
      <c r="BX869" s="2" t="s">
        <v>5196</v>
      </c>
      <c r="BY869" t="s">
        <v>4551</v>
      </c>
      <c r="CA869" t="s">
        <v>4552</v>
      </c>
      <c r="CB869" t="s">
        <v>420</v>
      </c>
      <c r="CC869" s="4" t="str">
        <f>"84070"</f>
        <v>84070</v>
      </c>
      <c r="CD869" t="s">
        <v>688</v>
      </c>
      <c r="CE869" t="s">
        <v>689</v>
      </c>
      <c r="CF869" s="6">
        <v>17.21</v>
      </c>
      <c r="CH869" s="6">
        <v>25.82</v>
      </c>
      <c r="CJ869" t="s">
        <v>137</v>
      </c>
      <c r="CK869" t="s">
        <v>5243</v>
      </c>
      <c r="CL869" t="s">
        <v>15219</v>
      </c>
      <c r="CO869" t="s">
        <v>138</v>
      </c>
      <c r="CP869" t="s">
        <v>114</v>
      </c>
      <c r="CQ869" t="s">
        <v>114</v>
      </c>
      <c r="CR869" t="s">
        <v>114</v>
      </c>
      <c r="CS869" t="s">
        <v>134</v>
      </c>
      <c r="CT869" t="s">
        <v>114</v>
      </c>
      <c r="CU869" t="s">
        <v>134</v>
      </c>
      <c r="CV869" t="s">
        <v>437</v>
      </c>
      <c r="CW869" s="5" t="str">
        <f>"+18016319247"</f>
        <v>+18016319247</v>
      </c>
      <c r="CX869" t="s">
        <v>4550</v>
      </c>
      <c r="CY869" t="s">
        <v>138</v>
      </c>
      <c r="CZ869" t="s">
        <v>139</v>
      </c>
      <c r="DA869" t="s">
        <v>134</v>
      </c>
      <c r="DB869" t="s">
        <v>134</v>
      </c>
      <c r="DC869" t="s">
        <v>114</v>
      </c>
      <c r="DD869" t="s">
        <v>134</v>
      </c>
    </row>
    <row r="870" spans="1:113" ht="15" customHeight="1" x14ac:dyDescent="0.25">
      <c r="A870" t="s">
        <v>12365</v>
      </c>
      <c r="B870" t="s">
        <v>165</v>
      </c>
      <c r="C870" s="1">
        <v>44826.576815856482</v>
      </c>
      <c r="D870" s="1">
        <v>44859</v>
      </c>
      <c r="E870" t="s">
        <v>134</v>
      </c>
      <c r="F870" t="s">
        <v>914</v>
      </c>
      <c r="G870" t="str">
        <f>"35-2014.00"</f>
        <v>35-2014.00</v>
      </c>
      <c r="H870" t="s">
        <v>915</v>
      </c>
      <c r="I870">
        <v>5</v>
      </c>
      <c r="J870">
        <v>5</v>
      </c>
      <c r="K870" s="1">
        <v>44902</v>
      </c>
      <c r="L870" s="1">
        <v>45205</v>
      </c>
      <c r="M870" s="1">
        <v>44902</v>
      </c>
      <c r="N870" s="1">
        <v>45205</v>
      </c>
      <c r="O870" t="s">
        <v>117</v>
      </c>
      <c r="P870" t="s">
        <v>5307</v>
      </c>
      <c r="Q870" t="s">
        <v>5308</v>
      </c>
      <c r="R870" t="s">
        <v>5309</v>
      </c>
      <c r="T870" t="s">
        <v>5310</v>
      </c>
      <c r="U870" t="s">
        <v>1361</v>
      </c>
      <c r="V870" s="4" t="str">
        <f>"39530"</f>
        <v>39530</v>
      </c>
      <c r="W870" t="s">
        <v>120</v>
      </c>
      <c r="Y870" s="5">
        <v>12283863079</v>
      </c>
      <c r="AA870">
        <v>72112</v>
      </c>
      <c r="AB870" t="s">
        <v>5311</v>
      </c>
      <c r="AC870" t="s">
        <v>5312</v>
      </c>
      <c r="AE870" t="s">
        <v>5313</v>
      </c>
      <c r="AF870" t="s">
        <v>5309</v>
      </c>
      <c r="AH870" t="s">
        <v>5310</v>
      </c>
      <c r="AI870" t="s">
        <v>1361</v>
      </c>
      <c r="AJ870" s="4" t="str">
        <f>"39530"</f>
        <v>39530</v>
      </c>
      <c r="AK870" t="s">
        <v>120</v>
      </c>
      <c r="AM870" s="5">
        <v>12883863079</v>
      </c>
      <c r="AO870" t="s">
        <v>5314</v>
      </c>
      <c r="AP870" t="s">
        <v>122</v>
      </c>
      <c r="AQ870" t="s">
        <v>1152</v>
      </c>
      <c r="AR870" t="s">
        <v>1153</v>
      </c>
      <c r="AS870" t="s">
        <v>1154</v>
      </c>
      <c r="AT870" t="s">
        <v>1155</v>
      </c>
      <c r="AU870" t="s">
        <v>1156</v>
      </c>
      <c r="AV870" t="s">
        <v>1157</v>
      </c>
      <c r="AW870" t="s">
        <v>154</v>
      </c>
      <c r="AX870" s="4" t="str">
        <f>"33186"</f>
        <v>33186</v>
      </c>
      <c r="AY870" t="s">
        <v>120</v>
      </c>
      <c r="BA870" s="5">
        <v>13056706767</v>
      </c>
      <c r="BC870" t="s">
        <v>1158</v>
      </c>
      <c r="BD870" t="s">
        <v>1159</v>
      </c>
      <c r="BE870" t="s">
        <v>154</v>
      </c>
      <c r="BF870" t="s">
        <v>218</v>
      </c>
      <c r="BG870" t="s">
        <v>1361</v>
      </c>
      <c r="BH870" s="1">
        <v>44825.833333333336</v>
      </c>
      <c r="BI870">
        <v>56</v>
      </c>
      <c r="BJ870">
        <v>8</v>
      </c>
      <c r="BK870">
        <v>8</v>
      </c>
      <c r="BL870">
        <v>8</v>
      </c>
      <c r="BM870">
        <v>8</v>
      </c>
      <c r="BN870">
        <v>8</v>
      </c>
      <c r="BO870">
        <v>8</v>
      </c>
      <c r="BP870">
        <v>8</v>
      </c>
      <c r="BQ870" t="str">
        <f>"9:00 AM"</f>
        <v>9:00 AM</v>
      </c>
      <c r="BR870" t="str">
        <f>"5:00 PM"</f>
        <v>5:00 PM</v>
      </c>
      <c r="BS870" t="s">
        <v>133</v>
      </c>
      <c r="BT870">
        <v>0</v>
      </c>
      <c r="BU870">
        <v>6</v>
      </c>
      <c r="BV870" t="s">
        <v>134</v>
      </c>
      <c r="BX870" s="2" t="s">
        <v>12366</v>
      </c>
      <c r="BY870" t="s">
        <v>5309</v>
      </c>
      <c r="CA870" t="s">
        <v>5310</v>
      </c>
      <c r="CB870" t="s">
        <v>1361</v>
      </c>
      <c r="CC870" s="4" t="str">
        <f>"39530"</f>
        <v>39530</v>
      </c>
      <c r="CD870" t="s">
        <v>1446</v>
      </c>
      <c r="CE870" t="s">
        <v>3850</v>
      </c>
      <c r="CF870" s="6">
        <v>13</v>
      </c>
      <c r="CH870" s="6">
        <v>19.5</v>
      </c>
      <c r="CJ870" t="s">
        <v>137</v>
      </c>
      <c r="CL870" t="s">
        <v>12367</v>
      </c>
      <c r="CO870" t="s">
        <v>138</v>
      </c>
      <c r="CP870" t="s">
        <v>134</v>
      </c>
      <c r="CQ870" t="s">
        <v>114</v>
      </c>
      <c r="CR870" t="s">
        <v>114</v>
      </c>
      <c r="CS870" t="s">
        <v>114</v>
      </c>
      <c r="CT870" t="s">
        <v>114</v>
      </c>
      <c r="CU870" t="s">
        <v>114</v>
      </c>
      <c r="CV870" t="s">
        <v>5318</v>
      </c>
      <c r="CW870" s="5" t="str">
        <f>"+12283863079"</f>
        <v>+12283863079</v>
      </c>
      <c r="CX870" t="s">
        <v>5319</v>
      </c>
      <c r="CY870" t="s">
        <v>138</v>
      </c>
      <c r="CZ870" t="s">
        <v>139</v>
      </c>
      <c r="DA870" t="s">
        <v>134</v>
      </c>
      <c r="DB870" t="s">
        <v>114</v>
      </c>
      <c r="DC870" t="s">
        <v>114</v>
      </c>
      <c r="DD870" t="s">
        <v>134</v>
      </c>
    </row>
    <row r="871" spans="1:113" ht="15" customHeight="1" x14ac:dyDescent="0.25">
      <c r="A871" t="s">
        <v>5306</v>
      </c>
      <c r="B871" t="s">
        <v>165</v>
      </c>
      <c r="C871" s="1">
        <v>44826.574508912039</v>
      </c>
      <c r="D871" s="1">
        <v>44859</v>
      </c>
      <c r="E871" t="s">
        <v>134</v>
      </c>
      <c r="F871" t="s">
        <v>1591</v>
      </c>
      <c r="G871" t="str">
        <f>"37-2012.00"</f>
        <v>37-2012.00</v>
      </c>
      <c r="H871" t="s">
        <v>116</v>
      </c>
      <c r="I871">
        <v>60</v>
      </c>
      <c r="J871">
        <v>60</v>
      </c>
      <c r="K871" s="1">
        <v>44902</v>
      </c>
      <c r="L871" s="1">
        <v>45205</v>
      </c>
      <c r="M871" s="1">
        <v>44902</v>
      </c>
      <c r="N871" s="1">
        <v>45205</v>
      </c>
      <c r="O871" t="s">
        <v>117</v>
      </c>
      <c r="P871" t="s">
        <v>5307</v>
      </c>
      <c r="Q871" t="s">
        <v>5308</v>
      </c>
      <c r="R871" t="s">
        <v>5309</v>
      </c>
      <c r="T871" t="s">
        <v>5310</v>
      </c>
      <c r="U871" t="s">
        <v>1361</v>
      </c>
      <c r="V871" s="4" t="str">
        <f>"39530"</f>
        <v>39530</v>
      </c>
      <c r="W871" t="s">
        <v>120</v>
      </c>
      <c r="Y871" s="5">
        <v>12283863079</v>
      </c>
      <c r="AA871">
        <v>72112</v>
      </c>
      <c r="AB871" t="s">
        <v>5311</v>
      </c>
      <c r="AC871" t="s">
        <v>5312</v>
      </c>
      <c r="AE871" t="s">
        <v>5313</v>
      </c>
      <c r="AF871" t="s">
        <v>5309</v>
      </c>
      <c r="AH871" t="s">
        <v>5310</v>
      </c>
      <c r="AI871" t="s">
        <v>1361</v>
      </c>
      <c r="AJ871" s="4" t="str">
        <f>"39530"</f>
        <v>39530</v>
      </c>
      <c r="AK871" t="s">
        <v>120</v>
      </c>
      <c r="AM871" s="5">
        <v>12883863079</v>
      </c>
      <c r="AO871" t="s">
        <v>5314</v>
      </c>
      <c r="AP871" t="s">
        <v>122</v>
      </c>
      <c r="AQ871" t="s">
        <v>1152</v>
      </c>
      <c r="AR871" t="s">
        <v>1153</v>
      </c>
      <c r="AS871" t="s">
        <v>1154</v>
      </c>
      <c r="AT871" t="s">
        <v>1155</v>
      </c>
      <c r="AU871" t="s">
        <v>1156</v>
      </c>
      <c r="AV871" t="s">
        <v>1157</v>
      </c>
      <c r="AW871" t="s">
        <v>154</v>
      </c>
      <c r="AX871" s="4" t="str">
        <f>"33186"</f>
        <v>33186</v>
      </c>
      <c r="AY871" t="s">
        <v>120</v>
      </c>
      <c r="BA871" s="5">
        <v>13056706767</v>
      </c>
      <c r="BC871" t="s">
        <v>1158</v>
      </c>
      <c r="BD871" t="s">
        <v>1159</v>
      </c>
      <c r="BE871" t="s">
        <v>154</v>
      </c>
      <c r="BF871" t="s">
        <v>218</v>
      </c>
      <c r="BG871" t="s">
        <v>1361</v>
      </c>
      <c r="BH871" s="1">
        <v>44825.833333333336</v>
      </c>
      <c r="BI871">
        <v>52.5</v>
      </c>
      <c r="BJ871">
        <v>7.5</v>
      </c>
      <c r="BK871">
        <v>7.5</v>
      </c>
      <c r="BL871">
        <v>7.5</v>
      </c>
      <c r="BM871">
        <v>7.5</v>
      </c>
      <c r="BN871">
        <v>7.5</v>
      </c>
      <c r="BO871">
        <v>7.5</v>
      </c>
      <c r="BP871">
        <v>7.5</v>
      </c>
      <c r="BQ871" t="str">
        <f>"8:30 AM"</f>
        <v>8:30 AM</v>
      </c>
      <c r="BR871" t="str">
        <f>"4:00 PM"</f>
        <v>4:00 PM</v>
      </c>
      <c r="BS871" t="s">
        <v>133</v>
      </c>
      <c r="BT871">
        <v>0</v>
      </c>
      <c r="BU871">
        <v>0</v>
      </c>
      <c r="BV871" t="s">
        <v>134</v>
      </c>
      <c r="BX871" s="2" t="s">
        <v>5315</v>
      </c>
      <c r="BY871" t="s">
        <v>5309</v>
      </c>
      <c r="CA871" t="s">
        <v>5310</v>
      </c>
      <c r="CB871" t="s">
        <v>1361</v>
      </c>
      <c r="CC871" s="4" t="str">
        <f>"39530"</f>
        <v>39530</v>
      </c>
      <c r="CD871" t="s">
        <v>1446</v>
      </c>
      <c r="CE871" t="s">
        <v>3850</v>
      </c>
      <c r="CF871" s="6">
        <v>11.22</v>
      </c>
      <c r="CH871" s="6">
        <v>16.829999999999998</v>
      </c>
      <c r="CJ871" t="s">
        <v>137</v>
      </c>
      <c r="CK871" t="s">
        <v>5316</v>
      </c>
      <c r="CL871" t="s">
        <v>5317</v>
      </c>
      <c r="CO871" t="s">
        <v>138</v>
      </c>
      <c r="CP871" t="s">
        <v>134</v>
      </c>
      <c r="CQ871" t="s">
        <v>114</v>
      </c>
      <c r="CR871" t="s">
        <v>114</v>
      </c>
      <c r="CS871" t="s">
        <v>114</v>
      </c>
      <c r="CT871" t="s">
        <v>114</v>
      </c>
      <c r="CU871" t="s">
        <v>114</v>
      </c>
      <c r="CV871" t="s">
        <v>5318</v>
      </c>
      <c r="CW871" s="5" t="str">
        <f>"+12283863079"</f>
        <v>+12283863079</v>
      </c>
      <c r="CX871" t="s">
        <v>5319</v>
      </c>
      <c r="CY871" t="s">
        <v>138</v>
      </c>
      <c r="CZ871" t="s">
        <v>139</v>
      </c>
      <c r="DA871" t="s">
        <v>134</v>
      </c>
      <c r="DB871" t="s">
        <v>114</v>
      </c>
      <c r="DC871" t="s">
        <v>114</v>
      </c>
      <c r="DD871" t="s">
        <v>134</v>
      </c>
    </row>
    <row r="872" spans="1:113" ht="15" customHeight="1" x14ac:dyDescent="0.25">
      <c r="A872" t="s">
        <v>13104</v>
      </c>
      <c r="B872" t="s">
        <v>165</v>
      </c>
      <c r="C872" s="1">
        <v>44826.571514467592</v>
      </c>
      <c r="D872" s="1">
        <v>44859</v>
      </c>
      <c r="E872" t="s">
        <v>134</v>
      </c>
      <c r="F872" t="s">
        <v>1909</v>
      </c>
      <c r="G872" t="str">
        <f>"35-9021.00"</f>
        <v>35-9021.00</v>
      </c>
      <c r="H872" t="s">
        <v>1910</v>
      </c>
      <c r="I872">
        <v>5</v>
      </c>
      <c r="J872">
        <v>5</v>
      </c>
      <c r="K872" s="1">
        <v>44902</v>
      </c>
      <c r="L872" s="1">
        <v>45205</v>
      </c>
      <c r="M872" s="1">
        <v>44902</v>
      </c>
      <c r="N872" s="1">
        <v>45205</v>
      </c>
      <c r="O872" t="s">
        <v>117</v>
      </c>
      <c r="P872" t="s">
        <v>5307</v>
      </c>
      <c r="Q872" t="s">
        <v>5308</v>
      </c>
      <c r="R872" t="s">
        <v>5309</v>
      </c>
      <c r="T872" t="s">
        <v>5310</v>
      </c>
      <c r="U872" t="s">
        <v>1361</v>
      </c>
      <c r="V872" s="4" t="str">
        <f>"39530"</f>
        <v>39530</v>
      </c>
      <c r="W872" t="s">
        <v>120</v>
      </c>
      <c r="Y872" s="5">
        <v>12283863079</v>
      </c>
      <c r="AA872">
        <v>72112</v>
      </c>
      <c r="AB872" t="s">
        <v>5311</v>
      </c>
      <c r="AC872" t="s">
        <v>13105</v>
      </c>
      <c r="AE872" t="s">
        <v>13106</v>
      </c>
      <c r="AF872" t="s">
        <v>5309</v>
      </c>
      <c r="AH872" t="s">
        <v>5310</v>
      </c>
      <c r="AI872" t="s">
        <v>1361</v>
      </c>
      <c r="AJ872" s="4" t="str">
        <f>"39530"</f>
        <v>39530</v>
      </c>
      <c r="AK872" t="s">
        <v>120</v>
      </c>
      <c r="AM872" s="5">
        <v>12883863079</v>
      </c>
      <c r="AO872" t="s">
        <v>5314</v>
      </c>
      <c r="AP872" t="s">
        <v>122</v>
      </c>
      <c r="AQ872" t="s">
        <v>1152</v>
      </c>
      <c r="AR872" t="s">
        <v>1153</v>
      </c>
      <c r="AS872" t="s">
        <v>1154</v>
      </c>
      <c r="AT872" t="s">
        <v>1155</v>
      </c>
      <c r="AU872" t="s">
        <v>1156</v>
      </c>
      <c r="AV872" t="s">
        <v>1157</v>
      </c>
      <c r="AW872" t="s">
        <v>154</v>
      </c>
      <c r="AX872" s="4" t="str">
        <f>"33186"</f>
        <v>33186</v>
      </c>
      <c r="AY872" t="s">
        <v>120</v>
      </c>
      <c r="BA872" s="5">
        <v>13056706767</v>
      </c>
      <c r="BC872" t="s">
        <v>1158</v>
      </c>
      <c r="BD872" t="s">
        <v>1159</v>
      </c>
      <c r="BE872" t="s">
        <v>154</v>
      </c>
      <c r="BF872" t="s">
        <v>218</v>
      </c>
      <c r="BG872" t="s">
        <v>1361</v>
      </c>
      <c r="BH872" s="1">
        <v>44825.833333333336</v>
      </c>
      <c r="BI872">
        <v>56</v>
      </c>
      <c r="BJ872">
        <v>8</v>
      </c>
      <c r="BK872">
        <v>8</v>
      </c>
      <c r="BL872">
        <v>8</v>
      </c>
      <c r="BM872">
        <v>8</v>
      </c>
      <c r="BN872">
        <v>8</v>
      </c>
      <c r="BO872">
        <v>8</v>
      </c>
      <c r="BP872">
        <v>8</v>
      </c>
      <c r="BQ872" t="str">
        <f>"9:00 AM"</f>
        <v>9:00 AM</v>
      </c>
      <c r="BR872" t="str">
        <f>"5:00 PM"</f>
        <v>5:00 PM</v>
      </c>
      <c r="BS872" t="s">
        <v>133</v>
      </c>
      <c r="BT872">
        <v>0</v>
      </c>
      <c r="BU872">
        <v>0</v>
      </c>
      <c r="BV872" t="s">
        <v>134</v>
      </c>
      <c r="BX872" s="2" t="s">
        <v>13107</v>
      </c>
      <c r="BY872" t="s">
        <v>5309</v>
      </c>
      <c r="CA872" t="s">
        <v>5310</v>
      </c>
      <c r="CB872" t="s">
        <v>1361</v>
      </c>
      <c r="CC872" s="4" t="str">
        <f>"39530"</f>
        <v>39530</v>
      </c>
      <c r="CD872" t="s">
        <v>1446</v>
      </c>
      <c r="CE872" t="s">
        <v>3850</v>
      </c>
      <c r="CF872" s="6">
        <v>10.11</v>
      </c>
      <c r="CH872" s="6">
        <v>15.17</v>
      </c>
      <c r="CJ872" t="s">
        <v>137</v>
      </c>
      <c r="CL872" t="s">
        <v>13108</v>
      </c>
      <c r="CO872" t="s">
        <v>138</v>
      </c>
      <c r="CP872" t="s">
        <v>134</v>
      </c>
      <c r="CQ872" t="s">
        <v>114</v>
      </c>
      <c r="CR872" t="s">
        <v>114</v>
      </c>
      <c r="CS872" t="s">
        <v>114</v>
      </c>
      <c r="CT872" t="s">
        <v>114</v>
      </c>
      <c r="CU872" t="s">
        <v>114</v>
      </c>
      <c r="CV872" t="s">
        <v>5318</v>
      </c>
      <c r="CW872" s="5" t="str">
        <f>"+12283863079"</f>
        <v>+12283863079</v>
      </c>
      <c r="CX872" t="s">
        <v>5319</v>
      </c>
      <c r="CY872" t="s">
        <v>138</v>
      </c>
      <c r="CZ872" t="s">
        <v>139</v>
      </c>
      <c r="DA872" t="s">
        <v>134</v>
      </c>
      <c r="DB872" t="s">
        <v>114</v>
      </c>
      <c r="DC872" t="s">
        <v>114</v>
      </c>
      <c r="DD872" t="s">
        <v>134</v>
      </c>
    </row>
    <row r="873" spans="1:113" ht="15" customHeight="1" x14ac:dyDescent="0.25">
      <c r="A873" t="s">
        <v>13016</v>
      </c>
      <c r="B873" t="s">
        <v>165</v>
      </c>
      <c r="C873" s="1">
        <v>44825.799405555554</v>
      </c>
      <c r="D873" s="1">
        <v>44859</v>
      </c>
      <c r="E873" t="s">
        <v>134</v>
      </c>
      <c r="F873" t="s">
        <v>1034</v>
      </c>
      <c r="G873" t="str">
        <f>"37-3011.00"</f>
        <v>37-3011.00</v>
      </c>
      <c r="H873" t="s">
        <v>335</v>
      </c>
      <c r="I873">
        <v>25</v>
      </c>
      <c r="J873">
        <v>25</v>
      </c>
      <c r="K873" s="1">
        <v>44900</v>
      </c>
      <c r="L873" s="1">
        <v>45199</v>
      </c>
      <c r="M873" s="1">
        <v>44900</v>
      </c>
      <c r="N873" s="1">
        <v>45199</v>
      </c>
      <c r="O873" t="s">
        <v>117</v>
      </c>
      <c r="P873" t="s">
        <v>13017</v>
      </c>
      <c r="R873" t="s">
        <v>13018</v>
      </c>
      <c r="T873" t="s">
        <v>13019</v>
      </c>
      <c r="U873" t="s">
        <v>530</v>
      </c>
      <c r="V873" s="4" t="str">
        <f>"85288"</f>
        <v>85288</v>
      </c>
      <c r="W873" t="s">
        <v>120</v>
      </c>
      <c r="Y873" s="5">
        <v>14808942835</v>
      </c>
      <c r="AA873">
        <v>2389</v>
      </c>
      <c r="AB873" t="s">
        <v>13020</v>
      </c>
      <c r="AC873" t="s">
        <v>13021</v>
      </c>
      <c r="AE873" t="s">
        <v>13022</v>
      </c>
      <c r="AF873" t="s">
        <v>13018</v>
      </c>
      <c r="AH873" t="s">
        <v>13019</v>
      </c>
      <c r="AI873" t="s">
        <v>530</v>
      </c>
      <c r="AJ873" s="4" t="str">
        <f>"85288"</f>
        <v>85288</v>
      </c>
      <c r="AK873" t="s">
        <v>120</v>
      </c>
      <c r="AM873" s="5">
        <v>14808942835</v>
      </c>
      <c r="AO873" t="s">
        <v>13023</v>
      </c>
      <c r="AP873" t="s">
        <v>256</v>
      </c>
      <c r="AQ873" t="s">
        <v>1042</v>
      </c>
      <c r="AR873" t="s">
        <v>1043</v>
      </c>
      <c r="AT873" t="s">
        <v>1044</v>
      </c>
      <c r="AU873" t="s">
        <v>1045</v>
      </c>
      <c r="AV873" t="s">
        <v>587</v>
      </c>
      <c r="AW873" t="s">
        <v>530</v>
      </c>
      <c r="AX873" s="4" t="str">
        <f>"85048"</f>
        <v>85048</v>
      </c>
      <c r="AY873" t="s">
        <v>120</v>
      </c>
      <c r="BA873" s="5">
        <v>14809411885</v>
      </c>
      <c r="BC873" t="s">
        <v>1046</v>
      </c>
      <c r="BD873" t="s">
        <v>1047</v>
      </c>
      <c r="BG873" t="s">
        <v>530</v>
      </c>
      <c r="BH873" s="1">
        <v>44824.833333333336</v>
      </c>
      <c r="BI873">
        <v>40</v>
      </c>
      <c r="BJ873">
        <v>0</v>
      </c>
      <c r="BK873">
        <v>8</v>
      </c>
      <c r="BL873">
        <v>8</v>
      </c>
      <c r="BM873">
        <v>8</v>
      </c>
      <c r="BN873">
        <v>8</v>
      </c>
      <c r="BO873">
        <v>8</v>
      </c>
      <c r="BP873">
        <v>0</v>
      </c>
      <c r="BQ873" t="str">
        <f>"6:00 AM"</f>
        <v>6:00 AM</v>
      </c>
      <c r="BR873" t="str">
        <f>"2:30 PM"</f>
        <v>2:30 PM</v>
      </c>
      <c r="BS873" t="s">
        <v>133</v>
      </c>
      <c r="BT873">
        <v>0</v>
      </c>
      <c r="BU873">
        <v>3</v>
      </c>
      <c r="BV873" t="s">
        <v>134</v>
      </c>
      <c r="BX873" s="2" t="s">
        <v>5341</v>
      </c>
      <c r="BY873" t="s">
        <v>13018</v>
      </c>
      <c r="CA873" t="s">
        <v>13019</v>
      </c>
      <c r="CB873" t="s">
        <v>530</v>
      </c>
      <c r="CC873" s="4" t="str">
        <f>"85288"</f>
        <v>85288</v>
      </c>
      <c r="CD873" t="s">
        <v>592</v>
      </c>
      <c r="CE873" t="s">
        <v>548</v>
      </c>
      <c r="CF873" s="6">
        <v>16.57</v>
      </c>
      <c r="CG873" s="6">
        <v>16.57</v>
      </c>
      <c r="CH873" s="6">
        <v>24.86</v>
      </c>
      <c r="CI873" s="6">
        <v>24.86</v>
      </c>
      <c r="CJ873" t="s">
        <v>137</v>
      </c>
      <c r="CK873" t="s">
        <v>1053</v>
      </c>
      <c r="CL873" t="s">
        <v>13024</v>
      </c>
      <c r="CO873" t="s">
        <v>138</v>
      </c>
      <c r="CP873" t="s">
        <v>114</v>
      </c>
      <c r="CQ873" t="s">
        <v>114</v>
      </c>
      <c r="CR873" t="s">
        <v>114</v>
      </c>
      <c r="CS873" t="s">
        <v>114</v>
      </c>
      <c r="CT873" t="s">
        <v>114</v>
      </c>
      <c r="CU873" t="s">
        <v>134</v>
      </c>
      <c r="CV873" t="s">
        <v>9074</v>
      </c>
      <c r="CW873" s="5" t="str">
        <f>"+14808942835"</f>
        <v>+14808942835</v>
      </c>
      <c r="CX873" t="s">
        <v>13023</v>
      </c>
      <c r="CY873" t="s">
        <v>138</v>
      </c>
      <c r="CZ873" t="s">
        <v>139</v>
      </c>
      <c r="DA873" t="s">
        <v>134</v>
      </c>
      <c r="DB873" t="s">
        <v>114</v>
      </c>
      <c r="DC873" t="s">
        <v>114</v>
      </c>
      <c r="DD873" t="s">
        <v>134</v>
      </c>
    </row>
    <row r="874" spans="1:113" ht="15" customHeight="1" x14ac:dyDescent="0.25">
      <c r="A874" t="s">
        <v>13995</v>
      </c>
      <c r="B874" t="s">
        <v>165</v>
      </c>
      <c r="C874" s="1">
        <v>44820.708910879628</v>
      </c>
      <c r="D874" s="1">
        <v>44859</v>
      </c>
      <c r="E874" t="s">
        <v>134</v>
      </c>
      <c r="F874" t="s">
        <v>2900</v>
      </c>
      <c r="G874" t="str">
        <f>"37-2012.00"</f>
        <v>37-2012.00</v>
      </c>
      <c r="H874" t="s">
        <v>116</v>
      </c>
      <c r="I874">
        <v>18</v>
      </c>
      <c r="J874">
        <v>18</v>
      </c>
      <c r="K874" s="1">
        <v>44904</v>
      </c>
      <c r="L874" s="1">
        <v>45177</v>
      </c>
      <c r="M874" s="1">
        <v>44904</v>
      </c>
      <c r="N874" s="1">
        <v>45177</v>
      </c>
      <c r="O874" t="s">
        <v>117</v>
      </c>
      <c r="P874" t="s">
        <v>2901</v>
      </c>
      <c r="R874" t="s">
        <v>2902</v>
      </c>
      <c r="T874" t="s">
        <v>2903</v>
      </c>
      <c r="U874" t="s">
        <v>657</v>
      </c>
      <c r="V874" s="4" t="str">
        <f>"38555"</f>
        <v>38555</v>
      </c>
      <c r="W874" t="s">
        <v>120</v>
      </c>
      <c r="Y874" s="5">
        <v>18004891718</v>
      </c>
      <c r="AA874">
        <v>56172</v>
      </c>
      <c r="AB874" t="s">
        <v>2645</v>
      </c>
      <c r="AC874" t="s">
        <v>2646</v>
      </c>
      <c r="AD874" t="s">
        <v>259</v>
      </c>
      <c r="AE874" t="s">
        <v>2904</v>
      </c>
      <c r="AF874" t="s">
        <v>2902</v>
      </c>
      <c r="AH874" t="s">
        <v>2903</v>
      </c>
      <c r="AI874" t="s">
        <v>657</v>
      </c>
      <c r="AJ874" s="4" t="str">
        <f>"38555"</f>
        <v>38555</v>
      </c>
      <c r="AK874" t="s">
        <v>120</v>
      </c>
      <c r="AM874" s="5">
        <v>14077231146</v>
      </c>
      <c r="AO874" t="s">
        <v>6360</v>
      </c>
      <c r="AX874" s="4" t="str">
        <f>""</f>
        <v/>
      </c>
      <c r="BG874" t="s">
        <v>444</v>
      </c>
      <c r="BH874" s="1">
        <v>44812.833333333336</v>
      </c>
      <c r="BI874">
        <v>35</v>
      </c>
      <c r="BJ874">
        <v>7</v>
      </c>
      <c r="BK874">
        <v>0</v>
      </c>
      <c r="BL874">
        <v>0</v>
      </c>
      <c r="BM874">
        <v>7</v>
      </c>
      <c r="BN874">
        <v>7</v>
      </c>
      <c r="BO874">
        <v>7</v>
      </c>
      <c r="BP874">
        <v>7</v>
      </c>
      <c r="BQ874" t="str">
        <f>"9:00 AM"</f>
        <v>9:00 AM</v>
      </c>
      <c r="BR874" t="str">
        <f>"4:00 PM"</f>
        <v>4:00 PM</v>
      </c>
      <c r="BS874" t="s">
        <v>133</v>
      </c>
      <c r="BT874">
        <v>0</v>
      </c>
      <c r="BU874">
        <v>3</v>
      </c>
      <c r="BV874" t="s">
        <v>134</v>
      </c>
      <c r="BX874" s="2" t="s">
        <v>2905</v>
      </c>
      <c r="BY874" t="s">
        <v>13996</v>
      </c>
      <c r="CA874" t="s">
        <v>443</v>
      </c>
      <c r="CB874" t="s">
        <v>444</v>
      </c>
      <c r="CC874" s="4" t="str">
        <f>"96161"</f>
        <v>96161</v>
      </c>
      <c r="CD874" t="s">
        <v>462</v>
      </c>
      <c r="CE874" t="s">
        <v>463</v>
      </c>
      <c r="CF874" s="6">
        <v>18.59</v>
      </c>
      <c r="CH874" s="6">
        <v>27.89</v>
      </c>
      <c r="CJ874" t="s">
        <v>137</v>
      </c>
      <c r="CL874" t="s">
        <v>13997</v>
      </c>
      <c r="CO874" t="s">
        <v>138</v>
      </c>
      <c r="CP874" t="s">
        <v>134</v>
      </c>
      <c r="CQ874" t="s">
        <v>114</v>
      </c>
      <c r="CR874" t="s">
        <v>114</v>
      </c>
      <c r="CS874" t="s">
        <v>114</v>
      </c>
      <c r="CT874" t="s">
        <v>114</v>
      </c>
      <c r="CU874" t="s">
        <v>114</v>
      </c>
      <c r="CV874" s="2" t="s">
        <v>13998</v>
      </c>
      <c r="CW874" s="5" t="str">
        <f>"+14077231157"</f>
        <v>+14077231157</v>
      </c>
      <c r="CX874" t="s">
        <v>2909</v>
      </c>
      <c r="CY874" t="s">
        <v>138</v>
      </c>
      <c r="CZ874" t="s">
        <v>139</v>
      </c>
      <c r="DA874" t="s">
        <v>134</v>
      </c>
      <c r="DB874" t="s">
        <v>134</v>
      </c>
      <c r="DC874" t="s">
        <v>114</v>
      </c>
      <c r="DD874" t="s">
        <v>134</v>
      </c>
    </row>
    <row r="875" spans="1:113" ht="15" customHeight="1" x14ac:dyDescent="0.25">
      <c r="A875" t="s">
        <v>7400</v>
      </c>
      <c r="B875" t="s">
        <v>165</v>
      </c>
      <c r="C875" s="1">
        <v>44820.585272337965</v>
      </c>
      <c r="D875" s="1">
        <v>44859</v>
      </c>
      <c r="E875" t="s">
        <v>134</v>
      </c>
      <c r="F875" t="s">
        <v>416</v>
      </c>
      <c r="G875" t="str">
        <f>"37-3011.00"</f>
        <v>37-3011.00</v>
      </c>
      <c r="H875" t="s">
        <v>335</v>
      </c>
      <c r="I875">
        <v>4</v>
      </c>
      <c r="J875">
        <v>4</v>
      </c>
      <c r="K875" s="1">
        <v>44896</v>
      </c>
      <c r="L875" s="1">
        <v>45016</v>
      </c>
      <c r="M875" s="1">
        <v>44896</v>
      </c>
      <c r="N875" s="1">
        <v>45016</v>
      </c>
      <c r="O875" t="s">
        <v>199</v>
      </c>
      <c r="P875" t="s">
        <v>7401</v>
      </c>
      <c r="R875" t="s">
        <v>7402</v>
      </c>
      <c r="T875" t="s">
        <v>429</v>
      </c>
      <c r="U875" t="s">
        <v>420</v>
      </c>
      <c r="V875" s="4" t="str">
        <f>"84059"</f>
        <v>84059</v>
      </c>
      <c r="W875" t="s">
        <v>120</v>
      </c>
      <c r="Y875" s="5">
        <v>18016361713</v>
      </c>
      <c r="AA875">
        <v>56173</v>
      </c>
      <c r="AB875" t="s">
        <v>2120</v>
      </c>
      <c r="AC875" t="s">
        <v>4077</v>
      </c>
      <c r="AE875" t="s">
        <v>424</v>
      </c>
      <c r="AF875" t="s">
        <v>7402</v>
      </c>
      <c r="AH875" t="s">
        <v>429</v>
      </c>
      <c r="AI875" t="s">
        <v>420</v>
      </c>
      <c r="AJ875" s="4" t="str">
        <f>"84059"</f>
        <v>84059</v>
      </c>
      <c r="AK875" t="s">
        <v>120</v>
      </c>
      <c r="AM875" s="5">
        <v>18016361713</v>
      </c>
      <c r="AO875" t="s">
        <v>7403</v>
      </c>
      <c r="AP875" t="s">
        <v>256</v>
      </c>
      <c r="AQ875" t="s">
        <v>426</v>
      </c>
      <c r="AR875" t="s">
        <v>427</v>
      </c>
      <c r="AT875" t="s">
        <v>428</v>
      </c>
      <c r="AV875" t="s">
        <v>429</v>
      </c>
      <c r="AW875" t="s">
        <v>420</v>
      </c>
      <c r="AX875" s="4" t="str">
        <f>"84059"</f>
        <v>84059</v>
      </c>
      <c r="AY875" t="s">
        <v>120</v>
      </c>
      <c r="BA875" s="5">
        <v>18013677097</v>
      </c>
      <c r="BC875" t="s">
        <v>430</v>
      </c>
      <c r="BD875" t="s">
        <v>431</v>
      </c>
      <c r="BG875" t="s">
        <v>420</v>
      </c>
      <c r="BH875" s="1">
        <v>44819.833333333336</v>
      </c>
      <c r="BI875">
        <v>35</v>
      </c>
      <c r="BJ875">
        <v>0</v>
      </c>
      <c r="BK875">
        <v>7</v>
      </c>
      <c r="BL875">
        <v>7</v>
      </c>
      <c r="BM875">
        <v>7</v>
      </c>
      <c r="BN875">
        <v>7</v>
      </c>
      <c r="BO875">
        <v>7</v>
      </c>
      <c r="BP875">
        <v>0</v>
      </c>
      <c r="BQ875" t="str">
        <f>"8:00 AM"</f>
        <v>8:00 AM</v>
      </c>
      <c r="BR875" t="str">
        <f>"3:30 PM"</f>
        <v>3:30 PM</v>
      </c>
      <c r="BS875" t="s">
        <v>133</v>
      </c>
      <c r="BT875">
        <v>0</v>
      </c>
      <c r="BU875">
        <v>0</v>
      </c>
      <c r="BV875" t="s">
        <v>134</v>
      </c>
      <c r="BX875" s="2" t="s">
        <v>7404</v>
      </c>
      <c r="BY875" t="s">
        <v>7402</v>
      </c>
      <c r="CA875" t="s">
        <v>429</v>
      </c>
      <c r="CB875" t="s">
        <v>420</v>
      </c>
      <c r="CC875" s="4" t="str">
        <f>"84059"</f>
        <v>84059</v>
      </c>
      <c r="CD875" t="s">
        <v>433</v>
      </c>
      <c r="CE875" t="s">
        <v>434</v>
      </c>
      <c r="CF875" s="6">
        <v>16.62</v>
      </c>
      <c r="CH875" s="6">
        <v>24.93</v>
      </c>
      <c r="CJ875" t="s">
        <v>137</v>
      </c>
      <c r="CK875" t="s">
        <v>5197</v>
      </c>
      <c r="CL875" t="s">
        <v>7405</v>
      </c>
      <c r="CO875" t="s">
        <v>138</v>
      </c>
      <c r="CP875" t="s">
        <v>114</v>
      </c>
      <c r="CQ875" t="s">
        <v>114</v>
      </c>
      <c r="CR875" t="s">
        <v>114</v>
      </c>
      <c r="CS875" t="s">
        <v>134</v>
      </c>
      <c r="CT875" t="s">
        <v>114</v>
      </c>
      <c r="CU875" t="s">
        <v>134</v>
      </c>
      <c r="CV875" t="s">
        <v>437</v>
      </c>
      <c r="CW875" s="5" t="str">
        <f>"+18016361713"</f>
        <v>+18016361713</v>
      </c>
      <c r="CX875" t="s">
        <v>7403</v>
      </c>
      <c r="CY875" t="s">
        <v>138</v>
      </c>
      <c r="CZ875" t="s">
        <v>139</v>
      </c>
      <c r="DA875" t="s">
        <v>134</v>
      </c>
      <c r="DB875" t="s">
        <v>134</v>
      </c>
      <c r="DC875" t="s">
        <v>114</v>
      </c>
      <c r="DD875" t="s">
        <v>134</v>
      </c>
    </row>
    <row r="876" spans="1:113" ht="15" customHeight="1" x14ac:dyDescent="0.25">
      <c r="A876" t="s">
        <v>8860</v>
      </c>
      <c r="B876" t="s">
        <v>165</v>
      </c>
      <c r="C876" s="1">
        <v>44812.647859837962</v>
      </c>
      <c r="D876" s="1">
        <v>44859</v>
      </c>
      <c r="E876" t="s">
        <v>134</v>
      </c>
      <c r="F876" t="s">
        <v>2900</v>
      </c>
      <c r="G876" t="str">
        <f>"37-2012.00"</f>
        <v>37-2012.00</v>
      </c>
      <c r="H876" t="s">
        <v>116</v>
      </c>
      <c r="I876">
        <v>18</v>
      </c>
      <c r="J876">
        <v>18</v>
      </c>
      <c r="K876" s="1">
        <v>44902</v>
      </c>
      <c r="L876" s="1">
        <v>45175</v>
      </c>
      <c r="M876" s="1">
        <v>44902</v>
      </c>
      <c r="N876" s="1">
        <v>45175</v>
      </c>
      <c r="O876" t="s">
        <v>117</v>
      </c>
      <c r="P876" t="s">
        <v>2901</v>
      </c>
      <c r="R876" t="s">
        <v>2902</v>
      </c>
      <c r="T876" t="s">
        <v>2903</v>
      </c>
      <c r="U876" t="s">
        <v>657</v>
      </c>
      <c r="V876" s="4" t="str">
        <f>"38555"</f>
        <v>38555</v>
      </c>
      <c r="W876" t="s">
        <v>120</v>
      </c>
      <c r="Y876" s="5">
        <v>18004891718</v>
      </c>
      <c r="AA876">
        <v>56172</v>
      </c>
      <c r="AB876" t="s">
        <v>2645</v>
      </c>
      <c r="AC876" t="s">
        <v>2646</v>
      </c>
      <c r="AD876" t="s">
        <v>259</v>
      </c>
      <c r="AE876" t="s">
        <v>2904</v>
      </c>
      <c r="AF876" t="s">
        <v>2902</v>
      </c>
      <c r="AH876" t="s">
        <v>2903</v>
      </c>
      <c r="AI876" t="s">
        <v>657</v>
      </c>
      <c r="AJ876" s="4" t="str">
        <f>"38555"</f>
        <v>38555</v>
      </c>
      <c r="AK876" t="s">
        <v>120</v>
      </c>
      <c r="AM876" s="5">
        <v>14077231146</v>
      </c>
      <c r="AO876" t="s">
        <v>6360</v>
      </c>
      <c r="AX876" s="4" t="str">
        <f>""</f>
        <v/>
      </c>
      <c r="BG876" t="s">
        <v>281</v>
      </c>
      <c r="BH876" s="1">
        <v>44810.833333333336</v>
      </c>
      <c r="BI876">
        <v>35</v>
      </c>
      <c r="BJ876">
        <v>7</v>
      </c>
      <c r="BK876">
        <v>0</v>
      </c>
      <c r="BL876">
        <v>0</v>
      </c>
      <c r="BM876">
        <v>7</v>
      </c>
      <c r="BN876">
        <v>7</v>
      </c>
      <c r="BO876">
        <v>7</v>
      </c>
      <c r="BP876">
        <v>7</v>
      </c>
      <c r="BQ876" t="str">
        <f>"9:00 AM"</f>
        <v>9:00 AM</v>
      </c>
      <c r="BR876" t="str">
        <f>"4:00 PM"</f>
        <v>4:00 PM</v>
      </c>
      <c r="BS876" t="s">
        <v>133</v>
      </c>
      <c r="BT876">
        <v>0</v>
      </c>
      <c r="BU876">
        <v>3</v>
      </c>
      <c r="BV876" t="s">
        <v>134</v>
      </c>
      <c r="BX876" s="2" t="s">
        <v>2905</v>
      </c>
      <c r="BY876" t="s">
        <v>8861</v>
      </c>
      <c r="CA876" t="s">
        <v>8862</v>
      </c>
      <c r="CB876" t="s">
        <v>281</v>
      </c>
      <c r="CC876" s="4" t="str">
        <f>"01237"</f>
        <v>01237</v>
      </c>
      <c r="CD876" t="s">
        <v>4451</v>
      </c>
      <c r="CE876" t="s">
        <v>1645</v>
      </c>
      <c r="CF876" s="6">
        <v>17.53</v>
      </c>
      <c r="CH876" s="6">
        <v>26.3</v>
      </c>
      <c r="CJ876" t="s">
        <v>2907</v>
      </c>
      <c r="CK876" t="s">
        <v>8863</v>
      </c>
      <c r="CL876" t="s">
        <v>8864</v>
      </c>
      <c r="CO876" t="s">
        <v>138</v>
      </c>
      <c r="CP876" t="s">
        <v>114</v>
      </c>
      <c r="CQ876" t="s">
        <v>114</v>
      </c>
      <c r="CR876" t="s">
        <v>114</v>
      </c>
      <c r="CS876" t="s">
        <v>114</v>
      </c>
      <c r="CT876" t="s">
        <v>114</v>
      </c>
      <c r="CU876" t="s">
        <v>114</v>
      </c>
      <c r="CV876" t="s">
        <v>2908</v>
      </c>
      <c r="CW876" s="5" t="str">
        <f>"+14077231157"</f>
        <v>+14077231157</v>
      </c>
      <c r="CX876" t="s">
        <v>2909</v>
      </c>
      <c r="CY876" t="s">
        <v>138</v>
      </c>
      <c r="CZ876" t="s">
        <v>139</v>
      </c>
      <c r="DA876" t="s">
        <v>134</v>
      </c>
      <c r="DB876" t="s">
        <v>134</v>
      </c>
      <c r="DC876" t="s">
        <v>114</v>
      </c>
      <c r="DD876" t="s">
        <v>134</v>
      </c>
    </row>
    <row r="877" spans="1:113" ht="15" customHeight="1" x14ac:dyDescent="0.25">
      <c r="A877" t="s">
        <v>7411</v>
      </c>
      <c r="B877" t="s">
        <v>165</v>
      </c>
      <c r="C877" s="1">
        <v>44811.495733912037</v>
      </c>
      <c r="D877" s="1">
        <v>44859</v>
      </c>
      <c r="E877" t="s">
        <v>134</v>
      </c>
      <c r="F877" t="s">
        <v>7412</v>
      </c>
      <c r="G877" t="str">
        <f>"47-2171.00"</f>
        <v>47-2171.00</v>
      </c>
      <c r="H877" t="s">
        <v>7413</v>
      </c>
      <c r="I877">
        <v>10</v>
      </c>
      <c r="J877">
        <v>10</v>
      </c>
      <c r="K877" s="1">
        <v>44886</v>
      </c>
      <c r="L877" s="1">
        <v>45190</v>
      </c>
      <c r="M877" s="1">
        <v>44886</v>
      </c>
      <c r="N877" s="1">
        <v>45190</v>
      </c>
      <c r="O877" t="s">
        <v>117</v>
      </c>
      <c r="P877" t="s">
        <v>7414</v>
      </c>
      <c r="R877" t="s">
        <v>7415</v>
      </c>
      <c r="T877" t="s">
        <v>1575</v>
      </c>
      <c r="U877" t="s">
        <v>530</v>
      </c>
      <c r="V877" s="4" t="str">
        <f>"85714-2215"</f>
        <v>85714-2215</v>
      </c>
      <c r="W877" t="s">
        <v>120</v>
      </c>
      <c r="Y877" s="5">
        <v>15205148200</v>
      </c>
      <c r="AA877">
        <v>2362</v>
      </c>
      <c r="AB877" t="s">
        <v>7416</v>
      </c>
      <c r="AC877" t="s">
        <v>6978</v>
      </c>
      <c r="AE877" t="s">
        <v>7417</v>
      </c>
      <c r="AF877" t="s">
        <v>7418</v>
      </c>
      <c r="AH877" t="s">
        <v>7272</v>
      </c>
      <c r="AI877" t="s">
        <v>530</v>
      </c>
      <c r="AJ877" s="4" t="str">
        <f>"85714"</f>
        <v>85714</v>
      </c>
      <c r="AK877" t="s">
        <v>120</v>
      </c>
      <c r="AM877" s="5">
        <v>15205148200</v>
      </c>
      <c r="AO877" t="s">
        <v>7419</v>
      </c>
      <c r="AX877" s="4" t="str">
        <f>""</f>
        <v/>
      </c>
      <c r="BG877" t="s">
        <v>530</v>
      </c>
      <c r="BH877" s="1">
        <v>44727.833333333336</v>
      </c>
      <c r="BI877">
        <v>40</v>
      </c>
      <c r="BJ877">
        <v>0</v>
      </c>
      <c r="BK877">
        <v>8</v>
      </c>
      <c r="BL877">
        <v>8</v>
      </c>
      <c r="BM877">
        <v>8</v>
      </c>
      <c r="BN877">
        <v>8</v>
      </c>
      <c r="BO877">
        <v>8</v>
      </c>
      <c r="BP877">
        <v>0</v>
      </c>
      <c r="BQ877" t="str">
        <f>"6:00 AM"</f>
        <v>6:00 AM</v>
      </c>
      <c r="BR877" t="str">
        <f>"2:30 PM"</f>
        <v>2:30 PM</v>
      </c>
      <c r="BS877" t="s">
        <v>133</v>
      </c>
      <c r="BT877">
        <v>0</v>
      </c>
      <c r="BU877">
        <v>6</v>
      </c>
      <c r="BV877" t="s">
        <v>134</v>
      </c>
      <c r="BX877" t="s">
        <v>7420</v>
      </c>
      <c r="BY877" t="s">
        <v>7418</v>
      </c>
      <c r="CA877" t="s">
        <v>7272</v>
      </c>
      <c r="CB877" t="s">
        <v>530</v>
      </c>
      <c r="CC877" s="4" t="str">
        <f>"85714"</f>
        <v>85714</v>
      </c>
      <c r="CD877" t="s">
        <v>1576</v>
      </c>
      <c r="CE877" t="s">
        <v>1577</v>
      </c>
      <c r="CF877" s="6">
        <v>23.22</v>
      </c>
      <c r="CG877" s="6">
        <v>23.22</v>
      </c>
      <c r="CJ877" t="s">
        <v>137</v>
      </c>
      <c r="CL877" t="s">
        <v>7421</v>
      </c>
      <c r="CO877" t="s">
        <v>114</v>
      </c>
      <c r="CP877" t="s">
        <v>114</v>
      </c>
      <c r="CQ877" t="s">
        <v>114</v>
      </c>
      <c r="CR877" t="s">
        <v>134</v>
      </c>
      <c r="CS877" t="s">
        <v>134</v>
      </c>
      <c r="CT877" t="s">
        <v>114</v>
      </c>
      <c r="CU877" t="s">
        <v>134</v>
      </c>
      <c r="CV877" t="s">
        <v>7422</v>
      </c>
      <c r="CW877" s="5" t="str">
        <f>"+15208148200"</f>
        <v>+15208148200</v>
      </c>
      <c r="CX877" t="s">
        <v>7419</v>
      </c>
      <c r="CY877" t="s">
        <v>138</v>
      </c>
      <c r="CZ877" t="s">
        <v>139</v>
      </c>
      <c r="DA877" t="s">
        <v>134</v>
      </c>
      <c r="DB877" t="s">
        <v>134</v>
      </c>
      <c r="DC877" t="s">
        <v>114</v>
      </c>
      <c r="DD877" t="s">
        <v>134</v>
      </c>
    </row>
    <row r="878" spans="1:113" ht="15" customHeight="1" x14ac:dyDescent="0.25">
      <c r="A878" t="s">
        <v>12020</v>
      </c>
      <c r="B878" t="s">
        <v>165</v>
      </c>
      <c r="C878" s="1">
        <v>44806.733387731481</v>
      </c>
      <c r="D878" s="1">
        <v>44859</v>
      </c>
      <c r="E878" t="s">
        <v>114</v>
      </c>
      <c r="F878" t="s">
        <v>8866</v>
      </c>
      <c r="G878" t="str">
        <f>"37-2011.00"</f>
        <v>37-2011.00</v>
      </c>
      <c r="H878" t="s">
        <v>672</v>
      </c>
      <c r="I878">
        <v>110</v>
      </c>
      <c r="J878">
        <v>110</v>
      </c>
      <c r="K878" s="1">
        <v>44881</v>
      </c>
      <c r="L878" s="1">
        <v>45031</v>
      </c>
      <c r="M878" s="1">
        <v>44881</v>
      </c>
      <c r="N878" s="1">
        <v>45031</v>
      </c>
      <c r="O878" t="s">
        <v>199</v>
      </c>
      <c r="P878" t="s">
        <v>12021</v>
      </c>
      <c r="R878" t="s">
        <v>6781</v>
      </c>
      <c r="T878" t="s">
        <v>6782</v>
      </c>
      <c r="U878" t="s">
        <v>184</v>
      </c>
      <c r="V878" s="4" t="str">
        <f>"60118"</f>
        <v>60118</v>
      </c>
      <c r="W878" t="s">
        <v>120</v>
      </c>
      <c r="Y878" s="5">
        <v>18476950080</v>
      </c>
      <c r="AA878">
        <v>56179</v>
      </c>
      <c r="AB878" t="s">
        <v>6783</v>
      </c>
      <c r="AC878" t="s">
        <v>1486</v>
      </c>
      <c r="AE878" t="s">
        <v>6784</v>
      </c>
      <c r="AF878" t="s">
        <v>6781</v>
      </c>
      <c r="AH878" t="s">
        <v>6782</v>
      </c>
      <c r="AI878" t="s">
        <v>184</v>
      </c>
      <c r="AJ878" s="4" t="str">
        <f>"60118"</f>
        <v>60118</v>
      </c>
      <c r="AK878" t="s">
        <v>120</v>
      </c>
      <c r="AM878" s="5">
        <v>18476950080</v>
      </c>
      <c r="AN878">
        <v>7689</v>
      </c>
      <c r="AO878" t="s">
        <v>6785</v>
      </c>
      <c r="AP878" t="s">
        <v>122</v>
      </c>
      <c r="AQ878" t="s">
        <v>4167</v>
      </c>
      <c r="AR878" t="s">
        <v>173</v>
      </c>
      <c r="AS878" t="s">
        <v>3492</v>
      </c>
      <c r="AT878" t="s">
        <v>4168</v>
      </c>
      <c r="AU878" t="s">
        <v>4169</v>
      </c>
      <c r="AV878" t="s">
        <v>2748</v>
      </c>
      <c r="AW878" t="s">
        <v>420</v>
      </c>
      <c r="AX878" s="4" t="str">
        <f>"84111"</f>
        <v>84111</v>
      </c>
      <c r="AY878" t="s">
        <v>120</v>
      </c>
      <c r="BA878" s="5">
        <v>18012971290</v>
      </c>
      <c r="BC878" t="s">
        <v>4170</v>
      </c>
      <c r="BD878" t="s">
        <v>4171</v>
      </c>
      <c r="BE878" t="s">
        <v>420</v>
      </c>
      <c r="BF878" t="s">
        <v>4172</v>
      </c>
      <c r="BG878" t="s">
        <v>420</v>
      </c>
      <c r="BH878" s="1">
        <v>44805.833333333336</v>
      </c>
      <c r="BI878">
        <v>35</v>
      </c>
      <c r="BJ878">
        <v>0</v>
      </c>
      <c r="BK878">
        <v>7</v>
      </c>
      <c r="BL878">
        <v>7</v>
      </c>
      <c r="BM878">
        <v>7</v>
      </c>
      <c r="BN878">
        <v>7</v>
      </c>
      <c r="BO878">
        <v>7</v>
      </c>
      <c r="BP878">
        <v>0</v>
      </c>
      <c r="BQ878" t="str">
        <f>"10:00 AM"</f>
        <v>10:00 AM</v>
      </c>
      <c r="BR878" t="str">
        <f>"5:00 PM"</f>
        <v>5:00 PM</v>
      </c>
      <c r="BS878" t="s">
        <v>133</v>
      </c>
      <c r="BT878">
        <v>0</v>
      </c>
      <c r="BU878">
        <v>0</v>
      </c>
      <c r="BV878" t="s">
        <v>134</v>
      </c>
      <c r="BX878" s="2" t="s">
        <v>12022</v>
      </c>
      <c r="BY878" t="s">
        <v>12023</v>
      </c>
      <c r="CA878" t="s">
        <v>2268</v>
      </c>
      <c r="CB878" t="s">
        <v>420</v>
      </c>
      <c r="CC878" s="4" t="str">
        <f>"84119"</f>
        <v>84119</v>
      </c>
      <c r="CD878" t="s">
        <v>688</v>
      </c>
      <c r="CE878" t="s">
        <v>689</v>
      </c>
      <c r="CF878" s="6">
        <v>15.17</v>
      </c>
      <c r="CH878" s="6">
        <v>22.76</v>
      </c>
      <c r="CJ878" t="s">
        <v>137</v>
      </c>
      <c r="CL878" t="s">
        <v>12024</v>
      </c>
      <c r="CO878" t="s">
        <v>138</v>
      </c>
      <c r="CP878" t="s">
        <v>114</v>
      </c>
      <c r="CQ878" t="s">
        <v>114</v>
      </c>
      <c r="CR878" t="s">
        <v>114</v>
      </c>
      <c r="CS878" t="s">
        <v>114</v>
      </c>
      <c r="CT878" t="s">
        <v>114</v>
      </c>
      <c r="CU878" t="s">
        <v>114</v>
      </c>
      <c r="CV878" t="s">
        <v>8875</v>
      </c>
      <c r="CW878" s="5" t="str">
        <f>"+18484769500"</f>
        <v>+18484769500</v>
      </c>
      <c r="CX878" t="s">
        <v>6785</v>
      </c>
      <c r="CY878" t="s">
        <v>138</v>
      </c>
      <c r="CZ878" t="s">
        <v>139</v>
      </c>
      <c r="DA878" t="s">
        <v>134</v>
      </c>
      <c r="DB878" t="s">
        <v>134</v>
      </c>
      <c r="DC878" t="s">
        <v>114</v>
      </c>
      <c r="DD878" t="s">
        <v>134</v>
      </c>
    </row>
    <row r="879" spans="1:113" ht="15" customHeight="1" x14ac:dyDescent="0.25">
      <c r="A879" t="s">
        <v>8865</v>
      </c>
      <c r="B879" t="s">
        <v>165</v>
      </c>
      <c r="C879" s="1">
        <v>44806.698278703705</v>
      </c>
      <c r="D879" s="1">
        <v>44859</v>
      </c>
      <c r="E879" t="s">
        <v>114</v>
      </c>
      <c r="F879" t="s">
        <v>8866</v>
      </c>
      <c r="G879" t="str">
        <f>"37-2011.00"</f>
        <v>37-2011.00</v>
      </c>
      <c r="H879" t="s">
        <v>672</v>
      </c>
      <c r="I879">
        <v>20</v>
      </c>
      <c r="J879">
        <v>20</v>
      </c>
      <c r="K879" s="1">
        <v>44881</v>
      </c>
      <c r="L879" s="1">
        <v>45031</v>
      </c>
      <c r="M879" s="1">
        <v>44881</v>
      </c>
      <c r="N879" s="1">
        <v>45031</v>
      </c>
      <c r="O879" t="s">
        <v>199</v>
      </c>
      <c r="P879" t="s">
        <v>8867</v>
      </c>
      <c r="R879" t="s">
        <v>8868</v>
      </c>
      <c r="T879" t="s">
        <v>2652</v>
      </c>
      <c r="U879" t="s">
        <v>848</v>
      </c>
      <c r="V879" s="4" t="str">
        <f>"11590"</f>
        <v>11590</v>
      </c>
      <c r="W879" t="s">
        <v>120</v>
      </c>
      <c r="Y879" s="5">
        <v>15162667525</v>
      </c>
      <c r="AA879">
        <v>56179</v>
      </c>
      <c r="AB879" t="s">
        <v>8869</v>
      </c>
      <c r="AC879" t="s">
        <v>1616</v>
      </c>
      <c r="AE879" t="s">
        <v>6784</v>
      </c>
      <c r="AF879" t="s">
        <v>8868</v>
      </c>
      <c r="AH879" t="s">
        <v>2652</v>
      </c>
      <c r="AI879" t="s">
        <v>848</v>
      </c>
      <c r="AJ879" s="4" t="str">
        <f>"11590"</f>
        <v>11590</v>
      </c>
      <c r="AK879" t="s">
        <v>120</v>
      </c>
      <c r="AM879" s="5">
        <v>15162667525</v>
      </c>
      <c r="AO879" t="s">
        <v>8870</v>
      </c>
      <c r="AP879" t="s">
        <v>122</v>
      </c>
      <c r="AQ879" t="s">
        <v>4167</v>
      </c>
      <c r="AR879" t="s">
        <v>173</v>
      </c>
      <c r="AS879" t="s">
        <v>3492</v>
      </c>
      <c r="AT879" t="s">
        <v>4168</v>
      </c>
      <c r="AU879" t="s">
        <v>4169</v>
      </c>
      <c r="AV879" t="s">
        <v>2748</v>
      </c>
      <c r="AW879" t="s">
        <v>420</v>
      </c>
      <c r="AX879" s="4" t="str">
        <f>"84111"</f>
        <v>84111</v>
      </c>
      <c r="AY879" t="s">
        <v>120</v>
      </c>
      <c r="BA879" s="5">
        <v>18012971290</v>
      </c>
      <c r="BC879" t="s">
        <v>4170</v>
      </c>
      <c r="BD879" t="s">
        <v>4171</v>
      </c>
      <c r="BE879" t="s">
        <v>420</v>
      </c>
      <c r="BF879" t="s">
        <v>4172</v>
      </c>
      <c r="BG879" t="s">
        <v>232</v>
      </c>
      <c r="BH879" s="1">
        <v>44805.833333333336</v>
      </c>
      <c r="BI879">
        <v>35</v>
      </c>
      <c r="BJ879">
        <v>0</v>
      </c>
      <c r="BK879">
        <v>7</v>
      </c>
      <c r="BL879">
        <v>7</v>
      </c>
      <c r="BM879">
        <v>7</v>
      </c>
      <c r="BN879">
        <v>7</v>
      </c>
      <c r="BO879">
        <v>7</v>
      </c>
      <c r="BP879">
        <v>0</v>
      </c>
      <c r="BQ879" t="str">
        <f>"10:00 AM"</f>
        <v>10:00 AM</v>
      </c>
      <c r="BR879" t="str">
        <f>"5:00 PM"</f>
        <v>5:00 PM</v>
      </c>
      <c r="BS879" t="s">
        <v>133</v>
      </c>
      <c r="BT879">
        <v>0</v>
      </c>
      <c r="BU879">
        <v>0</v>
      </c>
      <c r="BV879" t="s">
        <v>134</v>
      </c>
      <c r="BX879" s="2" t="s">
        <v>8871</v>
      </c>
      <c r="BY879" t="s">
        <v>8872</v>
      </c>
      <c r="BZ879" t="s">
        <v>8873</v>
      </c>
      <c r="CA879" t="s">
        <v>8873</v>
      </c>
      <c r="CB879" t="s">
        <v>232</v>
      </c>
      <c r="CC879" s="4" t="str">
        <f>"75261"</f>
        <v>75261</v>
      </c>
      <c r="CD879" t="s">
        <v>1482</v>
      </c>
      <c r="CE879" t="s">
        <v>1528</v>
      </c>
      <c r="CF879" s="6">
        <v>13.92</v>
      </c>
      <c r="CH879" s="6">
        <v>20.88</v>
      </c>
      <c r="CJ879" t="s">
        <v>137</v>
      </c>
      <c r="CL879" t="s">
        <v>8874</v>
      </c>
      <c r="CO879" t="s">
        <v>138</v>
      </c>
      <c r="CP879" t="s">
        <v>114</v>
      </c>
      <c r="CQ879" t="s">
        <v>134</v>
      </c>
      <c r="CR879" t="s">
        <v>114</v>
      </c>
      <c r="CS879" t="s">
        <v>114</v>
      </c>
      <c r="CT879" t="s">
        <v>114</v>
      </c>
      <c r="CU879" t="s">
        <v>114</v>
      </c>
      <c r="CV879" t="s">
        <v>8875</v>
      </c>
      <c r="CW879" s="5" t="str">
        <f>"+15162667525"</f>
        <v>+15162667525</v>
      </c>
      <c r="CX879" t="s">
        <v>8870</v>
      </c>
      <c r="CY879" t="s">
        <v>138</v>
      </c>
      <c r="CZ879" t="s">
        <v>139</v>
      </c>
      <c r="DA879" t="s">
        <v>134</v>
      </c>
      <c r="DB879" t="s">
        <v>134</v>
      </c>
      <c r="DC879" t="s">
        <v>114</v>
      </c>
      <c r="DD879" t="s">
        <v>134</v>
      </c>
    </row>
    <row r="880" spans="1:113" ht="15" customHeight="1" x14ac:dyDescent="0.25">
      <c r="A880" t="s">
        <v>15421</v>
      </c>
      <c r="B880" t="s">
        <v>165</v>
      </c>
      <c r="C880" s="1">
        <v>44771.666250578703</v>
      </c>
      <c r="D880" s="1">
        <v>44859</v>
      </c>
      <c r="E880" t="s">
        <v>134</v>
      </c>
      <c r="F880" t="s">
        <v>1106</v>
      </c>
      <c r="G880" t="str">
        <f>"45-4011.00"</f>
        <v>45-4011.00</v>
      </c>
      <c r="H880" t="s">
        <v>1107</v>
      </c>
      <c r="I880">
        <v>119</v>
      </c>
      <c r="J880">
        <v>119</v>
      </c>
      <c r="K880" s="1">
        <v>44846</v>
      </c>
      <c r="L880" s="1">
        <v>45107</v>
      </c>
      <c r="M880" s="1">
        <v>44846</v>
      </c>
      <c r="N880" s="1">
        <v>45107</v>
      </c>
      <c r="O880" t="s">
        <v>199</v>
      </c>
      <c r="P880" t="s">
        <v>14735</v>
      </c>
      <c r="R880" t="s">
        <v>14736</v>
      </c>
      <c r="T880" t="s">
        <v>14737</v>
      </c>
      <c r="U880" t="s">
        <v>119</v>
      </c>
      <c r="V880" s="4" t="str">
        <f>"28345"</f>
        <v>28345</v>
      </c>
      <c r="W880" t="s">
        <v>120</v>
      </c>
      <c r="Y880" s="5">
        <v>19109951794</v>
      </c>
      <c r="AA880">
        <v>1132</v>
      </c>
      <c r="AB880" t="s">
        <v>1352</v>
      </c>
      <c r="AC880" t="s">
        <v>14738</v>
      </c>
      <c r="AE880" t="s">
        <v>424</v>
      </c>
      <c r="AF880" t="s">
        <v>14736</v>
      </c>
      <c r="AH880" t="s">
        <v>14737</v>
      </c>
      <c r="AI880" t="s">
        <v>119</v>
      </c>
      <c r="AJ880" s="4" t="str">
        <f>"28345"</f>
        <v>28345</v>
      </c>
      <c r="AK880" t="s">
        <v>120</v>
      </c>
      <c r="AM880" s="5">
        <v>19109951794</v>
      </c>
      <c r="AO880" t="s">
        <v>14739</v>
      </c>
      <c r="AX880" s="4" t="str">
        <f>""</f>
        <v/>
      </c>
      <c r="BG880" t="s">
        <v>119</v>
      </c>
      <c r="BH880" s="1">
        <v>44770.833333333336</v>
      </c>
      <c r="BI880">
        <v>35</v>
      </c>
      <c r="BJ880">
        <v>0</v>
      </c>
      <c r="BK880">
        <v>7</v>
      </c>
      <c r="BL880">
        <v>7</v>
      </c>
      <c r="BM880">
        <v>7</v>
      </c>
      <c r="BN880">
        <v>7</v>
      </c>
      <c r="BO880">
        <v>7</v>
      </c>
      <c r="BP880">
        <v>0</v>
      </c>
      <c r="BQ880" t="str">
        <f>"8:00 AM"</f>
        <v>8:00 AM</v>
      </c>
      <c r="BR880" t="str">
        <f>"3:00 PM"</f>
        <v>3:00 PM</v>
      </c>
      <c r="BS880" t="s">
        <v>133</v>
      </c>
      <c r="BT880">
        <v>0</v>
      </c>
      <c r="BU880">
        <v>3</v>
      </c>
      <c r="BV880" t="s">
        <v>134</v>
      </c>
      <c r="BX880" t="s">
        <v>15422</v>
      </c>
      <c r="BY880" t="s">
        <v>14736</v>
      </c>
      <c r="CA880" t="s">
        <v>14737</v>
      </c>
      <c r="CB880" t="s">
        <v>119</v>
      </c>
      <c r="CC880" s="4" t="str">
        <f>"28345"</f>
        <v>28345</v>
      </c>
      <c r="CD880" t="s">
        <v>1902</v>
      </c>
      <c r="CE880" t="s">
        <v>5864</v>
      </c>
      <c r="CF880" s="6">
        <v>13.71</v>
      </c>
      <c r="CG880" s="6">
        <v>16.11</v>
      </c>
      <c r="CH880" s="6">
        <v>20.57</v>
      </c>
      <c r="CI880" s="6">
        <v>24.17</v>
      </c>
      <c r="CJ880" t="s">
        <v>137</v>
      </c>
      <c r="CK880" t="s">
        <v>15423</v>
      </c>
      <c r="CL880" t="s">
        <v>15424</v>
      </c>
      <c r="CO880" t="s">
        <v>138</v>
      </c>
      <c r="CP880" t="s">
        <v>114</v>
      </c>
      <c r="CQ880" t="s">
        <v>114</v>
      </c>
      <c r="CR880" t="s">
        <v>114</v>
      </c>
      <c r="CS880" t="s">
        <v>134</v>
      </c>
      <c r="CT880" t="s">
        <v>114</v>
      </c>
      <c r="CU880" t="s">
        <v>114</v>
      </c>
      <c r="CV880" t="s">
        <v>15425</v>
      </c>
      <c r="CW880" s="5" t="str">
        <f>"+19109951794"</f>
        <v>+19109951794</v>
      </c>
      <c r="CX880" t="s">
        <v>15426</v>
      </c>
      <c r="CY880" t="s">
        <v>138</v>
      </c>
      <c r="CZ880" t="s">
        <v>139</v>
      </c>
      <c r="DA880" t="s">
        <v>134</v>
      </c>
      <c r="DB880" t="s">
        <v>134</v>
      </c>
      <c r="DC880" t="s">
        <v>114</v>
      </c>
      <c r="DD880" t="s">
        <v>134</v>
      </c>
    </row>
    <row r="881" spans="1:113" ht="15" customHeight="1" x14ac:dyDescent="0.25">
      <c r="A881" t="s">
        <v>553</v>
      </c>
      <c r="B881" t="s">
        <v>165</v>
      </c>
      <c r="C881" s="1">
        <v>44833.836783564817</v>
      </c>
      <c r="D881" s="1">
        <v>44858</v>
      </c>
      <c r="E881" t="s">
        <v>134</v>
      </c>
      <c r="F881" t="s">
        <v>554</v>
      </c>
      <c r="G881" t="str">
        <f>"35-3023.00"</f>
        <v>35-3023.00</v>
      </c>
      <c r="H881" t="s">
        <v>555</v>
      </c>
      <c r="I881">
        <v>8</v>
      </c>
      <c r="J881">
        <v>8</v>
      </c>
      <c r="K881" s="1">
        <v>44923</v>
      </c>
      <c r="L881" s="1">
        <v>45224</v>
      </c>
      <c r="M881" s="1">
        <v>44923</v>
      </c>
      <c r="N881" s="1">
        <v>45224</v>
      </c>
      <c r="O881" t="s">
        <v>199</v>
      </c>
      <c r="P881" t="s">
        <v>556</v>
      </c>
      <c r="R881" t="s">
        <v>557</v>
      </c>
      <c r="S881" t="s">
        <v>558</v>
      </c>
      <c r="T881" t="s">
        <v>559</v>
      </c>
      <c r="U881" t="s">
        <v>154</v>
      </c>
      <c r="V881" s="4" t="str">
        <f>"33584"</f>
        <v>33584</v>
      </c>
      <c r="W881" t="s">
        <v>120</v>
      </c>
      <c r="Y881" s="5">
        <v>17326847227</v>
      </c>
      <c r="AA881">
        <v>71399</v>
      </c>
      <c r="AB881" t="s">
        <v>560</v>
      </c>
      <c r="AC881" t="s">
        <v>561</v>
      </c>
      <c r="AD881" t="s">
        <v>138</v>
      </c>
      <c r="AE881" t="s">
        <v>424</v>
      </c>
      <c r="AF881" t="s">
        <v>557</v>
      </c>
      <c r="AG881" t="s">
        <v>558</v>
      </c>
      <c r="AH881" t="s">
        <v>559</v>
      </c>
      <c r="AI881" t="s">
        <v>154</v>
      </c>
      <c r="AJ881" s="4" t="str">
        <f>"33584"</f>
        <v>33584</v>
      </c>
      <c r="AK881" t="s">
        <v>120</v>
      </c>
      <c r="AM881" s="5">
        <v>17326847225</v>
      </c>
      <c r="AO881" t="s">
        <v>562</v>
      </c>
      <c r="AP881" t="s">
        <v>256</v>
      </c>
      <c r="AQ881" t="s">
        <v>535</v>
      </c>
      <c r="AR881" t="s">
        <v>536</v>
      </c>
      <c r="AS881" t="s">
        <v>537</v>
      </c>
      <c r="AT881" t="s">
        <v>538</v>
      </c>
      <c r="AU881" t="s">
        <v>539</v>
      </c>
      <c r="AV881" t="s">
        <v>540</v>
      </c>
      <c r="AW881" t="s">
        <v>232</v>
      </c>
      <c r="AX881" s="4" t="str">
        <f>"78550"</f>
        <v>78550</v>
      </c>
      <c r="AY881" t="s">
        <v>120</v>
      </c>
      <c r="BA881" s="5">
        <v>19564408720</v>
      </c>
      <c r="BB881">
        <v>0</v>
      </c>
      <c r="BC881" t="s">
        <v>563</v>
      </c>
      <c r="BD881" t="s">
        <v>543</v>
      </c>
      <c r="BG881" t="s">
        <v>154</v>
      </c>
      <c r="BH881" s="1">
        <v>44832.833333333336</v>
      </c>
      <c r="BI881">
        <v>40</v>
      </c>
      <c r="BJ881">
        <v>8</v>
      </c>
      <c r="BK881">
        <v>0</v>
      </c>
      <c r="BL881">
        <v>0</v>
      </c>
      <c r="BM881">
        <v>8</v>
      </c>
      <c r="BN881">
        <v>8</v>
      </c>
      <c r="BO881">
        <v>8</v>
      </c>
      <c r="BP881">
        <v>8</v>
      </c>
      <c r="BQ881" t="str">
        <f>"1:00 PM"</f>
        <v>1:00 PM</v>
      </c>
      <c r="BR881" t="str">
        <f>"10:00 PM"</f>
        <v>10:00 PM</v>
      </c>
      <c r="BS881" t="s">
        <v>133</v>
      </c>
      <c r="BT881">
        <v>0</v>
      </c>
      <c r="BU881">
        <v>0</v>
      </c>
      <c r="BV881" t="s">
        <v>134</v>
      </c>
      <c r="BX881" s="2" t="s">
        <v>564</v>
      </c>
      <c r="BY881" t="s">
        <v>565</v>
      </c>
      <c r="CA881" t="s">
        <v>559</v>
      </c>
      <c r="CB881" t="s">
        <v>154</v>
      </c>
      <c r="CC881" s="4" t="str">
        <f>"33584"</f>
        <v>33584</v>
      </c>
      <c r="CD881" t="s">
        <v>566</v>
      </c>
      <c r="CE881" t="s">
        <v>567</v>
      </c>
      <c r="CF881" s="6">
        <v>9.91</v>
      </c>
      <c r="CG881" s="6">
        <v>15.12</v>
      </c>
      <c r="CJ881" t="s">
        <v>137</v>
      </c>
      <c r="CK881" t="s">
        <v>549</v>
      </c>
      <c r="CL881" t="s">
        <v>568</v>
      </c>
      <c r="CO881" t="s">
        <v>138</v>
      </c>
      <c r="CP881" t="s">
        <v>114</v>
      </c>
      <c r="CQ881" t="s">
        <v>114</v>
      </c>
      <c r="CR881" t="s">
        <v>134</v>
      </c>
      <c r="CS881" t="s">
        <v>114</v>
      </c>
      <c r="CT881" t="s">
        <v>114</v>
      </c>
      <c r="CU881" t="s">
        <v>114</v>
      </c>
      <c r="CV881" t="s">
        <v>569</v>
      </c>
      <c r="CW881" s="5" t="str">
        <f>"+17326847227"</f>
        <v>+17326847227</v>
      </c>
      <c r="CX881" t="s">
        <v>562</v>
      </c>
      <c r="CY881" t="s">
        <v>138</v>
      </c>
      <c r="CZ881" t="s">
        <v>139</v>
      </c>
      <c r="DA881" t="s">
        <v>134</v>
      </c>
      <c r="DB881" t="s">
        <v>114</v>
      </c>
      <c r="DC881" t="s">
        <v>114</v>
      </c>
      <c r="DD881" t="s">
        <v>134</v>
      </c>
    </row>
    <row r="882" spans="1:113" ht="15" customHeight="1" x14ac:dyDescent="0.25">
      <c r="A882" t="s">
        <v>15851</v>
      </c>
      <c r="B882" t="s">
        <v>165</v>
      </c>
      <c r="C882" s="1">
        <v>44833.43949074074</v>
      </c>
      <c r="D882" s="1">
        <v>44858</v>
      </c>
      <c r="E882" t="s">
        <v>114</v>
      </c>
      <c r="F882" t="s">
        <v>115</v>
      </c>
      <c r="G882" t="str">
        <f>"37-2012.00"</f>
        <v>37-2012.00</v>
      </c>
      <c r="H882" t="s">
        <v>116</v>
      </c>
      <c r="I882">
        <v>4</v>
      </c>
      <c r="J882">
        <v>4</v>
      </c>
      <c r="K882" s="1">
        <v>44910</v>
      </c>
      <c r="L882" s="1">
        <v>45016</v>
      </c>
      <c r="M882" s="1">
        <v>44910</v>
      </c>
      <c r="N882" s="1">
        <v>45016</v>
      </c>
      <c r="O882" t="s">
        <v>117</v>
      </c>
      <c r="P882" t="s">
        <v>15852</v>
      </c>
      <c r="Q882" t="s">
        <v>15853</v>
      </c>
      <c r="R882" t="s">
        <v>15854</v>
      </c>
      <c r="T882" t="s">
        <v>4962</v>
      </c>
      <c r="U882" t="s">
        <v>1846</v>
      </c>
      <c r="V882" s="4" t="str">
        <f>"05672"</f>
        <v>05672</v>
      </c>
      <c r="W882" t="s">
        <v>120</v>
      </c>
      <c r="Y882" s="5">
        <v>18022538088</v>
      </c>
      <c r="AA882">
        <v>721110</v>
      </c>
      <c r="AB882" t="s">
        <v>2466</v>
      </c>
      <c r="AC882" t="s">
        <v>370</v>
      </c>
      <c r="AE882" t="s">
        <v>2467</v>
      </c>
      <c r="AF882" t="s">
        <v>15855</v>
      </c>
      <c r="AH882" t="s">
        <v>2469</v>
      </c>
      <c r="AI882" t="s">
        <v>281</v>
      </c>
      <c r="AJ882" s="4" t="str">
        <f>"01913"</f>
        <v>01913</v>
      </c>
      <c r="AK882" t="s">
        <v>120</v>
      </c>
      <c r="AM882" s="5">
        <v>15086936611</v>
      </c>
      <c r="AO882" t="s">
        <v>9855</v>
      </c>
      <c r="AP882" t="s">
        <v>122</v>
      </c>
      <c r="AQ882" t="s">
        <v>753</v>
      </c>
      <c r="AR882" t="s">
        <v>754</v>
      </c>
      <c r="AS882" t="s">
        <v>755</v>
      </c>
      <c r="AT882" t="s">
        <v>756</v>
      </c>
      <c r="AU882" t="s">
        <v>757</v>
      </c>
      <c r="AV882" t="s">
        <v>758</v>
      </c>
      <c r="AW882" t="s">
        <v>281</v>
      </c>
      <c r="AX882" s="4" t="str">
        <f>"01701"</f>
        <v>01701</v>
      </c>
      <c r="AY882" t="s">
        <v>120</v>
      </c>
      <c r="BA882" s="5">
        <v>16179399444</v>
      </c>
      <c r="BC882" t="s">
        <v>759</v>
      </c>
      <c r="BD882" t="s">
        <v>760</v>
      </c>
      <c r="BE882" t="s">
        <v>281</v>
      </c>
      <c r="BF882" t="s">
        <v>761</v>
      </c>
      <c r="BG882" t="s">
        <v>1846</v>
      </c>
      <c r="BH882" s="1">
        <v>44832.833333333336</v>
      </c>
      <c r="BI882">
        <v>40</v>
      </c>
      <c r="BJ882">
        <v>0</v>
      </c>
      <c r="BK882">
        <v>8</v>
      </c>
      <c r="BL882">
        <v>8</v>
      </c>
      <c r="BM882">
        <v>8</v>
      </c>
      <c r="BN882">
        <v>8</v>
      </c>
      <c r="BO882">
        <v>8</v>
      </c>
      <c r="BP882">
        <v>0</v>
      </c>
      <c r="BQ882" t="str">
        <f>"8:30 AM"</f>
        <v>8:30 AM</v>
      </c>
      <c r="BR882" t="str">
        <f>"4:30 PM"</f>
        <v>4:30 PM</v>
      </c>
      <c r="BS882" t="s">
        <v>133</v>
      </c>
      <c r="BT882">
        <v>0</v>
      </c>
      <c r="BU882">
        <v>3</v>
      </c>
      <c r="BV882" t="s">
        <v>134</v>
      </c>
      <c r="BX882" s="2" t="s">
        <v>15856</v>
      </c>
      <c r="BY882" t="s">
        <v>15854</v>
      </c>
      <c r="CA882" t="s">
        <v>4962</v>
      </c>
      <c r="CB882" t="s">
        <v>1846</v>
      </c>
      <c r="CC882" s="4" t="str">
        <f>"05672"</f>
        <v>05672</v>
      </c>
      <c r="CD882" t="s">
        <v>4966</v>
      </c>
      <c r="CE882" t="s">
        <v>3569</v>
      </c>
      <c r="CF882" s="6">
        <v>15.57</v>
      </c>
      <c r="CG882" s="6">
        <v>16.5</v>
      </c>
      <c r="CH882" s="6">
        <v>23.36</v>
      </c>
      <c r="CI882" s="6">
        <v>24.75</v>
      </c>
      <c r="CJ882" t="s">
        <v>137</v>
      </c>
      <c r="CK882" t="s">
        <v>15857</v>
      </c>
      <c r="CL882" t="s">
        <v>15858</v>
      </c>
      <c r="CO882" t="s">
        <v>138</v>
      </c>
      <c r="CP882" t="s">
        <v>134</v>
      </c>
      <c r="CQ882" t="s">
        <v>134</v>
      </c>
      <c r="CR882" t="s">
        <v>114</v>
      </c>
      <c r="CS882" t="s">
        <v>114</v>
      </c>
      <c r="CT882" t="s">
        <v>114</v>
      </c>
      <c r="CU882" t="s">
        <v>114</v>
      </c>
      <c r="CV882" t="s">
        <v>15859</v>
      </c>
      <c r="CW882" s="5" t="str">
        <f>"+16177947348"</f>
        <v>+16177947348</v>
      </c>
      <c r="CX882" t="s">
        <v>9855</v>
      </c>
      <c r="CY882" t="s">
        <v>138</v>
      </c>
      <c r="CZ882" t="s">
        <v>139</v>
      </c>
      <c r="DA882" t="s">
        <v>134</v>
      </c>
      <c r="DB882" t="s">
        <v>134</v>
      </c>
      <c r="DC882" t="s">
        <v>114</v>
      </c>
      <c r="DD882" t="s">
        <v>134</v>
      </c>
    </row>
    <row r="883" spans="1:113" ht="15" customHeight="1" x14ac:dyDescent="0.25">
      <c r="A883" t="s">
        <v>9746</v>
      </c>
      <c r="B883" t="s">
        <v>165</v>
      </c>
      <c r="C883" s="1">
        <v>44833.350680439813</v>
      </c>
      <c r="D883" s="1">
        <v>44858</v>
      </c>
      <c r="E883" t="s">
        <v>134</v>
      </c>
      <c r="F883" t="s">
        <v>2308</v>
      </c>
      <c r="G883" t="str">
        <f>"39-3091.00"</f>
        <v>39-3091.00</v>
      </c>
      <c r="H883" t="s">
        <v>362</v>
      </c>
      <c r="I883">
        <v>70</v>
      </c>
      <c r="J883">
        <v>70</v>
      </c>
      <c r="K883" s="1">
        <v>44923</v>
      </c>
      <c r="L883" s="1">
        <v>45224</v>
      </c>
      <c r="M883" s="1">
        <v>44923</v>
      </c>
      <c r="N883" s="1">
        <v>45224</v>
      </c>
      <c r="O883" t="s">
        <v>199</v>
      </c>
      <c r="P883" t="s">
        <v>9747</v>
      </c>
      <c r="R883" t="s">
        <v>9748</v>
      </c>
      <c r="T883" t="s">
        <v>5502</v>
      </c>
      <c r="U883" t="s">
        <v>748</v>
      </c>
      <c r="V883" s="4" t="str">
        <f>"19406"</f>
        <v>19406</v>
      </c>
      <c r="W883" t="s">
        <v>120</v>
      </c>
      <c r="Y883" s="5">
        <v>15169013014</v>
      </c>
      <c r="AA883">
        <v>71399</v>
      </c>
      <c r="AB883" t="s">
        <v>9749</v>
      </c>
      <c r="AC883" t="s">
        <v>9750</v>
      </c>
      <c r="AD883" t="s">
        <v>2296</v>
      </c>
      <c r="AE883" t="s">
        <v>342</v>
      </c>
      <c r="AF883" t="s">
        <v>9748</v>
      </c>
      <c r="AH883" t="s">
        <v>5502</v>
      </c>
      <c r="AI883" t="s">
        <v>748</v>
      </c>
      <c r="AJ883" s="4" t="str">
        <f>"19406"</f>
        <v>19406</v>
      </c>
      <c r="AK883" t="s">
        <v>120</v>
      </c>
      <c r="AM883" s="5">
        <v>15169013014</v>
      </c>
      <c r="AO883" t="s">
        <v>9751</v>
      </c>
      <c r="AP883" t="s">
        <v>256</v>
      </c>
      <c r="AQ883" t="s">
        <v>535</v>
      </c>
      <c r="AR883" t="s">
        <v>536</v>
      </c>
      <c r="AS883" t="s">
        <v>537</v>
      </c>
      <c r="AT883" t="s">
        <v>538</v>
      </c>
      <c r="AU883" t="s">
        <v>539</v>
      </c>
      <c r="AV883" t="s">
        <v>540</v>
      </c>
      <c r="AW883" t="s">
        <v>232</v>
      </c>
      <c r="AX883" s="4" t="str">
        <f>"78550"</f>
        <v>78550</v>
      </c>
      <c r="AY883" t="s">
        <v>120</v>
      </c>
      <c r="BA883" s="5">
        <v>19564408720</v>
      </c>
      <c r="BB883">
        <v>0</v>
      </c>
      <c r="BC883" t="s">
        <v>1022</v>
      </c>
      <c r="BD883" t="s">
        <v>543</v>
      </c>
      <c r="BG883" t="s">
        <v>748</v>
      </c>
      <c r="BH883" s="1">
        <v>44832.833333333336</v>
      </c>
      <c r="BI883">
        <v>40</v>
      </c>
      <c r="BJ883">
        <v>8</v>
      </c>
      <c r="BK883">
        <v>0</v>
      </c>
      <c r="BL883">
        <v>0</v>
      </c>
      <c r="BM883">
        <v>8</v>
      </c>
      <c r="BN883">
        <v>8</v>
      </c>
      <c r="BO883">
        <v>8</v>
      </c>
      <c r="BP883">
        <v>8</v>
      </c>
      <c r="BQ883" t="str">
        <f>"1:00 PM"</f>
        <v>1:00 PM</v>
      </c>
      <c r="BR883" t="str">
        <f>"10:00 PM"</f>
        <v>10:00 PM</v>
      </c>
      <c r="BS883" t="s">
        <v>133</v>
      </c>
      <c r="BT883">
        <v>0</v>
      </c>
      <c r="BU883">
        <v>0</v>
      </c>
      <c r="BV883" t="s">
        <v>134</v>
      </c>
      <c r="BX883" s="2" t="s">
        <v>579</v>
      </c>
      <c r="BY883" t="s">
        <v>9752</v>
      </c>
      <c r="CA883" t="s">
        <v>9753</v>
      </c>
      <c r="CB883" t="s">
        <v>748</v>
      </c>
      <c r="CC883" s="4" t="str">
        <f>"18372"</f>
        <v>18372</v>
      </c>
      <c r="CD883" t="s">
        <v>765</v>
      </c>
      <c r="CE883" t="s">
        <v>4279</v>
      </c>
      <c r="CF883" s="6">
        <v>9.75</v>
      </c>
      <c r="CG883" s="6">
        <v>15.23</v>
      </c>
      <c r="CJ883" t="s">
        <v>137</v>
      </c>
      <c r="CK883" t="s">
        <v>549</v>
      </c>
      <c r="CL883" t="s">
        <v>9754</v>
      </c>
      <c r="CO883" t="s">
        <v>138</v>
      </c>
      <c r="CP883" t="s">
        <v>114</v>
      </c>
      <c r="CQ883" t="s">
        <v>114</v>
      </c>
      <c r="CR883" t="s">
        <v>134</v>
      </c>
      <c r="CS883" t="s">
        <v>114</v>
      </c>
      <c r="CT883" t="s">
        <v>114</v>
      </c>
      <c r="CU883" t="s">
        <v>114</v>
      </c>
      <c r="CV883" t="s">
        <v>9755</v>
      </c>
      <c r="CW883" s="5" t="str">
        <f>"+15169013014"</f>
        <v>+15169013014</v>
      </c>
      <c r="CX883" t="s">
        <v>9751</v>
      </c>
      <c r="CY883" t="s">
        <v>138</v>
      </c>
      <c r="CZ883" t="s">
        <v>139</v>
      </c>
      <c r="DA883" t="s">
        <v>134</v>
      </c>
      <c r="DB883" t="s">
        <v>114</v>
      </c>
      <c r="DC883" t="s">
        <v>114</v>
      </c>
      <c r="DD883" t="s">
        <v>134</v>
      </c>
    </row>
    <row r="884" spans="1:113" ht="15" customHeight="1" x14ac:dyDescent="0.25">
      <c r="A884" t="s">
        <v>11281</v>
      </c>
      <c r="B884" t="s">
        <v>165</v>
      </c>
      <c r="C884" s="1">
        <v>44832.426840740744</v>
      </c>
      <c r="D884" s="1">
        <v>44858</v>
      </c>
      <c r="E884" t="s">
        <v>134</v>
      </c>
      <c r="F884" t="s">
        <v>416</v>
      </c>
      <c r="G884" t="str">
        <f>"37-2011.00"</f>
        <v>37-2011.00</v>
      </c>
      <c r="H884" t="s">
        <v>672</v>
      </c>
      <c r="I884">
        <v>65</v>
      </c>
      <c r="J884">
        <v>65</v>
      </c>
      <c r="K884" s="1">
        <v>44907</v>
      </c>
      <c r="L884" s="1">
        <v>45031</v>
      </c>
      <c r="M884" s="1">
        <v>44907</v>
      </c>
      <c r="N884" s="1">
        <v>45031</v>
      </c>
      <c r="O884" t="s">
        <v>199</v>
      </c>
      <c r="P884" t="s">
        <v>11282</v>
      </c>
      <c r="R884" t="s">
        <v>11283</v>
      </c>
      <c r="T884" t="s">
        <v>11284</v>
      </c>
      <c r="U884" t="s">
        <v>748</v>
      </c>
      <c r="V884" s="4" t="str">
        <f>"18947"</f>
        <v>18947</v>
      </c>
      <c r="W884" t="s">
        <v>120</v>
      </c>
      <c r="Y884" s="5">
        <v>12159906939</v>
      </c>
      <c r="AA884">
        <v>561730</v>
      </c>
      <c r="AB884" t="s">
        <v>11285</v>
      </c>
      <c r="AC884" t="s">
        <v>2132</v>
      </c>
      <c r="AE884" t="s">
        <v>342</v>
      </c>
      <c r="AF884" t="s">
        <v>11283</v>
      </c>
      <c r="AH884" t="s">
        <v>11284</v>
      </c>
      <c r="AI884" t="s">
        <v>748</v>
      </c>
      <c r="AJ884" s="4" t="str">
        <f>"18947"</f>
        <v>18947</v>
      </c>
      <c r="AK884" t="s">
        <v>120</v>
      </c>
      <c r="AM884" s="5">
        <v>12159906939</v>
      </c>
      <c r="AO884" t="s">
        <v>11286</v>
      </c>
      <c r="AP884" t="s">
        <v>256</v>
      </c>
      <c r="AQ884" t="s">
        <v>5801</v>
      </c>
      <c r="AR884" t="s">
        <v>519</v>
      </c>
      <c r="AS884" t="s">
        <v>520</v>
      </c>
      <c r="AT884" t="s">
        <v>11287</v>
      </c>
      <c r="AU884" t="s">
        <v>5799</v>
      </c>
      <c r="AV884" t="s">
        <v>5800</v>
      </c>
      <c r="AW884" t="s">
        <v>748</v>
      </c>
      <c r="AX884" s="4" t="str">
        <f>"19082"</f>
        <v>19082</v>
      </c>
      <c r="AY884" t="s">
        <v>120</v>
      </c>
      <c r="BA884" s="5">
        <v>16103528008</v>
      </c>
      <c r="BC884" t="s">
        <v>5802</v>
      </c>
      <c r="BD884" t="s">
        <v>11288</v>
      </c>
      <c r="BG884" t="s">
        <v>748</v>
      </c>
      <c r="BH884" s="1">
        <v>44831.833333333336</v>
      </c>
      <c r="BI884">
        <v>35</v>
      </c>
      <c r="BJ884">
        <v>0</v>
      </c>
      <c r="BK884">
        <v>7</v>
      </c>
      <c r="BL884">
        <v>7</v>
      </c>
      <c r="BM884">
        <v>7</v>
      </c>
      <c r="BN884">
        <v>7</v>
      </c>
      <c r="BO884">
        <v>7</v>
      </c>
      <c r="BP884">
        <v>0</v>
      </c>
      <c r="BQ884" t="str">
        <f>"7:00 AM"</f>
        <v>7:00 AM</v>
      </c>
      <c r="BR884" t="str">
        <f>"2:30 PM"</f>
        <v>2:30 PM</v>
      </c>
      <c r="BS884" t="s">
        <v>133</v>
      </c>
      <c r="BT884">
        <v>0</v>
      </c>
      <c r="BU884">
        <v>0</v>
      </c>
      <c r="BV884" t="s">
        <v>134</v>
      </c>
      <c r="BX884" s="2" t="s">
        <v>11289</v>
      </c>
      <c r="BY884" t="s">
        <v>11290</v>
      </c>
      <c r="CA884" t="s">
        <v>4103</v>
      </c>
      <c r="CB884" t="s">
        <v>748</v>
      </c>
      <c r="CC884" s="4" t="str">
        <f>"19143"</f>
        <v>19143</v>
      </c>
      <c r="CD884" t="s">
        <v>4355</v>
      </c>
      <c r="CE884" t="s">
        <v>1266</v>
      </c>
      <c r="CF884" s="6">
        <v>16.09</v>
      </c>
      <c r="CG884" s="6">
        <v>16.09</v>
      </c>
      <c r="CH884" s="6">
        <v>24.14</v>
      </c>
      <c r="CI884" s="6">
        <v>24.14</v>
      </c>
      <c r="CJ884" t="s">
        <v>137</v>
      </c>
      <c r="CK884" t="s">
        <v>5803</v>
      </c>
      <c r="CL884" t="s">
        <v>11291</v>
      </c>
      <c r="CO884" t="s">
        <v>138</v>
      </c>
      <c r="CP884" t="s">
        <v>114</v>
      </c>
      <c r="CQ884" t="s">
        <v>114</v>
      </c>
      <c r="CR884" t="s">
        <v>114</v>
      </c>
      <c r="CS884" t="s">
        <v>134</v>
      </c>
      <c r="CT884" t="s">
        <v>114</v>
      </c>
      <c r="CU884" t="s">
        <v>134</v>
      </c>
      <c r="CV884" t="s">
        <v>11292</v>
      </c>
      <c r="CW884" s="5" t="str">
        <f>"+12159906939"</f>
        <v>+12159906939</v>
      </c>
      <c r="CX884" t="s">
        <v>11286</v>
      </c>
      <c r="CY884" t="s">
        <v>11293</v>
      </c>
      <c r="CZ884" t="s">
        <v>139</v>
      </c>
      <c r="DA884" t="s">
        <v>134</v>
      </c>
      <c r="DB884" t="s">
        <v>134</v>
      </c>
      <c r="DC884" t="s">
        <v>114</v>
      </c>
      <c r="DD884" t="s">
        <v>134</v>
      </c>
    </row>
    <row r="885" spans="1:113" ht="15" customHeight="1" x14ac:dyDescent="0.25">
      <c r="A885" t="s">
        <v>3319</v>
      </c>
      <c r="B885" t="s">
        <v>165</v>
      </c>
      <c r="C885" s="1">
        <v>44831.666198842591</v>
      </c>
      <c r="D885" s="1">
        <v>44858</v>
      </c>
      <c r="E885" t="s">
        <v>134</v>
      </c>
      <c r="F885" t="s">
        <v>3320</v>
      </c>
      <c r="G885" t="str">
        <f>"45-4011.00"</f>
        <v>45-4011.00</v>
      </c>
      <c r="H885" t="s">
        <v>1107</v>
      </c>
      <c r="I885">
        <v>48</v>
      </c>
      <c r="J885">
        <v>48</v>
      </c>
      <c r="K885" s="1">
        <v>44920</v>
      </c>
      <c r="L885" s="1">
        <v>45223</v>
      </c>
      <c r="M885" s="1">
        <v>44920</v>
      </c>
      <c r="N885" s="1">
        <v>45223</v>
      </c>
      <c r="O885" t="s">
        <v>117</v>
      </c>
      <c r="P885" t="s">
        <v>3321</v>
      </c>
      <c r="R885" t="s">
        <v>3322</v>
      </c>
      <c r="T885" t="s">
        <v>2119</v>
      </c>
      <c r="U885" t="s">
        <v>511</v>
      </c>
      <c r="V885" s="4" t="str">
        <f>"97502"</f>
        <v>97502</v>
      </c>
      <c r="W885" t="s">
        <v>120</v>
      </c>
      <c r="Y885" s="5">
        <v>15419441381</v>
      </c>
      <c r="AA885">
        <v>11531</v>
      </c>
      <c r="AB885" t="s">
        <v>1989</v>
      </c>
      <c r="AC885" t="s">
        <v>3323</v>
      </c>
      <c r="AD885" t="s">
        <v>138</v>
      </c>
      <c r="AE885" t="s">
        <v>342</v>
      </c>
      <c r="AF885" t="s">
        <v>3322</v>
      </c>
      <c r="AH885" t="s">
        <v>2119</v>
      </c>
      <c r="AI885" t="s">
        <v>511</v>
      </c>
      <c r="AJ885" s="4" t="str">
        <f>"97502"</f>
        <v>97502</v>
      </c>
      <c r="AK885" t="s">
        <v>120</v>
      </c>
      <c r="AM885" s="5">
        <v>15419441381</v>
      </c>
      <c r="AO885" t="s">
        <v>138</v>
      </c>
      <c r="AP885" t="s">
        <v>256</v>
      </c>
      <c r="AQ885" t="s">
        <v>826</v>
      </c>
      <c r="AR885" t="s">
        <v>827</v>
      </c>
      <c r="AS885" t="s">
        <v>138</v>
      </c>
      <c r="AT885" t="s">
        <v>346</v>
      </c>
      <c r="AU885" t="s">
        <v>347</v>
      </c>
      <c r="AV885" t="s">
        <v>828</v>
      </c>
      <c r="AW885" t="s">
        <v>349</v>
      </c>
      <c r="AX885" s="4" t="str">
        <f>"83814"</f>
        <v>83814</v>
      </c>
      <c r="AY885" t="s">
        <v>120</v>
      </c>
      <c r="BA885" s="5">
        <v>12087772654</v>
      </c>
      <c r="BC885" t="s">
        <v>829</v>
      </c>
      <c r="BD885" t="s">
        <v>351</v>
      </c>
      <c r="BG885" t="s">
        <v>511</v>
      </c>
      <c r="BH885" s="1">
        <v>44830.833333333336</v>
      </c>
      <c r="BI885">
        <v>40</v>
      </c>
      <c r="BJ885">
        <v>0</v>
      </c>
      <c r="BK885">
        <v>8</v>
      </c>
      <c r="BL885">
        <v>8</v>
      </c>
      <c r="BM885">
        <v>8</v>
      </c>
      <c r="BN885">
        <v>8</v>
      </c>
      <c r="BO885">
        <v>8</v>
      </c>
      <c r="BP885">
        <v>0</v>
      </c>
      <c r="BQ885" t="str">
        <f>"6:00 AM"</f>
        <v>6:00 AM</v>
      </c>
      <c r="BR885" t="str">
        <f>"2:00 PM"</f>
        <v>2:00 PM</v>
      </c>
      <c r="BS885" t="s">
        <v>133</v>
      </c>
      <c r="BT885">
        <v>0</v>
      </c>
      <c r="BU885">
        <v>3</v>
      </c>
      <c r="BV885" t="s">
        <v>134</v>
      </c>
      <c r="BX885" s="2" t="s">
        <v>3324</v>
      </c>
      <c r="BY885" t="s">
        <v>3325</v>
      </c>
      <c r="CA885" t="s">
        <v>2119</v>
      </c>
      <c r="CB885" t="s">
        <v>511</v>
      </c>
      <c r="CC885" s="4" t="str">
        <f>"97502"</f>
        <v>97502</v>
      </c>
      <c r="CD885" t="s">
        <v>1116</v>
      </c>
      <c r="CE885" t="s">
        <v>1117</v>
      </c>
      <c r="CF885" s="6">
        <v>14.21</v>
      </c>
      <c r="CG885" s="6">
        <v>35</v>
      </c>
      <c r="CH885" s="6">
        <v>21.32</v>
      </c>
      <c r="CI885" s="6">
        <v>52.5</v>
      </c>
      <c r="CJ885" t="s">
        <v>137</v>
      </c>
      <c r="CK885" t="s">
        <v>1118</v>
      </c>
      <c r="CL885" t="s">
        <v>3326</v>
      </c>
      <c r="CM885" t="s">
        <v>3327</v>
      </c>
      <c r="CO885" t="s">
        <v>138</v>
      </c>
      <c r="CP885" t="s">
        <v>114</v>
      </c>
      <c r="CQ885" t="s">
        <v>114</v>
      </c>
      <c r="CR885" t="s">
        <v>114</v>
      </c>
      <c r="CS885" t="s">
        <v>134</v>
      </c>
      <c r="CT885" t="s">
        <v>114</v>
      </c>
      <c r="CU885" t="s">
        <v>114</v>
      </c>
      <c r="CV885" t="s">
        <v>358</v>
      </c>
      <c r="CW885" s="5" t="str">
        <f>"+15419441381"</f>
        <v>+15419441381</v>
      </c>
      <c r="CX885" t="s">
        <v>3328</v>
      </c>
      <c r="CY885" t="s">
        <v>138</v>
      </c>
      <c r="CZ885" t="s">
        <v>139</v>
      </c>
      <c r="DA885" t="s">
        <v>134</v>
      </c>
      <c r="DB885" t="s">
        <v>114</v>
      </c>
      <c r="DC885" t="s">
        <v>114</v>
      </c>
      <c r="DD885" t="s">
        <v>134</v>
      </c>
    </row>
    <row r="886" spans="1:113" ht="15" customHeight="1" x14ac:dyDescent="0.25">
      <c r="A886" t="s">
        <v>9695</v>
      </c>
      <c r="B886" t="s">
        <v>165</v>
      </c>
      <c r="C886" s="1">
        <v>44825.491990856484</v>
      </c>
      <c r="D886" s="1">
        <v>44858</v>
      </c>
      <c r="E886" t="s">
        <v>134</v>
      </c>
      <c r="F886" t="s">
        <v>416</v>
      </c>
      <c r="G886" t="str">
        <f>"37-3011.00"</f>
        <v>37-3011.00</v>
      </c>
      <c r="H886" t="s">
        <v>335</v>
      </c>
      <c r="I886">
        <v>5</v>
      </c>
      <c r="J886">
        <v>5</v>
      </c>
      <c r="K886" s="1">
        <v>44900</v>
      </c>
      <c r="L886" s="1">
        <v>45016</v>
      </c>
      <c r="M886" s="1">
        <v>44900</v>
      </c>
      <c r="N886" s="1">
        <v>45016</v>
      </c>
      <c r="O886" t="s">
        <v>199</v>
      </c>
      <c r="P886" t="s">
        <v>9696</v>
      </c>
      <c r="R886" t="s">
        <v>9697</v>
      </c>
      <c r="T886" t="s">
        <v>6936</v>
      </c>
      <c r="U886" t="s">
        <v>420</v>
      </c>
      <c r="V886" s="4" t="str">
        <f>"84081"</f>
        <v>84081</v>
      </c>
      <c r="W886" t="s">
        <v>120</v>
      </c>
      <c r="Y886" s="5">
        <v>18012601669</v>
      </c>
      <c r="AA886">
        <v>56173</v>
      </c>
      <c r="AB886" t="s">
        <v>9698</v>
      </c>
      <c r="AC886" t="s">
        <v>9699</v>
      </c>
      <c r="AE886" t="s">
        <v>342</v>
      </c>
      <c r="AF886" t="s">
        <v>9700</v>
      </c>
      <c r="AH886" t="s">
        <v>6936</v>
      </c>
      <c r="AI886" t="s">
        <v>420</v>
      </c>
      <c r="AJ886" s="4" t="str">
        <f>"84081"</f>
        <v>84081</v>
      </c>
      <c r="AK886" t="s">
        <v>120</v>
      </c>
      <c r="AM886" s="5">
        <v>18012601669</v>
      </c>
      <c r="AO886" t="s">
        <v>9701</v>
      </c>
      <c r="AP886" t="s">
        <v>256</v>
      </c>
      <c r="AQ886" t="s">
        <v>426</v>
      </c>
      <c r="AR886" t="s">
        <v>427</v>
      </c>
      <c r="AT886" t="s">
        <v>428</v>
      </c>
      <c r="AV886" t="s">
        <v>4583</v>
      </c>
      <c r="AW886" t="s">
        <v>420</v>
      </c>
      <c r="AX886" s="4" t="str">
        <f>"84059"</f>
        <v>84059</v>
      </c>
      <c r="AY886" t="s">
        <v>120</v>
      </c>
      <c r="BA886" s="5">
        <v>18013677097</v>
      </c>
      <c r="BC886" t="s">
        <v>430</v>
      </c>
      <c r="BD886" t="s">
        <v>431</v>
      </c>
      <c r="BG886" t="s">
        <v>420</v>
      </c>
      <c r="BH886" s="1">
        <v>44824.833333333336</v>
      </c>
      <c r="BI886">
        <v>35</v>
      </c>
      <c r="BJ886">
        <v>0</v>
      </c>
      <c r="BK886">
        <v>7</v>
      </c>
      <c r="BL886">
        <v>7</v>
      </c>
      <c r="BM886">
        <v>7</v>
      </c>
      <c r="BN886">
        <v>7</v>
      </c>
      <c r="BO886">
        <v>7</v>
      </c>
      <c r="BP886">
        <v>0</v>
      </c>
      <c r="BQ886" t="str">
        <f>"8:00 AM"</f>
        <v>8:00 AM</v>
      </c>
      <c r="BR886" t="str">
        <f>"3:30 PM"</f>
        <v>3:30 PM</v>
      </c>
      <c r="BS886" t="s">
        <v>133</v>
      </c>
      <c r="BT886">
        <v>0</v>
      </c>
      <c r="BU886">
        <v>0</v>
      </c>
      <c r="BV886" t="s">
        <v>134</v>
      </c>
      <c r="BX886" s="2" t="s">
        <v>7495</v>
      </c>
      <c r="BY886" t="s">
        <v>9697</v>
      </c>
      <c r="CA886" t="s">
        <v>6936</v>
      </c>
      <c r="CB886" t="s">
        <v>420</v>
      </c>
      <c r="CC886" s="4" t="str">
        <f>"84081"</f>
        <v>84081</v>
      </c>
      <c r="CD886" t="s">
        <v>688</v>
      </c>
      <c r="CE886" t="s">
        <v>689</v>
      </c>
      <c r="CF886" s="6">
        <v>17.21</v>
      </c>
      <c r="CH886" s="6">
        <v>25.82</v>
      </c>
      <c r="CJ886" t="s">
        <v>137</v>
      </c>
      <c r="CK886" t="s">
        <v>9702</v>
      </c>
      <c r="CL886" t="s">
        <v>9703</v>
      </c>
      <c r="CO886" t="s">
        <v>138</v>
      </c>
      <c r="CP886" t="s">
        <v>114</v>
      </c>
      <c r="CQ886" t="s">
        <v>114</v>
      </c>
      <c r="CR886" t="s">
        <v>114</v>
      </c>
      <c r="CS886" t="s">
        <v>134</v>
      </c>
      <c r="CT886" t="s">
        <v>114</v>
      </c>
      <c r="CU886" t="s">
        <v>134</v>
      </c>
      <c r="CV886" t="s">
        <v>6063</v>
      </c>
      <c r="CW886" s="5" t="str">
        <f>"+18012601669"</f>
        <v>+18012601669</v>
      </c>
      <c r="CX886" t="s">
        <v>9701</v>
      </c>
      <c r="CY886" t="s">
        <v>138</v>
      </c>
      <c r="CZ886" t="s">
        <v>139</v>
      </c>
      <c r="DA886" t="s">
        <v>134</v>
      </c>
      <c r="DB886" t="s">
        <v>134</v>
      </c>
      <c r="DC886" t="s">
        <v>114</v>
      </c>
      <c r="DD886" t="s">
        <v>134</v>
      </c>
    </row>
    <row r="887" spans="1:113" ht="15" customHeight="1" x14ac:dyDescent="0.25">
      <c r="A887" t="s">
        <v>11503</v>
      </c>
      <c r="B887" t="s">
        <v>165</v>
      </c>
      <c r="C887" s="1">
        <v>44825.482910763887</v>
      </c>
      <c r="D887" s="1">
        <v>44858</v>
      </c>
      <c r="E887" t="s">
        <v>134</v>
      </c>
      <c r="F887" t="s">
        <v>1106</v>
      </c>
      <c r="G887" t="str">
        <f>"45-4011.00"</f>
        <v>45-4011.00</v>
      </c>
      <c r="H887" t="s">
        <v>1107</v>
      </c>
      <c r="I887">
        <v>18</v>
      </c>
      <c r="J887">
        <v>18</v>
      </c>
      <c r="K887" s="1">
        <v>44910</v>
      </c>
      <c r="L887" s="1">
        <v>45183</v>
      </c>
      <c r="M887" s="1">
        <v>44910</v>
      </c>
      <c r="N887" s="1">
        <v>45183</v>
      </c>
      <c r="O887" t="s">
        <v>199</v>
      </c>
      <c r="P887" t="s">
        <v>11504</v>
      </c>
      <c r="R887" t="s">
        <v>11505</v>
      </c>
      <c r="T887" t="s">
        <v>291</v>
      </c>
      <c r="U887" t="s">
        <v>511</v>
      </c>
      <c r="V887" s="4" t="str">
        <f>"97477"</f>
        <v>97477</v>
      </c>
      <c r="W887" t="s">
        <v>120</v>
      </c>
      <c r="Y887" s="5">
        <v>15415205941</v>
      </c>
      <c r="AA887">
        <v>11531</v>
      </c>
      <c r="AB887" t="s">
        <v>11506</v>
      </c>
      <c r="AC887" t="s">
        <v>11507</v>
      </c>
      <c r="AE887" t="s">
        <v>342</v>
      </c>
      <c r="AF887" t="s">
        <v>11505</v>
      </c>
      <c r="AH887" t="s">
        <v>291</v>
      </c>
      <c r="AI887" t="s">
        <v>511</v>
      </c>
      <c r="AJ887" s="4" t="str">
        <f>"97477"</f>
        <v>97477</v>
      </c>
      <c r="AK887" t="s">
        <v>120</v>
      </c>
      <c r="AM887" s="5">
        <v>15415205941</v>
      </c>
      <c r="AO887" t="s">
        <v>11508</v>
      </c>
      <c r="AP887" t="s">
        <v>122</v>
      </c>
      <c r="AQ887" t="s">
        <v>3619</v>
      </c>
      <c r="AR887" t="s">
        <v>2944</v>
      </c>
      <c r="AT887" t="s">
        <v>3620</v>
      </c>
      <c r="AV887" t="s">
        <v>3621</v>
      </c>
      <c r="AW887" t="s">
        <v>511</v>
      </c>
      <c r="AX887" s="4" t="str">
        <f>"97401"</f>
        <v>97401</v>
      </c>
      <c r="AY887" t="s">
        <v>120</v>
      </c>
      <c r="BA887" s="5">
        <v>15414841811</v>
      </c>
      <c r="BC887" t="s">
        <v>3622</v>
      </c>
      <c r="BD887" t="s">
        <v>3623</v>
      </c>
      <c r="BE887" t="s">
        <v>511</v>
      </c>
      <c r="BF887" t="s">
        <v>3624</v>
      </c>
      <c r="BG887" t="s">
        <v>511</v>
      </c>
      <c r="BH887" s="1">
        <v>44824.833333333336</v>
      </c>
      <c r="BI887">
        <v>40</v>
      </c>
      <c r="BJ887">
        <v>0</v>
      </c>
      <c r="BK887">
        <v>8</v>
      </c>
      <c r="BL887">
        <v>8</v>
      </c>
      <c r="BM887">
        <v>8</v>
      </c>
      <c r="BN887">
        <v>8</v>
      </c>
      <c r="BO887">
        <v>8</v>
      </c>
      <c r="BP887">
        <v>0</v>
      </c>
      <c r="BQ887" t="str">
        <f>"7:00 AM"</f>
        <v>7:00 AM</v>
      </c>
      <c r="BR887" t="str">
        <f>"3:30 PM"</f>
        <v>3:30 PM</v>
      </c>
      <c r="BS887" t="s">
        <v>133</v>
      </c>
      <c r="BT887">
        <v>0</v>
      </c>
      <c r="BU887">
        <v>3</v>
      </c>
      <c r="BV887" t="s">
        <v>134</v>
      </c>
      <c r="BX887" t="s">
        <v>11509</v>
      </c>
      <c r="BY887" t="s">
        <v>11505</v>
      </c>
      <c r="CA887" t="s">
        <v>291</v>
      </c>
      <c r="CB887" t="s">
        <v>511</v>
      </c>
      <c r="CC887" s="4" t="str">
        <f>"97477"</f>
        <v>97477</v>
      </c>
      <c r="CD887" t="s">
        <v>11510</v>
      </c>
      <c r="CE887" t="s">
        <v>11511</v>
      </c>
      <c r="CF887" s="6">
        <v>17.97</v>
      </c>
      <c r="CG887" s="6">
        <v>19.59</v>
      </c>
      <c r="CH887" s="6">
        <v>26.96</v>
      </c>
      <c r="CI887" s="6">
        <v>29.39</v>
      </c>
      <c r="CJ887" t="s">
        <v>137</v>
      </c>
      <c r="CL887" t="s">
        <v>11512</v>
      </c>
      <c r="CO887" t="s">
        <v>138</v>
      </c>
      <c r="CP887" t="s">
        <v>114</v>
      </c>
      <c r="CQ887" t="s">
        <v>114</v>
      </c>
      <c r="CR887" t="s">
        <v>114</v>
      </c>
      <c r="CS887" t="s">
        <v>134</v>
      </c>
      <c r="CT887" t="s">
        <v>114</v>
      </c>
      <c r="CU887" t="s">
        <v>114</v>
      </c>
      <c r="CV887" t="s">
        <v>11513</v>
      </c>
      <c r="CW887" s="5" t="str">
        <f>"+15416867601"</f>
        <v>+15416867601</v>
      </c>
      <c r="CX887" t="s">
        <v>11508</v>
      </c>
      <c r="CY887" t="s">
        <v>138</v>
      </c>
      <c r="CZ887" t="s">
        <v>139</v>
      </c>
      <c r="DA887" t="s">
        <v>134</v>
      </c>
      <c r="DB887" t="s">
        <v>134</v>
      </c>
      <c r="DC887" t="s">
        <v>114</v>
      </c>
      <c r="DD887" t="s">
        <v>134</v>
      </c>
    </row>
    <row r="888" spans="1:113" ht="15" customHeight="1" x14ac:dyDescent="0.25">
      <c r="A888" t="s">
        <v>12124</v>
      </c>
      <c r="B888" t="s">
        <v>165</v>
      </c>
      <c r="C888" s="1">
        <v>44820.781170138885</v>
      </c>
      <c r="D888" s="1">
        <v>44858</v>
      </c>
      <c r="E888" t="s">
        <v>134</v>
      </c>
      <c r="F888" t="s">
        <v>2900</v>
      </c>
      <c r="G888" t="str">
        <f>"37-2012.00"</f>
        <v>37-2012.00</v>
      </c>
      <c r="H888" t="s">
        <v>116</v>
      </c>
      <c r="I888">
        <v>10</v>
      </c>
      <c r="J888">
        <v>10</v>
      </c>
      <c r="K888" s="1">
        <v>44904</v>
      </c>
      <c r="L888" s="1">
        <v>45177</v>
      </c>
      <c r="M888" s="1">
        <v>44904</v>
      </c>
      <c r="N888" s="1">
        <v>45177</v>
      </c>
      <c r="O888" t="s">
        <v>117</v>
      </c>
      <c r="P888" t="s">
        <v>2901</v>
      </c>
      <c r="R888" t="s">
        <v>2902</v>
      </c>
      <c r="T888" t="s">
        <v>2903</v>
      </c>
      <c r="U888" t="s">
        <v>657</v>
      </c>
      <c r="V888" s="4" t="str">
        <f>"38555"</f>
        <v>38555</v>
      </c>
      <c r="W888" t="s">
        <v>120</v>
      </c>
      <c r="Y888" s="5">
        <v>18004891718</v>
      </c>
      <c r="AA888">
        <v>56172</v>
      </c>
      <c r="AB888" t="s">
        <v>2645</v>
      </c>
      <c r="AC888" t="s">
        <v>2646</v>
      </c>
      <c r="AD888" t="s">
        <v>259</v>
      </c>
      <c r="AE888" t="s">
        <v>2904</v>
      </c>
      <c r="AF888" t="s">
        <v>2902</v>
      </c>
      <c r="AH888" t="s">
        <v>2903</v>
      </c>
      <c r="AI888" t="s">
        <v>657</v>
      </c>
      <c r="AJ888" s="4" t="str">
        <f>"38555"</f>
        <v>38555</v>
      </c>
      <c r="AK888" t="s">
        <v>120</v>
      </c>
      <c r="AM888" s="5">
        <v>14077231146</v>
      </c>
      <c r="AO888" t="s">
        <v>6360</v>
      </c>
      <c r="AX888" s="4" t="str">
        <f>""</f>
        <v/>
      </c>
      <c r="BG888" t="s">
        <v>154</v>
      </c>
      <c r="BH888" s="1">
        <v>44819.833333333336</v>
      </c>
      <c r="BI888">
        <v>35</v>
      </c>
      <c r="BJ888">
        <v>0</v>
      </c>
      <c r="BK888">
        <v>0</v>
      </c>
      <c r="BL888">
        <v>7</v>
      </c>
      <c r="BM888">
        <v>7</v>
      </c>
      <c r="BN888">
        <v>7</v>
      </c>
      <c r="BO888">
        <v>7</v>
      </c>
      <c r="BP888">
        <v>7</v>
      </c>
      <c r="BQ888" t="str">
        <f>"9:00 AM"</f>
        <v>9:00 AM</v>
      </c>
      <c r="BR888" t="str">
        <f>"4:00 PM"</f>
        <v>4:00 PM</v>
      </c>
      <c r="BS888" t="s">
        <v>133</v>
      </c>
      <c r="BT888">
        <v>0</v>
      </c>
      <c r="BU888">
        <v>3</v>
      </c>
      <c r="BV888" t="s">
        <v>134</v>
      </c>
      <c r="BX888" s="2" t="s">
        <v>2905</v>
      </c>
      <c r="BY888" t="s">
        <v>12125</v>
      </c>
      <c r="CA888" t="s">
        <v>12126</v>
      </c>
      <c r="CB888" t="s">
        <v>154</v>
      </c>
      <c r="CC888" s="4" t="str">
        <f>"32092"</f>
        <v>32092</v>
      </c>
      <c r="CD888" t="s">
        <v>12127</v>
      </c>
      <c r="CE888" t="s">
        <v>2683</v>
      </c>
      <c r="CF888" s="6">
        <v>12.58</v>
      </c>
      <c r="CH888" s="6">
        <v>18.87</v>
      </c>
      <c r="CJ888" t="s">
        <v>2907</v>
      </c>
      <c r="CK888" t="s">
        <v>7537</v>
      </c>
      <c r="CL888" t="s">
        <v>12128</v>
      </c>
      <c r="CO888" t="s">
        <v>138</v>
      </c>
      <c r="CP888" t="s">
        <v>134</v>
      </c>
      <c r="CQ888" t="s">
        <v>114</v>
      </c>
      <c r="CR888" t="s">
        <v>114</v>
      </c>
      <c r="CS888" t="s">
        <v>114</v>
      </c>
      <c r="CT888" t="s">
        <v>114</v>
      </c>
      <c r="CU888" t="s">
        <v>114</v>
      </c>
      <c r="CV888" t="s">
        <v>2908</v>
      </c>
      <c r="CW888" s="5" t="str">
        <f>"+14077231157"</f>
        <v>+14077231157</v>
      </c>
      <c r="CX888" t="s">
        <v>2909</v>
      </c>
      <c r="CY888" t="s">
        <v>138</v>
      </c>
      <c r="CZ888" t="s">
        <v>139</v>
      </c>
      <c r="DA888" t="s">
        <v>134</v>
      </c>
      <c r="DB888" t="s">
        <v>134</v>
      </c>
      <c r="DC888" t="s">
        <v>114</v>
      </c>
      <c r="DD888" t="s">
        <v>134</v>
      </c>
    </row>
    <row r="889" spans="1:113" ht="15" customHeight="1" x14ac:dyDescent="0.25">
      <c r="A889" t="s">
        <v>16382</v>
      </c>
      <c r="B889" t="s">
        <v>165</v>
      </c>
      <c r="C889" s="1">
        <v>44820.748736574074</v>
      </c>
      <c r="D889" s="1">
        <v>44858</v>
      </c>
      <c r="E889" t="s">
        <v>134</v>
      </c>
      <c r="F889" t="s">
        <v>2900</v>
      </c>
      <c r="G889" t="str">
        <f>"37-2012.00"</f>
        <v>37-2012.00</v>
      </c>
      <c r="H889" t="s">
        <v>116</v>
      </c>
      <c r="I889">
        <v>16</v>
      </c>
      <c r="J889">
        <v>16</v>
      </c>
      <c r="K889" s="1">
        <v>44904</v>
      </c>
      <c r="L889" s="1">
        <v>45177</v>
      </c>
      <c r="M889" s="1">
        <v>44904</v>
      </c>
      <c r="N889" s="1">
        <v>45177</v>
      </c>
      <c r="O889" t="s">
        <v>117</v>
      </c>
      <c r="P889" t="s">
        <v>2901</v>
      </c>
      <c r="R889" t="s">
        <v>2902</v>
      </c>
      <c r="T889" t="s">
        <v>2903</v>
      </c>
      <c r="U889" t="s">
        <v>657</v>
      </c>
      <c r="V889" s="4" t="str">
        <f>"38555"</f>
        <v>38555</v>
      </c>
      <c r="W889" t="s">
        <v>120</v>
      </c>
      <c r="Y889" s="5">
        <v>18004891718</v>
      </c>
      <c r="AA889">
        <v>56172</v>
      </c>
      <c r="AB889" t="s">
        <v>2645</v>
      </c>
      <c r="AC889" t="s">
        <v>2646</v>
      </c>
      <c r="AD889" t="s">
        <v>259</v>
      </c>
      <c r="AE889" t="s">
        <v>2904</v>
      </c>
      <c r="AF889" t="s">
        <v>2902</v>
      </c>
      <c r="AH889" t="s">
        <v>2903</v>
      </c>
      <c r="AI889" t="s">
        <v>657</v>
      </c>
      <c r="AJ889" s="4" t="str">
        <f>"38555"</f>
        <v>38555</v>
      </c>
      <c r="AK889" t="s">
        <v>120</v>
      </c>
      <c r="AM889" s="5">
        <v>14077231146</v>
      </c>
      <c r="AO889" t="s">
        <v>6360</v>
      </c>
      <c r="AX889" s="4" t="str">
        <f>""</f>
        <v/>
      </c>
      <c r="BG889" t="s">
        <v>154</v>
      </c>
      <c r="BH889" s="1">
        <v>44819.833333333336</v>
      </c>
      <c r="BI889">
        <v>35</v>
      </c>
      <c r="BJ889">
        <v>0</v>
      </c>
      <c r="BK889">
        <v>0</v>
      </c>
      <c r="BL889">
        <v>7</v>
      </c>
      <c r="BM889">
        <v>7</v>
      </c>
      <c r="BN889">
        <v>7</v>
      </c>
      <c r="BO889">
        <v>7</v>
      </c>
      <c r="BP889">
        <v>7</v>
      </c>
      <c r="BQ889" t="str">
        <f>"9:00 AM"</f>
        <v>9:00 AM</v>
      </c>
      <c r="BR889" t="str">
        <f>"4:00 PM"</f>
        <v>4:00 PM</v>
      </c>
      <c r="BS889" t="s">
        <v>133</v>
      </c>
      <c r="BT889">
        <v>0</v>
      </c>
      <c r="BU889">
        <v>3</v>
      </c>
      <c r="BV889" t="s">
        <v>134</v>
      </c>
      <c r="BX889" s="2" t="s">
        <v>2905</v>
      </c>
      <c r="BY889" t="s">
        <v>16383</v>
      </c>
      <c r="CA889" t="s">
        <v>2171</v>
      </c>
      <c r="CB889" t="s">
        <v>154</v>
      </c>
      <c r="CC889" s="4" t="str">
        <f>"32413"</f>
        <v>32413</v>
      </c>
      <c r="CD889" t="s">
        <v>2172</v>
      </c>
      <c r="CE889" t="s">
        <v>2173</v>
      </c>
      <c r="CF889" s="6">
        <v>12.59</v>
      </c>
      <c r="CH889" s="6">
        <v>18.89</v>
      </c>
      <c r="CJ889" t="s">
        <v>2907</v>
      </c>
      <c r="CK889" t="s">
        <v>7537</v>
      </c>
      <c r="CL889" t="s">
        <v>16384</v>
      </c>
      <c r="CO889" t="s">
        <v>138</v>
      </c>
      <c r="CP889" t="s">
        <v>134</v>
      </c>
      <c r="CQ889" t="s">
        <v>114</v>
      </c>
      <c r="CR889" t="s">
        <v>114</v>
      </c>
      <c r="CS889" t="s">
        <v>114</v>
      </c>
      <c r="CT889" t="s">
        <v>114</v>
      </c>
      <c r="CU889" t="s">
        <v>114</v>
      </c>
      <c r="CV889" t="s">
        <v>2908</v>
      </c>
      <c r="CW889" s="5" t="str">
        <f>"+14077231157"</f>
        <v>+14077231157</v>
      </c>
      <c r="CX889" t="s">
        <v>2909</v>
      </c>
      <c r="CY889" t="s">
        <v>138</v>
      </c>
      <c r="CZ889" t="s">
        <v>139</v>
      </c>
      <c r="DA889" t="s">
        <v>134</v>
      </c>
      <c r="DB889" t="s">
        <v>134</v>
      </c>
      <c r="DC889" t="s">
        <v>114</v>
      </c>
      <c r="DD889" t="s">
        <v>134</v>
      </c>
    </row>
    <row r="890" spans="1:113" ht="15" customHeight="1" x14ac:dyDescent="0.25">
      <c r="A890" t="s">
        <v>7535</v>
      </c>
      <c r="B890" t="s">
        <v>165</v>
      </c>
      <c r="C890" s="1">
        <v>44820.721540509257</v>
      </c>
      <c r="D890" s="1">
        <v>44858</v>
      </c>
      <c r="E890" t="s">
        <v>134</v>
      </c>
      <c r="F890" t="s">
        <v>2900</v>
      </c>
      <c r="G890" t="str">
        <f>"37-2012.00"</f>
        <v>37-2012.00</v>
      </c>
      <c r="H890" t="s">
        <v>116</v>
      </c>
      <c r="I890">
        <v>10</v>
      </c>
      <c r="J890">
        <v>10</v>
      </c>
      <c r="K890" s="1">
        <v>44904</v>
      </c>
      <c r="L890" s="1">
        <v>45177</v>
      </c>
      <c r="M890" s="1">
        <v>44904</v>
      </c>
      <c r="N890" s="1">
        <v>45177</v>
      </c>
      <c r="O890" t="s">
        <v>117</v>
      </c>
      <c r="P890" t="s">
        <v>2901</v>
      </c>
      <c r="R890" t="s">
        <v>2902</v>
      </c>
      <c r="T890" t="s">
        <v>2903</v>
      </c>
      <c r="U890" t="s">
        <v>657</v>
      </c>
      <c r="V890" s="4" t="str">
        <f>"38555"</f>
        <v>38555</v>
      </c>
      <c r="W890" t="s">
        <v>120</v>
      </c>
      <c r="Y890" s="5">
        <v>18004891718</v>
      </c>
      <c r="AA890">
        <v>561720</v>
      </c>
      <c r="AB890" t="s">
        <v>2645</v>
      </c>
      <c r="AC890" t="s">
        <v>2646</v>
      </c>
      <c r="AD890" t="s">
        <v>259</v>
      </c>
      <c r="AE890" t="s">
        <v>2904</v>
      </c>
      <c r="AF890" t="s">
        <v>2902</v>
      </c>
      <c r="AH890" t="s">
        <v>2903</v>
      </c>
      <c r="AI890" t="s">
        <v>657</v>
      </c>
      <c r="AJ890" s="4" t="str">
        <f>"38555"</f>
        <v>38555</v>
      </c>
      <c r="AK890" t="s">
        <v>120</v>
      </c>
      <c r="AM890" s="5">
        <v>14077231146</v>
      </c>
      <c r="AO890" t="s">
        <v>6360</v>
      </c>
      <c r="AX890" s="4" t="str">
        <f>""</f>
        <v/>
      </c>
      <c r="BG890" t="s">
        <v>154</v>
      </c>
      <c r="BH890" s="1">
        <v>44819.833333333336</v>
      </c>
      <c r="BI890">
        <v>35</v>
      </c>
      <c r="BJ890">
        <v>7</v>
      </c>
      <c r="BK890">
        <v>0</v>
      </c>
      <c r="BL890">
        <v>0</v>
      </c>
      <c r="BM890">
        <v>7</v>
      </c>
      <c r="BN890">
        <v>7</v>
      </c>
      <c r="BO890">
        <v>7</v>
      </c>
      <c r="BP890">
        <v>7</v>
      </c>
      <c r="BQ890" t="str">
        <f>"9:00 AM"</f>
        <v>9:00 AM</v>
      </c>
      <c r="BR890" t="str">
        <f>"4:00 PM"</f>
        <v>4:00 PM</v>
      </c>
      <c r="BS890" t="s">
        <v>133</v>
      </c>
      <c r="BT890">
        <v>0</v>
      </c>
      <c r="BU890">
        <v>3</v>
      </c>
      <c r="BV890" t="s">
        <v>134</v>
      </c>
      <c r="BX890" s="2" t="s">
        <v>2905</v>
      </c>
      <c r="BY890" t="s">
        <v>7536</v>
      </c>
      <c r="CA890" t="s">
        <v>4286</v>
      </c>
      <c r="CB890" t="s">
        <v>154</v>
      </c>
      <c r="CC890" s="4" t="str">
        <f>"32550"</f>
        <v>32550</v>
      </c>
      <c r="CD890" t="s">
        <v>2355</v>
      </c>
      <c r="CE890" t="s">
        <v>2356</v>
      </c>
      <c r="CF890" s="6">
        <v>13.21</v>
      </c>
      <c r="CH890" s="6">
        <v>19.82</v>
      </c>
      <c r="CJ890" t="s">
        <v>2907</v>
      </c>
      <c r="CK890" t="s">
        <v>7537</v>
      </c>
      <c r="CL890" t="s">
        <v>7538</v>
      </c>
      <c r="CO890" t="s">
        <v>138</v>
      </c>
      <c r="CP890" t="s">
        <v>134</v>
      </c>
      <c r="CQ890" t="s">
        <v>114</v>
      </c>
      <c r="CR890" t="s">
        <v>114</v>
      </c>
      <c r="CS890" t="s">
        <v>114</v>
      </c>
      <c r="CT890" t="s">
        <v>114</v>
      </c>
      <c r="CU890" t="s">
        <v>114</v>
      </c>
      <c r="CV890" t="s">
        <v>2908</v>
      </c>
      <c r="CW890" s="5" t="str">
        <f>"+14077231157"</f>
        <v>+14077231157</v>
      </c>
      <c r="CX890" t="s">
        <v>2909</v>
      </c>
      <c r="CY890" t="s">
        <v>138</v>
      </c>
      <c r="CZ890" t="s">
        <v>139</v>
      </c>
      <c r="DA890" t="s">
        <v>134</v>
      </c>
      <c r="DB890" t="s">
        <v>134</v>
      </c>
      <c r="DC890" t="s">
        <v>114</v>
      </c>
      <c r="DD890" t="s">
        <v>134</v>
      </c>
    </row>
    <row r="891" spans="1:113" ht="15" customHeight="1" x14ac:dyDescent="0.25">
      <c r="A891" t="s">
        <v>9801</v>
      </c>
      <c r="B891" t="s">
        <v>165</v>
      </c>
      <c r="C891" s="1">
        <v>44820.506435995369</v>
      </c>
      <c r="D891" s="1">
        <v>44858</v>
      </c>
      <c r="E891" t="s">
        <v>134</v>
      </c>
      <c r="F891" t="s">
        <v>524</v>
      </c>
      <c r="G891" t="str">
        <f>"49-9098.00"</f>
        <v>49-9098.00</v>
      </c>
      <c r="H891" t="s">
        <v>525</v>
      </c>
      <c r="I891">
        <v>12</v>
      </c>
      <c r="J891">
        <v>12</v>
      </c>
      <c r="K891" s="1">
        <v>44895</v>
      </c>
      <c r="L891" s="1">
        <v>44941</v>
      </c>
      <c r="M891" s="1">
        <v>44895</v>
      </c>
      <c r="N891" s="1">
        <v>44941</v>
      </c>
      <c r="O891" t="s">
        <v>199</v>
      </c>
      <c r="P891" t="s">
        <v>7447</v>
      </c>
      <c r="R891" t="s">
        <v>7448</v>
      </c>
      <c r="T891" t="s">
        <v>7449</v>
      </c>
      <c r="U891" t="s">
        <v>154</v>
      </c>
      <c r="V891" s="4" t="str">
        <f>"34601"</f>
        <v>34601</v>
      </c>
      <c r="W891" t="s">
        <v>120</v>
      </c>
      <c r="Y891" s="5">
        <v>18137517597</v>
      </c>
      <c r="AA891">
        <v>71399</v>
      </c>
      <c r="AB891" t="s">
        <v>7450</v>
      </c>
      <c r="AC891" t="s">
        <v>1691</v>
      </c>
      <c r="AE891" t="s">
        <v>252</v>
      </c>
      <c r="AF891" t="s">
        <v>7451</v>
      </c>
      <c r="AH891" t="s">
        <v>7452</v>
      </c>
      <c r="AI891" t="s">
        <v>154</v>
      </c>
      <c r="AJ891" s="4" t="str">
        <f>"34601"</f>
        <v>34601</v>
      </c>
      <c r="AK891" t="s">
        <v>120</v>
      </c>
      <c r="AM891" s="5">
        <v>18137517597</v>
      </c>
      <c r="AO891" t="s">
        <v>7453</v>
      </c>
      <c r="AP891" t="s">
        <v>256</v>
      </c>
      <c r="AQ891" t="s">
        <v>535</v>
      </c>
      <c r="AR891" t="s">
        <v>536</v>
      </c>
      <c r="AS891" t="s">
        <v>537</v>
      </c>
      <c r="AT891" t="s">
        <v>538</v>
      </c>
      <c r="AU891" t="s">
        <v>539</v>
      </c>
      <c r="AV891" t="s">
        <v>540</v>
      </c>
      <c r="AW891" t="s">
        <v>232</v>
      </c>
      <c r="AX891" s="4" t="str">
        <f>"78550"</f>
        <v>78550</v>
      </c>
      <c r="AY891" t="s">
        <v>120</v>
      </c>
      <c r="BA891" s="5">
        <v>19564408720</v>
      </c>
      <c r="BB891">
        <v>0</v>
      </c>
      <c r="BC891" t="s">
        <v>563</v>
      </c>
      <c r="BD891" t="s">
        <v>543</v>
      </c>
      <c r="BG891" t="s">
        <v>154</v>
      </c>
      <c r="BH891" s="1">
        <v>44819.833333333336</v>
      </c>
      <c r="BI891">
        <v>35</v>
      </c>
      <c r="BJ891">
        <v>0</v>
      </c>
      <c r="BK891">
        <v>7</v>
      </c>
      <c r="BL891">
        <v>7</v>
      </c>
      <c r="BM891">
        <v>7</v>
      </c>
      <c r="BN891">
        <v>7</v>
      </c>
      <c r="BO891">
        <v>7</v>
      </c>
      <c r="BP891">
        <v>0</v>
      </c>
      <c r="BQ891" t="str">
        <f>"9:00 AM"</f>
        <v>9:00 AM</v>
      </c>
      <c r="BR891" t="str">
        <f>"5:00 PM"</f>
        <v>5:00 PM</v>
      </c>
      <c r="BS891" t="s">
        <v>133</v>
      </c>
      <c r="BT891">
        <v>0</v>
      </c>
      <c r="BU891">
        <v>0</v>
      </c>
      <c r="BV891" t="s">
        <v>134</v>
      </c>
      <c r="BX891" s="2" t="s">
        <v>579</v>
      </c>
      <c r="BY891" t="s">
        <v>7451</v>
      </c>
      <c r="CA891" t="s">
        <v>7452</v>
      </c>
      <c r="CB891" t="s">
        <v>154</v>
      </c>
      <c r="CC891" s="4" t="str">
        <f>"34601"</f>
        <v>34601</v>
      </c>
      <c r="CD891" t="s">
        <v>6684</v>
      </c>
      <c r="CE891" t="s">
        <v>567</v>
      </c>
      <c r="CF891" s="6">
        <v>15.97</v>
      </c>
      <c r="CG891" s="6">
        <v>15.97</v>
      </c>
      <c r="CJ891" t="s">
        <v>137</v>
      </c>
      <c r="CK891" t="s">
        <v>549</v>
      </c>
      <c r="CL891" t="s">
        <v>9802</v>
      </c>
      <c r="CO891" t="s">
        <v>138</v>
      </c>
      <c r="CP891" t="s">
        <v>134</v>
      </c>
      <c r="CQ891" t="s">
        <v>114</v>
      </c>
      <c r="CR891" t="s">
        <v>134</v>
      </c>
      <c r="CS891" t="s">
        <v>114</v>
      </c>
      <c r="CT891" t="s">
        <v>114</v>
      </c>
      <c r="CU891" t="s">
        <v>114</v>
      </c>
      <c r="CV891" t="s">
        <v>9803</v>
      </c>
      <c r="CW891" s="5" t="str">
        <f>"+18137517597"</f>
        <v>+18137517597</v>
      </c>
      <c r="CX891" t="s">
        <v>7453</v>
      </c>
      <c r="CY891" t="s">
        <v>138</v>
      </c>
      <c r="CZ891" t="s">
        <v>139</v>
      </c>
      <c r="DA891" t="s">
        <v>134</v>
      </c>
      <c r="DB891" t="s">
        <v>114</v>
      </c>
      <c r="DC891" t="s">
        <v>114</v>
      </c>
      <c r="DD891" t="s">
        <v>134</v>
      </c>
    </row>
    <row r="892" spans="1:113" ht="15" customHeight="1" x14ac:dyDescent="0.25">
      <c r="A892" t="s">
        <v>10500</v>
      </c>
      <c r="B892" t="s">
        <v>165</v>
      </c>
      <c r="C892" s="1">
        <v>44817.720665393521</v>
      </c>
      <c r="D892" s="1">
        <v>44858</v>
      </c>
      <c r="E892" t="s">
        <v>134</v>
      </c>
      <c r="F892" t="s">
        <v>1331</v>
      </c>
      <c r="G892" t="str">
        <f>"35-2014.00"</f>
        <v>35-2014.00</v>
      </c>
      <c r="H892" t="s">
        <v>915</v>
      </c>
      <c r="I892">
        <v>10</v>
      </c>
      <c r="J892">
        <v>10</v>
      </c>
      <c r="K892" s="1">
        <v>44892</v>
      </c>
      <c r="L892" s="1">
        <v>45031</v>
      </c>
      <c r="M892" s="1">
        <v>44892</v>
      </c>
      <c r="N892" s="1">
        <v>45031</v>
      </c>
      <c r="O892" t="s">
        <v>117</v>
      </c>
      <c r="P892" t="s">
        <v>10501</v>
      </c>
      <c r="Q892" t="s">
        <v>10502</v>
      </c>
      <c r="R892" t="s">
        <v>10503</v>
      </c>
      <c r="T892" t="s">
        <v>10504</v>
      </c>
      <c r="U892" t="s">
        <v>1846</v>
      </c>
      <c r="V892" s="4" t="str">
        <f>"05356"</f>
        <v>05356</v>
      </c>
      <c r="W892" t="s">
        <v>120</v>
      </c>
      <c r="Y892" s="5">
        <v>13034041800</v>
      </c>
      <c r="AA892">
        <v>713920</v>
      </c>
      <c r="AB892" t="s">
        <v>6888</v>
      </c>
      <c r="AC892" t="s">
        <v>4680</v>
      </c>
      <c r="AE892" t="s">
        <v>6889</v>
      </c>
      <c r="AF892" t="s">
        <v>6890</v>
      </c>
      <c r="AH892" t="s">
        <v>6891</v>
      </c>
      <c r="AI892" t="s">
        <v>181</v>
      </c>
      <c r="AJ892" s="4" t="str">
        <f>"80021"</f>
        <v>80021</v>
      </c>
      <c r="AK892" t="s">
        <v>120</v>
      </c>
      <c r="AM892" s="5">
        <v>13034041800</v>
      </c>
      <c r="AO892" t="s">
        <v>6892</v>
      </c>
      <c r="AP892" t="s">
        <v>122</v>
      </c>
      <c r="AQ892" t="s">
        <v>6893</v>
      </c>
      <c r="AR892" t="s">
        <v>1412</v>
      </c>
      <c r="AS892" t="s">
        <v>1378</v>
      </c>
      <c r="AT892" t="s">
        <v>6894</v>
      </c>
      <c r="AU892" t="s">
        <v>6895</v>
      </c>
      <c r="AV892" t="s">
        <v>1788</v>
      </c>
      <c r="AW892" t="s">
        <v>444</v>
      </c>
      <c r="AX892" s="4" t="str">
        <f>"90071"</f>
        <v>90071</v>
      </c>
      <c r="AY892" t="s">
        <v>120</v>
      </c>
      <c r="BA892" s="5">
        <v>13108203322</v>
      </c>
      <c r="BC892" t="s">
        <v>6896</v>
      </c>
      <c r="BD892" t="s">
        <v>2337</v>
      </c>
      <c r="BE892" t="s">
        <v>181</v>
      </c>
      <c r="BF892" t="s">
        <v>322</v>
      </c>
      <c r="BG892" t="s">
        <v>1846</v>
      </c>
      <c r="BH892" s="1">
        <v>44816.833333333336</v>
      </c>
      <c r="BI892">
        <v>35</v>
      </c>
      <c r="BJ892">
        <v>5</v>
      </c>
      <c r="BK892">
        <v>5</v>
      </c>
      <c r="BL892">
        <v>5</v>
      </c>
      <c r="BM892">
        <v>5</v>
      </c>
      <c r="BN892">
        <v>5</v>
      </c>
      <c r="BO892">
        <v>5</v>
      </c>
      <c r="BP892">
        <v>5</v>
      </c>
      <c r="BQ892" t="str">
        <f>"6:30 AM"</f>
        <v>6:30 AM</v>
      </c>
      <c r="BR892" t="str">
        <f>"11:30 PM"</f>
        <v>11:30 PM</v>
      </c>
      <c r="BS892" t="s">
        <v>133</v>
      </c>
      <c r="BT892">
        <v>0</v>
      </c>
      <c r="BU892">
        <v>24</v>
      </c>
      <c r="BV892" t="s">
        <v>134</v>
      </c>
      <c r="BX892" s="2" t="s">
        <v>10505</v>
      </c>
      <c r="BY892" t="s">
        <v>10503</v>
      </c>
      <c r="CA892" t="s">
        <v>10504</v>
      </c>
      <c r="CB892" t="s">
        <v>1846</v>
      </c>
      <c r="CC892" s="4" t="str">
        <f>"05356"</f>
        <v>05356</v>
      </c>
      <c r="CD892" t="s">
        <v>10506</v>
      </c>
      <c r="CE892" t="s">
        <v>2849</v>
      </c>
      <c r="CF892" s="6">
        <v>22</v>
      </c>
      <c r="CH892" s="6">
        <v>33</v>
      </c>
      <c r="CJ892" t="s">
        <v>137</v>
      </c>
      <c r="CK892" t="s">
        <v>10507</v>
      </c>
      <c r="CL892" t="s">
        <v>10508</v>
      </c>
      <c r="CO892" t="s">
        <v>138</v>
      </c>
      <c r="CP892" t="s">
        <v>134</v>
      </c>
      <c r="CQ892" t="s">
        <v>134</v>
      </c>
      <c r="CR892" t="s">
        <v>114</v>
      </c>
      <c r="CS892" t="s">
        <v>134</v>
      </c>
      <c r="CT892" t="s">
        <v>114</v>
      </c>
      <c r="CU892" t="s">
        <v>114</v>
      </c>
      <c r="CV892" t="s">
        <v>10509</v>
      </c>
      <c r="CW892" s="5" t="str">
        <f>"+13034041800"</f>
        <v>+13034041800</v>
      </c>
      <c r="CX892" t="s">
        <v>6892</v>
      </c>
      <c r="CY892" t="s">
        <v>138</v>
      </c>
      <c r="CZ892" t="s">
        <v>139</v>
      </c>
      <c r="DA892" t="s">
        <v>134</v>
      </c>
      <c r="DB892" t="s">
        <v>134</v>
      </c>
      <c r="DC892" t="s">
        <v>114</v>
      </c>
      <c r="DD892" t="s">
        <v>134</v>
      </c>
      <c r="DE892" t="s">
        <v>6898</v>
      </c>
      <c r="DF892" t="s">
        <v>2325</v>
      </c>
      <c r="DG892" t="s">
        <v>2702</v>
      </c>
      <c r="DH892" t="s">
        <v>2337</v>
      </c>
      <c r="DI892" t="s">
        <v>6899</v>
      </c>
    </row>
    <row r="893" spans="1:113" ht="15" customHeight="1" x14ac:dyDescent="0.25">
      <c r="A893" t="s">
        <v>15266</v>
      </c>
      <c r="B893" t="s">
        <v>165</v>
      </c>
      <c r="C893" s="1">
        <v>44813.514575000001</v>
      </c>
      <c r="D893" s="1">
        <v>44858</v>
      </c>
      <c r="E893" t="s">
        <v>134</v>
      </c>
      <c r="F893" t="s">
        <v>2900</v>
      </c>
      <c r="G893" t="str">
        <f>"37-2012.00"</f>
        <v>37-2012.00</v>
      </c>
      <c r="H893" t="s">
        <v>116</v>
      </c>
      <c r="I893">
        <v>20</v>
      </c>
      <c r="J893">
        <v>20</v>
      </c>
      <c r="K893" s="1">
        <v>44902</v>
      </c>
      <c r="L893" s="1">
        <v>45175</v>
      </c>
      <c r="M893" s="1">
        <v>44902</v>
      </c>
      <c r="N893" s="1">
        <v>45175</v>
      </c>
      <c r="O893" t="s">
        <v>117</v>
      </c>
      <c r="P893" t="s">
        <v>2901</v>
      </c>
      <c r="R893" t="s">
        <v>2902</v>
      </c>
      <c r="T893" t="s">
        <v>2903</v>
      </c>
      <c r="U893" t="s">
        <v>657</v>
      </c>
      <c r="V893" s="4" t="str">
        <f>"38555"</f>
        <v>38555</v>
      </c>
      <c r="W893" t="s">
        <v>120</v>
      </c>
      <c r="Y893" s="5">
        <v>18004891718</v>
      </c>
      <c r="AA893">
        <v>56172</v>
      </c>
      <c r="AB893" t="s">
        <v>2645</v>
      </c>
      <c r="AC893" t="s">
        <v>2646</v>
      </c>
      <c r="AD893" t="s">
        <v>259</v>
      </c>
      <c r="AE893" t="s">
        <v>2904</v>
      </c>
      <c r="AF893" t="s">
        <v>2902</v>
      </c>
      <c r="AH893" t="s">
        <v>2903</v>
      </c>
      <c r="AI893" t="s">
        <v>657</v>
      </c>
      <c r="AJ893" s="4" t="str">
        <f>"38555"</f>
        <v>38555</v>
      </c>
      <c r="AK893" t="s">
        <v>120</v>
      </c>
      <c r="AM893" s="5">
        <v>14077231146</v>
      </c>
      <c r="AO893" t="s">
        <v>6360</v>
      </c>
      <c r="AX893" s="4" t="str">
        <f>""</f>
        <v/>
      </c>
      <c r="BG893" t="s">
        <v>181</v>
      </c>
      <c r="BH893" s="1">
        <v>44811.833333333336</v>
      </c>
      <c r="BI893">
        <v>35</v>
      </c>
      <c r="BJ893">
        <v>7</v>
      </c>
      <c r="BK893">
        <v>0</v>
      </c>
      <c r="BL893">
        <v>0</v>
      </c>
      <c r="BM893">
        <v>7</v>
      </c>
      <c r="BN893">
        <v>7</v>
      </c>
      <c r="BO893">
        <v>7</v>
      </c>
      <c r="BP893">
        <v>7</v>
      </c>
      <c r="BQ893" t="str">
        <f>"9:00 AM"</f>
        <v>9:00 AM</v>
      </c>
      <c r="BR893" t="str">
        <f>"4:00 PM"</f>
        <v>4:00 PM</v>
      </c>
      <c r="BS893" t="s">
        <v>133</v>
      </c>
      <c r="BT893">
        <v>0</v>
      </c>
      <c r="BU893">
        <v>3</v>
      </c>
      <c r="BV893" t="s">
        <v>134</v>
      </c>
      <c r="BX893" s="2" t="s">
        <v>2905</v>
      </c>
      <c r="BY893" t="s">
        <v>15267</v>
      </c>
      <c r="CA893" t="s">
        <v>2950</v>
      </c>
      <c r="CB893" t="s">
        <v>181</v>
      </c>
      <c r="CC893" s="4" t="str">
        <f>"81147"</f>
        <v>81147</v>
      </c>
      <c r="CD893" t="s">
        <v>2956</v>
      </c>
      <c r="CE893" t="s">
        <v>2738</v>
      </c>
      <c r="CF893" s="6">
        <v>15.67</v>
      </c>
      <c r="CH893" s="6">
        <v>23.51</v>
      </c>
      <c r="CJ893" t="s">
        <v>2907</v>
      </c>
      <c r="CK893" t="s">
        <v>15268</v>
      </c>
      <c r="CL893" t="s">
        <v>15269</v>
      </c>
      <c r="CO893" t="s">
        <v>138</v>
      </c>
      <c r="CP893" t="s">
        <v>134</v>
      </c>
      <c r="CQ893" t="s">
        <v>114</v>
      </c>
      <c r="CR893" t="s">
        <v>114</v>
      </c>
      <c r="CS893" t="s">
        <v>114</v>
      </c>
      <c r="CT893" t="s">
        <v>114</v>
      </c>
      <c r="CU893" t="s">
        <v>114</v>
      </c>
      <c r="CV893" t="s">
        <v>2908</v>
      </c>
      <c r="CW893" s="5" t="str">
        <f>"+14077231157"</f>
        <v>+14077231157</v>
      </c>
      <c r="CX893" t="s">
        <v>2909</v>
      </c>
      <c r="CY893" t="s">
        <v>138</v>
      </c>
      <c r="CZ893" t="s">
        <v>139</v>
      </c>
      <c r="DA893" t="s">
        <v>134</v>
      </c>
      <c r="DB893" t="s">
        <v>134</v>
      </c>
      <c r="DC893" t="s">
        <v>114</v>
      </c>
      <c r="DD893" t="s">
        <v>134</v>
      </c>
    </row>
    <row r="894" spans="1:113" ht="15" customHeight="1" x14ac:dyDescent="0.25">
      <c r="A894" t="s">
        <v>11539</v>
      </c>
      <c r="B894" t="s">
        <v>165</v>
      </c>
      <c r="C894" s="1">
        <v>44811.752099074074</v>
      </c>
      <c r="D894" s="1">
        <v>44858</v>
      </c>
      <c r="E894" t="s">
        <v>134</v>
      </c>
      <c r="F894" t="s">
        <v>11540</v>
      </c>
      <c r="G894" t="str">
        <f>"37-2011.00"</f>
        <v>37-2011.00</v>
      </c>
      <c r="H894" t="s">
        <v>672</v>
      </c>
      <c r="I894">
        <v>3</v>
      </c>
      <c r="J894">
        <v>3</v>
      </c>
      <c r="K894" s="1">
        <v>44886</v>
      </c>
      <c r="L894" s="1">
        <v>44957</v>
      </c>
      <c r="M894" s="1">
        <v>44886</v>
      </c>
      <c r="N894" s="1">
        <v>44957</v>
      </c>
      <c r="O894" t="s">
        <v>199</v>
      </c>
      <c r="P894" t="s">
        <v>11541</v>
      </c>
      <c r="R894" t="s">
        <v>11542</v>
      </c>
      <c r="T894" t="s">
        <v>4521</v>
      </c>
      <c r="U894" t="s">
        <v>631</v>
      </c>
      <c r="V894" s="4" t="str">
        <f>"73701"</f>
        <v>73701</v>
      </c>
      <c r="W894" t="s">
        <v>120</v>
      </c>
      <c r="Y894" s="5">
        <v>15807472211</v>
      </c>
      <c r="AA894">
        <v>81299</v>
      </c>
      <c r="AB894" t="s">
        <v>11543</v>
      </c>
      <c r="AC894" t="s">
        <v>4069</v>
      </c>
      <c r="AE894" t="s">
        <v>1567</v>
      </c>
      <c r="AF894" t="s">
        <v>11544</v>
      </c>
      <c r="AH894" t="s">
        <v>11545</v>
      </c>
      <c r="AI894" t="s">
        <v>631</v>
      </c>
      <c r="AJ894" s="4" t="str">
        <f>"73701"</f>
        <v>73701</v>
      </c>
      <c r="AK894" t="s">
        <v>120</v>
      </c>
      <c r="AM894" s="5">
        <v>15807472211</v>
      </c>
      <c r="AO894" t="s">
        <v>11546</v>
      </c>
      <c r="AP894" t="s">
        <v>122</v>
      </c>
      <c r="AQ894" t="s">
        <v>2589</v>
      </c>
      <c r="AR894" t="s">
        <v>589</v>
      </c>
      <c r="AS894" t="s">
        <v>146</v>
      </c>
      <c r="AT894" t="s">
        <v>628</v>
      </c>
      <c r="AU894" t="s">
        <v>629</v>
      </c>
      <c r="AV894" t="s">
        <v>630</v>
      </c>
      <c r="AW894" t="s">
        <v>631</v>
      </c>
      <c r="AX894" s="4" t="str">
        <f>"73069"</f>
        <v>73069</v>
      </c>
      <c r="AY894" t="s">
        <v>120</v>
      </c>
      <c r="BA894" s="5">
        <v>14053642525</v>
      </c>
      <c r="BC894" t="s">
        <v>632</v>
      </c>
      <c r="BD894" t="s">
        <v>633</v>
      </c>
      <c r="BE894" t="s">
        <v>631</v>
      </c>
      <c r="BF894" t="s">
        <v>634</v>
      </c>
      <c r="BG894" t="s">
        <v>631</v>
      </c>
      <c r="BH894" s="1">
        <v>44805.833333333336</v>
      </c>
      <c r="BI894">
        <v>40</v>
      </c>
      <c r="BJ894">
        <v>0</v>
      </c>
      <c r="BK894">
        <v>8</v>
      </c>
      <c r="BL894">
        <v>8</v>
      </c>
      <c r="BM894">
        <v>8</v>
      </c>
      <c r="BN894">
        <v>8</v>
      </c>
      <c r="BO894">
        <v>8</v>
      </c>
      <c r="BP894">
        <v>0</v>
      </c>
      <c r="BQ894" t="str">
        <f>"7:00 AM"</f>
        <v>7:00 AM</v>
      </c>
      <c r="BR894" t="str">
        <f>"5:00 PM"</f>
        <v>5:00 PM</v>
      </c>
      <c r="BS894" t="s">
        <v>133</v>
      </c>
      <c r="BT894">
        <v>0</v>
      </c>
      <c r="BU894">
        <v>0</v>
      </c>
      <c r="BV894" t="s">
        <v>134</v>
      </c>
      <c r="BX894" s="2" t="s">
        <v>2930</v>
      </c>
      <c r="BY894" t="s">
        <v>11544</v>
      </c>
      <c r="CA894" t="s">
        <v>11545</v>
      </c>
      <c r="CB894" t="s">
        <v>631</v>
      </c>
      <c r="CC894" s="4" t="str">
        <f>"73701"</f>
        <v>73701</v>
      </c>
      <c r="CD894" t="s">
        <v>4288</v>
      </c>
      <c r="CE894" t="s">
        <v>4523</v>
      </c>
      <c r="CF894" s="6">
        <v>12.34</v>
      </c>
      <c r="CG894" s="6">
        <v>12.34</v>
      </c>
      <c r="CH894" s="6">
        <v>18.510000000000002</v>
      </c>
      <c r="CI894" s="6">
        <v>18.510000000000002</v>
      </c>
      <c r="CJ894" t="s">
        <v>137</v>
      </c>
      <c r="CL894" t="s">
        <v>11547</v>
      </c>
      <c r="CO894" t="s">
        <v>138</v>
      </c>
      <c r="CP894" t="s">
        <v>114</v>
      </c>
      <c r="CQ894" t="s">
        <v>114</v>
      </c>
      <c r="CR894" t="s">
        <v>114</v>
      </c>
      <c r="CS894" t="s">
        <v>134</v>
      </c>
      <c r="CT894" t="s">
        <v>114</v>
      </c>
      <c r="CU894" t="s">
        <v>134</v>
      </c>
      <c r="CV894" t="s">
        <v>2591</v>
      </c>
      <c r="CW894" s="5" t="str">
        <f>"+15807472211"</f>
        <v>+15807472211</v>
      </c>
      <c r="CX894" t="s">
        <v>11546</v>
      </c>
      <c r="CY894" t="s">
        <v>138</v>
      </c>
      <c r="CZ894" t="s">
        <v>139</v>
      </c>
      <c r="DA894" t="s">
        <v>134</v>
      </c>
      <c r="DB894" t="s">
        <v>134</v>
      </c>
      <c r="DC894" t="s">
        <v>114</v>
      </c>
      <c r="DD894" t="s">
        <v>134</v>
      </c>
    </row>
    <row r="895" spans="1:113" ht="15" customHeight="1" x14ac:dyDescent="0.25">
      <c r="A895" t="s">
        <v>3461</v>
      </c>
      <c r="B895" t="s">
        <v>165</v>
      </c>
      <c r="C895" s="1">
        <v>44832.832382754626</v>
      </c>
      <c r="D895" s="1">
        <v>44855</v>
      </c>
      <c r="E895" t="s">
        <v>134</v>
      </c>
      <c r="F895" t="s">
        <v>1106</v>
      </c>
      <c r="G895" t="str">
        <f>"45-4011.00"</f>
        <v>45-4011.00</v>
      </c>
      <c r="H895" t="s">
        <v>1107</v>
      </c>
      <c r="I895">
        <v>95</v>
      </c>
      <c r="J895">
        <v>95</v>
      </c>
      <c r="K895" s="1">
        <v>44910</v>
      </c>
      <c r="L895" s="1">
        <v>45213</v>
      </c>
      <c r="M895" s="1">
        <v>44910</v>
      </c>
      <c r="N895" s="1">
        <v>45213</v>
      </c>
      <c r="O895" t="s">
        <v>117</v>
      </c>
      <c r="P895" t="s">
        <v>3462</v>
      </c>
      <c r="R895" t="s">
        <v>3463</v>
      </c>
      <c r="T895" t="s">
        <v>2119</v>
      </c>
      <c r="U895" t="s">
        <v>511</v>
      </c>
      <c r="V895" s="4" t="str">
        <f>"97502"</f>
        <v>97502</v>
      </c>
      <c r="W895" t="s">
        <v>120</v>
      </c>
      <c r="Y895" s="5">
        <v>15412616713</v>
      </c>
      <c r="AA895">
        <v>11531</v>
      </c>
      <c r="AB895" t="s">
        <v>3464</v>
      </c>
      <c r="AC895" t="s">
        <v>3465</v>
      </c>
      <c r="AD895" t="s">
        <v>138</v>
      </c>
      <c r="AE895" t="s">
        <v>3466</v>
      </c>
      <c r="AF895" t="s">
        <v>3463</v>
      </c>
      <c r="AH895" t="s">
        <v>2119</v>
      </c>
      <c r="AI895" t="s">
        <v>511</v>
      </c>
      <c r="AJ895" s="4" t="str">
        <f>"97502"</f>
        <v>97502</v>
      </c>
      <c r="AK895" t="s">
        <v>120</v>
      </c>
      <c r="AM895" s="5">
        <v>15412616713</v>
      </c>
      <c r="AO895" t="s">
        <v>138</v>
      </c>
      <c r="AP895" t="s">
        <v>256</v>
      </c>
      <c r="AQ895" t="s">
        <v>1928</v>
      </c>
      <c r="AR895" t="s">
        <v>1929</v>
      </c>
      <c r="AS895" t="s">
        <v>1685</v>
      </c>
      <c r="AT895" t="s">
        <v>1930</v>
      </c>
      <c r="AU895" t="s">
        <v>1931</v>
      </c>
      <c r="AV895" t="s">
        <v>1932</v>
      </c>
      <c r="AW895" t="s">
        <v>349</v>
      </c>
      <c r="AX895" s="4" t="str">
        <f>"83814"</f>
        <v>83814</v>
      </c>
      <c r="AY895" t="s">
        <v>120</v>
      </c>
      <c r="BA895" s="5">
        <v>12087772654</v>
      </c>
      <c r="BC895" t="s">
        <v>1933</v>
      </c>
      <c r="BD895" t="s">
        <v>351</v>
      </c>
      <c r="BG895" t="s">
        <v>511</v>
      </c>
      <c r="BH895" s="1">
        <v>44831.833333333336</v>
      </c>
      <c r="BI895">
        <v>40</v>
      </c>
      <c r="BJ895">
        <v>0</v>
      </c>
      <c r="BK895">
        <v>8</v>
      </c>
      <c r="BL895">
        <v>8</v>
      </c>
      <c r="BM895">
        <v>8</v>
      </c>
      <c r="BN895">
        <v>8</v>
      </c>
      <c r="BO895">
        <v>8</v>
      </c>
      <c r="BP895">
        <v>0</v>
      </c>
      <c r="BQ895" t="str">
        <f>"6:00 AM"</f>
        <v>6:00 AM</v>
      </c>
      <c r="BR895" t="str">
        <f>"2:30 PM"</f>
        <v>2:30 PM</v>
      </c>
      <c r="BS895" t="s">
        <v>133</v>
      </c>
      <c r="BT895">
        <v>0</v>
      </c>
      <c r="BU895">
        <v>3</v>
      </c>
      <c r="BV895" t="s">
        <v>134</v>
      </c>
      <c r="BX895" s="2" t="s">
        <v>3467</v>
      </c>
      <c r="BY895" t="s">
        <v>3468</v>
      </c>
      <c r="CA895" t="s">
        <v>2119</v>
      </c>
      <c r="CB895" t="s">
        <v>511</v>
      </c>
      <c r="CC895" s="4" t="str">
        <f>"97502"</f>
        <v>97502</v>
      </c>
      <c r="CD895" t="s">
        <v>1116</v>
      </c>
      <c r="CE895" t="s">
        <v>1117</v>
      </c>
      <c r="CF895" s="6">
        <v>14.21</v>
      </c>
      <c r="CG895" s="6">
        <v>25</v>
      </c>
      <c r="CH895" s="6">
        <v>21.32</v>
      </c>
      <c r="CI895" s="6">
        <v>37.5</v>
      </c>
      <c r="CJ895" t="s">
        <v>137</v>
      </c>
      <c r="CK895" t="s">
        <v>2125</v>
      </c>
      <c r="CL895" t="s">
        <v>3469</v>
      </c>
      <c r="CO895" t="s">
        <v>138</v>
      </c>
      <c r="CP895" t="s">
        <v>114</v>
      </c>
      <c r="CQ895" t="s">
        <v>114</v>
      </c>
      <c r="CR895" t="s">
        <v>114</v>
      </c>
      <c r="CS895" t="s">
        <v>134</v>
      </c>
      <c r="CT895" t="s">
        <v>114</v>
      </c>
      <c r="CU895" t="s">
        <v>114</v>
      </c>
      <c r="CV895" t="s">
        <v>358</v>
      </c>
      <c r="CW895" s="5" t="str">
        <f>"+15412616713"</f>
        <v>+15412616713</v>
      </c>
      <c r="CX895" t="s">
        <v>3470</v>
      </c>
      <c r="CY895" t="s">
        <v>3471</v>
      </c>
      <c r="CZ895" t="s">
        <v>139</v>
      </c>
      <c r="DA895" t="s">
        <v>134</v>
      </c>
      <c r="DB895" t="s">
        <v>114</v>
      </c>
      <c r="DC895" t="s">
        <v>114</v>
      </c>
      <c r="DD895" t="s">
        <v>134</v>
      </c>
    </row>
    <row r="896" spans="1:113" ht="15" customHeight="1" x14ac:dyDescent="0.25">
      <c r="A896" t="s">
        <v>13866</v>
      </c>
      <c r="B896" t="s">
        <v>165</v>
      </c>
      <c r="C896" s="1">
        <v>44832.606440972224</v>
      </c>
      <c r="D896" s="1">
        <v>44855</v>
      </c>
      <c r="E896" t="s">
        <v>134</v>
      </c>
      <c r="F896" t="s">
        <v>524</v>
      </c>
      <c r="G896" t="str">
        <f>"49-9098.00"</f>
        <v>49-9098.00</v>
      </c>
      <c r="H896" t="s">
        <v>525</v>
      </c>
      <c r="I896">
        <v>20</v>
      </c>
      <c r="J896">
        <v>20</v>
      </c>
      <c r="K896" s="1">
        <v>44910</v>
      </c>
      <c r="L896" s="1">
        <v>45016</v>
      </c>
      <c r="M896" s="1">
        <v>44910</v>
      </c>
      <c r="N896" s="1">
        <v>45016</v>
      </c>
      <c r="O896" t="s">
        <v>199</v>
      </c>
      <c r="P896" t="s">
        <v>9037</v>
      </c>
      <c r="R896" t="s">
        <v>9038</v>
      </c>
      <c r="T896" t="s">
        <v>9039</v>
      </c>
      <c r="U896" t="s">
        <v>619</v>
      </c>
      <c r="V896" s="4" t="str">
        <f>"42376"</f>
        <v>42376</v>
      </c>
      <c r="W896" t="s">
        <v>120</v>
      </c>
      <c r="Y896" s="5">
        <v>12705704497</v>
      </c>
      <c r="Z896">
        <v>0</v>
      </c>
      <c r="AA896">
        <v>71119</v>
      </c>
      <c r="AB896" t="s">
        <v>2121</v>
      </c>
      <c r="AC896" t="s">
        <v>6136</v>
      </c>
      <c r="AE896" t="s">
        <v>9040</v>
      </c>
      <c r="AF896" t="s">
        <v>9038</v>
      </c>
      <c r="AH896" t="s">
        <v>9039</v>
      </c>
      <c r="AI896" t="s">
        <v>619</v>
      </c>
      <c r="AJ896" s="4" t="str">
        <f>"42376"</f>
        <v>42376</v>
      </c>
      <c r="AK896" t="s">
        <v>120</v>
      </c>
      <c r="AM896" s="5">
        <v>12705744497</v>
      </c>
      <c r="AN896">
        <v>0</v>
      </c>
      <c r="AO896" t="s">
        <v>9041</v>
      </c>
      <c r="AP896" t="s">
        <v>256</v>
      </c>
      <c r="AQ896" t="s">
        <v>535</v>
      </c>
      <c r="AR896" t="s">
        <v>536</v>
      </c>
      <c r="AS896" t="s">
        <v>537</v>
      </c>
      <c r="AT896" t="s">
        <v>538</v>
      </c>
      <c r="AU896" t="s">
        <v>539</v>
      </c>
      <c r="AV896" t="s">
        <v>540</v>
      </c>
      <c r="AW896" t="s">
        <v>232</v>
      </c>
      <c r="AX896" s="4" t="str">
        <f>"78550"</f>
        <v>78550</v>
      </c>
      <c r="AY896" t="s">
        <v>120</v>
      </c>
      <c r="AZ896" t="s">
        <v>541</v>
      </c>
      <c r="BA896" s="5">
        <v>19564408720</v>
      </c>
      <c r="BB896">
        <v>0</v>
      </c>
      <c r="BC896" t="s">
        <v>542</v>
      </c>
      <c r="BD896" t="s">
        <v>543</v>
      </c>
      <c r="BG896" t="s">
        <v>619</v>
      </c>
      <c r="BH896" s="1">
        <v>44830.833333333336</v>
      </c>
      <c r="BI896">
        <v>40</v>
      </c>
      <c r="BJ896">
        <v>0</v>
      </c>
      <c r="BK896">
        <v>8</v>
      </c>
      <c r="BL896">
        <v>8</v>
      </c>
      <c r="BM896">
        <v>8</v>
      </c>
      <c r="BN896">
        <v>8</v>
      </c>
      <c r="BO896">
        <v>8</v>
      </c>
      <c r="BP896">
        <v>0</v>
      </c>
      <c r="BQ896" t="str">
        <f>"8:00 AM"</f>
        <v>8:00 AM</v>
      </c>
      <c r="BR896" t="str">
        <f>"5:00 PM"</f>
        <v>5:00 PM</v>
      </c>
      <c r="BS896" t="s">
        <v>133</v>
      </c>
      <c r="BT896">
        <v>0</v>
      </c>
      <c r="BU896">
        <v>0</v>
      </c>
      <c r="BV896" t="s">
        <v>134</v>
      </c>
      <c r="BX896" t="s">
        <v>5109</v>
      </c>
      <c r="BY896" t="s">
        <v>9038</v>
      </c>
      <c r="CA896" t="s">
        <v>9039</v>
      </c>
      <c r="CB896" t="s">
        <v>619</v>
      </c>
      <c r="CC896" s="4" t="str">
        <f>"42376"</f>
        <v>42376</v>
      </c>
      <c r="CD896" t="s">
        <v>9042</v>
      </c>
      <c r="CE896" t="s">
        <v>9043</v>
      </c>
      <c r="CF896" s="6">
        <v>17.920000000000002</v>
      </c>
      <c r="CG896" s="6">
        <v>17.920000000000002</v>
      </c>
      <c r="CH896" s="6">
        <v>0</v>
      </c>
      <c r="CI896" s="6">
        <v>0</v>
      </c>
      <c r="CJ896" t="s">
        <v>137</v>
      </c>
      <c r="CK896" t="s">
        <v>549</v>
      </c>
      <c r="CL896" t="s">
        <v>13867</v>
      </c>
      <c r="CO896" t="s">
        <v>138</v>
      </c>
      <c r="CP896" t="s">
        <v>134</v>
      </c>
      <c r="CQ896" t="s">
        <v>114</v>
      </c>
      <c r="CR896" t="s">
        <v>134</v>
      </c>
      <c r="CS896" t="s">
        <v>114</v>
      </c>
      <c r="CT896" t="s">
        <v>114</v>
      </c>
      <c r="CU896" t="s">
        <v>114</v>
      </c>
      <c r="CV896" t="s">
        <v>13868</v>
      </c>
      <c r="CW896" s="5" t="str">
        <f>"+12705704497"</f>
        <v>+12705704497</v>
      </c>
      <c r="CX896" t="s">
        <v>13869</v>
      </c>
      <c r="CY896" t="s">
        <v>13870</v>
      </c>
      <c r="CZ896" t="s">
        <v>139</v>
      </c>
      <c r="DA896" t="s">
        <v>134</v>
      </c>
      <c r="DB896" t="s">
        <v>114</v>
      </c>
      <c r="DC896" t="s">
        <v>114</v>
      </c>
      <c r="DD896" t="s">
        <v>134</v>
      </c>
    </row>
    <row r="897" spans="1:113" ht="15" customHeight="1" x14ac:dyDescent="0.25">
      <c r="A897" t="s">
        <v>13067</v>
      </c>
      <c r="B897" t="s">
        <v>165</v>
      </c>
      <c r="C897" s="1">
        <v>44823.47478773148</v>
      </c>
      <c r="D897" s="1">
        <v>44855</v>
      </c>
      <c r="E897" t="s">
        <v>134</v>
      </c>
      <c r="F897" t="s">
        <v>416</v>
      </c>
      <c r="G897" t="str">
        <f>"37-3011.00"</f>
        <v>37-3011.00</v>
      </c>
      <c r="H897" t="s">
        <v>335</v>
      </c>
      <c r="I897">
        <v>5</v>
      </c>
      <c r="J897">
        <v>5</v>
      </c>
      <c r="K897" s="1">
        <v>44900</v>
      </c>
      <c r="L897" s="1">
        <v>45016</v>
      </c>
      <c r="M897" s="1">
        <v>44900</v>
      </c>
      <c r="N897" s="1">
        <v>45016</v>
      </c>
      <c r="O897" t="s">
        <v>199</v>
      </c>
      <c r="P897" t="s">
        <v>6059</v>
      </c>
      <c r="R897" t="s">
        <v>6060</v>
      </c>
      <c r="T897" t="s">
        <v>4626</v>
      </c>
      <c r="U897" t="s">
        <v>420</v>
      </c>
      <c r="V897" s="4" t="str">
        <f>"84062"</f>
        <v>84062</v>
      </c>
      <c r="W897" t="s">
        <v>120</v>
      </c>
      <c r="Y897" s="5">
        <v>18018007088</v>
      </c>
      <c r="AA897">
        <v>56173</v>
      </c>
      <c r="AB897" t="s">
        <v>421</v>
      </c>
      <c r="AC897" t="s">
        <v>6061</v>
      </c>
      <c r="AE897" t="s">
        <v>424</v>
      </c>
      <c r="AF897" t="s">
        <v>6060</v>
      </c>
      <c r="AH897" t="s">
        <v>4626</v>
      </c>
      <c r="AI897" t="s">
        <v>420</v>
      </c>
      <c r="AJ897" s="4" t="str">
        <f>"84062"</f>
        <v>84062</v>
      </c>
      <c r="AK897" t="s">
        <v>120</v>
      </c>
      <c r="AM897" s="5">
        <v>18018007088</v>
      </c>
      <c r="AO897" t="s">
        <v>6062</v>
      </c>
      <c r="AP897" t="s">
        <v>256</v>
      </c>
      <c r="AQ897" t="s">
        <v>426</v>
      </c>
      <c r="AR897" t="s">
        <v>427</v>
      </c>
      <c r="AT897" t="s">
        <v>428</v>
      </c>
      <c r="AV897" t="s">
        <v>4583</v>
      </c>
      <c r="AW897" t="s">
        <v>420</v>
      </c>
      <c r="AX897" s="4" t="str">
        <f>"84059"</f>
        <v>84059</v>
      </c>
      <c r="AY897" t="s">
        <v>120</v>
      </c>
      <c r="BA897" s="5">
        <v>18013677097</v>
      </c>
      <c r="BC897" t="s">
        <v>430</v>
      </c>
      <c r="BD897" t="s">
        <v>431</v>
      </c>
      <c r="BG897" t="s">
        <v>420</v>
      </c>
      <c r="BH897" s="1">
        <v>44822.833333333336</v>
      </c>
      <c r="BI897">
        <v>35</v>
      </c>
      <c r="BJ897">
        <v>0</v>
      </c>
      <c r="BK897">
        <v>7</v>
      </c>
      <c r="BL897">
        <v>7</v>
      </c>
      <c r="BM897">
        <v>7</v>
      </c>
      <c r="BN897">
        <v>7</v>
      </c>
      <c r="BO897">
        <v>7</v>
      </c>
      <c r="BP897">
        <v>0</v>
      </c>
      <c r="BQ897" t="str">
        <f>"8:00 AM"</f>
        <v>8:00 AM</v>
      </c>
      <c r="BR897" t="str">
        <f>"3:30 PM"</f>
        <v>3:30 PM</v>
      </c>
      <c r="BS897" t="s">
        <v>133</v>
      </c>
      <c r="BT897">
        <v>0</v>
      </c>
      <c r="BU897">
        <v>0</v>
      </c>
      <c r="BV897" t="s">
        <v>134</v>
      </c>
      <c r="BX897" s="2" t="s">
        <v>432</v>
      </c>
      <c r="BY897" t="s">
        <v>6060</v>
      </c>
      <c r="CA897" t="s">
        <v>4626</v>
      </c>
      <c r="CB897" t="s">
        <v>420</v>
      </c>
      <c r="CC897" s="4" t="str">
        <f>"84062"</f>
        <v>84062</v>
      </c>
      <c r="CD897" t="s">
        <v>433</v>
      </c>
      <c r="CE897" t="s">
        <v>434</v>
      </c>
      <c r="CF897" s="6">
        <v>17.21</v>
      </c>
      <c r="CH897" s="6">
        <v>25.82</v>
      </c>
      <c r="CJ897" t="s">
        <v>137</v>
      </c>
      <c r="CK897" t="s">
        <v>5243</v>
      </c>
      <c r="CL897" t="s">
        <v>13068</v>
      </c>
      <c r="CO897" t="s">
        <v>138</v>
      </c>
      <c r="CP897" t="s">
        <v>114</v>
      </c>
      <c r="CQ897" t="s">
        <v>114</v>
      </c>
      <c r="CR897" t="s">
        <v>114</v>
      </c>
      <c r="CS897" t="s">
        <v>134</v>
      </c>
      <c r="CT897" t="s">
        <v>114</v>
      </c>
      <c r="CU897" t="s">
        <v>134</v>
      </c>
      <c r="CV897" t="s">
        <v>437</v>
      </c>
      <c r="CW897" s="5" t="str">
        <f>"+18018007088"</f>
        <v>+18018007088</v>
      </c>
      <c r="CX897" t="s">
        <v>6062</v>
      </c>
      <c r="CY897" t="s">
        <v>138</v>
      </c>
      <c r="CZ897" t="s">
        <v>139</v>
      </c>
      <c r="DA897" t="s">
        <v>134</v>
      </c>
      <c r="DB897" t="s">
        <v>134</v>
      </c>
      <c r="DC897" t="s">
        <v>114</v>
      </c>
      <c r="DD897" t="s">
        <v>134</v>
      </c>
    </row>
    <row r="898" spans="1:113" ht="15" customHeight="1" x14ac:dyDescent="0.25">
      <c r="A898" t="s">
        <v>13999</v>
      </c>
      <c r="B898" t="s">
        <v>165</v>
      </c>
      <c r="C898" s="1">
        <v>44818.99631574074</v>
      </c>
      <c r="D898" s="1">
        <v>44855</v>
      </c>
      <c r="E898" t="s">
        <v>134</v>
      </c>
      <c r="F898" t="s">
        <v>9277</v>
      </c>
      <c r="G898" t="str">
        <f>"37-2012.00"</f>
        <v>37-2012.00</v>
      </c>
      <c r="H898" t="s">
        <v>116</v>
      </c>
      <c r="I898">
        <v>10</v>
      </c>
      <c r="J898">
        <v>10</v>
      </c>
      <c r="K898" s="1">
        <v>44893</v>
      </c>
      <c r="L898" s="1">
        <v>45107</v>
      </c>
      <c r="M898" s="1">
        <v>44893</v>
      </c>
      <c r="N898" s="1">
        <v>45107</v>
      </c>
      <c r="O898" t="s">
        <v>117</v>
      </c>
      <c r="P898" t="s">
        <v>14000</v>
      </c>
      <c r="R898" t="s">
        <v>14001</v>
      </c>
      <c r="T898" t="s">
        <v>2014</v>
      </c>
      <c r="U898" t="s">
        <v>154</v>
      </c>
      <c r="V898" s="4" t="str">
        <f>"33156"</f>
        <v>33156</v>
      </c>
      <c r="W898" t="s">
        <v>120</v>
      </c>
      <c r="Y898" s="5">
        <v>13056715069</v>
      </c>
      <c r="AA898">
        <v>72111</v>
      </c>
      <c r="AB898" t="s">
        <v>5850</v>
      </c>
      <c r="AC898" t="s">
        <v>6133</v>
      </c>
      <c r="AE898" t="s">
        <v>14002</v>
      </c>
      <c r="AF898" t="s">
        <v>14001</v>
      </c>
      <c r="AH898" t="s">
        <v>2014</v>
      </c>
      <c r="AI898" t="s">
        <v>154</v>
      </c>
      <c r="AJ898" s="4" t="str">
        <f>"33156"</f>
        <v>33156</v>
      </c>
      <c r="AK898" t="s">
        <v>120</v>
      </c>
      <c r="AM898" s="5">
        <v>13056715069</v>
      </c>
      <c r="AO898" t="s">
        <v>14003</v>
      </c>
      <c r="AP898" t="s">
        <v>122</v>
      </c>
      <c r="AQ898" t="s">
        <v>2938</v>
      </c>
      <c r="AR898" t="s">
        <v>2672</v>
      </c>
      <c r="AS898" t="s">
        <v>2939</v>
      </c>
      <c r="AT898" t="s">
        <v>2940</v>
      </c>
      <c r="AU898" t="s">
        <v>2013</v>
      </c>
      <c r="AV898" t="s">
        <v>2014</v>
      </c>
      <c r="AW898" t="s">
        <v>154</v>
      </c>
      <c r="AX898" s="4" t="str">
        <f>"33126"</f>
        <v>33126</v>
      </c>
      <c r="AY898" t="s">
        <v>120</v>
      </c>
      <c r="BA898" s="5">
        <v>13057745800</v>
      </c>
      <c r="BC898" t="s">
        <v>2941</v>
      </c>
      <c r="BD898" t="s">
        <v>2942</v>
      </c>
      <c r="BE898" t="s">
        <v>154</v>
      </c>
      <c r="BF898" t="s">
        <v>322</v>
      </c>
      <c r="BG898" t="s">
        <v>154</v>
      </c>
      <c r="BH898" s="1">
        <v>44817.833333333336</v>
      </c>
      <c r="BI898">
        <v>35</v>
      </c>
      <c r="BJ898">
        <v>7</v>
      </c>
      <c r="BK898">
        <v>7</v>
      </c>
      <c r="BL898">
        <v>7</v>
      </c>
      <c r="BM898">
        <v>7</v>
      </c>
      <c r="BN898">
        <v>7</v>
      </c>
      <c r="BO898">
        <v>0</v>
      </c>
      <c r="BP898">
        <v>0</v>
      </c>
      <c r="BQ898" t="str">
        <f>"7:00 AM"</f>
        <v>7:00 AM</v>
      </c>
      <c r="BR898" t="str">
        <f>"11:00 PM"</f>
        <v>11:00 PM</v>
      </c>
      <c r="BS898" t="s">
        <v>133</v>
      </c>
      <c r="BT898">
        <v>0</v>
      </c>
      <c r="BU898">
        <v>0</v>
      </c>
      <c r="BV898" t="s">
        <v>134</v>
      </c>
      <c r="BX898" t="s">
        <v>133</v>
      </c>
      <c r="BY898" t="s">
        <v>14001</v>
      </c>
      <c r="CA898" t="s">
        <v>2014</v>
      </c>
      <c r="CB898" t="s">
        <v>154</v>
      </c>
      <c r="CC898" s="4" t="str">
        <f>"33156"</f>
        <v>33156</v>
      </c>
      <c r="CD898" t="s">
        <v>1741</v>
      </c>
      <c r="CE898" t="s">
        <v>1742</v>
      </c>
      <c r="CF898" s="6">
        <v>15</v>
      </c>
      <c r="CH898" s="6">
        <v>22.5</v>
      </c>
      <c r="CJ898" t="s">
        <v>137</v>
      </c>
      <c r="CK898" t="s">
        <v>14004</v>
      </c>
      <c r="CL898" t="s">
        <v>14005</v>
      </c>
      <c r="CO898" t="s">
        <v>138</v>
      </c>
      <c r="CP898" t="s">
        <v>114</v>
      </c>
      <c r="CQ898" t="s">
        <v>134</v>
      </c>
      <c r="CR898" t="s">
        <v>114</v>
      </c>
      <c r="CS898" t="s">
        <v>134</v>
      </c>
      <c r="CT898" t="s">
        <v>114</v>
      </c>
      <c r="CU898" t="s">
        <v>114</v>
      </c>
      <c r="CV898" t="s">
        <v>14006</v>
      </c>
      <c r="CW898" s="5" t="str">
        <f>"+13052282300"</f>
        <v>+13052282300</v>
      </c>
      <c r="CX898" t="s">
        <v>14003</v>
      </c>
      <c r="CY898" t="s">
        <v>138</v>
      </c>
      <c r="CZ898" t="s">
        <v>139</v>
      </c>
      <c r="DA898" t="s">
        <v>134</v>
      </c>
      <c r="DB898" t="s">
        <v>114</v>
      </c>
      <c r="DC898" t="s">
        <v>114</v>
      </c>
      <c r="DD898" t="s">
        <v>134</v>
      </c>
    </row>
    <row r="899" spans="1:113" ht="15" customHeight="1" x14ac:dyDescent="0.25">
      <c r="A899" t="s">
        <v>13172</v>
      </c>
      <c r="B899" t="s">
        <v>165</v>
      </c>
      <c r="C899" s="1">
        <v>44797.632275000004</v>
      </c>
      <c r="D899" s="1">
        <v>44855</v>
      </c>
      <c r="E899" t="s">
        <v>134</v>
      </c>
      <c r="F899" t="s">
        <v>13173</v>
      </c>
      <c r="G899" t="str">
        <f>"53-3052.00"</f>
        <v>53-3052.00</v>
      </c>
      <c r="H899" t="s">
        <v>6302</v>
      </c>
      <c r="I899">
        <v>10</v>
      </c>
      <c r="J899">
        <v>10</v>
      </c>
      <c r="K899" s="1">
        <v>44886</v>
      </c>
      <c r="L899" s="1">
        <v>45159</v>
      </c>
      <c r="M899" s="1">
        <v>44886</v>
      </c>
      <c r="N899" s="1">
        <v>45159</v>
      </c>
      <c r="O899" t="s">
        <v>117</v>
      </c>
      <c r="P899" t="s">
        <v>12116</v>
      </c>
      <c r="Q899" t="s">
        <v>12117</v>
      </c>
      <c r="R899" t="s">
        <v>13174</v>
      </c>
      <c r="T899" t="s">
        <v>1525</v>
      </c>
      <c r="U899" t="s">
        <v>232</v>
      </c>
      <c r="V899" s="4" t="str">
        <f>"75203"</f>
        <v>75203</v>
      </c>
      <c r="W899" t="s">
        <v>120</v>
      </c>
      <c r="Y899" s="5">
        <v>18324042318</v>
      </c>
      <c r="AA899">
        <v>48599</v>
      </c>
      <c r="AB899" t="s">
        <v>5609</v>
      </c>
      <c r="AC899" t="s">
        <v>4624</v>
      </c>
      <c r="AE899" t="s">
        <v>252</v>
      </c>
      <c r="AF899" t="s">
        <v>12118</v>
      </c>
      <c r="AH899" t="s">
        <v>1545</v>
      </c>
      <c r="AI899" t="s">
        <v>232</v>
      </c>
      <c r="AJ899" s="4" t="str">
        <f>"77023"</f>
        <v>77023</v>
      </c>
      <c r="AK899" t="s">
        <v>120</v>
      </c>
      <c r="AM899" s="5">
        <v>18324042318</v>
      </c>
      <c r="AO899" t="s">
        <v>12119</v>
      </c>
      <c r="AP899" t="s">
        <v>122</v>
      </c>
      <c r="AQ899" t="s">
        <v>3933</v>
      </c>
      <c r="AR899" t="s">
        <v>10884</v>
      </c>
      <c r="AT899" t="s">
        <v>12120</v>
      </c>
      <c r="AV899" t="s">
        <v>6729</v>
      </c>
      <c r="AW899" t="s">
        <v>232</v>
      </c>
      <c r="AX899" s="4" t="str">
        <f>"77060"</f>
        <v>77060</v>
      </c>
      <c r="AY899" t="s">
        <v>120</v>
      </c>
      <c r="BA899" s="5">
        <v>18324207643</v>
      </c>
      <c r="BC899" t="s">
        <v>10885</v>
      </c>
      <c r="BD899" t="s">
        <v>10886</v>
      </c>
      <c r="BE899" t="s">
        <v>232</v>
      </c>
      <c r="BF899" t="s">
        <v>687</v>
      </c>
      <c r="BG899" t="s">
        <v>232</v>
      </c>
      <c r="BH899" s="1">
        <v>44796.833333333336</v>
      </c>
      <c r="BI899">
        <v>40</v>
      </c>
      <c r="BJ899">
        <v>8</v>
      </c>
      <c r="BK899">
        <v>0</v>
      </c>
      <c r="BL899">
        <v>0</v>
      </c>
      <c r="BM899">
        <v>8</v>
      </c>
      <c r="BN899">
        <v>8</v>
      </c>
      <c r="BO899">
        <v>8</v>
      </c>
      <c r="BP899">
        <v>8</v>
      </c>
      <c r="BQ899" t="str">
        <f>"8:00 AM"</f>
        <v>8:00 AM</v>
      </c>
      <c r="BR899" t="str">
        <f>"5:00 PM"</f>
        <v>5:00 PM</v>
      </c>
      <c r="BS899" t="s">
        <v>133</v>
      </c>
      <c r="BT899">
        <v>0</v>
      </c>
      <c r="BU899">
        <v>6</v>
      </c>
      <c r="BV899" t="s">
        <v>134</v>
      </c>
      <c r="BX899" s="2" t="s">
        <v>13175</v>
      </c>
      <c r="BY899" t="s">
        <v>13174</v>
      </c>
      <c r="CA899" t="s">
        <v>1525</v>
      </c>
      <c r="CB899" t="s">
        <v>232</v>
      </c>
      <c r="CC899" s="4" t="str">
        <f>"75203"</f>
        <v>75203</v>
      </c>
      <c r="CD899" t="s">
        <v>1482</v>
      </c>
      <c r="CE899" t="s">
        <v>1528</v>
      </c>
      <c r="CF899" s="6">
        <v>17.84</v>
      </c>
      <c r="CJ899" t="s">
        <v>137</v>
      </c>
      <c r="CL899" t="s">
        <v>13176</v>
      </c>
      <c r="CO899" t="s">
        <v>138</v>
      </c>
      <c r="CP899" t="s">
        <v>114</v>
      </c>
      <c r="CQ899" t="s">
        <v>134</v>
      </c>
      <c r="CR899" t="s">
        <v>134</v>
      </c>
      <c r="CS899" t="s">
        <v>134</v>
      </c>
      <c r="CT899" t="s">
        <v>114</v>
      </c>
      <c r="CU899" t="s">
        <v>114</v>
      </c>
      <c r="CV899" t="s">
        <v>2335</v>
      </c>
      <c r="CW899" s="5" t="str">
        <f>"+18324042318"</f>
        <v>+18324042318</v>
      </c>
      <c r="CX899" t="s">
        <v>12119</v>
      </c>
      <c r="CY899" t="s">
        <v>138</v>
      </c>
      <c r="CZ899" t="s">
        <v>139</v>
      </c>
      <c r="DA899" t="s">
        <v>134</v>
      </c>
      <c r="DB899" t="s">
        <v>134</v>
      </c>
      <c r="DC899" t="s">
        <v>114</v>
      </c>
      <c r="DD899" t="s">
        <v>134</v>
      </c>
    </row>
    <row r="900" spans="1:113" ht="15" customHeight="1" x14ac:dyDescent="0.25">
      <c r="A900" t="s">
        <v>12115</v>
      </c>
      <c r="B900" t="s">
        <v>165</v>
      </c>
      <c r="C900" s="1">
        <v>44797.618266550926</v>
      </c>
      <c r="D900" s="1">
        <v>44855</v>
      </c>
      <c r="E900" t="s">
        <v>134</v>
      </c>
      <c r="F900" t="s">
        <v>11825</v>
      </c>
      <c r="G900" t="str">
        <f>"53-3052.00"</f>
        <v>53-3052.00</v>
      </c>
      <c r="H900" t="s">
        <v>6302</v>
      </c>
      <c r="I900">
        <v>16</v>
      </c>
      <c r="J900">
        <v>16</v>
      </c>
      <c r="K900" s="1">
        <v>44886</v>
      </c>
      <c r="L900" s="1">
        <v>45159</v>
      </c>
      <c r="M900" s="1">
        <v>44886</v>
      </c>
      <c r="N900" s="1">
        <v>45159</v>
      </c>
      <c r="O900" t="s">
        <v>117</v>
      </c>
      <c r="P900" t="s">
        <v>12116</v>
      </c>
      <c r="Q900" t="s">
        <v>12117</v>
      </c>
      <c r="R900" t="s">
        <v>12118</v>
      </c>
      <c r="T900" t="s">
        <v>1545</v>
      </c>
      <c r="U900" t="s">
        <v>232</v>
      </c>
      <c r="V900" s="4" t="str">
        <f>"77023"</f>
        <v>77023</v>
      </c>
      <c r="W900" t="s">
        <v>120</v>
      </c>
      <c r="Y900" s="5">
        <v>18324042318</v>
      </c>
      <c r="AA900">
        <v>48599</v>
      </c>
      <c r="AB900" t="s">
        <v>5609</v>
      </c>
      <c r="AC900" t="s">
        <v>4624</v>
      </c>
      <c r="AE900" t="s">
        <v>252</v>
      </c>
      <c r="AF900" t="s">
        <v>12118</v>
      </c>
      <c r="AH900" t="s">
        <v>1545</v>
      </c>
      <c r="AI900" t="s">
        <v>232</v>
      </c>
      <c r="AJ900" s="4" t="str">
        <f>"77023"</f>
        <v>77023</v>
      </c>
      <c r="AK900" t="s">
        <v>120</v>
      </c>
      <c r="AM900" s="5">
        <v>18324042318</v>
      </c>
      <c r="AO900" t="s">
        <v>12119</v>
      </c>
      <c r="AP900" t="s">
        <v>122</v>
      </c>
      <c r="AQ900" t="s">
        <v>3933</v>
      </c>
      <c r="AR900" t="s">
        <v>10884</v>
      </c>
      <c r="AT900" t="s">
        <v>12120</v>
      </c>
      <c r="AV900" t="s">
        <v>1545</v>
      </c>
      <c r="AW900" t="s">
        <v>232</v>
      </c>
      <c r="AX900" s="4" t="str">
        <f>"77060"</f>
        <v>77060</v>
      </c>
      <c r="AY900" t="s">
        <v>120</v>
      </c>
      <c r="BA900" s="5">
        <v>18324207643</v>
      </c>
      <c r="BC900" t="s">
        <v>10885</v>
      </c>
      <c r="BD900" t="s">
        <v>10886</v>
      </c>
      <c r="BE900" t="s">
        <v>232</v>
      </c>
      <c r="BF900" t="s">
        <v>687</v>
      </c>
      <c r="BG900" t="s">
        <v>232</v>
      </c>
      <c r="BH900" s="1">
        <v>44796.833333333336</v>
      </c>
      <c r="BI900">
        <v>40</v>
      </c>
      <c r="BJ900">
        <v>8</v>
      </c>
      <c r="BK900">
        <v>0</v>
      </c>
      <c r="BL900">
        <v>0</v>
      </c>
      <c r="BM900">
        <v>8</v>
      </c>
      <c r="BN900">
        <v>8</v>
      </c>
      <c r="BO900">
        <v>8</v>
      </c>
      <c r="BP900">
        <v>8</v>
      </c>
      <c r="BQ900" t="str">
        <f>"8:00 AM"</f>
        <v>8:00 AM</v>
      </c>
      <c r="BR900" t="str">
        <f>"5:00 PM"</f>
        <v>5:00 PM</v>
      </c>
      <c r="BS900" t="s">
        <v>133</v>
      </c>
      <c r="BT900">
        <v>0</v>
      </c>
      <c r="BU900">
        <v>6</v>
      </c>
      <c r="BV900" t="s">
        <v>134</v>
      </c>
      <c r="BX900" s="2" t="s">
        <v>12121</v>
      </c>
      <c r="BY900" t="s">
        <v>12118</v>
      </c>
      <c r="CA900" t="s">
        <v>1545</v>
      </c>
      <c r="CB900" t="s">
        <v>232</v>
      </c>
      <c r="CC900" s="4" t="str">
        <f>"77023"</f>
        <v>77023</v>
      </c>
      <c r="CD900" t="s">
        <v>3290</v>
      </c>
      <c r="CE900" t="s">
        <v>873</v>
      </c>
      <c r="CF900" s="6">
        <v>21.54</v>
      </c>
      <c r="CJ900" t="s">
        <v>137</v>
      </c>
      <c r="CL900" t="s">
        <v>12122</v>
      </c>
      <c r="CO900" t="s">
        <v>138</v>
      </c>
      <c r="CP900" t="s">
        <v>114</v>
      </c>
      <c r="CQ900" t="s">
        <v>134</v>
      </c>
      <c r="CR900" t="s">
        <v>134</v>
      </c>
      <c r="CS900" t="s">
        <v>134</v>
      </c>
      <c r="CT900" t="s">
        <v>114</v>
      </c>
      <c r="CU900" t="s">
        <v>114</v>
      </c>
      <c r="CV900" t="s">
        <v>12123</v>
      </c>
      <c r="CW900" s="5" t="str">
        <f>"+18324042318"</f>
        <v>+18324042318</v>
      </c>
      <c r="CX900" t="s">
        <v>12119</v>
      </c>
      <c r="CY900" t="s">
        <v>138</v>
      </c>
      <c r="CZ900" t="s">
        <v>139</v>
      </c>
      <c r="DA900" t="s">
        <v>134</v>
      </c>
      <c r="DB900" t="s">
        <v>134</v>
      </c>
      <c r="DC900" t="s">
        <v>114</v>
      </c>
      <c r="DD900" t="s">
        <v>134</v>
      </c>
    </row>
    <row r="901" spans="1:113" ht="15" customHeight="1" x14ac:dyDescent="0.25">
      <c r="A901" t="s">
        <v>1120</v>
      </c>
      <c r="B901" t="s">
        <v>165</v>
      </c>
      <c r="C901" s="1">
        <v>44785.897844328705</v>
      </c>
      <c r="D901" s="1">
        <v>44855</v>
      </c>
      <c r="E901" t="s">
        <v>134</v>
      </c>
      <c r="F901" t="s">
        <v>1121</v>
      </c>
      <c r="G901" t="str">
        <f>"49-3031.00"</f>
        <v>49-3031.00</v>
      </c>
      <c r="H901" t="s">
        <v>1121</v>
      </c>
      <c r="I901">
        <v>10</v>
      </c>
      <c r="J901">
        <v>10</v>
      </c>
      <c r="K901" s="1">
        <v>44860</v>
      </c>
      <c r="L901" s="1">
        <v>45590</v>
      </c>
      <c r="M901" s="1">
        <v>44860</v>
      </c>
      <c r="N901" s="1">
        <v>45590</v>
      </c>
      <c r="O901" t="s">
        <v>168</v>
      </c>
      <c r="P901" t="s">
        <v>1122</v>
      </c>
      <c r="R901" t="s">
        <v>1123</v>
      </c>
      <c r="T901" t="s">
        <v>239</v>
      </c>
      <c r="U901" t="s">
        <v>232</v>
      </c>
      <c r="V901" s="4" t="str">
        <f>"79705"</f>
        <v>79705</v>
      </c>
      <c r="W901" t="s">
        <v>120</v>
      </c>
      <c r="Y901" s="5">
        <v>14328941293</v>
      </c>
      <c r="AA901">
        <v>484220</v>
      </c>
      <c r="AB901" t="s">
        <v>1124</v>
      </c>
      <c r="AC901" t="s">
        <v>1125</v>
      </c>
      <c r="AE901" t="s">
        <v>285</v>
      </c>
      <c r="AF901" t="s">
        <v>1126</v>
      </c>
      <c r="AH901" t="s">
        <v>239</v>
      </c>
      <c r="AI901" t="s">
        <v>232</v>
      </c>
      <c r="AJ901" s="4" t="str">
        <f>"79705"</f>
        <v>79705</v>
      </c>
      <c r="AK901" t="s">
        <v>120</v>
      </c>
      <c r="AM901" s="5">
        <v>14329676862</v>
      </c>
      <c r="AO901" t="s">
        <v>1127</v>
      </c>
      <c r="AP901" t="s">
        <v>122</v>
      </c>
      <c r="AQ901" t="s">
        <v>1128</v>
      </c>
      <c r="AR901" t="s">
        <v>1129</v>
      </c>
      <c r="AT901" t="s">
        <v>1130</v>
      </c>
      <c r="AU901" t="s">
        <v>1131</v>
      </c>
      <c r="AV901" t="s">
        <v>587</v>
      </c>
      <c r="AW901" t="s">
        <v>530</v>
      </c>
      <c r="AX901" s="4" t="str">
        <f>"85012"</f>
        <v>85012</v>
      </c>
      <c r="AY901" t="s">
        <v>120</v>
      </c>
      <c r="BA901" s="5">
        <v>16028604400</v>
      </c>
      <c r="BC901" t="s">
        <v>1132</v>
      </c>
      <c r="BD901" t="s">
        <v>1133</v>
      </c>
      <c r="BE901" t="s">
        <v>181</v>
      </c>
      <c r="BF901" t="s">
        <v>1134</v>
      </c>
      <c r="BG901" t="s">
        <v>232</v>
      </c>
      <c r="BH901" s="1">
        <v>44784.833333333336</v>
      </c>
      <c r="BI901">
        <v>40</v>
      </c>
      <c r="BJ901">
        <v>0</v>
      </c>
      <c r="BK901">
        <v>8</v>
      </c>
      <c r="BL901">
        <v>8</v>
      </c>
      <c r="BM901">
        <v>8</v>
      </c>
      <c r="BN901">
        <v>8</v>
      </c>
      <c r="BO901">
        <v>8</v>
      </c>
      <c r="BP901">
        <v>0</v>
      </c>
      <c r="BQ901" t="str">
        <f>"7:00 AM"</f>
        <v>7:00 AM</v>
      </c>
      <c r="BR901" t="str">
        <f>"4:00 PM"</f>
        <v>4:00 PM</v>
      </c>
      <c r="BS901" t="s">
        <v>133</v>
      </c>
      <c r="BT901">
        <v>0</v>
      </c>
      <c r="BU901">
        <v>12</v>
      </c>
      <c r="BV901" t="s">
        <v>134</v>
      </c>
      <c r="BX901" s="2" t="s">
        <v>1135</v>
      </c>
      <c r="BY901" t="s">
        <v>1136</v>
      </c>
      <c r="CA901" t="s">
        <v>239</v>
      </c>
      <c r="CB901" t="s">
        <v>232</v>
      </c>
      <c r="CC901" s="4" t="str">
        <f>"79705"</f>
        <v>79705</v>
      </c>
      <c r="CD901" t="s">
        <v>231</v>
      </c>
      <c r="CE901" t="s">
        <v>240</v>
      </c>
      <c r="CF901" s="6">
        <v>25.84</v>
      </c>
      <c r="CG901" s="6">
        <v>25.84</v>
      </c>
      <c r="CH901" s="6">
        <v>38.76</v>
      </c>
      <c r="CI901" s="6">
        <v>38.76</v>
      </c>
      <c r="CJ901" t="s">
        <v>137</v>
      </c>
      <c r="CL901" t="s">
        <v>1137</v>
      </c>
      <c r="CO901" t="s">
        <v>138</v>
      </c>
      <c r="CP901" t="s">
        <v>114</v>
      </c>
      <c r="CQ901" t="s">
        <v>114</v>
      </c>
      <c r="CR901" t="s">
        <v>114</v>
      </c>
      <c r="CS901" t="s">
        <v>114</v>
      </c>
      <c r="CT901" t="s">
        <v>114</v>
      </c>
      <c r="CU901" t="s">
        <v>114</v>
      </c>
      <c r="CV901" s="2" t="s">
        <v>1138</v>
      </c>
      <c r="CW901" s="5" t="str">
        <f>"+14329676862"</f>
        <v>+14329676862</v>
      </c>
      <c r="CX901" t="s">
        <v>1127</v>
      </c>
      <c r="CY901" t="s">
        <v>1139</v>
      </c>
      <c r="CZ901" t="s">
        <v>139</v>
      </c>
      <c r="DA901" t="s">
        <v>134</v>
      </c>
      <c r="DB901" t="s">
        <v>134</v>
      </c>
      <c r="DC901" t="s">
        <v>114</v>
      </c>
      <c r="DD901" t="s">
        <v>134</v>
      </c>
    </row>
    <row r="902" spans="1:113" ht="15" customHeight="1" x14ac:dyDescent="0.25">
      <c r="A902" t="s">
        <v>15451</v>
      </c>
      <c r="B902" t="s">
        <v>165</v>
      </c>
      <c r="C902" s="1">
        <v>44785.893776041667</v>
      </c>
      <c r="D902" s="1">
        <v>44855</v>
      </c>
      <c r="E902" t="s">
        <v>134</v>
      </c>
      <c r="F902" t="s">
        <v>15452</v>
      </c>
      <c r="G902" t="str">
        <f>"53-3032.00"</f>
        <v>53-3032.00</v>
      </c>
      <c r="H902" t="s">
        <v>227</v>
      </c>
      <c r="I902">
        <v>35</v>
      </c>
      <c r="J902">
        <v>35</v>
      </c>
      <c r="K902" s="1">
        <v>44860</v>
      </c>
      <c r="L902" s="1">
        <v>45590</v>
      </c>
      <c r="M902" s="1">
        <v>44860</v>
      </c>
      <c r="N902" s="1">
        <v>45590</v>
      </c>
      <c r="O902" t="s">
        <v>168</v>
      </c>
      <c r="P902" t="s">
        <v>1122</v>
      </c>
      <c r="R902" t="s">
        <v>1126</v>
      </c>
      <c r="T902" t="s">
        <v>239</v>
      </c>
      <c r="U902" t="s">
        <v>232</v>
      </c>
      <c r="V902" s="4" t="str">
        <f>"79705"</f>
        <v>79705</v>
      </c>
      <c r="W902" t="s">
        <v>120</v>
      </c>
      <c r="Y902" s="5">
        <v>14328941293</v>
      </c>
      <c r="AA902">
        <v>484220</v>
      </c>
      <c r="AB902" t="s">
        <v>1124</v>
      </c>
      <c r="AC902" t="s">
        <v>1125</v>
      </c>
      <c r="AE902" t="s">
        <v>285</v>
      </c>
      <c r="AF902" t="s">
        <v>15453</v>
      </c>
      <c r="AH902" t="s">
        <v>239</v>
      </c>
      <c r="AI902" t="s">
        <v>232</v>
      </c>
      <c r="AJ902" s="4" t="str">
        <f>"79705"</f>
        <v>79705</v>
      </c>
      <c r="AK902" t="s">
        <v>120</v>
      </c>
      <c r="AM902" s="5">
        <v>14329676862</v>
      </c>
      <c r="AO902" t="s">
        <v>1127</v>
      </c>
      <c r="AP902" t="s">
        <v>122</v>
      </c>
      <c r="AQ902" t="s">
        <v>1128</v>
      </c>
      <c r="AR902" t="s">
        <v>1129</v>
      </c>
      <c r="AT902" t="s">
        <v>15454</v>
      </c>
      <c r="AU902" t="s">
        <v>1131</v>
      </c>
      <c r="AV902" t="s">
        <v>587</v>
      </c>
      <c r="AW902" t="s">
        <v>530</v>
      </c>
      <c r="AX902" s="4" t="str">
        <f>"85012"</f>
        <v>85012</v>
      </c>
      <c r="AY902" t="s">
        <v>120</v>
      </c>
      <c r="BA902" s="5">
        <v>16028604400</v>
      </c>
      <c r="BC902" t="s">
        <v>1132</v>
      </c>
      <c r="BD902" t="s">
        <v>1133</v>
      </c>
      <c r="BE902" t="s">
        <v>181</v>
      </c>
      <c r="BF902" t="s">
        <v>1134</v>
      </c>
      <c r="BG902" t="s">
        <v>232</v>
      </c>
      <c r="BH902" s="1">
        <v>44784.833333333336</v>
      </c>
      <c r="BI902">
        <v>40</v>
      </c>
      <c r="BJ902">
        <v>0</v>
      </c>
      <c r="BK902">
        <v>8</v>
      </c>
      <c r="BL902">
        <v>8</v>
      </c>
      <c r="BM902">
        <v>8</v>
      </c>
      <c r="BN902">
        <v>8</v>
      </c>
      <c r="BO902">
        <v>8</v>
      </c>
      <c r="BP902">
        <v>0</v>
      </c>
      <c r="BQ902" t="str">
        <f>"7:00 AM"</f>
        <v>7:00 AM</v>
      </c>
      <c r="BR902" t="str">
        <f>"4:00 PM"</f>
        <v>4:00 PM</v>
      </c>
      <c r="BS902" t="s">
        <v>133</v>
      </c>
      <c r="BT902">
        <v>0</v>
      </c>
      <c r="BU902">
        <v>12</v>
      </c>
      <c r="BV902" t="s">
        <v>134</v>
      </c>
      <c r="BX902" s="2" t="s">
        <v>15455</v>
      </c>
      <c r="BY902" t="s">
        <v>1123</v>
      </c>
      <c r="CA902" t="s">
        <v>239</v>
      </c>
      <c r="CB902" t="s">
        <v>232</v>
      </c>
      <c r="CC902" s="4" t="str">
        <f>"79705"</f>
        <v>79705</v>
      </c>
      <c r="CD902" t="s">
        <v>231</v>
      </c>
      <c r="CE902" t="s">
        <v>240</v>
      </c>
      <c r="CF902" s="6">
        <v>25.49</v>
      </c>
      <c r="CG902" s="6">
        <v>25.49</v>
      </c>
      <c r="CH902" s="6">
        <v>38.24</v>
      </c>
      <c r="CI902" s="6">
        <v>38.24</v>
      </c>
      <c r="CJ902" t="s">
        <v>137</v>
      </c>
      <c r="CL902" t="s">
        <v>15456</v>
      </c>
      <c r="CO902" t="s">
        <v>138</v>
      </c>
      <c r="CP902" t="s">
        <v>114</v>
      </c>
      <c r="CQ902" t="s">
        <v>114</v>
      </c>
      <c r="CR902" t="s">
        <v>114</v>
      </c>
      <c r="CS902" t="s">
        <v>114</v>
      </c>
      <c r="CT902" t="s">
        <v>114</v>
      </c>
      <c r="CU902" t="s">
        <v>114</v>
      </c>
      <c r="CV902" s="2" t="s">
        <v>1138</v>
      </c>
      <c r="CW902" s="5" t="str">
        <f>"+14329676862"</f>
        <v>+14329676862</v>
      </c>
      <c r="CX902" t="s">
        <v>1127</v>
      </c>
      <c r="CY902" t="s">
        <v>1139</v>
      </c>
      <c r="CZ902" t="s">
        <v>139</v>
      </c>
      <c r="DA902" t="s">
        <v>134</v>
      </c>
      <c r="DB902" t="s">
        <v>134</v>
      </c>
      <c r="DC902" t="s">
        <v>114</v>
      </c>
      <c r="DD902" t="s">
        <v>134</v>
      </c>
    </row>
    <row r="903" spans="1:113" ht="15" customHeight="1" x14ac:dyDescent="0.25">
      <c r="A903" t="s">
        <v>12011</v>
      </c>
      <c r="B903" t="s">
        <v>165</v>
      </c>
      <c r="C903" s="1">
        <v>44745.001666435186</v>
      </c>
      <c r="D903" s="1">
        <v>44855</v>
      </c>
      <c r="E903" t="s">
        <v>134</v>
      </c>
      <c r="F903" t="s">
        <v>12012</v>
      </c>
      <c r="G903" t="str">
        <f>"49-9098.00"</f>
        <v>49-9098.00</v>
      </c>
      <c r="H903" t="s">
        <v>525</v>
      </c>
      <c r="I903">
        <v>8</v>
      </c>
      <c r="J903">
        <v>8</v>
      </c>
      <c r="K903" s="1">
        <v>44835</v>
      </c>
      <c r="L903" s="1">
        <v>45107</v>
      </c>
      <c r="M903" s="1">
        <v>44835</v>
      </c>
      <c r="N903" s="1">
        <v>45107</v>
      </c>
      <c r="O903" t="s">
        <v>199</v>
      </c>
      <c r="P903" t="s">
        <v>12013</v>
      </c>
      <c r="R903" t="s">
        <v>12014</v>
      </c>
      <c r="T903" t="s">
        <v>12015</v>
      </c>
      <c r="U903" t="s">
        <v>214</v>
      </c>
      <c r="V903" s="4" t="str">
        <f>"70544"</f>
        <v>70544</v>
      </c>
      <c r="W903" t="s">
        <v>120</v>
      </c>
      <c r="Y903" s="5">
        <v>13372764592</v>
      </c>
      <c r="AA903">
        <v>311314</v>
      </c>
      <c r="AB903" t="s">
        <v>4575</v>
      </c>
      <c r="AC903" t="s">
        <v>5533</v>
      </c>
      <c r="AD903" t="s">
        <v>10094</v>
      </c>
      <c r="AE903" t="s">
        <v>12016</v>
      </c>
      <c r="AF903" t="s">
        <v>12014</v>
      </c>
      <c r="AH903" t="s">
        <v>12015</v>
      </c>
      <c r="AI903" t="s">
        <v>214</v>
      </c>
      <c r="AJ903" s="4" t="str">
        <f>"70544"</f>
        <v>70544</v>
      </c>
      <c r="AK903" t="s">
        <v>120</v>
      </c>
      <c r="AM903" s="5">
        <v>13372764592</v>
      </c>
      <c r="AO903" t="s">
        <v>12017</v>
      </c>
      <c r="AP903" t="s">
        <v>122</v>
      </c>
      <c r="AQ903" t="s">
        <v>9100</v>
      </c>
      <c r="AR903" t="s">
        <v>3543</v>
      </c>
      <c r="AS903" t="s">
        <v>125</v>
      </c>
      <c r="AT903" t="s">
        <v>9101</v>
      </c>
      <c r="AU903" t="s">
        <v>9102</v>
      </c>
      <c r="AV903" t="s">
        <v>8176</v>
      </c>
      <c r="AW903" t="s">
        <v>214</v>
      </c>
      <c r="AX903" s="4" t="str">
        <f>"70130"</f>
        <v>70130</v>
      </c>
      <c r="AY903" t="s">
        <v>120</v>
      </c>
      <c r="BA903" s="5">
        <v>15045224217</v>
      </c>
      <c r="BC903" t="s">
        <v>9103</v>
      </c>
      <c r="BD903" t="s">
        <v>9104</v>
      </c>
      <c r="BE903" t="s">
        <v>214</v>
      </c>
      <c r="BF903" t="s">
        <v>733</v>
      </c>
      <c r="BG903" t="s">
        <v>214</v>
      </c>
      <c r="BH903" s="1">
        <v>44742.833333333336</v>
      </c>
      <c r="BI903">
        <v>84</v>
      </c>
      <c r="BJ903">
        <v>12</v>
      </c>
      <c r="BK903">
        <v>12</v>
      </c>
      <c r="BL903">
        <v>12</v>
      </c>
      <c r="BM903">
        <v>12</v>
      </c>
      <c r="BN903">
        <v>12</v>
      </c>
      <c r="BO903">
        <v>12</v>
      </c>
      <c r="BP903">
        <v>12</v>
      </c>
      <c r="BQ903" t="str">
        <f>"12:00 PM"</f>
        <v>12:00 PM</v>
      </c>
      <c r="BR903" t="str">
        <f>"12:00 AM"</f>
        <v>12:00 AM</v>
      </c>
      <c r="BS903" t="s">
        <v>133</v>
      </c>
      <c r="BT903">
        <v>0</v>
      </c>
      <c r="BU903">
        <v>3</v>
      </c>
      <c r="BV903" t="s">
        <v>134</v>
      </c>
      <c r="BX903" t="s">
        <v>219</v>
      </c>
      <c r="BY903" t="s">
        <v>12014</v>
      </c>
      <c r="CA903" t="s">
        <v>12015</v>
      </c>
      <c r="CB903" t="s">
        <v>214</v>
      </c>
      <c r="CC903" s="4" t="str">
        <f>"70544"</f>
        <v>70544</v>
      </c>
      <c r="CD903" t="s">
        <v>12018</v>
      </c>
      <c r="CE903" t="s">
        <v>1822</v>
      </c>
      <c r="CF903" s="6">
        <v>14.45</v>
      </c>
      <c r="CH903" s="6">
        <v>21.68</v>
      </c>
      <c r="CJ903" t="s">
        <v>137</v>
      </c>
      <c r="CK903" t="s">
        <v>9105</v>
      </c>
      <c r="CL903" t="s">
        <v>12019</v>
      </c>
      <c r="CO903" t="s">
        <v>138</v>
      </c>
      <c r="CP903" t="s">
        <v>134</v>
      </c>
      <c r="CQ903" t="s">
        <v>114</v>
      </c>
      <c r="CR903" t="s">
        <v>114</v>
      </c>
      <c r="CS903" t="s">
        <v>134</v>
      </c>
      <c r="CT903" t="s">
        <v>114</v>
      </c>
      <c r="CU903" t="s">
        <v>114</v>
      </c>
      <c r="CV903" t="s">
        <v>219</v>
      </c>
      <c r="CW903" s="5" t="str">
        <f>"+13372764592"</f>
        <v>+13372764592</v>
      </c>
      <c r="CX903" t="s">
        <v>12017</v>
      </c>
      <c r="CY903" t="s">
        <v>138</v>
      </c>
      <c r="CZ903" t="s">
        <v>139</v>
      </c>
      <c r="DA903" t="s">
        <v>134</v>
      </c>
      <c r="DB903" t="s">
        <v>134</v>
      </c>
      <c r="DC903" t="s">
        <v>114</v>
      </c>
      <c r="DD903" t="s">
        <v>134</v>
      </c>
    </row>
    <row r="904" spans="1:113" ht="15" customHeight="1" x14ac:dyDescent="0.25">
      <c r="A904" t="s">
        <v>9823</v>
      </c>
      <c r="B904" t="s">
        <v>165</v>
      </c>
      <c r="C904" s="1">
        <v>44831.514501157406</v>
      </c>
      <c r="D904" s="1">
        <v>44854</v>
      </c>
      <c r="E904" t="s">
        <v>134</v>
      </c>
      <c r="F904" t="s">
        <v>115</v>
      </c>
      <c r="G904" t="str">
        <f>"37-2012.00"</f>
        <v>37-2012.00</v>
      </c>
      <c r="H904" t="s">
        <v>116</v>
      </c>
      <c r="I904">
        <v>8</v>
      </c>
      <c r="J904">
        <v>8</v>
      </c>
      <c r="K904" s="1">
        <v>44906</v>
      </c>
      <c r="L904" s="1">
        <v>45011</v>
      </c>
      <c r="M904" s="1">
        <v>44906</v>
      </c>
      <c r="N904" s="1">
        <v>45011</v>
      </c>
      <c r="O904" t="s">
        <v>117</v>
      </c>
      <c r="P904" t="s">
        <v>9824</v>
      </c>
      <c r="Q904" t="s">
        <v>9825</v>
      </c>
      <c r="R904" t="s">
        <v>9826</v>
      </c>
      <c r="S904" t="s">
        <v>9827</v>
      </c>
      <c r="T904" t="s">
        <v>1856</v>
      </c>
      <c r="U904" t="s">
        <v>2164</v>
      </c>
      <c r="V904" s="4" t="str">
        <f>"83001"</f>
        <v>83001</v>
      </c>
      <c r="W904" t="s">
        <v>120</v>
      </c>
      <c r="Y904" s="5">
        <v>13077332535</v>
      </c>
      <c r="AA904">
        <v>72111</v>
      </c>
      <c r="AB904" t="s">
        <v>9828</v>
      </c>
      <c r="AC904" t="s">
        <v>3955</v>
      </c>
      <c r="AE904" t="s">
        <v>977</v>
      </c>
      <c r="AF904" t="s">
        <v>9826</v>
      </c>
      <c r="AG904" t="s">
        <v>9827</v>
      </c>
      <c r="AH904" t="s">
        <v>1856</v>
      </c>
      <c r="AI904" t="s">
        <v>2164</v>
      </c>
      <c r="AJ904" s="4" t="str">
        <f>"83001"</f>
        <v>83001</v>
      </c>
      <c r="AK904" t="s">
        <v>120</v>
      </c>
      <c r="AM904" s="5">
        <v>13077332535</v>
      </c>
      <c r="AO904" t="s">
        <v>138</v>
      </c>
      <c r="AP904" t="s">
        <v>256</v>
      </c>
      <c r="AQ904" t="s">
        <v>1481</v>
      </c>
      <c r="AR904" t="s">
        <v>6816</v>
      </c>
      <c r="AT904" t="s">
        <v>477</v>
      </c>
      <c r="AV904" t="s">
        <v>478</v>
      </c>
      <c r="AW904" t="s">
        <v>479</v>
      </c>
      <c r="AX904" s="4" t="str">
        <f>"22903"</f>
        <v>22903</v>
      </c>
      <c r="AY904" t="s">
        <v>120</v>
      </c>
      <c r="BA904" s="5">
        <v>14342634300</v>
      </c>
      <c r="BC904" t="s">
        <v>1842</v>
      </c>
      <c r="BD904" t="s">
        <v>481</v>
      </c>
      <c r="BG904" t="s">
        <v>2164</v>
      </c>
      <c r="BH904" s="1">
        <v>44905.791666666664</v>
      </c>
      <c r="BI904">
        <v>40</v>
      </c>
      <c r="BJ904">
        <v>0</v>
      </c>
      <c r="BK904">
        <v>8</v>
      </c>
      <c r="BL904">
        <v>8</v>
      </c>
      <c r="BM904">
        <v>8</v>
      </c>
      <c r="BN904">
        <v>8</v>
      </c>
      <c r="BO904">
        <v>8</v>
      </c>
      <c r="BP904">
        <v>0</v>
      </c>
      <c r="BQ904" t="str">
        <f>"8:00 AM"</f>
        <v>8:00 AM</v>
      </c>
      <c r="BR904" t="str">
        <f>"4:30 PM"</f>
        <v>4:30 PM</v>
      </c>
      <c r="BS904" t="s">
        <v>133</v>
      </c>
      <c r="BT904">
        <v>0</v>
      </c>
      <c r="BU904">
        <v>0</v>
      </c>
      <c r="BV904" t="s">
        <v>134</v>
      </c>
      <c r="BX904" s="2" t="s">
        <v>9829</v>
      </c>
      <c r="BY904" t="s">
        <v>9826</v>
      </c>
      <c r="CA904" t="s">
        <v>1856</v>
      </c>
      <c r="CB904" t="s">
        <v>2164</v>
      </c>
      <c r="CC904" s="4" t="str">
        <f>"83001"</f>
        <v>83001</v>
      </c>
      <c r="CD904" t="s">
        <v>1428</v>
      </c>
      <c r="CE904" t="s">
        <v>4445</v>
      </c>
      <c r="CF904" s="6">
        <v>14.28</v>
      </c>
      <c r="CH904" s="6">
        <v>21.42</v>
      </c>
      <c r="CJ904" t="s">
        <v>137</v>
      </c>
      <c r="CK904" t="s">
        <v>487</v>
      </c>
      <c r="CL904" t="s">
        <v>9830</v>
      </c>
      <c r="CO904" t="s">
        <v>138</v>
      </c>
      <c r="CP904" t="s">
        <v>134</v>
      </c>
      <c r="CQ904" t="s">
        <v>134</v>
      </c>
      <c r="CR904" t="s">
        <v>114</v>
      </c>
      <c r="CS904" t="s">
        <v>114</v>
      </c>
      <c r="CT904" t="s">
        <v>114</v>
      </c>
      <c r="CU904" t="s">
        <v>114</v>
      </c>
      <c r="CV904" t="s">
        <v>9831</v>
      </c>
      <c r="CW904" s="5" t="str">
        <f>"N/A"</f>
        <v>N/A</v>
      </c>
      <c r="CX904" t="s">
        <v>9832</v>
      </c>
      <c r="CY904" t="s">
        <v>4446</v>
      </c>
      <c r="CZ904" t="s">
        <v>139</v>
      </c>
      <c r="DA904" t="s">
        <v>134</v>
      </c>
      <c r="DB904" t="s">
        <v>114</v>
      </c>
      <c r="DC904" t="s">
        <v>114</v>
      </c>
      <c r="DD904" t="s">
        <v>134</v>
      </c>
      <c r="DE904" t="s">
        <v>1843</v>
      </c>
      <c r="DF904" t="s">
        <v>1844</v>
      </c>
      <c r="DH904" t="s">
        <v>481</v>
      </c>
      <c r="DI904" t="s">
        <v>1842</v>
      </c>
    </row>
    <row r="905" spans="1:113" ht="15" customHeight="1" x14ac:dyDescent="0.25">
      <c r="A905" t="s">
        <v>15360</v>
      </c>
      <c r="B905" t="s">
        <v>165</v>
      </c>
      <c r="C905" s="1">
        <v>44827.370770138892</v>
      </c>
      <c r="D905" s="1">
        <v>44854</v>
      </c>
      <c r="E905" t="s">
        <v>134</v>
      </c>
      <c r="F905" t="s">
        <v>15361</v>
      </c>
      <c r="G905" t="str">
        <f>"39-3091.00"</f>
        <v>39-3091.00</v>
      </c>
      <c r="H905" t="s">
        <v>362</v>
      </c>
      <c r="I905">
        <v>12</v>
      </c>
      <c r="J905">
        <v>12</v>
      </c>
      <c r="K905" s="1">
        <v>44917</v>
      </c>
      <c r="L905" s="1">
        <v>45216</v>
      </c>
      <c r="M905" s="1">
        <v>44917</v>
      </c>
      <c r="N905" s="1">
        <v>45216</v>
      </c>
      <c r="O905" t="s">
        <v>199</v>
      </c>
      <c r="P905" t="s">
        <v>15362</v>
      </c>
      <c r="R905" t="s">
        <v>15363</v>
      </c>
      <c r="S905" t="s">
        <v>15364</v>
      </c>
      <c r="T905" t="s">
        <v>7046</v>
      </c>
      <c r="U905" t="s">
        <v>444</v>
      </c>
      <c r="V905" s="4" t="str">
        <f>"90405"</f>
        <v>90405</v>
      </c>
      <c r="W905" t="s">
        <v>120</v>
      </c>
      <c r="Y905" s="5">
        <v>13104502075</v>
      </c>
      <c r="AA905">
        <v>7139</v>
      </c>
      <c r="AB905" t="s">
        <v>15365</v>
      </c>
      <c r="AC905" t="s">
        <v>5429</v>
      </c>
      <c r="AE905" t="s">
        <v>342</v>
      </c>
      <c r="AF905" t="s">
        <v>15363</v>
      </c>
      <c r="AG905" t="s">
        <v>15364</v>
      </c>
      <c r="AH905" t="s">
        <v>7046</v>
      </c>
      <c r="AI905" t="s">
        <v>444</v>
      </c>
      <c r="AJ905" s="4" t="str">
        <f>"90405"</f>
        <v>90405</v>
      </c>
      <c r="AK905" t="s">
        <v>120</v>
      </c>
      <c r="AM905" s="5">
        <v>13104502075</v>
      </c>
      <c r="AO905" t="s">
        <v>15366</v>
      </c>
      <c r="AP905" t="s">
        <v>256</v>
      </c>
      <c r="AQ905" t="s">
        <v>535</v>
      </c>
      <c r="AR905" t="s">
        <v>536</v>
      </c>
      <c r="AS905" t="s">
        <v>537</v>
      </c>
      <c r="AT905" t="s">
        <v>538</v>
      </c>
      <c r="AU905" t="s">
        <v>539</v>
      </c>
      <c r="AV905" t="s">
        <v>540</v>
      </c>
      <c r="AW905" t="s">
        <v>232</v>
      </c>
      <c r="AX905" s="4" t="str">
        <f>"78550"</f>
        <v>78550</v>
      </c>
      <c r="AY905" t="s">
        <v>120</v>
      </c>
      <c r="BA905" s="5">
        <v>19564408720</v>
      </c>
      <c r="BB905">
        <v>0</v>
      </c>
      <c r="BC905" t="s">
        <v>1022</v>
      </c>
      <c r="BD905" t="s">
        <v>543</v>
      </c>
      <c r="BG905" t="s">
        <v>444</v>
      </c>
      <c r="BH905" s="1">
        <v>44826.833333333336</v>
      </c>
      <c r="BI905">
        <v>40</v>
      </c>
      <c r="BJ905">
        <v>8</v>
      </c>
      <c r="BK905">
        <v>0</v>
      </c>
      <c r="BL905">
        <v>0</v>
      </c>
      <c r="BM905">
        <v>8</v>
      </c>
      <c r="BN905">
        <v>8</v>
      </c>
      <c r="BO905">
        <v>8</v>
      </c>
      <c r="BP905">
        <v>8</v>
      </c>
      <c r="BQ905" t="str">
        <f>"1:00 PM"</f>
        <v>1:00 PM</v>
      </c>
      <c r="BR905" t="str">
        <f>"10:00 PM"</f>
        <v>10:00 PM</v>
      </c>
      <c r="BS905" t="s">
        <v>133</v>
      </c>
      <c r="BT905">
        <v>0</v>
      </c>
      <c r="BU905">
        <v>0</v>
      </c>
      <c r="BV905" t="s">
        <v>134</v>
      </c>
      <c r="BX905" s="2" t="s">
        <v>579</v>
      </c>
      <c r="BY905" t="s">
        <v>15367</v>
      </c>
      <c r="CA905" t="s">
        <v>15368</v>
      </c>
      <c r="CB905" t="s">
        <v>444</v>
      </c>
      <c r="CC905" s="4" t="str">
        <f>"91763"</f>
        <v>91763</v>
      </c>
      <c r="CD905" t="s">
        <v>1789</v>
      </c>
      <c r="CE905" t="s">
        <v>609</v>
      </c>
      <c r="CF905" s="6">
        <v>10.15</v>
      </c>
      <c r="CG905" s="6">
        <v>15.66</v>
      </c>
      <c r="CJ905" t="s">
        <v>137</v>
      </c>
      <c r="CK905" t="s">
        <v>549</v>
      </c>
      <c r="CL905" t="s">
        <v>15369</v>
      </c>
      <c r="CO905" t="s">
        <v>138</v>
      </c>
      <c r="CP905" t="s">
        <v>114</v>
      </c>
      <c r="CQ905" t="s">
        <v>114</v>
      </c>
      <c r="CR905" t="s">
        <v>134</v>
      </c>
      <c r="CS905" t="s">
        <v>114</v>
      </c>
      <c r="CT905" t="s">
        <v>114</v>
      </c>
      <c r="CU905" t="s">
        <v>114</v>
      </c>
      <c r="CV905" t="s">
        <v>15370</v>
      </c>
      <c r="CW905" s="5" t="str">
        <f>"+13104502075"</f>
        <v>+13104502075</v>
      </c>
      <c r="CX905" t="s">
        <v>15371</v>
      </c>
      <c r="CY905" t="s">
        <v>138</v>
      </c>
      <c r="CZ905" t="s">
        <v>139</v>
      </c>
      <c r="DA905" t="s">
        <v>134</v>
      </c>
      <c r="DB905" t="s">
        <v>134</v>
      </c>
      <c r="DC905" t="s">
        <v>114</v>
      </c>
      <c r="DD905" t="s">
        <v>134</v>
      </c>
    </row>
    <row r="906" spans="1:113" ht="15" customHeight="1" x14ac:dyDescent="0.25">
      <c r="A906" t="s">
        <v>6633</v>
      </c>
      <c r="B906" t="s">
        <v>165</v>
      </c>
      <c r="C906" s="1">
        <v>44826.575825925924</v>
      </c>
      <c r="D906" s="1">
        <v>44854</v>
      </c>
      <c r="E906" t="s">
        <v>134</v>
      </c>
      <c r="F906" t="s">
        <v>6634</v>
      </c>
      <c r="G906" t="str">
        <f>"39-2021.00"</f>
        <v>39-2021.00</v>
      </c>
      <c r="H906" t="s">
        <v>615</v>
      </c>
      <c r="I906">
        <v>4</v>
      </c>
      <c r="J906">
        <v>4</v>
      </c>
      <c r="K906" s="1">
        <v>44910</v>
      </c>
      <c r="L906" s="1">
        <v>45213</v>
      </c>
      <c r="M906" s="1">
        <v>44910</v>
      </c>
      <c r="N906" s="1">
        <v>45213</v>
      </c>
      <c r="O906" t="s">
        <v>199</v>
      </c>
      <c r="P906" t="s">
        <v>6635</v>
      </c>
      <c r="R906" t="s">
        <v>6636</v>
      </c>
      <c r="T906" t="s">
        <v>6637</v>
      </c>
      <c r="U906" t="s">
        <v>154</v>
      </c>
      <c r="V906" s="4" t="str">
        <f>"32609"</f>
        <v>32609</v>
      </c>
      <c r="W906" t="s">
        <v>120</v>
      </c>
      <c r="Y906" s="5">
        <v>13524682827</v>
      </c>
      <c r="AA906">
        <v>712130</v>
      </c>
      <c r="AB906" t="s">
        <v>6638</v>
      </c>
      <c r="AC906" t="s">
        <v>1261</v>
      </c>
      <c r="AE906" t="s">
        <v>252</v>
      </c>
      <c r="AF906" t="s">
        <v>6636</v>
      </c>
      <c r="AH906" t="s">
        <v>6637</v>
      </c>
      <c r="AI906" t="s">
        <v>154</v>
      </c>
      <c r="AJ906" s="4" t="str">
        <f>"32609"</f>
        <v>32609</v>
      </c>
      <c r="AK906" t="s">
        <v>120</v>
      </c>
      <c r="AM906" s="5">
        <v>13524682827</v>
      </c>
      <c r="AO906" t="s">
        <v>6639</v>
      </c>
      <c r="AP906" t="s">
        <v>122</v>
      </c>
      <c r="AQ906" t="s">
        <v>625</v>
      </c>
      <c r="AR906" t="s">
        <v>626</v>
      </c>
      <c r="AS906" t="s">
        <v>627</v>
      </c>
      <c r="AT906" t="s">
        <v>628</v>
      </c>
      <c r="AU906" t="s">
        <v>629</v>
      </c>
      <c r="AV906" t="s">
        <v>630</v>
      </c>
      <c r="AW906" t="s">
        <v>631</v>
      </c>
      <c r="AX906" s="4" t="str">
        <f>"73069"</f>
        <v>73069</v>
      </c>
      <c r="AY906" t="s">
        <v>120</v>
      </c>
      <c r="BA906" s="5">
        <v>14053642525</v>
      </c>
      <c r="BC906" t="s">
        <v>632</v>
      </c>
      <c r="BD906" t="s">
        <v>633</v>
      </c>
      <c r="BE906" t="s">
        <v>631</v>
      </c>
      <c r="BF906" t="s">
        <v>634</v>
      </c>
      <c r="BG906" t="s">
        <v>154</v>
      </c>
      <c r="BH906" s="1">
        <v>44825.833333333336</v>
      </c>
      <c r="BI906">
        <v>56</v>
      </c>
      <c r="BJ906">
        <v>8</v>
      </c>
      <c r="BK906">
        <v>8</v>
      </c>
      <c r="BL906">
        <v>8</v>
      </c>
      <c r="BM906">
        <v>8</v>
      </c>
      <c r="BN906">
        <v>8</v>
      </c>
      <c r="BO906">
        <v>8</v>
      </c>
      <c r="BP906">
        <v>8</v>
      </c>
      <c r="BQ906" t="str">
        <f>"5:00 AM"</f>
        <v>5:00 AM</v>
      </c>
      <c r="BR906" t="str">
        <f>"5:00 PM"</f>
        <v>5:00 PM</v>
      </c>
      <c r="BS906" t="s">
        <v>133</v>
      </c>
      <c r="BT906">
        <v>0</v>
      </c>
      <c r="BU906">
        <v>1</v>
      </c>
      <c r="BV906" t="s">
        <v>134</v>
      </c>
      <c r="BX906" s="2" t="s">
        <v>6640</v>
      </c>
      <c r="BY906" t="s">
        <v>6636</v>
      </c>
      <c r="CA906" t="s">
        <v>6637</v>
      </c>
      <c r="CB906" t="s">
        <v>154</v>
      </c>
      <c r="CC906" s="4" t="str">
        <f>"32609"</f>
        <v>32609</v>
      </c>
      <c r="CD906" t="s">
        <v>6641</v>
      </c>
      <c r="CE906" t="s">
        <v>6642</v>
      </c>
      <c r="CF906" s="6">
        <v>12.52</v>
      </c>
      <c r="CG906" s="6">
        <v>12.52</v>
      </c>
      <c r="CH906" s="6">
        <v>18.78</v>
      </c>
      <c r="CI906" s="6">
        <v>18.78</v>
      </c>
      <c r="CJ906" t="s">
        <v>137</v>
      </c>
      <c r="CL906" t="s">
        <v>6643</v>
      </c>
      <c r="CO906" t="s">
        <v>138</v>
      </c>
      <c r="CP906" t="s">
        <v>134</v>
      </c>
      <c r="CQ906" t="s">
        <v>134</v>
      </c>
      <c r="CR906" t="s">
        <v>114</v>
      </c>
      <c r="CS906" t="s">
        <v>134</v>
      </c>
      <c r="CT906" t="s">
        <v>114</v>
      </c>
      <c r="CU906" t="s">
        <v>134</v>
      </c>
      <c r="CV906" t="s">
        <v>2591</v>
      </c>
      <c r="CW906" s="5" t="str">
        <f>"+13524682817"</f>
        <v>+13524682817</v>
      </c>
      <c r="CX906" t="s">
        <v>6639</v>
      </c>
      <c r="CY906" t="s">
        <v>138</v>
      </c>
      <c r="CZ906" t="s">
        <v>139</v>
      </c>
      <c r="DA906" t="s">
        <v>134</v>
      </c>
      <c r="DB906" t="s">
        <v>134</v>
      </c>
      <c r="DC906" t="s">
        <v>114</v>
      </c>
      <c r="DD906" t="s">
        <v>134</v>
      </c>
    </row>
    <row r="907" spans="1:113" ht="15" customHeight="1" x14ac:dyDescent="0.25">
      <c r="A907" t="s">
        <v>15278</v>
      </c>
      <c r="B907" t="s">
        <v>165</v>
      </c>
      <c r="C907" s="1">
        <v>44799.723246064816</v>
      </c>
      <c r="D907" s="1">
        <v>44854</v>
      </c>
      <c r="E907" t="s">
        <v>134</v>
      </c>
      <c r="F907" t="s">
        <v>15279</v>
      </c>
      <c r="G907" t="str">
        <f>"53-7121.00"</f>
        <v>53-7121.00</v>
      </c>
      <c r="H907" t="s">
        <v>15280</v>
      </c>
      <c r="I907">
        <v>3</v>
      </c>
      <c r="J907">
        <v>3</v>
      </c>
      <c r="K907" s="1">
        <v>44874</v>
      </c>
      <c r="L907" s="1">
        <v>45139</v>
      </c>
      <c r="M907" s="1">
        <v>44874</v>
      </c>
      <c r="N907" s="1">
        <v>45139</v>
      </c>
      <c r="O907" t="s">
        <v>117</v>
      </c>
      <c r="P907" t="s">
        <v>15281</v>
      </c>
      <c r="Q907" t="s">
        <v>15282</v>
      </c>
      <c r="R907" t="s">
        <v>15283</v>
      </c>
      <c r="T907" t="s">
        <v>2390</v>
      </c>
      <c r="U907" t="s">
        <v>319</v>
      </c>
      <c r="V907" s="4" t="str">
        <f>"56545"</f>
        <v>56545</v>
      </c>
      <c r="W907" t="s">
        <v>120</v>
      </c>
      <c r="Y907" s="5">
        <v>12183568214</v>
      </c>
      <c r="AA907">
        <v>4245</v>
      </c>
      <c r="AB907" t="s">
        <v>15284</v>
      </c>
      <c r="AC907" t="s">
        <v>15285</v>
      </c>
      <c r="AE907" t="s">
        <v>2486</v>
      </c>
      <c r="AF907" t="s">
        <v>15283</v>
      </c>
      <c r="AH907" t="s">
        <v>2390</v>
      </c>
      <c r="AI907" t="s">
        <v>319</v>
      </c>
      <c r="AJ907" s="4" t="str">
        <f>"56545"</f>
        <v>56545</v>
      </c>
      <c r="AK907" t="s">
        <v>120</v>
      </c>
      <c r="AM907" s="5">
        <v>12183568214</v>
      </c>
      <c r="AO907" t="s">
        <v>15286</v>
      </c>
      <c r="AP907" t="s">
        <v>122</v>
      </c>
      <c r="AQ907" t="s">
        <v>313</v>
      </c>
      <c r="AR907" t="s">
        <v>314</v>
      </c>
      <c r="AS907" t="s">
        <v>315</v>
      </c>
      <c r="AT907" t="s">
        <v>316</v>
      </c>
      <c r="AU907" t="s">
        <v>317</v>
      </c>
      <c r="AV907" t="s">
        <v>318</v>
      </c>
      <c r="AW907" t="s">
        <v>319</v>
      </c>
      <c r="AX907" s="4" t="str">
        <f>"55402"</f>
        <v>55402</v>
      </c>
      <c r="AY907" t="s">
        <v>120</v>
      </c>
      <c r="BA907" s="5">
        <v>16124927165</v>
      </c>
      <c r="BC907" t="s">
        <v>320</v>
      </c>
      <c r="BD907" t="s">
        <v>321</v>
      </c>
      <c r="BE907" t="s">
        <v>319</v>
      </c>
      <c r="BF907" t="s">
        <v>4514</v>
      </c>
      <c r="BG907" t="s">
        <v>319</v>
      </c>
      <c r="BH907" s="1">
        <v>44798.833333333336</v>
      </c>
      <c r="BI907">
        <v>35</v>
      </c>
      <c r="BJ907">
        <v>0</v>
      </c>
      <c r="BK907">
        <v>7</v>
      </c>
      <c r="BL907">
        <v>7</v>
      </c>
      <c r="BM907">
        <v>7</v>
      </c>
      <c r="BN907">
        <v>7</v>
      </c>
      <c r="BO907">
        <v>7</v>
      </c>
      <c r="BP907">
        <v>0</v>
      </c>
      <c r="BQ907" t="str">
        <f>"8:00 AM"</f>
        <v>8:00 AM</v>
      </c>
      <c r="BR907" t="str">
        <f>"5:00 PM"</f>
        <v>5:00 PM</v>
      </c>
      <c r="BS907" t="s">
        <v>295</v>
      </c>
      <c r="BT907">
        <v>0</v>
      </c>
      <c r="BU907">
        <v>0</v>
      </c>
      <c r="BV907" t="s">
        <v>134</v>
      </c>
      <c r="BX907" s="2" t="s">
        <v>15287</v>
      </c>
      <c r="BY907" t="s">
        <v>15283</v>
      </c>
      <c r="CA907" t="s">
        <v>2390</v>
      </c>
      <c r="CB907" t="s">
        <v>319</v>
      </c>
      <c r="CC907" s="4" t="str">
        <f>"56545"</f>
        <v>56545</v>
      </c>
      <c r="CD907" t="s">
        <v>15288</v>
      </c>
      <c r="CE907" t="s">
        <v>4409</v>
      </c>
      <c r="CF907" s="6">
        <v>24.69</v>
      </c>
      <c r="CH907" s="6">
        <v>37.04</v>
      </c>
      <c r="CJ907" t="s">
        <v>137</v>
      </c>
      <c r="CK907" t="s">
        <v>15289</v>
      </c>
      <c r="CL907" t="s">
        <v>15290</v>
      </c>
      <c r="CO907" t="s">
        <v>138</v>
      </c>
      <c r="CP907" t="s">
        <v>134</v>
      </c>
      <c r="CQ907" t="s">
        <v>134</v>
      </c>
      <c r="CR907" t="s">
        <v>114</v>
      </c>
      <c r="CS907" t="s">
        <v>114</v>
      </c>
      <c r="CT907" t="s">
        <v>114</v>
      </c>
      <c r="CU907" t="s">
        <v>134</v>
      </c>
      <c r="CV907" t="s">
        <v>4473</v>
      </c>
      <c r="CW907" s="5" t="str">
        <f>"N/A"</f>
        <v>N/A</v>
      </c>
      <c r="CX907" t="s">
        <v>15291</v>
      </c>
      <c r="CY907" t="s">
        <v>15292</v>
      </c>
      <c r="CZ907" t="s">
        <v>139</v>
      </c>
      <c r="DA907" t="s">
        <v>134</v>
      </c>
      <c r="DB907" t="s">
        <v>134</v>
      </c>
      <c r="DC907" t="s">
        <v>114</v>
      </c>
      <c r="DD907" t="s">
        <v>134</v>
      </c>
    </row>
    <row r="908" spans="1:113" ht="15" customHeight="1" x14ac:dyDescent="0.25">
      <c r="A908" t="s">
        <v>494</v>
      </c>
      <c r="B908" t="s">
        <v>165</v>
      </c>
      <c r="C908" s="1">
        <v>44797.740038541669</v>
      </c>
      <c r="D908" s="1">
        <v>44854</v>
      </c>
      <c r="E908" t="s">
        <v>134</v>
      </c>
      <c r="F908" t="s">
        <v>495</v>
      </c>
      <c r="G908" t="str">
        <f>"45-3031.00"</f>
        <v>45-3031.00</v>
      </c>
      <c r="H908" t="s">
        <v>496</v>
      </c>
      <c r="I908">
        <v>3</v>
      </c>
      <c r="J908">
        <v>3</v>
      </c>
      <c r="K908" s="1">
        <v>44880</v>
      </c>
      <c r="L908" s="1">
        <v>45000</v>
      </c>
      <c r="M908" s="1">
        <v>44880</v>
      </c>
      <c r="N908" s="1">
        <v>45000</v>
      </c>
      <c r="O908" t="s">
        <v>199</v>
      </c>
      <c r="P908" t="s">
        <v>497</v>
      </c>
      <c r="R908" t="s">
        <v>498</v>
      </c>
      <c r="T908" t="s">
        <v>499</v>
      </c>
      <c r="U908" t="s">
        <v>444</v>
      </c>
      <c r="V908" s="4" t="str">
        <f>"93923"</f>
        <v>93923</v>
      </c>
      <c r="W908" t="s">
        <v>120</v>
      </c>
      <c r="Y908" s="5">
        <v>18319155346</v>
      </c>
      <c r="AA908">
        <v>11411</v>
      </c>
      <c r="AB908" t="s">
        <v>500</v>
      </c>
      <c r="AC908" t="s">
        <v>501</v>
      </c>
      <c r="AE908" t="s">
        <v>424</v>
      </c>
      <c r="AF908" t="s">
        <v>502</v>
      </c>
      <c r="AH908" t="s">
        <v>499</v>
      </c>
      <c r="AI908" t="s">
        <v>444</v>
      </c>
      <c r="AJ908" s="4" t="str">
        <f>"93923"</f>
        <v>93923</v>
      </c>
      <c r="AK908" t="s">
        <v>120</v>
      </c>
      <c r="AM908" s="5">
        <v>18319155346</v>
      </c>
      <c r="AO908" t="s">
        <v>503</v>
      </c>
      <c r="AP908" t="s">
        <v>122</v>
      </c>
      <c r="AQ908" t="s">
        <v>504</v>
      </c>
      <c r="AR908" t="s">
        <v>505</v>
      </c>
      <c r="AT908" t="s">
        <v>506</v>
      </c>
      <c r="AV908" t="s">
        <v>507</v>
      </c>
      <c r="AW908" t="s">
        <v>444</v>
      </c>
      <c r="AX908" s="4" t="str">
        <f>"90016"</f>
        <v>90016</v>
      </c>
      <c r="AY908" t="s">
        <v>120</v>
      </c>
      <c r="BA908" s="5">
        <v>13238570034</v>
      </c>
      <c r="BC908" t="s">
        <v>508</v>
      </c>
      <c r="BD908" t="s">
        <v>509</v>
      </c>
      <c r="BE908" t="s">
        <v>444</v>
      </c>
      <c r="BF908" t="s">
        <v>510</v>
      </c>
      <c r="BG908" t="s">
        <v>511</v>
      </c>
      <c r="BH908" s="1">
        <v>44796.833333333336</v>
      </c>
      <c r="BI908">
        <v>40</v>
      </c>
      <c r="BJ908">
        <v>0</v>
      </c>
      <c r="BK908">
        <v>8</v>
      </c>
      <c r="BL908">
        <v>8</v>
      </c>
      <c r="BM908">
        <v>8</v>
      </c>
      <c r="BN908">
        <v>8</v>
      </c>
      <c r="BO908">
        <v>8</v>
      </c>
      <c r="BP908">
        <v>0</v>
      </c>
      <c r="BQ908" t="str">
        <f>"5:00 AM"</f>
        <v>5:00 AM</v>
      </c>
      <c r="BR908" t="str">
        <f>"2:00 PM"</f>
        <v>2:00 PM</v>
      </c>
      <c r="BS908" t="s">
        <v>133</v>
      </c>
      <c r="BT908">
        <v>0</v>
      </c>
      <c r="BU908">
        <v>24</v>
      </c>
      <c r="BV908" t="s">
        <v>134</v>
      </c>
      <c r="BX908" s="2" t="s">
        <v>512</v>
      </c>
      <c r="BY908" t="s">
        <v>513</v>
      </c>
      <c r="CA908" t="s">
        <v>514</v>
      </c>
      <c r="CB908" t="s">
        <v>511</v>
      </c>
      <c r="CC908" s="4" t="str">
        <f>"97415"</f>
        <v>97415</v>
      </c>
      <c r="CD908" t="s">
        <v>515</v>
      </c>
      <c r="CE908" t="s">
        <v>516</v>
      </c>
      <c r="CF908" s="6">
        <v>23.17</v>
      </c>
      <c r="CG908" s="6">
        <v>23.17</v>
      </c>
      <c r="CJ908" t="s">
        <v>137</v>
      </c>
      <c r="CK908" t="s">
        <v>138</v>
      </c>
      <c r="CL908" t="s">
        <v>517</v>
      </c>
      <c r="CO908" t="s">
        <v>138</v>
      </c>
      <c r="CP908" t="s">
        <v>134</v>
      </c>
      <c r="CQ908" t="s">
        <v>134</v>
      </c>
      <c r="CR908" t="s">
        <v>134</v>
      </c>
      <c r="CS908" t="s">
        <v>134</v>
      </c>
      <c r="CT908" t="s">
        <v>114</v>
      </c>
      <c r="CU908" t="s">
        <v>114</v>
      </c>
      <c r="CV908" s="2" t="s">
        <v>518</v>
      </c>
      <c r="CW908" s="5" t="str">
        <f>"+18319155346"</f>
        <v>+18319155346</v>
      </c>
      <c r="CX908" t="s">
        <v>503</v>
      </c>
      <c r="CY908" t="s">
        <v>138</v>
      </c>
      <c r="CZ908" t="s">
        <v>139</v>
      </c>
      <c r="DA908" t="s">
        <v>134</v>
      </c>
      <c r="DB908" t="s">
        <v>134</v>
      </c>
      <c r="DC908" t="s">
        <v>114</v>
      </c>
      <c r="DD908" t="s">
        <v>134</v>
      </c>
      <c r="DE908" t="s">
        <v>519</v>
      </c>
      <c r="DF908" t="s">
        <v>520</v>
      </c>
      <c r="DH908" t="s">
        <v>521</v>
      </c>
      <c r="DI908" t="s">
        <v>508</v>
      </c>
    </row>
    <row r="909" spans="1:113" ht="15" customHeight="1" x14ac:dyDescent="0.25">
      <c r="A909" t="s">
        <v>13231</v>
      </c>
      <c r="B909" t="s">
        <v>165</v>
      </c>
      <c r="C909" s="1">
        <v>44790.917234722219</v>
      </c>
      <c r="D909" s="1">
        <v>44854</v>
      </c>
      <c r="E909" t="s">
        <v>134</v>
      </c>
      <c r="F909" t="s">
        <v>166</v>
      </c>
      <c r="G909" t="str">
        <f>"51-2092.00"</f>
        <v>51-2092.00</v>
      </c>
      <c r="H909" t="s">
        <v>167</v>
      </c>
      <c r="I909">
        <v>55</v>
      </c>
      <c r="J909">
        <v>55</v>
      </c>
      <c r="K909" s="1">
        <v>44866</v>
      </c>
      <c r="L909" s="1">
        <v>45016</v>
      </c>
      <c r="M909" s="1">
        <v>44866</v>
      </c>
      <c r="N909" s="1">
        <v>45016</v>
      </c>
      <c r="O909" t="s">
        <v>168</v>
      </c>
      <c r="P909" t="s">
        <v>169</v>
      </c>
      <c r="R909" t="s">
        <v>170</v>
      </c>
      <c r="T909" t="s">
        <v>171</v>
      </c>
      <c r="U909" t="s">
        <v>119</v>
      </c>
      <c r="V909" s="4" t="str">
        <f>"27006"</f>
        <v>27006</v>
      </c>
      <c r="W909" t="s">
        <v>120</v>
      </c>
      <c r="Y909" s="5">
        <v>16088635999</v>
      </c>
      <c r="AA909">
        <v>337121</v>
      </c>
      <c r="AB909" t="s">
        <v>172</v>
      </c>
      <c r="AC909" t="s">
        <v>173</v>
      </c>
      <c r="AE909" t="s">
        <v>174</v>
      </c>
      <c r="AF909" t="s">
        <v>170</v>
      </c>
      <c r="AH909" t="s">
        <v>171</v>
      </c>
      <c r="AI909" t="s">
        <v>119</v>
      </c>
      <c r="AJ909" s="4" t="str">
        <f>"27006"</f>
        <v>27006</v>
      </c>
      <c r="AK909" t="s">
        <v>120</v>
      </c>
      <c r="AM909" s="5">
        <v>16088635999</v>
      </c>
      <c r="AO909" t="s">
        <v>175</v>
      </c>
      <c r="AP909" t="s">
        <v>122</v>
      </c>
      <c r="AQ909" t="s">
        <v>176</v>
      </c>
      <c r="AR909" t="s">
        <v>146</v>
      </c>
      <c r="AS909" t="s">
        <v>177</v>
      </c>
      <c r="AT909" t="s">
        <v>178</v>
      </c>
      <c r="AU909" t="s">
        <v>179</v>
      </c>
      <c r="AV909" t="s">
        <v>180</v>
      </c>
      <c r="AW909" t="s">
        <v>181</v>
      </c>
      <c r="AX909" s="4" t="str">
        <f>"80222"</f>
        <v>80222</v>
      </c>
      <c r="AY909" t="s">
        <v>120</v>
      </c>
      <c r="BA909" s="5">
        <v>13037646802</v>
      </c>
      <c r="BC909" t="s">
        <v>182</v>
      </c>
      <c r="BD909" t="s">
        <v>183</v>
      </c>
      <c r="BE909" t="s">
        <v>184</v>
      </c>
      <c r="BF909" t="s">
        <v>185</v>
      </c>
      <c r="BG909" t="s">
        <v>232</v>
      </c>
      <c r="BH909" s="1">
        <v>44789.833333333336</v>
      </c>
      <c r="BI909">
        <v>40</v>
      </c>
      <c r="BJ909">
        <v>0</v>
      </c>
      <c r="BK909">
        <v>10</v>
      </c>
      <c r="BL909">
        <v>10</v>
      </c>
      <c r="BM909">
        <v>10</v>
      </c>
      <c r="BN909">
        <v>10</v>
      </c>
      <c r="BO909">
        <v>0</v>
      </c>
      <c r="BP909">
        <v>0</v>
      </c>
      <c r="BQ909" t="str">
        <f>"5:00 PM"</f>
        <v>5:00 PM</v>
      </c>
      <c r="BR909" t="str">
        <f>"3:00 AM"</f>
        <v>3:00 AM</v>
      </c>
      <c r="BS909" t="s">
        <v>133</v>
      </c>
      <c r="BT909">
        <v>0</v>
      </c>
      <c r="BU909">
        <v>0</v>
      </c>
      <c r="BV909" t="s">
        <v>134</v>
      </c>
      <c r="BX909" t="s">
        <v>186</v>
      </c>
      <c r="BY909" t="s">
        <v>13232</v>
      </c>
      <c r="CA909" t="s">
        <v>1853</v>
      </c>
      <c r="CB909" t="s">
        <v>232</v>
      </c>
      <c r="CC909" s="4" t="str">
        <f>"75181"</f>
        <v>75181</v>
      </c>
      <c r="CD909" t="s">
        <v>1482</v>
      </c>
      <c r="CE909" t="s">
        <v>1528</v>
      </c>
      <c r="CF909" s="6">
        <v>18.02</v>
      </c>
      <c r="CG909" s="6">
        <v>21.02</v>
      </c>
      <c r="CH909" s="6">
        <v>27.03</v>
      </c>
      <c r="CI909" s="6">
        <v>31.53</v>
      </c>
      <c r="CJ909" t="s">
        <v>137</v>
      </c>
      <c r="CK909" t="s">
        <v>189</v>
      </c>
      <c r="CL909" t="s">
        <v>13233</v>
      </c>
      <c r="CO909" t="s">
        <v>138</v>
      </c>
      <c r="CP909" t="s">
        <v>134</v>
      </c>
      <c r="CQ909" t="s">
        <v>114</v>
      </c>
      <c r="CR909" t="s">
        <v>114</v>
      </c>
      <c r="CS909" t="s">
        <v>114</v>
      </c>
      <c r="CT909" t="s">
        <v>114</v>
      </c>
      <c r="CU909" t="s">
        <v>114</v>
      </c>
      <c r="CV909" t="s">
        <v>191</v>
      </c>
      <c r="CW909" s="5" t="str">
        <f>"+16088635999"</f>
        <v>+16088635999</v>
      </c>
      <c r="CX909" t="s">
        <v>138</v>
      </c>
      <c r="CY909" t="s">
        <v>192</v>
      </c>
      <c r="CZ909" t="s">
        <v>139</v>
      </c>
      <c r="DA909" t="s">
        <v>134</v>
      </c>
      <c r="DB909" t="s">
        <v>114</v>
      </c>
      <c r="DC909" t="s">
        <v>114</v>
      </c>
      <c r="DD909" t="s">
        <v>134</v>
      </c>
      <c r="DE909" t="s">
        <v>193</v>
      </c>
      <c r="DF909" t="s">
        <v>194</v>
      </c>
      <c r="DH909" t="s">
        <v>183</v>
      </c>
      <c r="DI909" t="s">
        <v>195</v>
      </c>
    </row>
    <row r="910" spans="1:113" ht="15" customHeight="1" x14ac:dyDescent="0.25">
      <c r="A910" t="s">
        <v>9729</v>
      </c>
      <c r="B910" t="s">
        <v>165</v>
      </c>
      <c r="C910" s="1">
        <v>44790.888446064811</v>
      </c>
      <c r="D910" s="1">
        <v>44854</v>
      </c>
      <c r="E910" t="s">
        <v>134</v>
      </c>
      <c r="F910" t="s">
        <v>2155</v>
      </c>
      <c r="G910" t="str">
        <f>"53-7051.00"</f>
        <v>53-7051.00</v>
      </c>
      <c r="H910" t="s">
        <v>2127</v>
      </c>
      <c r="I910">
        <v>40</v>
      </c>
      <c r="J910">
        <v>40</v>
      </c>
      <c r="K910" s="1">
        <v>44866</v>
      </c>
      <c r="L910" s="1">
        <v>45016</v>
      </c>
      <c r="M910" s="1">
        <v>44866</v>
      </c>
      <c r="N910" s="1">
        <v>45016</v>
      </c>
      <c r="O910" t="s">
        <v>168</v>
      </c>
      <c r="P910" t="s">
        <v>169</v>
      </c>
      <c r="R910" t="s">
        <v>170</v>
      </c>
      <c r="T910" t="s">
        <v>171</v>
      </c>
      <c r="U910" t="s">
        <v>119</v>
      </c>
      <c r="V910" s="4" t="str">
        <f>"27006"</f>
        <v>27006</v>
      </c>
      <c r="W910" t="s">
        <v>120</v>
      </c>
      <c r="Y910" s="5">
        <v>16088635999</v>
      </c>
      <c r="AA910">
        <v>337121</v>
      </c>
      <c r="AB910" t="s">
        <v>172</v>
      </c>
      <c r="AC910" t="s">
        <v>173</v>
      </c>
      <c r="AE910" t="s">
        <v>174</v>
      </c>
      <c r="AF910" t="s">
        <v>170</v>
      </c>
      <c r="AH910" t="s">
        <v>171</v>
      </c>
      <c r="AI910" t="s">
        <v>119</v>
      </c>
      <c r="AJ910" s="4" t="str">
        <f>"27006"</f>
        <v>27006</v>
      </c>
      <c r="AK910" t="s">
        <v>120</v>
      </c>
      <c r="AM910" s="5">
        <v>16088635999</v>
      </c>
      <c r="AO910" t="s">
        <v>175</v>
      </c>
      <c r="AP910" t="s">
        <v>122</v>
      </c>
      <c r="AQ910" t="s">
        <v>176</v>
      </c>
      <c r="AR910" t="s">
        <v>146</v>
      </c>
      <c r="AS910" t="s">
        <v>177</v>
      </c>
      <c r="AT910" t="s">
        <v>178</v>
      </c>
      <c r="AU910" t="s">
        <v>179</v>
      </c>
      <c r="AV910" t="s">
        <v>180</v>
      </c>
      <c r="AW910" t="s">
        <v>181</v>
      </c>
      <c r="AX910" s="4" t="str">
        <f>"80222"</f>
        <v>80222</v>
      </c>
      <c r="AY910" t="s">
        <v>120</v>
      </c>
      <c r="BA910" s="5">
        <v>13037646802</v>
      </c>
      <c r="BC910" t="s">
        <v>182</v>
      </c>
      <c r="BD910" t="s">
        <v>183</v>
      </c>
      <c r="BE910" t="s">
        <v>184</v>
      </c>
      <c r="BF910" t="s">
        <v>185</v>
      </c>
      <c r="BG910" t="s">
        <v>1147</v>
      </c>
      <c r="BH910" s="1">
        <v>44788.833333333336</v>
      </c>
      <c r="BI910">
        <v>40</v>
      </c>
      <c r="BJ910">
        <v>0</v>
      </c>
      <c r="BK910">
        <v>10</v>
      </c>
      <c r="BL910">
        <v>10</v>
      </c>
      <c r="BM910">
        <v>10</v>
      </c>
      <c r="BN910">
        <v>10</v>
      </c>
      <c r="BO910">
        <v>0</v>
      </c>
      <c r="BP910">
        <v>0</v>
      </c>
      <c r="BQ910" t="str">
        <f>"5:00 PM"</f>
        <v>5:00 PM</v>
      </c>
      <c r="BR910" t="str">
        <f>"3:00 AM"</f>
        <v>3:00 AM</v>
      </c>
      <c r="BS910" t="s">
        <v>133</v>
      </c>
      <c r="BT910">
        <v>0</v>
      </c>
      <c r="BU910">
        <v>0</v>
      </c>
      <c r="BV910" t="s">
        <v>134</v>
      </c>
      <c r="BX910" s="2" t="s">
        <v>2156</v>
      </c>
      <c r="BY910" t="s">
        <v>5141</v>
      </c>
      <c r="CA910" t="s">
        <v>5142</v>
      </c>
      <c r="CB910" t="s">
        <v>1147</v>
      </c>
      <c r="CC910" s="4" t="str">
        <f>"54612"</f>
        <v>54612</v>
      </c>
      <c r="CD910" t="s">
        <v>5143</v>
      </c>
      <c r="CE910" t="s">
        <v>5144</v>
      </c>
      <c r="CF910" s="6">
        <v>20.95</v>
      </c>
      <c r="CG910" s="6">
        <v>23.95</v>
      </c>
      <c r="CH910" s="6">
        <v>31.43</v>
      </c>
      <c r="CI910" s="6">
        <v>35.93</v>
      </c>
      <c r="CJ910" t="s">
        <v>137</v>
      </c>
      <c r="CK910" t="s">
        <v>189</v>
      </c>
      <c r="CL910" t="s">
        <v>9730</v>
      </c>
      <c r="CO910" t="s">
        <v>138</v>
      </c>
      <c r="CP910" t="s">
        <v>134</v>
      </c>
      <c r="CQ910" t="s">
        <v>114</v>
      </c>
      <c r="CR910" t="s">
        <v>114</v>
      </c>
      <c r="CS910" t="s">
        <v>114</v>
      </c>
      <c r="CT910" t="s">
        <v>114</v>
      </c>
      <c r="CU910" t="s">
        <v>114</v>
      </c>
      <c r="CV910" t="s">
        <v>191</v>
      </c>
      <c r="CW910" s="5" t="str">
        <f>"+16088635999"</f>
        <v>+16088635999</v>
      </c>
      <c r="CX910" t="s">
        <v>138</v>
      </c>
      <c r="CY910" t="s">
        <v>192</v>
      </c>
      <c r="CZ910" t="s">
        <v>139</v>
      </c>
      <c r="DA910" t="s">
        <v>134</v>
      </c>
      <c r="DB910" t="s">
        <v>114</v>
      </c>
      <c r="DC910" t="s">
        <v>114</v>
      </c>
      <c r="DD910" t="s">
        <v>134</v>
      </c>
      <c r="DE910" t="s">
        <v>193</v>
      </c>
      <c r="DF910" t="s">
        <v>194</v>
      </c>
      <c r="DH910" t="s">
        <v>183</v>
      </c>
      <c r="DI910" t="s">
        <v>195</v>
      </c>
    </row>
    <row r="911" spans="1:113" ht="15" customHeight="1" x14ac:dyDescent="0.25">
      <c r="A911" t="s">
        <v>15315</v>
      </c>
      <c r="B911" t="s">
        <v>165</v>
      </c>
      <c r="C911" s="1">
        <v>44745.004302199071</v>
      </c>
      <c r="D911" s="1">
        <v>44854</v>
      </c>
      <c r="E911" t="s">
        <v>134</v>
      </c>
      <c r="F911" t="s">
        <v>2276</v>
      </c>
      <c r="G911" t="str">
        <f>"47-4051.00"</f>
        <v>47-4051.00</v>
      </c>
      <c r="H911" t="s">
        <v>4349</v>
      </c>
      <c r="I911">
        <v>28</v>
      </c>
      <c r="J911">
        <v>28</v>
      </c>
      <c r="K911" s="1">
        <v>44835</v>
      </c>
      <c r="L911" s="1">
        <v>45138</v>
      </c>
      <c r="M911" s="1">
        <v>44835</v>
      </c>
      <c r="N911" s="1">
        <v>45138</v>
      </c>
      <c r="O911" t="s">
        <v>199</v>
      </c>
      <c r="P911" t="s">
        <v>15316</v>
      </c>
      <c r="R911" t="s">
        <v>15317</v>
      </c>
      <c r="T911" t="s">
        <v>15318</v>
      </c>
      <c r="U911" t="s">
        <v>119</v>
      </c>
      <c r="V911" s="4" t="str">
        <f>"28506"</f>
        <v>28506</v>
      </c>
      <c r="W911" t="s">
        <v>120</v>
      </c>
      <c r="Y911" s="5">
        <v>17047188072</v>
      </c>
      <c r="AA911">
        <v>561730</v>
      </c>
      <c r="AB911" t="s">
        <v>10862</v>
      </c>
      <c r="AC911" t="s">
        <v>750</v>
      </c>
      <c r="AD911" t="s">
        <v>138</v>
      </c>
      <c r="AE911" t="s">
        <v>342</v>
      </c>
      <c r="AF911" t="s">
        <v>15317</v>
      </c>
      <c r="AH911" t="s">
        <v>15318</v>
      </c>
      <c r="AI911" t="s">
        <v>119</v>
      </c>
      <c r="AJ911" s="4" t="str">
        <f>"28506"</f>
        <v>28506</v>
      </c>
      <c r="AK911" t="s">
        <v>120</v>
      </c>
      <c r="AM911" s="5">
        <v>17047188072</v>
      </c>
      <c r="AO911" t="s">
        <v>15319</v>
      </c>
      <c r="AP911" t="s">
        <v>256</v>
      </c>
      <c r="AQ911" t="s">
        <v>826</v>
      </c>
      <c r="AR911" t="s">
        <v>827</v>
      </c>
      <c r="AS911" t="s">
        <v>138</v>
      </c>
      <c r="AT911" t="s">
        <v>346</v>
      </c>
      <c r="AU911" t="s">
        <v>347</v>
      </c>
      <c r="AV911" t="s">
        <v>828</v>
      </c>
      <c r="AW911" t="s">
        <v>349</v>
      </c>
      <c r="AX911" s="4" t="str">
        <f>"83814"</f>
        <v>83814</v>
      </c>
      <c r="AY911" t="s">
        <v>120</v>
      </c>
      <c r="BA911" s="5">
        <v>12087772654</v>
      </c>
      <c r="BC911" t="s">
        <v>829</v>
      </c>
      <c r="BD911" t="s">
        <v>351</v>
      </c>
      <c r="BG911" t="s">
        <v>119</v>
      </c>
      <c r="BH911" s="1">
        <v>44744.833333333336</v>
      </c>
      <c r="BI911">
        <v>40</v>
      </c>
      <c r="BJ911">
        <v>0</v>
      </c>
      <c r="BK911">
        <v>8</v>
      </c>
      <c r="BL911">
        <v>8</v>
      </c>
      <c r="BM911">
        <v>8</v>
      </c>
      <c r="BN911">
        <v>8</v>
      </c>
      <c r="BO911">
        <v>8</v>
      </c>
      <c r="BP911">
        <v>0</v>
      </c>
      <c r="BQ911" t="str">
        <f>"7:00 AM"</f>
        <v>7:00 AM</v>
      </c>
      <c r="BR911" t="str">
        <f>"4:00 PM"</f>
        <v>4:00 PM</v>
      </c>
      <c r="BS911" t="s">
        <v>133</v>
      </c>
      <c r="BT911">
        <v>0</v>
      </c>
      <c r="BU911">
        <v>0</v>
      </c>
      <c r="BV911" t="s">
        <v>134</v>
      </c>
      <c r="BX911" s="2" t="s">
        <v>4097</v>
      </c>
      <c r="BY911" t="s">
        <v>15320</v>
      </c>
      <c r="CA911" t="s">
        <v>15321</v>
      </c>
      <c r="CB911" t="s">
        <v>119</v>
      </c>
      <c r="CC911" s="4" t="str">
        <f>"28021"</f>
        <v>28021</v>
      </c>
      <c r="CD911" t="s">
        <v>3456</v>
      </c>
      <c r="CE911" t="s">
        <v>1404</v>
      </c>
      <c r="CF911" s="6">
        <v>18.11</v>
      </c>
      <c r="CH911" s="6">
        <v>27.17</v>
      </c>
      <c r="CJ911" t="s">
        <v>137</v>
      </c>
      <c r="CK911" t="s">
        <v>138</v>
      </c>
      <c r="CL911" t="s">
        <v>15322</v>
      </c>
      <c r="CO911" t="s">
        <v>138</v>
      </c>
      <c r="CP911" t="s">
        <v>114</v>
      </c>
      <c r="CQ911" t="s">
        <v>114</v>
      </c>
      <c r="CR911" t="s">
        <v>114</v>
      </c>
      <c r="CS911" t="s">
        <v>114</v>
      </c>
      <c r="CT911" t="s">
        <v>114</v>
      </c>
      <c r="CU911" t="s">
        <v>134</v>
      </c>
      <c r="CV911" t="s">
        <v>358</v>
      </c>
      <c r="CW911" s="5" t="str">
        <f>"+17047188072"</f>
        <v>+17047188072</v>
      </c>
      <c r="CX911" t="s">
        <v>15319</v>
      </c>
      <c r="CY911" t="s">
        <v>138</v>
      </c>
      <c r="CZ911" t="s">
        <v>139</v>
      </c>
      <c r="DA911" t="s">
        <v>134</v>
      </c>
      <c r="DB911" t="s">
        <v>114</v>
      </c>
      <c r="DC911" t="s">
        <v>114</v>
      </c>
      <c r="DD911" t="s">
        <v>134</v>
      </c>
    </row>
    <row r="912" spans="1:113" ht="15" customHeight="1" x14ac:dyDescent="0.25">
      <c r="A912" t="s">
        <v>12069</v>
      </c>
      <c r="B912" t="s">
        <v>165</v>
      </c>
      <c r="C912" s="1">
        <v>44827.858753819448</v>
      </c>
      <c r="D912" s="1">
        <v>44853</v>
      </c>
      <c r="E912" t="s">
        <v>134</v>
      </c>
      <c r="F912" t="s">
        <v>1106</v>
      </c>
      <c r="G912" t="str">
        <f>"45-4011.00"</f>
        <v>45-4011.00</v>
      </c>
      <c r="H912" t="s">
        <v>1107</v>
      </c>
      <c r="I912">
        <v>60</v>
      </c>
      <c r="J912">
        <v>60</v>
      </c>
      <c r="K912" s="1">
        <v>44902</v>
      </c>
      <c r="L912" s="1">
        <v>45077</v>
      </c>
      <c r="M912" s="1">
        <v>44902</v>
      </c>
      <c r="N912" s="1">
        <v>45077</v>
      </c>
      <c r="O912" t="s">
        <v>199</v>
      </c>
      <c r="P912" t="s">
        <v>12070</v>
      </c>
      <c r="R912" t="s">
        <v>12071</v>
      </c>
      <c r="S912" t="s">
        <v>12072</v>
      </c>
      <c r="T912" t="s">
        <v>12073</v>
      </c>
      <c r="U912" t="s">
        <v>1147</v>
      </c>
      <c r="V912" s="4" t="str">
        <f>"54703"</f>
        <v>54703</v>
      </c>
      <c r="W912" t="s">
        <v>120</v>
      </c>
      <c r="Y912" s="5">
        <v>17155141154</v>
      </c>
      <c r="AA912">
        <v>11531</v>
      </c>
      <c r="AB912" t="s">
        <v>5609</v>
      </c>
      <c r="AC912" t="s">
        <v>12074</v>
      </c>
      <c r="AE912" t="s">
        <v>424</v>
      </c>
      <c r="AF912" t="s">
        <v>12071</v>
      </c>
      <c r="AG912" t="s">
        <v>12072</v>
      </c>
      <c r="AH912" t="s">
        <v>12073</v>
      </c>
      <c r="AI912" t="s">
        <v>1147</v>
      </c>
      <c r="AJ912" s="4" t="str">
        <f>"54703"</f>
        <v>54703</v>
      </c>
      <c r="AK912" t="s">
        <v>120</v>
      </c>
      <c r="AM912" s="5">
        <v>17155141154</v>
      </c>
      <c r="AO912" t="s">
        <v>12075</v>
      </c>
      <c r="AP912" t="s">
        <v>256</v>
      </c>
      <c r="AQ912" t="s">
        <v>1420</v>
      </c>
      <c r="AR912" t="s">
        <v>1421</v>
      </c>
      <c r="AT912" t="s">
        <v>1422</v>
      </c>
      <c r="AU912" t="s">
        <v>347</v>
      </c>
      <c r="AV912" t="s">
        <v>828</v>
      </c>
      <c r="AW912" t="s">
        <v>349</v>
      </c>
      <c r="AX912" s="4" t="str">
        <f>"83814"</f>
        <v>83814</v>
      </c>
      <c r="AY912" t="s">
        <v>120</v>
      </c>
      <c r="BA912" s="5">
        <v>12087772654</v>
      </c>
      <c r="BC912" t="s">
        <v>1423</v>
      </c>
      <c r="BD912" t="s">
        <v>351</v>
      </c>
      <c r="BG912" t="s">
        <v>1593</v>
      </c>
      <c r="BH912" s="1">
        <v>44826.833333333336</v>
      </c>
      <c r="BI912">
        <v>40</v>
      </c>
      <c r="BJ912">
        <v>0</v>
      </c>
      <c r="BK912">
        <v>8</v>
      </c>
      <c r="BL912">
        <v>8</v>
      </c>
      <c r="BM912">
        <v>8</v>
      </c>
      <c r="BN912">
        <v>8</v>
      </c>
      <c r="BO912">
        <v>8</v>
      </c>
      <c r="BP912">
        <v>0</v>
      </c>
      <c r="BQ912" t="str">
        <f>"8:00 AM"</f>
        <v>8:00 AM</v>
      </c>
      <c r="BR912" t="str">
        <f>"4:30 PM"</f>
        <v>4:30 PM</v>
      </c>
      <c r="BS912" t="s">
        <v>133</v>
      </c>
      <c r="BT912">
        <v>0</v>
      </c>
      <c r="BU912">
        <v>0</v>
      </c>
      <c r="BV912" t="s">
        <v>134</v>
      </c>
      <c r="BX912" s="2" t="s">
        <v>4351</v>
      </c>
      <c r="BY912" t="s">
        <v>12076</v>
      </c>
      <c r="CA912" t="s">
        <v>4098</v>
      </c>
      <c r="CB912" t="s">
        <v>1593</v>
      </c>
      <c r="CC912" s="4" t="str">
        <f>"04330"</f>
        <v>04330</v>
      </c>
      <c r="CD912" t="s">
        <v>10921</v>
      </c>
      <c r="CE912" t="s">
        <v>1594</v>
      </c>
      <c r="CF912" s="6">
        <v>8.8000000000000007</v>
      </c>
      <c r="CG912" s="6">
        <v>25.34</v>
      </c>
      <c r="CH912" s="6">
        <v>13.2</v>
      </c>
      <c r="CI912" s="6">
        <v>38.01</v>
      </c>
      <c r="CJ912" t="s">
        <v>137</v>
      </c>
      <c r="CK912" t="s">
        <v>2125</v>
      </c>
      <c r="CL912" t="s">
        <v>12077</v>
      </c>
      <c r="CO912" t="s">
        <v>138</v>
      </c>
      <c r="CP912" t="s">
        <v>114</v>
      </c>
      <c r="CQ912" t="s">
        <v>114</v>
      </c>
      <c r="CR912" t="s">
        <v>114</v>
      </c>
      <c r="CS912" t="s">
        <v>114</v>
      </c>
      <c r="CT912" t="s">
        <v>114</v>
      </c>
      <c r="CU912" t="s">
        <v>114</v>
      </c>
      <c r="CV912" t="s">
        <v>358</v>
      </c>
      <c r="CW912" s="5" t="str">
        <f>"+17155141154"</f>
        <v>+17155141154</v>
      </c>
      <c r="CX912" t="s">
        <v>12075</v>
      </c>
      <c r="CY912" t="s">
        <v>12078</v>
      </c>
      <c r="CZ912" t="s">
        <v>139</v>
      </c>
      <c r="DA912" t="s">
        <v>134</v>
      </c>
      <c r="DB912" t="s">
        <v>134</v>
      </c>
      <c r="DC912" t="s">
        <v>114</v>
      </c>
      <c r="DD912" t="s">
        <v>134</v>
      </c>
    </row>
    <row r="913" spans="1:113" ht="15" customHeight="1" x14ac:dyDescent="0.25">
      <c r="A913" t="s">
        <v>3629</v>
      </c>
      <c r="B913" t="s">
        <v>165</v>
      </c>
      <c r="C913" s="1">
        <v>44820.76889259259</v>
      </c>
      <c r="D913" s="1">
        <v>44853</v>
      </c>
      <c r="E913" t="s">
        <v>134</v>
      </c>
      <c r="F913" t="s">
        <v>1106</v>
      </c>
      <c r="G913" t="str">
        <f>"45-4011.00"</f>
        <v>45-4011.00</v>
      </c>
      <c r="H913" t="s">
        <v>1107</v>
      </c>
      <c r="I913">
        <v>45</v>
      </c>
      <c r="J913">
        <v>45</v>
      </c>
      <c r="K913" s="1">
        <v>44910</v>
      </c>
      <c r="L913" s="1">
        <v>45199</v>
      </c>
      <c r="M913" s="1">
        <v>44910</v>
      </c>
      <c r="N913" s="1">
        <v>45199</v>
      </c>
      <c r="O913" t="s">
        <v>199</v>
      </c>
      <c r="P913" t="s">
        <v>3630</v>
      </c>
      <c r="R913" t="s">
        <v>3631</v>
      </c>
      <c r="T913" t="s">
        <v>3632</v>
      </c>
      <c r="U913" t="s">
        <v>1349</v>
      </c>
      <c r="V913" s="4" t="str">
        <f>"72823"</f>
        <v>72823</v>
      </c>
      <c r="W913" t="s">
        <v>120</v>
      </c>
      <c r="Y913" s="5">
        <v>14797471841</v>
      </c>
      <c r="AA913">
        <v>11531</v>
      </c>
      <c r="AB913" t="s">
        <v>3633</v>
      </c>
      <c r="AC913" t="s">
        <v>3634</v>
      </c>
      <c r="AD913" t="s">
        <v>138</v>
      </c>
      <c r="AE913" t="s">
        <v>252</v>
      </c>
      <c r="AF913" t="s">
        <v>3631</v>
      </c>
      <c r="AH913" t="s">
        <v>3632</v>
      </c>
      <c r="AI913" t="s">
        <v>1349</v>
      </c>
      <c r="AJ913" s="4" t="str">
        <f>"72823"</f>
        <v>72823</v>
      </c>
      <c r="AK913" t="s">
        <v>120</v>
      </c>
      <c r="AM913" s="5">
        <v>14797471841</v>
      </c>
      <c r="AO913" t="s">
        <v>3635</v>
      </c>
      <c r="AP913" t="s">
        <v>256</v>
      </c>
      <c r="AQ913" t="s">
        <v>826</v>
      </c>
      <c r="AR913" t="s">
        <v>827</v>
      </c>
      <c r="AS913" t="s">
        <v>138</v>
      </c>
      <c r="AT913" t="s">
        <v>346</v>
      </c>
      <c r="AU913" t="s">
        <v>347</v>
      </c>
      <c r="AV913" t="s">
        <v>828</v>
      </c>
      <c r="AW913" t="s">
        <v>349</v>
      </c>
      <c r="AX913" s="4" t="str">
        <f>"83814"</f>
        <v>83814</v>
      </c>
      <c r="AY913" t="s">
        <v>120</v>
      </c>
      <c r="BA913" s="5">
        <v>12087772654</v>
      </c>
      <c r="BC913" t="s">
        <v>829</v>
      </c>
      <c r="BD913" t="s">
        <v>351</v>
      </c>
      <c r="BG913" t="s">
        <v>1349</v>
      </c>
      <c r="BH913" s="1">
        <v>44819.833333333336</v>
      </c>
      <c r="BI913">
        <v>40</v>
      </c>
      <c r="BJ913">
        <v>0</v>
      </c>
      <c r="BK913">
        <v>8</v>
      </c>
      <c r="BL913">
        <v>8</v>
      </c>
      <c r="BM913">
        <v>8</v>
      </c>
      <c r="BN913">
        <v>8</v>
      </c>
      <c r="BO913">
        <v>8</v>
      </c>
      <c r="BP913">
        <v>0</v>
      </c>
      <c r="BQ913" t="str">
        <f>"8:00 AM"</f>
        <v>8:00 AM</v>
      </c>
      <c r="BR913" t="str">
        <f>"5:00 PM"</f>
        <v>5:00 PM</v>
      </c>
      <c r="BS913" t="s">
        <v>133</v>
      </c>
      <c r="BT913">
        <v>0</v>
      </c>
      <c r="BU913">
        <v>0</v>
      </c>
      <c r="BV913" t="s">
        <v>134</v>
      </c>
      <c r="BX913" s="2" t="s">
        <v>3636</v>
      </c>
      <c r="BY913" t="s">
        <v>3637</v>
      </c>
      <c r="CA913" t="s">
        <v>3638</v>
      </c>
      <c r="CB913" t="s">
        <v>1349</v>
      </c>
      <c r="CC913" s="4" t="str">
        <f>"71832"</f>
        <v>71832</v>
      </c>
      <c r="CD913" t="s">
        <v>1999</v>
      </c>
      <c r="CE913" t="s">
        <v>1644</v>
      </c>
      <c r="CF913" s="6">
        <v>16.2</v>
      </c>
      <c r="CG913" s="6">
        <v>23.76</v>
      </c>
      <c r="CH913" s="6">
        <v>24.3</v>
      </c>
      <c r="CI913" s="6">
        <v>35.64</v>
      </c>
      <c r="CJ913" t="s">
        <v>137</v>
      </c>
      <c r="CK913" t="s">
        <v>2125</v>
      </c>
      <c r="CL913" t="s">
        <v>3639</v>
      </c>
      <c r="CO913" t="s">
        <v>138</v>
      </c>
      <c r="CP913" t="s">
        <v>114</v>
      </c>
      <c r="CQ913" t="s">
        <v>114</v>
      </c>
      <c r="CR913" t="s">
        <v>114</v>
      </c>
      <c r="CS913" t="s">
        <v>114</v>
      </c>
      <c r="CT913" t="s">
        <v>114</v>
      </c>
      <c r="CU913" t="s">
        <v>114</v>
      </c>
      <c r="CV913" t="s">
        <v>358</v>
      </c>
      <c r="CW913" s="5" t="str">
        <f>"+14717471841"</f>
        <v>+14717471841</v>
      </c>
      <c r="CX913" t="s">
        <v>3635</v>
      </c>
      <c r="CY913" t="s">
        <v>138</v>
      </c>
      <c r="CZ913" t="s">
        <v>139</v>
      </c>
      <c r="DA913" t="s">
        <v>134</v>
      </c>
      <c r="DB913" t="s">
        <v>134</v>
      </c>
      <c r="DC913" t="s">
        <v>114</v>
      </c>
      <c r="DD913" t="s">
        <v>134</v>
      </c>
    </row>
    <row r="914" spans="1:113" ht="15" customHeight="1" x14ac:dyDescent="0.25">
      <c r="A914" t="s">
        <v>13247</v>
      </c>
      <c r="B914" t="s">
        <v>165</v>
      </c>
      <c r="C914" s="1">
        <v>44812.363031712965</v>
      </c>
      <c r="D914" s="1">
        <v>44853</v>
      </c>
      <c r="E914" t="s">
        <v>114</v>
      </c>
      <c r="F914" t="s">
        <v>13248</v>
      </c>
      <c r="G914" t="str">
        <f>"35-9011"</f>
        <v>35-9011</v>
      </c>
      <c r="H914" t="s">
        <v>116</v>
      </c>
      <c r="I914">
        <v>9</v>
      </c>
      <c r="J914">
        <v>9</v>
      </c>
      <c r="K914" s="1">
        <v>44887</v>
      </c>
      <c r="L914" s="1">
        <v>44927</v>
      </c>
      <c r="M914" s="1">
        <v>44887</v>
      </c>
      <c r="N914" s="1">
        <v>44927</v>
      </c>
      <c r="O914" t="s">
        <v>117</v>
      </c>
      <c r="P914" t="s">
        <v>13249</v>
      </c>
      <c r="Q914" t="s">
        <v>12707</v>
      </c>
      <c r="R914" t="s">
        <v>12708</v>
      </c>
      <c r="T914" t="s">
        <v>12710</v>
      </c>
      <c r="U914" t="s">
        <v>848</v>
      </c>
      <c r="V914" s="4" t="str">
        <f>"12561"</f>
        <v>12561</v>
      </c>
      <c r="W914" t="s">
        <v>120</v>
      </c>
      <c r="Y914" s="5">
        <v>18452562106</v>
      </c>
      <c r="AA914">
        <v>721110</v>
      </c>
      <c r="AB914" t="s">
        <v>12709</v>
      </c>
      <c r="AC914" t="s">
        <v>3011</v>
      </c>
      <c r="AE914" t="s">
        <v>13250</v>
      </c>
      <c r="AF914" t="s">
        <v>13251</v>
      </c>
      <c r="AH914" t="s">
        <v>12710</v>
      </c>
      <c r="AI914" t="s">
        <v>848</v>
      </c>
      <c r="AJ914" s="4" t="str">
        <f>"12561"</f>
        <v>12561</v>
      </c>
      <c r="AK914" t="s">
        <v>120</v>
      </c>
      <c r="AM914" s="5">
        <v>18452562106</v>
      </c>
      <c r="AO914" t="s">
        <v>13252</v>
      </c>
      <c r="AP914" t="s">
        <v>122</v>
      </c>
      <c r="AQ914" t="s">
        <v>123</v>
      </c>
      <c r="AR914" t="s">
        <v>124</v>
      </c>
      <c r="AS914" t="s">
        <v>125</v>
      </c>
      <c r="AT914" t="s">
        <v>126</v>
      </c>
      <c r="AU914" t="s">
        <v>127</v>
      </c>
      <c r="AV914" t="s">
        <v>128</v>
      </c>
      <c r="AW914" t="s">
        <v>129</v>
      </c>
      <c r="AX914" s="4" t="str">
        <f>"30309"</f>
        <v>30309</v>
      </c>
      <c r="AY914" t="s">
        <v>120</v>
      </c>
      <c r="AZ914" t="s">
        <v>130</v>
      </c>
      <c r="BA914" s="5">
        <v>14042405845</v>
      </c>
      <c r="BC914" t="s">
        <v>131</v>
      </c>
      <c r="BD914" t="s">
        <v>132</v>
      </c>
      <c r="BE914" t="s">
        <v>129</v>
      </c>
      <c r="BF914" t="s">
        <v>4519</v>
      </c>
      <c r="BG914" t="s">
        <v>848</v>
      </c>
      <c r="BH914" s="1">
        <v>44811.833333333336</v>
      </c>
      <c r="BI914">
        <v>35</v>
      </c>
      <c r="BJ914">
        <v>7</v>
      </c>
      <c r="BK914">
        <v>7</v>
      </c>
      <c r="BL914">
        <v>7</v>
      </c>
      <c r="BM914">
        <v>7</v>
      </c>
      <c r="BN914">
        <v>7</v>
      </c>
      <c r="BO914">
        <v>0</v>
      </c>
      <c r="BP914">
        <v>0</v>
      </c>
      <c r="BQ914" t="str">
        <f>"7:00 AM"</f>
        <v>7:00 AM</v>
      </c>
      <c r="BR914" t="str">
        <f>"3:00 PM"</f>
        <v>3:00 PM</v>
      </c>
      <c r="BS914" t="s">
        <v>133</v>
      </c>
      <c r="BT914">
        <v>0</v>
      </c>
      <c r="BU914">
        <v>0</v>
      </c>
      <c r="BV914" t="s">
        <v>134</v>
      </c>
      <c r="BX914" t="s">
        <v>13253</v>
      </c>
      <c r="BY914" t="s">
        <v>13251</v>
      </c>
      <c r="CA914" t="s">
        <v>12710</v>
      </c>
      <c r="CB914" t="s">
        <v>848</v>
      </c>
      <c r="CC914" s="4" t="str">
        <f>"12561"</f>
        <v>12561</v>
      </c>
      <c r="CD914" t="s">
        <v>4067</v>
      </c>
      <c r="CE914" t="s">
        <v>4068</v>
      </c>
      <c r="CF914" s="6">
        <v>16.14</v>
      </c>
      <c r="CH914" s="6">
        <v>24.21</v>
      </c>
      <c r="CJ914" t="s">
        <v>137</v>
      </c>
      <c r="CL914" t="s">
        <v>13254</v>
      </c>
      <c r="CO914" t="s">
        <v>138</v>
      </c>
      <c r="CP914" t="s">
        <v>134</v>
      </c>
      <c r="CQ914" t="s">
        <v>134</v>
      </c>
      <c r="CR914" t="s">
        <v>114</v>
      </c>
      <c r="CS914" t="s">
        <v>114</v>
      </c>
      <c r="CT914" t="s">
        <v>114</v>
      </c>
      <c r="CU914" t="s">
        <v>114</v>
      </c>
      <c r="CV914" t="s">
        <v>13255</v>
      </c>
      <c r="CW914" s="5" t="str">
        <f>"+18452562178"</f>
        <v>+18452562178</v>
      </c>
      <c r="CX914" t="s">
        <v>12711</v>
      </c>
      <c r="CY914" t="s">
        <v>12712</v>
      </c>
      <c r="CZ914" t="s">
        <v>139</v>
      </c>
      <c r="DA914" t="s">
        <v>134</v>
      </c>
      <c r="DB914" t="s">
        <v>114</v>
      </c>
      <c r="DC914" t="s">
        <v>114</v>
      </c>
      <c r="DD914" t="s">
        <v>134</v>
      </c>
    </row>
    <row r="915" spans="1:113" ht="15" customHeight="1" x14ac:dyDescent="0.25">
      <c r="A915" t="s">
        <v>7629</v>
      </c>
      <c r="B915" t="s">
        <v>165</v>
      </c>
      <c r="C915" s="1">
        <v>44811.948516087963</v>
      </c>
      <c r="D915" s="1">
        <v>44853</v>
      </c>
      <c r="E915" t="s">
        <v>134</v>
      </c>
      <c r="F915" t="s">
        <v>7630</v>
      </c>
      <c r="G915" t="str">
        <f>"35-2014.00"</f>
        <v>35-2014.00</v>
      </c>
      <c r="H915" t="s">
        <v>915</v>
      </c>
      <c r="I915">
        <v>10</v>
      </c>
      <c r="J915">
        <v>10</v>
      </c>
      <c r="K915" s="1">
        <v>44886</v>
      </c>
      <c r="L915" s="1">
        <v>45037</v>
      </c>
      <c r="M915" s="1">
        <v>44886</v>
      </c>
      <c r="N915" s="1">
        <v>45037</v>
      </c>
      <c r="O915" t="s">
        <v>117</v>
      </c>
      <c r="P915" t="s">
        <v>7631</v>
      </c>
      <c r="Q915" t="s">
        <v>7632</v>
      </c>
      <c r="R915" t="s">
        <v>7633</v>
      </c>
      <c r="S915" t="s">
        <v>7634</v>
      </c>
      <c r="T915" t="s">
        <v>664</v>
      </c>
      <c r="U915" t="s">
        <v>661</v>
      </c>
      <c r="V915" s="4" t="str">
        <f>"59716"</f>
        <v>59716</v>
      </c>
      <c r="W915" t="s">
        <v>120</v>
      </c>
      <c r="Y915" s="5">
        <v>14069957700</v>
      </c>
      <c r="AA915">
        <v>713910</v>
      </c>
      <c r="AB915" t="s">
        <v>7635</v>
      </c>
      <c r="AC915" t="s">
        <v>1980</v>
      </c>
      <c r="AE915" t="s">
        <v>1567</v>
      </c>
      <c r="AF915" t="s">
        <v>7633</v>
      </c>
      <c r="AG915" t="s">
        <v>7634</v>
      </c>
      <c r="AH915" t="s">
        <v>664</v>
      </c>
      <c r="AI915" t="s">
        <v>661</v>
      </c>
      <c r="AJ915" s="4" t="str">
        <f>"59716"</f>
        <v>59716</v>
      </c>
      <c r="AK915" t="s">
        <v>120</v>
      </c>
      <c r="AM915" s="5">
        <v>14069957700</v>
      </c>
      <c r="AO915" t="s">
        <v>7636</v>
      </c>
      <c r="AP915" t="s">
        <v>122</v>
      </c>
      <c r="AQ915" t="s">
        <v>753</v>
      </c>
      <c r="AR915" t="s">
        <v>754</v>
      </c>
      <c r="AS915" t="s">
        <v>755</v>
      </c>
      <c r="AT915" t="s">
        <v>756</v>
      </c>
      <c r="AU915" t="s">
        <v>757</v>
      </c>
      <c r="AV915" t="s">
        <v>758</v>
      </c>
      <c r="AW915" t="s">
        <v>281</v>
      </c>
      <c r="AX915" s="4" t="str">
        <f>"01701"</f>
        <v>01701</v>
      </c>
      <c r="AY915" t="s">
        <v>120</v>
      </c>
      <c r="BA915" s="5">
        <v>16179399444</v>
      </c>
      <c r="BC915" t="s">
        <v>2487</v>
      </c>
      <c r="BD915" t="s">
        <v>760</v>
      </c>
      <c r="BE915" t="s">
        <v>281</v>
      </c>
      <c r="BF915" t="s">
        <v>761</v>
      </c>
      <c r="BG915" t="s">
        <v>661</v>
      </c>
      <c r="BH915" s="1">
        <v>44797.833333333336</v>
      </c>
      <c r="BI915">
        <v>40</v>
      </c>
      <c r="BJ915">
        <v>0</v>
      </c>
      <c r="BK915">
        <v>8</v>
      </c>
      <c r="BL915">
        <v>8</v>
      </c>
      <c r="BM915">
        <v>8</v>
      </c>
      <c r="BN915">
        <v>8</v>
      </c>
      <c r="BO915">
        <v>8</v>
      </c>
      <c r="BP915">
        <v>0</v>
      </c>
      <c r="BQ915" t="str">
        <f>"9:00 AM"</f>
        <v>9:00 AM</v>
      </c>
      <c r="BR915" t="str">
        <f>"5:00 PM"</f>
        <v>5:00 PM</v>
      </c>
      <c r="BS915" t="s">
        <v>133</v>
      </c>
      <c r="BT915">
        <v>0</v>
      </c>
      <c r="BU915">
        <v>6</v>
      </c>
      <c r="BV915" t="s">
        <v>134</v>
      </c>
      <c r="BX915" s="2" t="s">
        <v>7637</v>
      </c>
      <c r="BY915" t="s">
        <v>7638</v>
      </c>
      <c r="CA915" t="s">
        <v>664</v>
      </c>
      <c r="CB915" t="s">
        <v>661</v>
      </c>
      <c r="CC915" s="4" t="str">
        <f>"59716"</f>
        <v>59716</v>
      </c>
      <c r="CD915" t="s">
        <v>665</v>
      </c>
      <c r="CE915" t="s">
        <v>666</v>
      </c>
      <c r="CF915" s="6">
        <v>18</v>
      </c>
      <c r="CG915" s="6">
        <v>20</v>
      </c>
      <c r="CH915" s="6">
        <v>27</v>
      </c>
      <c r="CI915" s="6">
        <v>30</v>
      </c>
      <c r="CJ915" t="s">
        <v>137</v>
      </c>
      <c r="CK915" t="s">
        <v>7639</v>
      </c>
      <c r="CL915" t="s">
        <v>7640</v>
      </c>
      <c r="CO915" t="s">
        <v>138</v>
      </c>
      <c r="CP915" t="s">
        <v>134</v>
      </c>
      <c r="CQ915" t="s">
        <v>114</v>
      </c>
      <c r="CR915" t="s">
        <v>114</v>
      </c>
      <c r="CS915" t="s">
        <v>114</v>
      </c>
      <c r="CT915" t="s">
        <v>114</v>
      </c>
      <c r="CU915" t="s">
        <v>114</v>
      </c>
      <c r="CV915" t="s">
        <v>7641</v>
      </c>
      <c r="CW915" s="5" t="str">
        <f>"+14069957700"</f>
        <v>+14069957700</v>
      </c>
      <c r="CX915" t="s">
        <v>7642</v>
      </c>
      <c r="CY915" t="s">
        <v>138</v>
      </c>
      <c r="CZ915" t="s">
        <v>139</v>
      </c>
      <c r="DA915" t="s">
        <v>134</v>
      </c>
      <c r="DB915" t="s">
        <v>134</v>
      </c>
      <c r="DC915" t="s">
        <v>114</v>
      </c>
      <c r="DD915" t="s">
        <v>134</v>
      </c>
    </row>
    <row r="916" spans="1:113" ht="15" customHeight="1" x14ac:dyDescent="0.25">
      <c r="A916" t="s">
        <v>14688</v>
      </c>
      <c r="B916" t="s">
        <v>165</v>
      </c>
      <c r="C916" s="1">
        <v>44827.360155787035</v>
      </c>
      <c r="D916" s="1">
        <v>44852</v>
      </c>
      <c r="E916" t="s">
        <v>134</v>
      </c>
      <c r="F916" t="s">
        <v>2308</v>
      </c>
      <c r="G916" t="str">
        <f>"39-3091.00"</f>
        <v>39-3091.00</v>
      </c>
      <c r="H916" t="s">
        <v>362</v>
      </c>
      <c r="I916">
        <v>30</v>
      </c>
      <c r="J916">
        <v>30</v>
      </c>
      <c r="K916" s="1">
        <v>44917</v>
      </c>
      <c r="L916" s="1">
        <v>45220</v>
      </c>
      <c r="M916" s="1">
        <v>44917</v>
      </c>
      <c r="N916" s="1">
        <v>45220</v>
      </c>
      <c r="O916" t="s">
        <v>199</v>
      </c>
      <c r="P916" t="s">
        <v>14464</v>
      </c>
      <c r="Q916" t="s">
        <v>138</v>
      </c>
      <c r="R916" t="s">
        <v>14465</v>
      </c>
      <c r="S916" t="s">
        <v>138</v>
      </c>
      <c r="T916" t="s">
        <v>2108</v>
      </c>
      <c r="U916" t="s">
        <v>232</v>
      </c>
      <c r="V916" s="4" t="str">
        <f>"78221"</f>
        <v>78221</v>
      </c>
      <c r="W916" t="s">
        <v>120</v>
      </c>
      <c r="X916" t="s">
        <v>138</v>
      </c>
      <c r="Y916" s="5">
        <v>12102400215</v>
      </c>
      <c r="Z916">
        <v>0</v>
      </c>
      <c r="AA916">
        <v>71399</v>
      </c>
      <c r="AB916" t="s">
        <v>779</v>
      </c>
      <c r="AC916" t="s">
        <v>844</v>
      </c>
      <c r="AD916" t="s">
        <v>138</v>
      </c>
      <c r="AE916" t="s">
        <v>3191</v>
      </c>
      <c r="AF916" t="s">
        <v>14465</v>
      </c>
      <c r="AG916" t="s">
        <v>138</v>
      </c>
      <c r="AH916" t="s">
        <v>2108</v>
      </c>
      <c r="AI916" t="s">
        <v>232</v>
      </c>
      <c r="AJ916" s="4" t="str">
        <f>"78221"</f>
        <v>78221</v>
      </c>
      <c r="AK916" t="s">
        <v>120</v>
      </c>
      <c r="AM916" s="5">
        <v>12102400215</v>
      </c>
      <c r="AN916">
        <v>0</v>
      </c>
      <c r="AO916" t="s">
        <v>14466</v>
      </c>
      <c r="AP916" t="s">
        <v>256</v>
      </c>
      <c r="AQ916" t="s">
        <v>535</v>
      </c>
      <c r="AR916" t="s">
        <v>536</v>
      </c>
      <c r="AS916" t="s">
        <v>537</v>
      </c>
      <c r="AT916" t="s">
        <v>538</v>
      </c>
      <c r="AU916" t="s">
        <v>539</v>
      </c>
      <c r="AV916" t="s">
        <v>540</v>
      </c>
      <c r="AW916" t="s">
        <v>232</v>
      </c>
      <c r="AX916" s="4" t="str">
        <f>"78550"</f>
        <v>78550</v>
      </c>
      <c r="AY916" t="s">
        <v>120</v>
      </c>
      <c r="BA916" s="5">
        <v>19564408720</v>
      </c>
      <c r="BB916">
        <v>0</v>
      </c>
      <c r="BC916" t="s">
        <v>1022</v>
      </c>
      <c r="BD916" t="s">
        <v>543</v>
      </c>
      <c r="BG916" t="s">
        <v>232</v>
      </c>
      <c r="BH916" s="1">
        <v>44826.833333333336</v>
      </c>
      <c r="BI916">
        <v>40</v>
      </c>
      <c r="BJ916">
        <v>8</v>
      </c>
      <c r="BK916">
        <v>0</v>
      </c>
      <c r="BL916">
        <v>0</v>
      </c>
      <c r="BM916">
        <v>8</v>
      </c>
      <c r="BN916">
        <v>8</v>
      </c>
      <c r="BO916">
        <v>8</v>
      </c>
      <c r="BP916">
        <v>8</v>
      </c>
      <c r="BQ916" t="str">
        <f>"1:00 PM"</f>
        <v>1:00 PM</v>
      </c>
      <c r="BR916" t="str">
        <f>"10:00 PM"</f>
        <v>10:00 PM</v>
      </c>
      <c r="BS916" t="s">
        <v>133</v>
      </c>
      <c r="BT916">
        <v>0</v>
      </c>
      <c r="BU916">
        <v>0</v>
      </c>
      <c r="BV916" t="s">
        <v>134</v>
      </c>
      <c r="BX916" s="2" t="s">
        <v>579</v>
      </c>
      <c r="BY916" t="s">
        <v>14465</v>
      </c>
      <c r="CA916" t="s">
        <v>2108</v>
      </c>
      <c r="CB916" t="s">
        <v>232</v>
      </c>
      <c r="CC916" s="4" t="str">
        <f>"78221"</f>
        <v>78221</v>
      </c>
      <c r="CD916" t="s">
        <v>2112</v>
      </c>
      <c r="CE916" t="s">
        <v>1342</v>
      </c>
      <c r="CF916" s="6">
        <v>10.24</v>
      </c>
      <c r="CG916" s="6">
        <v>15.5</v>
      </c>
      <c r="CJ916" t="s">
        <v>137</v>
      </c>
      <c r="CK916" t="s">
        <v>549</v>
      </c>
      <c r="CL916" t="s">
        <v>14689</v>
      </c>
      <c r="CO916" t="s">
        <v>138</v>
      </c>
      <c r="CP916" t="s">
        <v>114</v>
      </c>
      <c r="CQ916" t="s">
        <v>114</v>
      </c>
      <c r="CR916" t="s">
        <v>134</v>
      </c>
      <c r="CS916" t="s">
        <v>114</v>
      </c>
      <c r="CT916" t="s">
        <v>114</v>
      </c>
      <c r="CU916" t="s">
        <v>114</v>
      </c>
      <c r="CV916" t="s">
        <v>14381</v>
      </c>
      <c r="CW916" s="5" t="str">
        <f>"+12102400215"</f>
        <v>+12102400215</v>
      </c>
      <c r="CX916" t="s">
        <v>14466</v>
      </c>
      <c r="CY916" t="s">
        <v>138</v>
      </c>
      <c r="CZ916" t="s">
        <v>139</v>
      </c>
      <c r="DA916" t="s">
        <v>134</v>
      </c>
      <c r="DB916" t="s">
        <v>114</v>
      </c>
      <c r="DC916" t="s">
        <v>114</v>
      </c>
      <c r="DD916" t="s">
        <v>134</v>
      </c>
    </row>
    <row r="917" spans="1:113" ht="15" customHeight="1" x14ac:dyDescent="0.25">
      <c r="A917" t="s">
        <v>10638</v>
      </c>
      <c r="B917" t="s">
        <v>165</v>
      </c>
      <c r="C917" s="1">
        <v>44825.64878171296</v>
      </c>
      <c r="D917" s="1">
        <v>44852</v>
      </c>
      <c r="E917" t="s">
        <v>134</v>
      </c>
      <c r="F917" t="s">
        <v>614</v>
      </c>
      <c r="G917" t="str">
        <f>"39-2021.00"</f>
        <v>39-2021.00</v>
      </c>
      <c r="H917" t="s">
        <v>1090</v>
      </c>
      <c r="I917">
        <v>8</v>
      </c>
      <c r="J917">
        <v>8</v>
      </c>
      <c r="K917" s="1">
        <v>44915</v>
      </c>
      <c r="L917" s="1">
        <v>45046</v>
      </c>
      <c r="M917" s="1">
        <v>44915</v>
      </c>
      <c r="N917" s="1">
        <v>45046</v>
      </c>
      <c r="O917" t="s">
        <v>199</v>
      </c>
      <c r="P917" t="s">
        <v>10639</v>
      </c>
      <c r="Q917" t="s">
        <v>10640</v>
      </c>
      <c r="R917" t="s">
        <v>10641</v>
      </c>
      <c r="T917" t="s">
        <v>5503</v>
      </c>
      <c r="U917" t="s">
        <v>1414</v>
      </c>
      <c r="V917" s="4" t="str">
        <f>"49009"</f>
        <v>49009</v>
      </c>
      <c r="W917" t="s">
        <v>120</v>
      </c>
      <c r="Y917" s="5">
        <v>12693751114</v>
      </c>
      <c r="AA917">
        <v>711212</v>
      </c>
      <c r="AB917" t="s">
        <v>10642</v>
      </c>
      <c r="AC917" t="s">
        <v>370</v>
      </c>
      <c r="AE917" t="s">
        <v>622</v>
      </c>
      <c r="AF917" t="s">
        <v>10641</v>
      </c>
      <c r="AH917" t="s">
        <v>5503</v>
      </c>
      <c r="AI917" t="s">
        <v>1414</v>
      </c>
      <c r="AJ917" s="4" t="str">
        <f>"49009"</f>
        <v>49009</v>
      </c>
      <c r="AK917" t="s">
        <v>120</v>
      </c>
      <c r="AM917" s="5">
        <v>12693751114</v>
      </c>
      <c r="AO917" t="s">
        <v>10643</v>
      </c>
      <c r="AP917" t="s">
        <v>122</v>
      </c>
      <c r="AQ917" t="s">
        <v>625</v>
      </c>
      <c r="AR917" t="s">
        <v>626</v>
      </c>
      <c r="AS917" t="s">
        <v>627</v>
      </c>
      <c r="AT917" t="s">
        <v>628</v>
      </c>
      <c r="AU917" t="s">
        <v>629</v>
      </c>
      <c r="AV917" t="s">
        <v>630</v>
      </c>
      <c r="AW917" t="s">
        <v>631</v>
      </c>
      <c r="AX917" s="4" t="str">
        <f>"73069"</f>
        <v>73069</v>
      </c>
      <c r="AY917" t="s">
        <v>120</v>
      </c>
      <c r="BA917" s="5">
        <v>14053642525</v>
      </c>
      <c r="BC917" t="s">
        <v>632</v>
      </c>
      <c r="BD917" t="s">
        <v>633</v>
      </c>
      <c r="BE917" t="s">
        <v>631</v>
      </c>
      <c r="BF917" t="s">
        <v>634</v>
      </c>
      <c r="BG917" t="s">
        <v>1411</v>
      </c>
      <c r="BH917" s="1">
        <v>44824.833333333336</v>
      </c>
      <c r="BI917">
        <v>56</v>
      </c>
      <c r="BJ917">
        <v>8</v>
      </c>
      <c r="BK917">
        <v>8</v>
      </c>
      <c r="BL917">
        <v>8</v>
      </c>
      <c r="BM917">
        <v>8</v>
      </c>
      <c r="BN917">
        <v>8</v>
      </c>
      <c r="BO917">
        <v>8</v>
      </c>
      <c r="BP917">
        <v>8</v>
      </c>
      <c r="BQ917" t="str">
        <f>"5:00 AM"</f>
        <v>5:00 AM</v>
      </c>
      <c r="BR917" t="str">
        <f>"5:00 PM"</f>
        <v>5:00 PM</v>
      </c>
      <c r="BS917" t="s">
        <v>133</v>
      </c>
      <c r="BT917">
        <v>0</v>
      </c>
      <c r="BU917">
        <v>1</v>
      </c>
      <c r="BV917" t="s">
        <v>134</v>
      </c>
      <c r="BX917" s="2" t="s">
        <v>3578</v>
      </c>
      <c r="BY917" t="s">
        <v>10644</v>
      </c>
      <c r="BZ917" t="s">
        <v>10645</v>
      </c>
      <c r="CA917" t="s">
        <v>10646</v>
      </c>
      <c r="CB917" t="s">
        <v>1411</v>
      </c>
      <c r="CC917" s="4" t="str">
        <f>"44515"</f>
        <v>44515</v>
      </c>
      <c r="CD917" t="s">
        <v>5787</v>
      </c>
      <c r="CE917" t="s">
        <v>5788</v>
      </c>
      <c r="CF917" s="6">
        <v>12.08</v>
      </c>
      <c r="CG917" s="6">
        <v>12.08</v>
      </c>
      <c r="CH917" s="6">
        <v>18.12</v>
      </c>
      <c r="CI917" s="6">
        <v>18.12</v>
      </c>
      <c r="CJ917" t="s">
        <v>137</v>
      </c>
      <c r="CL917" t="s">
        <v>10647</v>
      </c>
      <c r="CO917" t="s">
        <v>138</v>
      </c>
      <c r="CP917" t="s">
        <v>134</v>
      </c>
      <c r="CQ917" t="s">
        <v>134</v>
      </c>
      <c r="CR917" t="s">
        <v>114</v>
      </c>
      <c r="CS917" t="s">
        <v>134</v>
      </c>
      <c r="CT917" t="s">
        <v>114</v>
      </c>
      <c r="CU917" t="s">
        <v>114</v>
      </c>
      <c r="CV917" s="2" t="s">
        <v>10648</v>
      </c>
      <c r="CW917" s="5" t="str">
        <f>"+12693751114"</f>
        <v>+12693751114</v>
      </c>
      <c r="CX917" t="s">
        <v>10643</v>
      </c>
      <c r="CY917" t="s">
        <v>138</v>
      </c>
      <c r="CZ917" t="s">
        <v>139</v>
      </c>
      <c r="DA917" t="s">
        <v>134</v>
      </c>
      <c r="DB917" t="s">
        <v>134</v>
      </c>
      <c r="DC917" t="s">
        <v>114</v>
      </c>
      <c r="DD917" t="s">
        <v>134</v>
      </c>
    </row>
    <row r="918" spans="1:113" ht="15" customHeight="1" x14ac:dyDescent="0.25">
      <c r="A918" t="s">
        <v>12135</v>
      </c>
      <c r="B918" t="s">
        <v>165</v>
      </c>
      <c r="C918" s="1">
        <v>44820.685144675925</v>
      </c>
      <c r="D918" s="1">
        <v>44852</v>
      </c>
      <c r="E918" t="s">
        <v>114</v>
      </c>
      <c r="F918" t="s">
        <v>12136</v>
      </c>
      <c r="G918" t="str">
        <f>"35-2014.00"</f>
        <v>35-2014.00</v>
      </c>
      <c r="H918" t="s">
        <v>915</v>
      </c>
      <c r="I918">
        <v>6</v>
      </c>
      <c r="J918">
        <v>6</v>
      </c>
      <c r="K918" s="1">
        <v>44896</v>
      </c>
      <c r="L918" s="1">
        <v>45077</v>
      </c>
      <c r="M918" s="1">
        <v>44896</v>
      </c>
      <c r="N918" s="1">
        <v>45077</v>
      </c>
      <c r="O918" t="s">
        <v>117</v>
      </c>
      <c r="P918" t="s">
        <v>11331</v>
      </c>
      <c r="Q918" t="s">
        <v>11332</v>
      </c>
      <c r="R918" t="s">
        <v>11333</v>
      </c>
      <c r="S918" t="s">
        <v>11334</v>
      </c>
      <c r="T918" t="s">
        <v>6948</v>
      </c>
      <c r="U918" t="s">
        <v>181</v>
      </c>
      <c r="V918" s="4" t="str">
        <f>"80435"</f>
        <v>80435</v>
      </c>
      <c r="W918" t="s">
        <v>120</v>
      </c>
      <c r="Y918" s="5">
        <v>19704680718</v>
      </c>
      <c r="AA918">
        <v>713920</v>
      </c>
      <c r="AB918" t="s">
        <v>1993</v>
      </c>
      <c r="AC918" t="s">
        <v>2000</v>
      </c>
      <c r="AE918" t="s">
        <v>11336</v>
      </c>
      <c r="AF918" t="s">
        <v>11333</v>
      </c>
      <c r="AG918" t="s">
        <v>11334</v>
      </c>
      <c r="AH918" t="s">
        <v>6948</v>
      </c>
      <c r="AI918" t="s">
        <v>181</v>
      </c>
      <c r="AJ918" s="4" t="str">
        <f>"80435"</f>
        <v>80435</v>
      </c>
      <c r="AK918" t="s">
        <v>120</v>
      </c>
      <c r="AM918" s="5">
        <v>19704680718</v>
      </c>
      <c r="AO918" t="s">
        <v>11337</v>
      </c>
      <c r="AP918" t="s">
        <v>122</v>
      </c>
      <c r="AQ918" t="s">
        <v>753</v>
      </c>
      <c r="AR918" t="s">
        <v>754</v>
      </c>
      <c r="AS918" t="s">
        <v>755</v>
      </c>
      <c r="AT918" t="s">
        <v>756</v>
      </c>
      <c r="AU918" t="s">
        <v>757</v>
      </c>
      <c r="AV918" t="s">
        <v>758</v>
      </c>
      <c r="AW918" t="s">
        <v>281</v>
      </c>
      <c r="AX918" s="4" t="str">
        <f>"01701"</f>
        <v>01701</v>
      </c>
      <c r="AY918" t="s">
        <v>120</v>
      </c>
      <c r="BA918" s="5">
        <v>16179399444</v>
      </c>
      <c r="BC918" t="s">
        <v>759</v>
      </c>
      <c r="BD918" t="s">
        <v>760</v>
      </c>
      <c r="BE918" t="s">
        <v>281</v>
      </c>
      <c r="BF918" t="s">
        <v>761</v>
      </c>
      <c r="BG918" t="s">
        <v>181</v>
      </c>
      <c r="BH918" s="1">
        <v>44819.833333333336</v>
      </c>
      <c r="BI918">
        <v>35</v>
      </c>
      <c r="BJ918">
        <v>0</v>
      </c>
      <c r="BK918">
        <v>7</v>
      </c>
      <c r="BL918">
        <v>7</v>
      </c>
      <c r="BM918">
        <v>7</v>
      </c>
      <c r="BN918">
        <v>7</v>
      </c>
      <c r="BO918">
        <v>7</v>
      </c>
      <c r="BP918">
        <v>0</v>
      </c>
      <c r="BQ918" t="str">
        <f>"7:00 AM"</f>
        <v>7:00 AM</v>
      </c>
      <c r="BR918" t="str">
        <f>"2:00 PM"</f>
        <v>2:00 PM</v>
      </c>
      <c r="BS918" t="s">
        <v>133</v>
      </c>
      <c r="BT918">
        <v>0</v>
      </c>
      <c r="BU918">
        <v>12</v>
      </c>
      <c r="BV918" t="s">
        <v>134</v>
      </c>
      <c r="BX918" s="2" t="s">
        <v>12137</v>
      </c>
      <c r="BY918" t="s">
        <v>11333</v>
      </c>
      <c r="CA918" t="s">
        <v>6948</v>
      </c>
      <c r="CB918" t="s">
        <v>181</v>
      </c>
      <c r="CC918" s="4" t="str">
        <f>"80435"</f>
        <v>80435</v>
      </c>
      <c r="CD918" t="s">
        <v>1459</v>
      </c>
      <c r="CE918" t="s">
        <v>1570</v>
      </c>
      <c r="CF918" s="6">
        <v>22</v>
      </c>
      <c r="CG918" s="6">
        <v>27.5</v>
      </c>
      <c r="CH918" s="6">
        <v>33</v>
      </c>
      <c r="CI918" s="6">
        <v>41.25</v>
      </c>
      <c r="CJ918" t="s">
        <v>137</v>
      </c>
      <c r="CK918" t="s">
        <v>12138</v>
      </c>
      <c r="CL918" t="s">
        <v>12139</v>
      </c>
      <c r="CO918" t="s">
        <v>138</v>
      </c>
      <c r="CP918" t="s">
        <v>134</v>
      </c>
      <c r="CQ918" t="s">
        <v>134</v>
      </c>
      <c r="CR918" t="s">
        <v>114</v>
      </c>
      <c r="CS918" t="s">
        <v>114</v>
      </c>
      <c r="CT918" t="s">
        <v>114</v>
      </c>
      <c r="CU918" t="s">
        <v>114</v>
      </c>
      <c r="CV918" s="2" t="s">
        <v>11341</v>
      </c>
      <c r="CW918" s="5" t="str">
        <f>"+19704680718"</f>
        <v>+19704680718</v>
      </c>
      <c r="CX918" t="s">
        <v>11337</v>
      </c>
      <c r="CY918" t="s">
        <v>138</v>
      </c>
      <c r="CZ918" t="s">
        <v>139</v>
      </c>
      <c r="DA918" t="s">
        <v>134</v>
      </c>
      <c r="DB918" t="s">
        <v>134</v>
      </c>
      <c r="DC918" t="s">
        <v>114</v>
      </c>
      <c r="DD918" t="s">
        <v>134</v>
      </c>
    </row>
    <row r="919" spans="1:113" ht="15" customHeight="1" x14ac:dyDescent="0.25">
      <c r="A919" t="s">
        <v>11329</v>
      </c>
      <c r="B919" t="s">
        <v>165</v>
      </c>
      <c r="C919" s="1">
        <v>44820.684274189814</v>
      </c>
      <c r="D919" s="1">
        <v>44852</v>
      </c>
      <c r="E919" t="s">
        <v>114</v>
      </c>
      <c r="F919" t="s">
        <v>11330</v>
      </c>
      <c r="G919" t="str">
        <f>"37-2011.00"</f>
        <v>37-2011.00</v>
      </c>
      <c r="H919" t="s">
        <v>672</v>
      </c>
      <c r="I919">
        <v>2</v>
      </c>
      <c r="J919">
        <v>2</v>
      </c>
      <c r="K919" s="1">
        <v>44896</v>
      </c>
      <c r="L919" s="1">
        <v>45061</v>
      </c>
      <c r="M919" s="1">
        <v>44896</v>
      </c>
      <c r="N919" s="1">
        <v>45061</v>
      </c>
      <c r="O919" t="s">
        <v>117</v>
      </c>
      <c r="P919" t="s">
        <v>11331</v>
      </c>
      <c r="Q919" t="s">
        <v>11332</v>
      </c>
      <c r="R919" t="s">
        <v>11333</v>
      </c>
      <c r="S919" t="s">
        <v>11334</v>
      </c>
      <c r="T919" t="s">
        <v>11335</v>
      </c>
      <c r="U919" t="s">
        <v>181</v>
      </c>
      <c r="V919" s="4" t="str">
        <f>"80435"</f>
        <v>80435</v>
      </c>
      <c r="W919" t="s">
        <v>120</v>
      </c>
      <c r="Y919" s="5">
        <v>19704680718</v>
      </c>
      <c r="AA919">
        <v>713920</v>
      </c>
      <c r="AB919" t="s">
        <v>1993</v>
      </c>
      <c r="AC919" t="s">
        <v>2000</v>
      </c>
      <c r="AE919" t="s">
        <v>11336</v>
      </c>
      <c r="AF919" t="s">
        <v>11333</v>
      </c>
      <c r="AG919" t="s">
        <v>11334</v>
      </c>
      <c r="AH919" t="s">
        <v>6948</v>
      </c>
      <c r="AI919" t="s">
        <v>181</v>
      </c>
      <c r="AJ919" s="4" t="str">
        <f>"80435"</f>
        <v>80435</v>
      </c>
      <c r="AK919" t="s">
        <v>120</v>
      </c>
      <c r="AM919" s="5">
        <v>19704680718</v>
      </c>
      <c r="AO919" t="s">
        <v>11337</v>
      </c>
      <c r="AP919" t="s">
        <v>122</v>
      </c>
      <c r="AQ919" t="s">
        <v>753</v>
      </c>
      <c r="AR919" t="s">
        <v>754</v>
      </c>
      <c r="AS919" t="s">
        <v>755</v>
      </c>
      <c r="AT919" t="s">
        <v>756</v>
      </c>
      <c r="AU919" t="s">
        <v>757</v>
      </c>
      <c r="AV919" t="s">
        <v>758</v>
      </c>
      <c r="AW919" t="s">
        <v>281</v>
      </c>
      <c r="AX919" s="4" t="str">
        <f>"01701"</f>
        <v>01701</v>
      </c>
      <c r="AY919" t="s">
        <v>120</v>
      </c>
      <c r="BA919" s="5">
        <v>16179399444</v>
      </c>
      <c r="BC919" t="s">
        <v>759</v>
      </c>
      <c r="BD919" t="s">
        <v>760</v>
      </c>
      <c r="BE919" t="s">
        <v>281</v>
      </c>
      <c r="BF919" t="s">
        <v>761</v>
      </c>
      <c r="BG919" t="s">
        <v>181</v>
      </c>
      <c r="BH919" s="1">
        <v>44819.833333333336</v>
      </c>
      <c r="BI919">
        <v>35</v>
      </c>
      <c r="BJ919">
        <v>0</v>
      </c>
      <c r="BK919">
        <v>7</v>
      </c>
      <c r="BL919">
        <v>7</v>
      </c>
      <c r="BM919">
        <v>7</v>
      </c>
      <c r="BN919">
        <v>7</v>
      </c>
      <c r="BO919">
        <v>7</v>
      </c>
      <c r="BP919">
        <v>0</v>
      </c>
      <c r="BQ919" t="str">
        <f>"7:00 AM"</f>
        <v>7:00 AM</v>
      </c>
      <c r="BR919" t="str">
        <f>"2:00 PM"</f>
        <v>2:00 PM</v>
      </c>
      <c r="BS919" t="s">
        <v>133</v>
      </c>
      <c r="BT919">
        <v>0</v>
      </c>
      <c r="BU919">
        <v>6</v>
      </c>
      <c r="BV919" t="s">
        <v>134</v>
      </c>
      <c r="BX919" s="2" t="s">
        <v>11338</v>
      </c>
      <c r="BY919" t="s">
        <v>11333</v>
      </c>
      <c r="CA919" t="s">
        <v>6948</v>
      </c>
      <c r="CB919" t="s">
        <v>181</v>
      </c>
      <c r="CC919" s="4" t="str">
        <f>"80435"</f>
        <v>80435</v>
      </c>
      <c r="CD919" t="s">
        <v>1459</v>
      </c>
      <c r="CE919" t="s">
        <v>1570</v>
      </c>
      <c r="CF919" s="6">
        <v>20.5</v>
      </c>
      <c r="CG919" s="6">
        <v>22.5</v>
      </c>
      <c r="CH919" s="6">
        <v>30.75</v>
      </c>
      <c r="CI919" s="6">
        <v>33.75</v>
      </c>
      <c r="CJ919" t="s">
        <v>137</v>
      </c>
      <c r="CK919" t="s">
        <v>11339</v>
      </c>
      <c r="CL919" t="s">
        <v>11340</v>
      </c>
      <c r="CO919" t="s">
        <v>138</v>
      </c>
      <c r="CP919" t="s">
        <v>134</v>
      </c>
      <c r="CQ919" t="s">
        <v>134</v>
      </c>
      <c r="CR919" t="s">
        <v>114</v>
      </c>
      <c r="CS919" t="s">
        <v>114</v>
      </c>
      <c r="CT919" t="s">
        <v>114</v>
      </c>
      <c r="CU919" t="s">
        <v>114</v>
      </c>
      <c r="CV919" s="2" t="s">
        <v>11341</v>
      </c>
      <c r="CW919" s="5" t="str">
        <f>"+19704680718"</f>
        <v>+19704680718</v>
      </c>
      <c r="CX919" t="s">
        <v>11337</v>
      </c>
      <c r="CY919" t="s">
        <v>138</v>
      </c>
      <c r="CZ919" t="s">
        <v>139</v>
      </c>
      <c r="DA919" t="s">
        <v>134</v>
      </c>
      <c r="DB919" t="s">
        <v>134</v>
      </c>
      <c r="DC919" t="s">
        <v>114</v>
      </c>
      <c r="DD919" t="s">
        <v>134</v>
      </c>
    </row>
    <row r="920" spans="1:113" ht="15" customHeight="1" x14ac:dyDescent="0.25">
      <c r="A920" t="s">
        <v>12269</v>
      </c>
      <c r="B920" t="s">
        <v>165</v>
      </c>
      <c r="C920" s="1">
        <v>44820.655115277776</v>
      </c>
      <c r="D920" s="1">
        <v>44852</v>
      </c>
      <c r="E920" t="s">
        <v>114</v>
      </c>
      <c r="F920" t="s">
        <v>1591</v>
      </c>
      <c r="G920" t="str">
        <f>"37-2012.00"</f>
        <v>37-2012.00</v>
      </c>
      <c r="H920" t="s">
        <v>116</v>
      </c>
      <c r="I920">
        <v>6</v>
      </c>
      <c r="J920">
        <v>6</v>
      </c>
      <c r="K920" s="1">
        <v>44896</v>
      </c>
      <c r="L920" s="1">
        <v>45046</v>
      </c>
      <c r="M920" s="1">
        <v>44896</v>
      </c>
      <c r="N920" s="1">
        <v>45046</v>
      </c>
      <c r="O920" t="s">
        <v>117</v>
      </c>
      <c r="P920" t="s">
        <v>12270</v>
      </c>
      <c r="Q920" t="s">
        <v>12271</v>
      </c>
      <c r="R920" t="s">
        <v>12272</v>
      </c>
      <c r="T920" t="s">
        <v>3891</v>
      </c>
      <c r="U920" t="s">
        <v>181</v>
      </c>
      <c r="V920" s="4" t="str">
        <f>"80249"</f>
        <v>80249</v>
      </c>
      <c r="W920" t="s">
        <v>120</v>
      </c>
      <c r="Y920" s="5">
        <v>13033735900</v>
      </c>
      <c r="AA920">
        <v>72111</v>
      </c>
      <c r="AB920" t="s">
        <v>12273</v>
      </c>
      <c r="AC920" t="s">
        <v>12274</v>
      </c>
      <c r="AD920" t="s">
        <v>219</v>
      </c>
      <c r="AE920" t="s">
        <v>700</v>
      </c>
      <c r="AF920" t="s">
        <v>12272</v>
      </c>
      <c r="AH920" t="s">
        <v>3891</v>
      </c>
      <c r="AI920" t="s">
        <v>181</v>
      </c>
      <c r="AJ920" s="4" t="str">
        <f>"80249"</f>
        <v>80249</v>
      </c>
      <c r="AK920" t="s">
        <v>120</v>
      </c>
      <c r="AM920" s="5">
        <v>13033735900</v>
      </c>
      <c r="AO920" t="s">
        <v>12275</v>
      </c>
      <c r="AP920" t="s">
        <v>256</v>
      </c>
      <c r="AQ920" t="s">
        <v>6950</v>
      </c>
      <c r="AR920" t="s">
        <v>6951</v>
      </c>
      <c r="AS920" t="s">
        <v>1020</v>
      </c>
      <c r="AT920" t="s">
        <v>6952</v>
      </c>
      <c r="AV920" t="s">
        <v>4276</v>
      </c>
      <c r="AW920" t="s">
        <v>661</v>
      </c>
      <c r="AX920" s="4" t="str">
        <f>"59101"</f>
        <v>59101</v>
      </c>
      <c r="AY920" t="s">
        <v>120</v>
      </c>
      <c r="BA920" s="5">
        <v>14066718510</v>
      </c>
      <c r="BC920" t="s">
        <v>6953</v>
      </c>
      <c r="BD920" t="s">
        <v>6954</v>
      </c>
      <c r="BG920" t="s">
        <v>181</v>
      </c>
      <c r="BH920" s="1">
        <v>44819.833333333336</v>
      </c>
      <c r="BI920">
        <v>36</v>
      </c>
      <c r="BJ920">
        <v>6</v>
      </c>
      <c r="BK920">
        <v>6</v>
      </c>
      <c r="BL920">
        <v>4</v>
      </c>
      <c r="BM920">
        <v>4</v>
      </c>
      <c r="BN920">
        <v>4</v>
      </c>
      <c r="BO920">
        <v>6</v>
      </c>
      <c r="BP920">
        <v>6</v>
      </c>
      <c r="BQ920" t="str">
        <f>"8:00 AM"</f>
        <v>8:00 AM</v>
      </c>
      <c r="BR920" t="str">
        <f>"3:00 PM"</f>
        <v>3:00 PM</v>
      </c>
      <c r="BS920" t="s">
        <v>133</v>
      </c>
      <c r="BT920">
        <v>0</v>
      </c>
      <c r="BU920">
        <v>3</v>
      </c>
      <c r="BV920" t="s">
        <v>134</v>
      </c>
      <c r="BX920" t="s">
        <v>2314</v>
      </c>
      <c r="BY920" t="s">
        <v>12272</v>
      </c>
      <c r="CA920" t="s">
        <v>3891</v>
      </c>
      <c r="CB920" t="s">
        <v>181</v>
      </c>
      <c r="CC920" s="4" t="str">
        <f>"80249"</f>
        <v>80249</v>
      </c>
      <c r="CD920" t="s">
        <v>3891</v>
      </c>
      <c r="CE920" t="s">
        <v>1610</v>
      </c>
      <c r="CF920" s="6">
        <v>15.89</v>
      </c>
      <c r="CH920" s="6">
        <v>23.84</v>
      </c>
      <c r="CJ920" t="s">
        <v>137</v>
      </c>
      <c r="CL920" t="s">
        <v>12276</v>
      </c>
      <c r="CO920" t="s">
        <v>138</v>
      </c>
      <c r="CP920" t="s">
        <v>134</v>
      </c>
      <c r="CQ920" t="s">
        <v>134</v>
      </c>
      <c r="CR920" t="s">
        <v>114</v>
      </c>
      <c r="CS920" t="s">
        <v>134</v>
      </c>
      <c r="CT920" t="s">
        <v>114</v>
      </c>
      <c r="CU920" t="s">
        <v>114</v>
      </c>
      <c r="CV920" t="s">
        <v>6955</v>
      </c>
      <c r="CW920" s="5" t="str">
        <f>"+13033735900"</f>
        <v>+13033735900</v>
      </c>
      <c r="CX920" t="s">
        <v>12275</v>
      </c>
      <c r="CY920" t="s">
        <v>138</v>
      </c>
      <c r="CZ920" t="s">
        <v>139</v>
      </c>
      <c r="DA920" t="s">
        <v>134</v>
      </c>
      <c r="DB920" t="s">
        <v>134</v>
      </c>
      <c r="DC920" t="s">
        <v>114</v>
      </c>
      <c r="DD920" t="s">
        <v>134</v>
      </c>
    </row>
    <row r="921" spans="1:113" ht="15" customHeight="1" x14ac:dyDescent="0.25">
      <c r="A921" t="s">
        <v>8624</v>
      </c>
      <c r="B921" t="s">
        <v>165</v>
      </c>
      <c r="C921" s="1">
        <v>44820.609831597219</v>
      </c>
      <c r="D921" s="1">
        <v>44852</v>
      </c>
      <c r="E921" t="s">
        <v>114</v>
      </c>
      <c r="F921" t="s">
        <v>4447</v>
      </c>
      <c r="G921" t="str">
        <f>"35-2014.00"</f>
        <v>35-2014.00</v>
      </c>
      <c r="H921" t="s">
        <v>915</v>
      </c>
      <c r="I921">
        <v>15</v>
      </c>
      <c r="J921">
        <v>15</v>
      </c>
      <c r="K921" s="1">
        <v>44896</v>
      </c>
      <c r="L921" s="1">
        <v>45031</v>
      </c>
      <c r="M921" s="1">
        <v>44896</v>
      </c>
      <c r="N921" s="1">
        <v>45031</v>
      </c>
      <c r="O921" t="s">
        <v>117</v>
      </c>
      <c r="P921" t="s">
        <v>8625</v>
      </c>
      <c r="R921" t="s">
        <v>8626</v>
      </c>
      <c r="T921" t="s">
        <v>8627</v>
      </c>
      <c r="U921" t="s">
        <v>181</v>
      </c>
      <c r="V921" s="4" t="str">
        <f>"81611"</f>
        <v>81611</v>
      </c>
      <c r="W921" t="s">
        <v>120</v>
      </c>
      <c r="Y921" s="5">
        <v>19703007700</v>
      </c>
      <c r="AA921">
        <v>71392</v>
      </c>
      <c r="AB921" t="s">
        <v>2092</v>
      </c>
      <c r="AC921" t="s">
        <v>8628</v>
      </c>
      <c r="AE921" t="s">
        <v>824</v>
      </c>
      <c r="AF921" t="s">
        <v>8629</v>
      </c>
      <c r="AH921" t="s">
        <v>8627</v>
      </c>
      <c r="AI921" t="s">
        <v>181</v>
      </c>
      <c r="AJ921" s="4" t="str">
        <f>"81611"</f>
        <v>81611</v>
      </c>
      <c r="AK921" t="s">
        <v>120</v>
      </c>
      <c r="AM921" s="5">
        <v>19703007700</v>
      </c>
      <c r="AO921" t="s">
        <v>8630</v>
      </c>
      <c r="AP921" t="s">
        <v>122</v>
      </c>
      <c r="AQ921" t="s">
        <v>753</v>
      </c>
      <c r="AR921" t="s">
        <v>754</v>
      </c>
      <c r="AS921" t="s">
        <v>755</v>
      </c>
      <c r="AT921" t="s">
        <v>756</v>
      </c>
      <c r="AU921" t="s">
        <v>757</v>
      </c>
      <c r="AV921" t="s">
        <v>758</v>
      </c>
      <c r="AW921" t="s">
        <v>281</v>
      </c>
      <c r="AX921" s="4" t="str">
        <f>"01701"</f>
        <v>01701</v>
      </c>
      <c r="AY921" t="s">
        <v>120</v>
      </c>
      <c r="BA921" s="5">
        <v>16179399444</v>
      </c>
      <c r="BC921" t="s">
        <v>759</v>
      </c>
      <c r="BD921" t="s">
        <v>760</v>
      </c>
      <c r="BE921" t="s">
        <v>281</v>
      </c>
      <c r="BF921" t="s">
        <v>761</v>
      </c>
      <c r="BG921" t="s">
        <v>181</v>
      </c>
      <c r="BH921" s="1">
        <v>44819.833333333336</v>
      </c>
      <c r="BI921">
        <v>40</v>
      </c>
      <c r="BJ921">
        <v>0</v>
      </c>
      <c r="BK921">
        <v>8</v>
      </c>
      <c r="BL921">
        <v>8</v>
      </c>
      <c r="BM921">
        <v>8</v>
      </c>
      <c r="BN921">
        <v>8</v>
      </c>
      <c r="BO921">
        <v>8</v>
      </c>
      <c r="BP921">
        <v>0</v>
      </c>
      <c r="BQ921" t="str">
        <f>"8:00 AM"</f>
        <v>8:00 AM</v>
      </c>
      <c r="BR921" t="str">
        <f>"4:00 PM"</f>
        <v>4:00 PM</v>
      </c>
      <c r="BS921" t="s">
        <v>133</v>
      </c>
      <c r="BT921">
        <v>0</v>
      </c>
      <c r="BU921">
        <v>6</v>
      </c>
      <c r="BV921" t="s">
        <v>134</v>
      </c>
      <c r="BX921" s="2" t="s">
        <v>8631</v>
      </c>
      <c r="BY921" t="s">
        <v>8629</v>
      </c>
      <c r="CA921" t="s">
        <v>8627</v>
      </c>
      <c r="CB921" t="s">
        <v>181</v>
      </c>
      <c r="CC921" s="4" t="str">
        <f>"81611"</f>
        <v>81611</v>
      </c>
      <c r="CD921" t="s">
        <v>8632</v>
      </c>
      <c r="CE921" t="s">
        <v>1570</v>
      </c>
      <c r="CF921" s="6">
        <v>23</v>
      </c>
      <c r="CG921" s="6">
        <v>26</v>
      </c>
      <c r="CH921" s="6">
        <v>34.5</v>
      </c>
      <c r="CI921" s="6">
        <v>39</v>
      </c>
      <c r="CJ921" t="s">
        <v>137</v>
      </c>
      <c r="CK921" t="s">
        <v>8633</v>
      </c>
      <c r="CL921" t="s">
        <v>8634</v>
      </c>
      <c r="CO921" t="s">
        <v>138</v>
      </c>
      <c r="CP921" t="s">
        <v>114</v>
      </c>
      <c r="CQ921" t="s">
        <v>114</v>
      </c>
      <c r="CR921" t="s">
        <v>114</v>
      </c>
      <c r="CS921" t="s">
        <v>114</v>
      </c>
      <c r="CT921" t="s">
        <v>114</v>
      </c>
      <c r="CU921" t="s">
        <v>114</v>
      </c>
      <c r="CV921" t="s">
        <v>8635</v>
      </c>
      <c r="CW921" s="5" t="str">
        <f>"+19703007700"</f>
        <v>+19703007700</v>
      </c>
      <c r="CX921" t="s">
        <v>8630</v>
      </c>
      <c r="CY921" t="s">
        <v>138</v>
      </c>
      <c r="CZ921" t="s">
        <v>139</v>
      </c>
      <c r="DA921" t="s">
        <v>134</v>
      </c>
      <c r="DB921" t="s">
        <v>134</v>
      </c>
      <c r="DC921" t="s">
        <v>114</v>
      </c>
      <c r="DD921" t="s">
        <v>134</v>
      </c>
    </row>
    <row r="922" spans="1:113" ht="15" customHeight="1" x14ac:dyDescent="0.25">
      <c r="A922" t="s">
        <v>8816</v>
      </c>
      <c r="B922" t="s">
        <v>165</v>
      </c>
      <c r="C922" s="1">
        <v>44816.566880671293</v>
      </c>
      <c r="D922" s="1">
        <v>44852</v>
      </c>
      <c r="E922" t="s">
        <v>134</v>
      </c>
      <c r="F922" t="s">
        <v>8687</v>
      </c>
      <c r="G922" t="str">
        <f>"37-2012.00"</f>
        <v>37-2012.00</v>
      </c>
      <c r="H922" t="s">
        <v>116</v>
      </c>
      <c r="I922">
        <v>10</v>
      </c>
      <c r="J922">
        <v>10</v>
      </c>
      <c r="K922" s="1">
        <v>44904</v>
      </c>
      <c r="L922" s="1">
        <v>45177</v>
      </c>
      <c r="M922" s="1">
        <v>44904</v>
      </c>
      <c r="N922" s="1">
        <v>45177</v>
      </c>
      <c r="O922" t="s">
        <v>199</v>
      </c>
      <c r="P922" t="s">
        <v>8817</v>
      </c>
      <c r="Q922" t="s">
        <v>8818</v>
      </c>
      <c r="R922" t="s">
        <v>8819</v>
      </c>
      <c r="T922" t="s">
        <v>8820</v>
      </c>
      <c r="U922" t="s">
        <v>444</v>
      </c>
      <c r="V922" s="4" t="str">
        <f>"96145"</f>
        <v>96145</v>
      </c>
      <c r="W922" t="s">
        <v>120</v>
      </c>
      <c r="Y922" s="5">
        <v>15302406004</v>
      </c>
      <c r="AA922">
        <v>561720</v>
      </c>
      <c r="AB922" t="s">
        <v>8821</v>
      </c>
      <c r="AC922" t="s">
        <v>1702</v>
      </c>
      <c r="AD922" t="s">
        <v>2795</v>
      </c>
      <c r="AE922" t="s">
        <v>252</v>
      </c>
      <c r="AF922" t="s">
        <v>8822</v>
      </c>
      <c r="AH922" t="s">
        <v>8820</v>
      </c>
      <c r="AI922" t="s">
        <v>444</v>
      </c>
      <c r="AJ922" s="4" t="str">
        <f>"96145"</f>
        <v>96145</v>
      </c>
      <c r="AK922" t="s">
        <v>120</v>
      </c>
      <c r="AM922" s="5">
        <v>15302406004</v>
      </c>
      <c r="AO922" t="s">
        <v>8823</v>
      </c>
      <c r="AP922" t="s">
        <v>122</v>
      </c>
      <c r="AQ922" t="s">
        <v>3619</v>
      </c>
      <c r="AR922" t="s">
        <v>2944</v>
      </c>
      <c r="AT922" t="s">
        <v>3620</v>
      </c>
      <c r="AV922" t="s">
        <v>3621</v>
      </c>
      <c r="AW922" t="s">
        <v>511</v>
      </c>
      <c r="AX922" s="4" t="str">
        <f>"97401"</f>
        <v>97401</v>
      </c>
      <c r="AY922" t="s">
        <v>120</v>
      </c>
      <c r="BA922" s="5">
        <v>15414841811</v>
      </c>
      <c r="BC922" t="s">
        <v>3622</v>
      </c>
      <c r="BD922" t="s">
        <v>3623</v>
      </c>
      <c r="BE922" t="s">
        <v>511</v>
      </c>
      <c r="BF922" t="s">
        <v>3624</v>
      </c>
      <c r="BG922" t="s">
        <v>444</v>
      </c>
      <c r="BH922" s="1">
        <v>44815.833333333336</v>
      </c>
      <c r="BI922">
        <v>40</v>
      </c>
      <c r="BJ922">
        <v>8</v>
      </c>
      <c r="BK922">
        <v>8</v>
      </c>
      <c r="BL922">
        <v>8</v>
      </c>
      <c r="BM922">
        <v>8</v>
      </c>
      <c r="BN922">
        <v>8</v>
      </c>
      <c r="BO922">
        <v>0</v>
      </c>
      <c r="BP922">
        <v>0</v>
      </c>
      <c r="BQ922" t="str">
        <f>"9:00 AM"</f>
        <v>9:00 AM</v>
      </c>
      <c r="BR922" t="str">
        <f>"5:00 PM"</f>
        <v>5:00 PM</v>
      </c>
      <c r="BS922" t="s">
        <v>133</v>
      </c>
      <c r="BT922">
        <v>0</v>
      </c>
      <c r="BU922">
        <v>3</v>
      </c>
      <c r="BV922" t="s">
        <v>134</v>
      </c>
      <c r="BX922" s="2" t="s">
        <v>8824</v>
      </c>
      <c r="BY922" t="s">
        <v>8819</v>
      </c>
      <c r="CA922" t="s">
        <v>8820</v>
      </c>
      <c r="CB922" t="s">
        <v>444</v>
      </c>
      <c r="CC922" s="4" t="str">
        <f>"96145"</f>
        <v>96145</v>
      </c>
      <c r="CD922" t="s">
        <v>462</v>
      </c>
      <c r="CE922" t="s">
        <v>463</v>
      </c>
      <c r="CF922" s="6">
        <v>18.59</v>
      </c>
      <c r="CG922" s="6">
        <v>18.59</v>
      </c>
      <c r="CH922" s="6">
        <v>27.89</v>
      </c>
      <c r="CI922" s="6">
        <v>27.89</v>
      </c>
      <c r="CJ922" t="s">
        <v>137</v>
      </c>
      <c r="CL922" t="s">
        <v>8825</v>
      </c>
      <c r="CO922" t="s">
        <v>138</v>
      </c>
      <c r="CP922" t="s">
        <v>134</v>
      </c>
      <c r="CQ922" t="s">
        <v>114</v>
      </c>
      <c r="CR922" t="s">
        <v>114</v>
      </c>
      <c r="CS922" t="s">
        <v>134</v>
      </c>
      <c r="CT922" t="s">
        <v>114</v>
      </c>
      <c r="CU922" t="s">
        <v>134</v>
      </c>
      <c r="CV922" t="s">
        <v>8694</v>
      </c>
      <c r="CW922" s="5" t="str">
        <f>"+15302406004"</f>
        <v>+15302406004</v>
      </c>
      <c r="CX922" t="s">
        <v>8823</v>
      </c>
      <c r="CY922" t="s">
        <v>138</v>
      </c>
      <c r="CZ922" t="s">
        <v>139</v>
      </c>
      <c r="DA922" t="s">
        <v>134</v>
      </c>
      <c r="DB922" t="s">
        <v>134</v>
      </c>
      <c r="DC922" t="s">
        <v>114</v>
      </c>
      <c r="DD922" t="s">
        <v>134</v>
      </c>
    </row>
    <row r="923" spans="1:113" ht="15" customHeight="1" x14ac:dyDescent="0.25">
      <c r="A923" t="s">
        <v>415</v>
      </c>
      <c r="B923" t="s">
        <v>165</v>
      </c>
      <c r="C923" s="1">
        <v>44813.019192245367</v>
      </c>
      <c r="D923" s="1">
        <v>44852</v>
      </c>
      <c r="E923" t="s">
        <v>134</v>
      </c>
      <c r="F923" t="s">
        <v>416</v>
      </c>
      <c r="G923" t="str">
        <f>"37-3011.00"</f>
        <v>37-3011.00</v>
      </c>
      <c r="H923" t="s">
        <v>335</v>
      </c>
      <c r="I923">
        <v>12</v>
      </c>
      <c r="J923">
        <v>12</v>
      </c>
      <c r="K923" s="1">
        <v>44896</v>
      </c>
      <c r="L923" s="1">
        <v>45016</v>
      </c>
      <c r="M923" s="1">
        <v>44896</v>
      </c>
      <c r="N923" s="1">
        <v>45016</v>
      </c>
      <c r="O923" t="s">
        <v>199</v>
      </c>
      <c r="P923" t="s">
        <v>417</v>
      </c>
      <c r="R923" t="s">
        <v>418</v>
      </c>
      <c r="T923" t="s">
        <v>419</v>
      </c>
      <c r="U923" t="s">
        <v>420</v>
      </c>
      <c r="V923" s="4" t="str">
        <f>"84043"</f>
        <v>84043</v>
      </c>
      <c r="W923" t="s">
        <v>120</v>
      </c>
      <c r="Y923" s="5">
        <v>18014047176</v>
      </c>
      <c r="AA923">
        <v>56173</v>
      </c>
      <c r="AB923" t="s">
        <v>421</v>
      </c>
      <c r="AC923" t="s">
        <v>422</v>
      </c>
      <c r="AD923" t="s">
        <v>423</v>
      </c>
      <c r="AE923" t="s">
        <v>424</v>
      </c>
      <c r="AF923" t="s">
        <v>418</v>
      </c>
      <c r="AH923" t="s">
        <v>419</v>
      </c>
      <c r="AI923" t="s">
        <v>420</v>
      </c>
      <c r="AJ923" s="4" t="str">
        <f>"84043"</f>
        <v>84043</v>
      </c>
      <c r="AK923" t="s">
        <v>120</v>
      </c>
      <c r="AM923" s="5">
        <v>18014047176</v>
      </c>
      <c r="AO923" t="s">
        <v>425</v>
      </c>
      <c r="AP923" t="s">
        <v>256</v>
      </c>
      <c r="AQ923" t="s">
        <v>426</v>
      </c>
      <c r="AR923" t="s">
        <v>427</v>
      </c>
      <c r="AT923" t="s">
        <v>428</v>
      </c>
      <c r="AV923" t="s">
        <v>429</v>
      </c>
      <c r="AW923" t="s">
        <v>420</v>
      </c>
      <c r="AX923" s="4" t="str">
        <f>"84059"</f>
        <v>84059</v>
      </c>
      <c r="AY923" t="s">
        <v>120</v>
      </c>
      <c r="BA923" s="5">
        <v>18013677097</v>
      </c>
      <c r="BC923" t="s">
        <v>430</v>
      </c>
      <c r="BD923" t="s">
        <v>431</v>
      </c>
      <c r="BG923" t="s">
        <v>420</v>
      </c>
      <c r="BH923" s="1">
        <v>44811.833333333336</v>
      </c>
      <c r="BI923">
        <v>35</v>
      </c>
      <c r="BJ923">
        <v>0</v>
      </c>
      <c r="BK923">
        <v>7</v>
      </c>
      <c r="BL923">
        <v>7</v>
      </c>
      <c r="BM923">
        <v>7</v>
      </c>
      <c r="BN923">
        <v>7</v>
      </c>
      <c r="BO923">
        <v>7</v>
      </c>
      <c r="BP923">
        <v>0</v>
      </c>
      <c r="BQ923" t="str">
        <f>"8:00 AM"</f>
        <v>8:00 AM</v>
      </c>
      <c r="BR923" t="str">
        <f>"3:30 PM"</f>
        <v>3:30 PM</v>
      </c>
      <c r="BS923" t="s">
        <v>133</v>
      </c>
      <c r="BT923">
        <v>0</v>
      </c>
      <c r="BU923">
        <v>0</v>
      </c>
      <c r="BV923" t="s">
        <v>134</v>
      </c>
      <c r="BX923" s="2" t="s">
        <v>432</v>
      </c>
      <c r="BY923" t="s">
        <v>418</v>
      </c>
      <c r="CA923" t="s">
        <v>419</v>
      </c>
      <c r="CB923" t="s">
        <v>420</v>
      </c>
      <c r="CC923" s="4" t="str">
        <f>"84043"</f>
        <v>84043</v>
      </c>
      <c r="CD923" t="s">
        <v>433</v>
      </c>
      <c r="CE923" t="s">
        <v>434</v>
      </c>
      <c r="CF923" s="6">
        <v>17.21</v>
      </c>
      <c r="CH923" s="6">
        <v>25.82</v>
      </c>
      <c r="CJ923" t="s">
        <v>137</v>
      </c>
      <c r="CK923" t="s">
        <v>435</v>
      </c>
      <c r="CL923" t="s">
        <v>436</v>
      </c>
      <c r="CO923" t="s">
        <v>138</v>
      </c>
      <c r="CP923" t="s">
        <v>114</v>
      </c>
      <c r="CQ923" t="s">
        <v>114</v>
      </c>
      <c r="CR923" t="s">
        <v>114</v>
      </c>
      <c r="CS923" t="s">
        <v>134</v>
      </c>
      <c r="CT923" t="s">
        <v>114</v>
      </c>
      <c r="CU923" t="s">
        <v>134</v>
      </c>
      <c r="CV923" t="s">
        <v>437</v>
      </c>
      <c r="CW923" s="5" t="str">
        <f>"+18014047176"</f>
        <v>+18014047176</v>
      </c>
      <c r="CX923" t="s">
        <v>425</v>
      </c>
      <c r="CY923" t="s">
        <v>138</v>
      </c>
      <c r="CZ923" t="s">
        <v>139</v>
      </c>
      <c r="DA923" t="s">
        <v>134</v>
      </c>
      <c r="DB923" t="s">
        <v>134</v>
      </c>
      <c r="DC923" t="s">
        <v>114</v>
      </c>
      <c r="DD923" t="s">
        <v>134</v>
      </c>
    </row>
    <row r="924" spans="1:113" ht="15" customHeight="1" x14ac:dyDescent="0.25">
      <c r="A924" t="s">
        <v>12214</v>
      </c>
      <c r="B924" t="s">
        <v>165</v>
      </c>
      <c r="C924" s="1">
        <v>44807.648487384256</v>
      </c>
      <c r="D924" s="1">
        <v>44852</v>
      </c>
      <c r="E924" t="s">
        <v>134</v>
      </c>
      <c r="F924" t="s">
        <v>12215</v>
      </c>
      <c r="G924" t="str">
        <f>"39-2021.00"</f>
        <v>39-2021.00</v>
      </c>
      <c r="H924" t="s">
        <v>615</v>
      </c>
      <c r="I924">
        <v>7</v>
      </c>
      <c r="J924">
        <v>7</v>
      </c>
      <c r="K924" s="1">
        <v>44896</v>
      </c>
      <c r="L924" s="1">
        <v>45199</v>
      </c>
      <c r="M924" s="1">
        <v>44896</v>
      </c>
      <c r="N924" s="1">
        <v>45199</v>
      </c>
      <c r="O924" t="s">
        <v>117</v>
      </c>
      <c r="P924" t="s">
        <v>12216</v>
      </c>
      <c r="R924" t="s">
        <v>12217</v>
      </c>
      <c r="T924" t="s">
        <v>12218</v>
      </c>
      <c r="U924" t="s">
        <v>444</v>
      </c>
      <c r="V924" s="4" t="str">
        <f>"93021"</f>
        <v>93021</v>
      </c>
      <c r="W924" t="s">
        <v>120</v>
      </c>
      <c r="Y924" s="5">
        <v>18187204421</v>
      </c>
      <c r="AA924">
        <v>71121</v>
      </c>
      <c r="AB924" t="s">
        <v>12219</v>
      </c>
      <c r="AC924" t="s">
        <v>5605</v>
      </c>
      <c r="AE924" t="s">
        <v>12220</v>
      </c>
      <c r="AF924" t="s">
        <v>12221</v>
      </c>
      <c r="AG924" t="s">
        <v>12222</v>
      </c>
      <c r="AH924" t="s">
        <v>12223</v>
      </c>
      <c r="AI924" t="s">
        <v>444</v>
      </c>
      <c r="AJ924" s="4" t="str">
        <f>"91316"</f>
        <v>91316</v>
      </c>
      <c r="AK924" t="s">
        <v>120</v>
      </c>
      <c r="AM924" s="5">
        <v>18187204421</v>
      </c>
      <c r="AO924" t="s">
        <v>12224</v>
      </c>
      <c r="AP924" t="s">
        <v>122</v>
      </c>
      <c r="AQ924" t="s">
        <v>12225</v>
      </c>
      <c r="AR924" t="s">
        <v>1438</v>
      </c>
      <c r="AS924" t="s">
        <v>12226</v>
      </c>
      <c r="AT924" t="s">
        <v>12227</v>
      </c>
      <c r="AU924" t="s">
        <v>152</v>
      </c>
      <c r="AV924" t="s">
        <v>4525</v>
      </c>
      <c r="AW924" t="s">
        <v>444</v>
      </c>
      <c r="AX924" s="4" t="str">
        <f>"92008"</f>
        <v>92008</v>
      </c>
      <c r="AY924" t="s">
        <v>120</v>
      </c>
      <c r="BA924" s="5">
        <v>17609185584</v>
      </c>
      <c r="BC924" t="s">
        <v>12228</v>
      </c>
      <c r="BD924" t="s">
        <v>12229</v>
      </c>
      <c r="BE924" t="s">
        <v>444</v>
      </c>
      <c r="BF924" t="s">
        <v>12230</v>
      </c>
      <c r="BG924" t="s">
        <v>444</v>
      </c>
      <c r="BH924" s="1">
        <v>44806.833333333336</v>
      </c>
      <c r="BI924">
        <v>48</v>
      </c>
      <c r="BJ924">
        <v>8</v>
      </c>
      <c r="BK924">
        <v>0</v>
      </c>
      <c r="BL924">
        <v>8</v>
      </c>
      <c r="BM924">
        <v>8</v>
      </c>
      <c r="BN924">
        <v>8</v>
      </c>
      <c r="BO924">
        <v>8</v>
      </c>
      <c r="BP924">
        <v>8</v>
      </c>
      <c r="BQ924" t="str">
        <f>"5:30 AM"</f>
        <v>5:30 AM</v>
      </c>
      <c r="BR924" t="str">
        <f>"4:00 PM"</f>
        <v>4:00 PM</v>
      </c>
      <c r="BS924" t="s">
        <v>133</v>
      </c>
      <c r="BT924">
        <v>0</v>
      </c>
      <c r="BU924">
        <v>3</v>
      </c>
      <c r="BV924" t="s">
        <v>134</v>
      </c>
      <c r="BX924" s="2" t="s">
        <v>12231</v>
      </c>
      <c r="BY924" t="s">
        <v>12232</v>
      </c>
      <c r="BZ924" t="s">
        <v>12233</v>
      </c>
      <c r="CA924" t="s">
        <v>7506</v>
      </c>
      <c r="CB924" t="s">
        <v>444</v>
      </c>
      <c r="CC924" s="4" t="str">
        <f>"92274"</f>
        <v>92274</v>
      </c>
      <c r="CD924" t="s">
        <v>602</v>
      </c>
      <c r="CE924" t="s">
        <v>609</v>
      </c>
      <c r="CF924" s="6">
        <v>17.84</v>
      </c>
      <c r="CG924" s="6">
        <v>17.84</v>
      </c>
      <c r="CH924" s="6">
        <v>26.76</v>
      </c>
      <c r="CI924" s="6">
        <v>26.76</v>
      </c>
      <c r="CJ924" t="s">
        <v>137</v>
      </c>
      <c r="CK924" t="s">
        <v>138</v>
      </c>
      <c r="CL924" t="s">
        <v>12234</v>
      </c>
      <c r="CO924" t="s">
        <v>138</v>
      </c>
      <c r="CP924" t="s">
        <v>114</v>
      </c>
      <c r="CQ924" t="s">
        <v>114</v>
      </c>
      <c r="CR924" t="s">
        <v>114</v>
      </c>
      <c r="CS924" t="s">
        <v>134</v>
      </c>
      <c r="CT924" t="s">
        <v>114</v>
      </c>
      <c r="CU924" t="s">
        <v>134</v>
      </c>
      <c r="CV924" t="s">
        <v>133</v>
      </c>
      <c r="CW924" s="5" t="str">
        <f>"+18187204421"</f>
        <v>+18187204421</v>
      </c>
      <c r="CX924" t="s">
        <v>12224</v>
      </c>
      <c r="CY924" t="s">
        <v>138</v>
      </c>
      <c r="CZ924" t="s">
        <v>139</v>
      </c>
      <c r="DA924" t="s">
        <v>134</v>
      </c>
      <c r="DB924" t="s">
        <v>134</v>
      </c>
      <c r="DC924" t="s">
        <v>114</v>
      </c>
      <c r="DD924" t="s">
        <v>134</v>
      </c>
    </row>
    <row r="925" spans="1:113" ht="15" customHeight="1" x14ac:dyDescent="0.25">
      <c r="A925" t="s">
        <v>6811</v>
      </c>
      <c r="B925" t="s">
        <v>165</v>
      </c>
      <c r="C925" s="1">
        <v>44806.307311458331</v>
      </c>
      <c r="D925" s="1">
        <v>44852</v>
      </c>
      <c r="E925" t="s">
        <v>114</v>
      </c>
      <c r="F925" t="s">
        <v>6812</v>
      </c>
      <c r="G925" t="str">
        <f>"37-2011.00"</f>
        <v>37-2011.00</v>
      </c>
      <c r="H925" t="s">
        <v>672</v>
      </c>
      <c r="I925">
        <v>36</v>
      </c>
      <c r="J925">
        <v>36</v>
      </c>
      <c r="K925" s="1">
        <v>44896</v>
      </c>
      <c r="L925" s="1">
        <v>44985</v>
      </c>
      <c r="M925" s="1">
        <v>44896</v>
      </c>
      <c r="N925" s="1">
        <v>44985</v>
      </c>
      <c r="O925" t="s">
        <v>199</v>
      </c>
      <c r="P925" t="s">
        <v>6813</v>
      </c>
      <c r="R925" t="s">
        <v>6814</v>
      </c>
      <c r="T925" t="s">
        <v>2370</v>
      </c>
      <c r="U925" t="s">
        <v>2371</v>
      </c>
      <c r="V925" s="4" t="str">
        <f>"46268"</f>
        <v>46268</v>
      </c>
      <c r="W925" t="s">
        <v>120</v>
      </c>
      <c r="Y925" s="5">
        <v>17653664994</v>
      </c>
      <c r="AA925">
        <v>56173</v>
      </c>
      <c r="AB925" t="s">
        <v>6815</v>
      </c>
      <c r="AC925" t="s">
        <v>5784</v>
      </c>
      <c r="AE925" t="s">
        <v>2082</v>
      </c>
      <c r="AF925" t="s">
        <v>6814</v>
      </c>
      <c r="AH925" t="s">
        <v>2370</v>
      </c>
      <c r="AI925" t="s">
        <v>2371</v>
      </c>
      <c r="AJ925" s="4" t="str">
        <f>"46268"</f>
        <v>46268</v>
      </c>
      <c r="AK925" t="s">
        <v>120</v>
      </c>
      <c r="AM925" s="5">
        <v>17653664994</v>
      </c>
      <c r="AO925" t="s">
        <v>138</v>
      </c>
      <c r="AP925" t="s">
        <v>256</v>
      </c>
      <c r="AQ925" t="s">
        <v>1481</v>
      </c>
      <c r="AR925" t="s">
        <v>6816</v>
      </c>
      <c r="AT925" t="s">
        <v>1471</v>
      </c>
      <c r="AU925" t="s">
        <v>1472</v>
      </c>
      <c r="AV925" t="s">
        <v>1473</v>
      </c>
      <c r="AW925" t="s">
        <v>479</v>
      </c>
      <c r="AX925" s="4" t="str">
        <f>"22949"</f>
        <v>22949</v>
      </c>
      <c r="AY925" t="s">
        <v>120</v>
      </c>
      <c r="BA925" s="5">
        <v>14342634300</v>
      </c>
      <c r="BC925" t="s">
        <v>1664</v>
      </c>
      <c r="BD925" t="s">
        <v>481</v>
      </c>
      <c r="BG925" t="s">
        <v>2371</v>
      </c>
      <c r="BH925" s="1">
        <v>44805.833333333336</v>
      </c>
      <c r="BI925">
        <v>40</v>
      </c>
      <c r="BJ925">
        <v>0</v>
      </c>
      <c r="BK925">
        <v>8</v>
      </c>
      <c r="BL925">
        <v>8</v>
      </c>
      <c r="BM925">
        <v>8</v>
      </c>
      <c r="BN925">
        <v>8</v>
      </c>
      <c r="BO925">
        <v>8</v>
      </c>
      <c r="BP925">
        <v>0</v>
      </c>
      <c r="BQ925" t="str">
        <f>"7:00 AM"</f>
        <v>7:00 AM</v>
      </c>
      <c r="BR925" t="str">
        <f>"3:30 PM"</f>
        <v>3:30 PM</v>
      </c>
      <c r="BS925" t="s">
        <v>133</v>
      </c>
      <c r="BT925">
        <v>0</v>
      </c>
      <c r="BU925">
        <v>0</v>
      </c>
      <c r="BV925" t="s">
        <v>134</v>
      </c>
      <c r="BX925" s="2" t="s">
        <v>6817</v>
      </c>
      <c r="BY925" t="s">
        <v>6818</v>
      </c>
      <c r="CA925" t="s">
        <v>2370</v>
      </c>
      <c r="CB925" t="s">
        <v>2371</v>
      </c>
      <c r="CC925" s="4" t="str">
        <f>"46268"</f>
        <v>46268</v>
      </c>
      <c r="CD925" t="s">
        <v>638</v>
      </c>
      <c r="CE925" t="s">
        <v>2372</v>
      </c>
      <c r="CF925" s="6">
        <v>14.32</v>
      </c>
      <c r="CH925" s="6">
        <v>21.48</v>
      </c>
      <c r="CJ925" t="s">
        <v>137</v>
      </c>
      <c r="CK925" t="s">
        <v>487</v>
      </c>
      <c r="CL925" t="s">
        <v>6819</v>
      </c>
      <c r="CO925" t="s">
        <v>138</v>
      </c>
      <c r="CP925" t="s">
        <v>114</v>
      </c>
      <c r="CQ925" t="s">
        <v>114</v>
      </c>
      <c r="CR925" t="s">
        <v>114</v>
      </c>
      <c r="CS925" t="s">
        <v>114</v>
      </c>
      <c r="CT925" t="s">
        <v>114</v>
      </c>
      <c r="CU925" t="s">
        <v>114</v>
      </c>
      <c r="CV925" t="s">
        <v>6820</v>
      </c>
      <c r="CW925" s="5" t="str">
        <f>"N/A"</f>
        <v>N/A</v>
      </c>
      <c r="CX925" t="s">
        <v>6821</v>
      </c>
      <c r="CY925" t="s">
        <v>4561</v>
      </c>
      <c r="CZ925" t="s">
        <v>139</v>
      </c>
      <c r="DA925" t="s">
        <v>134</v>
      </c>
      <c r="DB925" t="s">
        <v>134</v>
      </c>
      <c r="DC925" t="s">
        <v>114</v>
      </c>
      <c r="DD925" t="s">
        <v>134</v>
      </c>
      <c r="DE925" t="s">
        <v>1669</v>
      </c>
      <c r="DF925" t="s">
        <v>1670</v>
      </c>
      <c r="DH925" t="s">
        <v>481</v>
      </c>
      <c r="DI925" t="s">
        <v>1664</v>
      </c>
    </row>
    <row r="926" spans="1:113" ht="15" customHeight="1" x14ac:dyDescent="0.25">
      <c r="A926" t="s">
        <v>15252</v>
      </c>
      <c r="B926" t="s">
        <v>165</v>
      </c>
      <c r="C926" s="1">
        <v>44800.392651851849</v>
      </c>
      <c r="D926" s="1">
        <v>44852</v>
      </c>
      <c r="E926" t="s">
        <v>134</v>
      </c>
      <c r="F926" t="s">
        <v>15253</v>
      </c>
      <c r="G926" t="str">
        <f>"51-3022.00"</f>
        <v>51-3022.00</v>
      </c>
      <c r="H926" t="s">
        <v>817</v>
      </c>
      <c r="I926">
        <v>175</v>
      </c>
      <c r="J926">
        <v>175</v>
      </c>
      <c r="K926" s="1">
        <v>44890</v>
      </c>
      <c r="L926" s="1">
        <v>45138</v>
      </c>
      <c r="M926" s="1">
        <v>44890</v>
      </c>
      <c r="N926" s="1">
        <v>45138</v>
      </c>
      <c r="O926" t="s">
        <v>199</v>
      </c>
      <c r="P926" t="s">
        <v>15254</v>
      </c>
      <c r="Q926" t="s">
        <v>138</v>
      </c>
      <c r="R926" t="s">
        <v>15255</v>
      </c>
      <c r="T926" t="s">
        <v>15256</v>
      </c>
      <c r="U926" t="s">
        <v>214</v>
      </c>
      <c r="V926" s="4" t="str">
        <f>"70515"</f>
        <v>70515</v>
      </c>
      <c r="W926" t="s">
        <v>120</v>
      </c>
      <c r="Y926" s="5">
        <v>13375802387</v>
      </c>
      <c r="AA926">
        <v>31171</v>
      </c>
      <c r="AB926" t="s">
        <v>15257</v>
      </c>
      <c r="AC926" t="s">
        <v>15258</v>
      </c>
      <c r="AD926" t="s">
        <v>2132</v>
      </c>
      <c r="AE926" t="s">
        <v>342</v>
      </c>
      <c r="AF926" t="s">
        <v>15259</v>
      </c>
      <c r="AH926" t="s">
        <v>15256</v>
      </c>
      <c r="AI926" t="s">
        <v>214</v>
      </c>
      <c r="AJ926" s="4" t="str">
        <f>"70515"</f>
        <v>70515</v>
      </c>
      <c r="AK926" t="s">
        <v>120</v>
      </c>
      <c r="AM926" s="5">
        <v>13375802387</v>
      </c>
      <c r="AO926" t="s">
        <v>15260</v>
      </c>
      <c r="AP926" t="s">
        <v>122</v>
      </c>
      <c r="AQ926" t="s">
        <v>7153</v>
      </c>
      <c r="AR926" t="s">
        <v>2317</v>
      </c>
      <c r="AS926" t="s">
        <v>7154</v>
      </c>
      <c r="AT926" t="s">
        <v>7565</v>
      </c>
      <c r="AV926" t="s">
        <v>7155</v>
      </c>
      <c r="AW926" t="s">
        <v>214</v>
      </c>
      <c r="AX926" s="4" t="str">
        <f>"70601"</f>
        <v>70601</v>
      </c>
      <c r="AY926" t="s">
        <v>120</v>
      </c>
      <c r="BA926" s="5">
        <v>13372140354</v>
      </c>
      <c r="BC926" t="s">
        <v>7566</v>
      </c>
      <c r="BD926" t="s">
        <v>7572</v>
      </c>
      <c r="BE926" t="s">
        <v>214</v>
      </c>
      <c r="BF926" t="s">
        <v>733</v>
      </c>
      <c r="BG926" t="s">
        <v>214</v>
      </c>
      <c r="BH926" s="1">
        <v>44794.833333333336</v>
      </c>
      <c r="BI926">
        <v>35</v>
      </c>
      <c r="BJ926">
        <v>0</v>
      </c>
      <c r="BK926">
        <v>7</v>
      </c>
      <c r="BL926">
        <v>7</v>
      </c>
      <c r="BM926">
        <v>7</v>
      </c>
      <c r="BN926">
        <v>7</v>
      </c>
      <c r="BO926">
        <v>7</v>
      </c>
      <c r="BP926">
        <v>0</v>
      </c>
      <c r="BQ926" t="str">
        <f>"8:00 AM"</f>
        <v>8:00 AM</v>
      </c>
      <c r="BR926" t="str">
        <f>"4:00 PM"</f>
        <v>4:00 PM</v>
      </c>
      <c r="BS926" t="s">
        <v>133</v>
      </c>
      <c r="BT926">
        <v>0</v>
      </c>
      <c r="BU926">
        <v>1</v>
      </c>
      <c r="BV926" t="s">
        <v>134</v>
      </c>
      <c r="BX926" s="2" t="s">
        <v>15261</v>
      </c>
      <c r="BY926" t="s">
        <v>15255</v>
      </c>
      <c r="CA926" t="s">
        <v>15256</v>
      </c>
      <c r="CB926" t="s">
        <v>214</v>
      </c>
      <c r="CC926" s="4" t="str">
        <f>"70515"</f>
        <v>70515</v>
      </c>
      <c r="CD926" t="s">
        <v>8498</v>
      </c>
      <c r="CE926" t="s">
        <v>1822</v>
      </c>
      <c r="CF926" s="6">
        <v>11.2</v>
      </c>
      <c r="CG926" s="6">
        <v>11.2</v>
      </c>
      <c r="CH926" s="6">
        <v>16.8</v>
      </c>
      <c r="CI926" s="6">
        <v>16.8</v>
      </c>
      <c r="CJ926" t="s">
        <v>137</v>
      </c>
      <c r="CK926" t="s">
        <v>15262</v>
      </c>
      <c r="CL926" t="s">
        <v>15263</v>
      </c>
      <c r="CO926" t="s">
        <v>138</v>
      </c>
      <c r="CP926" t="s">
        <v>134</v>
      </c>
      <c r="CQ926" t="s">
        <v>114</v>
      </c>
      <c r="CR926" t="s">
        <v>114</v>
      </c>
      <c r="CS926" t="s">
        <v>134</v>
      </c>
      <c r="CT926" t="s">
        <v>114</v>
      </c>
      <c r="CU926" t="s">
        <v>114</v>
      </c>
      <c r="CV926" t="s">
        <v>15264</v>
      </c>
      <c r="CW926" s="5" t="str">
        <f>"+13375802387"</f>
        <v>+13375802387</v>
      </c>
      <c r="CX926" t="s">
        <v>15265</v>
      </c>
      <c r="CY926" t="s">
        <v>138</v>
      </c>
      <c r="CZ926" t="s">
        <v>139</v>
      </c>
      <c r="DA926" t="s">
        <v>134</v>
      </c>
      <c r="DB926" t="s">
        <v>134</v>
      </c>
      <c r="DC926" t="s">
        <v>114</v>
      </c>
      <c r="DD926" t="s">
        <v>134</v>
      </c>
      <c r="DE926" t="s">
        <v>1509</v>
      </c>
      <c r="DF926" t="s">
        <v>7157</v>
      </c>
      <c r="DH926" t="s">
        <v>7567</v>
      </c>
      <c r="DI926" t="s">
        <v>7573</v>
      </c>
    </row>
    <row r="927" spans="1:113" ht="15" customHeight="1" x14ac:dyDescent="0.25">
      <c r="A927" t="s">
        <v>12948</v>
      </c>
      <c r="B927" t="s">
        <v>165</v>
      </c>
      <c r="C927" s="1">
        <v>44799.902649884258</v>
      </c>
      <c r="D927" s="1">
        <v>44852</v>
      </c>
      <c r="E927" t="s">
        <v>134</v>
      </c>
      <c r="F927" t="s">
        <v>12949</v>
      </c>
      <c r="G927" t="str">
        <f>"51-9022.00"</f>
        <v>51-9022.00</v>
      </c>
      <c r="H927" t="s">
        <v>9206</v>
      </c>
      <c r="I927">
        <v>2</v>
      </c>
      <c r="J927">
        <v>2</v>
      </c>
      <c r="K927" s="1">
        <v>44874</v>
      </c>
      <c r="L927" s="1">
        <v>45046</v>
      </c>
      <c r="M927" s="1">
        <v>44874</v>
      </c>
      <c r="N927" s="1">
        <v>45046</v>
      </c>
      <c r="O927" t="s">
        <v>117</v>
      </c>
      <c r="P927" t="s">
        <v>12950</v>
      </c>
      <c r="Q927" t="s">
        <v>138</v>
      </c>
      <c r="R927" t="s">
        <v>12951</v>
      </c>
      <c r="S927" t="s">
        <v>138</v>
      </c>
      <c r="T927" t="s">
        <v>4370</v>
      </c>
      <c r="U927" t="s">
        <v>2057</v>
      </c>
      <c r="V927" s="4" t="str">
        <f>"57701"</f>
        <v>57701</v>
      </c>
      <c r="W927" t="s">
        <v>120</v>
      </c>
      <c r="X927" t="s">
        <v>138</v>
      </c>
      <c r="Y927" s="5">
        <v>16057168869</v>
      </c>
      <c r="AA927">
        <v>4483</v>
      </c>
      <c r="AB927" t="s">
        <v>12952</v>
      </c>
      <c r="AC927" t="s">
        <v>2147</v>
      </c>
      <c r="AD927" t="s">
        <v>138</v>
      </c>
      <c r="AE927" t="s">
        <v>12953</v>
      </c>
      <c r="AF927" t="s">
        <v>12951</v>
      </c>
      <c r="AG927" t="s">
        <v>138</v>
      </c>
      <c r="AH927" t="s">
        <v>4370</v>
      </c>
      <c r="AI927" t="s">
        <v>2057</v>
      </c>
      <c r="AJ927" s="4" t="str">
        <f>"57701"</f>
        <v>57701</v>
      </c>
      <c r="AK927" t="s">
        <v>120</v>
      </c>
      <c r="AM927" s="5">
        <v>16057168869</v>
      </c>
      <c r="AO927" t="s">
        <v>2063</v>
      </c>
      <c r="AP927" t="s">
        <v>256</v>
      </c>
      <c r="AQ927" t="s">
        <v>2059</v>
      </c>
      <c r="AR927" t="s">
        <v>704</v>
      </c>
      <c r="AS927" t="s">
        <v>138</v>
      </c>
      <c r="AT927" t="s">
        <v>2060</v>
      </c>
      <c r="AU927" t="s">
        <v>2061</v>
      </c>
      <c r="AV927" t="s">
        <v>2062</v>
      </c>
      <c r="AW927" t="s">
        <v>232</v>
      </c>
      <c r="AX927" s="4" t="str">
        <f>"78266"</f>
        <v>78266</v>
      </c>
      <c r="AY927" t="s">
        <v>120</v>
      </c>
      <c r="BA927" s="5">
        <v>18305844555</v>
      </c>
      <c r="BC927" t="s">
        <v>2063</v>
      </c>
      <c r="BD927" t="s">
        <v>2064</v>
      </c>
      <c r="BG927" t="s">
        <v>2057</v>
      </c>
      <c r="BH927" s="1">
        <v>44798.833333333336</v>
      </c>
      <c r="BI927">
        <v>40</v>
      </c>
      <c r="BJ927">
        <v>0</v>
      </c>
      <c r="BK927">
        <v>8</v>
      </c>
      <c r="BL927">
        <v>8</v>
      </c>
      <c r="BM927">
        <v>8</v>
      </c>
      <c r="BN927">
        <v>8</v>
      </c>
      <c r="BO927">
        <v>8</v>
      </c>
      <c r="BP927">
        <v>0</v>
      </c>
      <c r="BQ927" t="str">
        <f>"6:30 AM"</f>
        <v>6:30 AM</v>
      </c>
      <c r="BR927" t="str">
        <f>"3:30 PM"</f>
        <v>3:30 PM</v>
      </c>
      <c r="BS927" t="s">
        <v>133</v>
      </c>
      <c r="BT927">
        <v>0</v>
      </c>
      <c r="BU927">
        <v>1</v>
      </c>
      <c r="BV927" t="s">
        <v>134</v>
      </c>
      <c r="BX927" t="s">
        <v>2193</v>
      </c>
      <c r="BY927" t="s">
        <v>12951</v>
      </c>
      <c r="BZ927" t="s">
        <v>138</v>
      </c>
      <c r="CA927" t="s">
        <v>4370</v>
      </c>
      <c r="CB927" t="s">
        <v>2057</v>
      </c>
      <c r="CC927" s="4" t="str">
        <f>"57701"</f>
        <v>57701</v>
      </c>
      <c r="CD927" t="s">
        <v>3392</v>
      </c>
      <c r="CE927" t="s">
        <v>2626</v>
      </c>
      <c r="CF927" s="6">
        <v>14.61</v>
      </c>
      <c r="CG927" s="6">
        <v>14.61</v>
      </c>
      <c r="CH927" s="6">
        <v>21.92</v>
      </c>
      <c r="CI927" s="6">
        <v>21.92</v>
      </c>
      <c r="CJ927" t="s">
        <v>137</v>
      </c>
      <c r="CK927" t="s">
        <v>2067</v>
      </c>
      <c r="CL927" t="s">
        <v>12954</v>
      </c>
      <c r="CO927" t="s">
        <v>138</v>
      </c>
      <c r="CP927" t="s">
        <v>134</v>
      </c>
      <c r="CQ927" t="s">
        <v>134</v>
      </c>
      <c r="CR927" t="s">
        <v>114</v>
      </c>
      <c r="CS927" t="s">
        <v>114</v>
      </c>
      <c r="CT927" t="s">
        <v>114</v>
      </c>
      <c r="CU927" t="s">
        <v>134</v>
      </c>
      <c r="CV927" s="2" t="s">
        <v>12955</v>
      </c>
      <c r="CW927" s="5" t="str">
        <f>"+16057168869"</f>
        <v>+16057168869</v>
      </c>
      <c r="CX927" t="s">
        <v>12956</v>
      </c>
      <c r="CY927" t="s">
        <v>138</v>
      </c>
      <c r="CZ927" t="s">
        <v>139</v>
      </c>
      <c r="DA927" t="s">
        <v>134</v>
      </c>
      <c r="DB927" t="s">
        <v>114</v>
      </c>
      <c r="DC927" t="s">
        <v>114</v>
      </c>
      <c r="DD927" t="s">
        <v>134</v>
      </c>
    </row>
    <row r="928" spans="1:113" ht="15" customHeight="1" x14ac:dyDescent="0.25">
      <c r="A928" t="s">
        <v>15981</v>
      </c>
      <c r="B928" t="s">
        <v>165</v>
      </c>
      <c r="C928" s="1">
        <v>44799.770322453704</v>
      </c>
      <c r="D928" s="1">
        <v>44852</v>
      </c>
      <c r="E928" t="s">
        <v>134</v>
      </c>
      <c r="F928" t="s">
        <v>15982</v>
      </c>
      <c r="G928" t="str">
        <f>"37-3011.00"</f>
        <v>37-3011.00</v>
      </c>
      <c r="H928" t="s">
        <v>335</v>
      </c>
      <c r="I928">
        <v>20</v>
      </c>
      <c r="J928">
        <v>20</v>
      </c>
      <c r="K928" s="1">
        <v>44879</v>
      </c>
      <c r="L928" s="1">
        <v>45017</v>
      </c>
      <c r="M928" s="1">
        <v>44879</v>
      </c>
      <c r="N928" s="1">
        <v>45017</v>
      </c>
      <c r="O928" t="s">
        <v>199</v>
      </c>
      <c r="P928" t="s">
        <v>15983</v>
      </c>
      <c r="R928" t="s">
        <v>15984</v>
      </c>
      <c r="T928" t="s">
        <v>15985</v>
      </c>
      <c r="U928" t="s">
        <v>420</v>
      </c>
      <c r="V928" s="4" t="str">
        <f>"84049"</f>
        <v>84049</v>
      </c>
      <c r="W928" t="s">
        <v>120</v>
      </c>
      <c r="Y928" s="5">
        <v>14356549993</v>
      </c>
      <c r="AA928">
        <v>5617</v>
      </c>
      <c r="AB928" t="s">
        <v>15986</v>
      </c>
      <c r="AC928" t="s">
        <v>1866</v>
      </c>
      <c r="AE928" t="s">
        <v>424</v>
      </c>
      <c r="AF928" t="s">
        <v>15987</v>
      </c>
      <c r="AH928" t="s">
        <v>15985</v>
      </c>
      <c r="AI928" t="s">
        <v>420</v>
      </c>
      <c r="AJ928" s="4" t="str">
        <f>"84094"</f>
        <v>84094</v>
      </c>
      <c r="AK928" t="s">
        <v>120</v>
      </c>
      <c r="AM928" s="5">
        <v>14356549993</v>
      </c>
      <c r="AO928" t="s">
        <v>15988</v>
      </c>
      <c r="AP928" t="s">
        <v>122</v>
      </c>
      <c r="AQ928" t="s">
        <v>4627</v>
      </c>
      <c r="AR928" t="s">
        <v>4628</v>
      </c>
      <c r="AT928" t="s">
        <v>4625</v>
      </c>
      <c r="AV928" t="s">
        <v>4626</v>
      </c>
      <c r="AW928" t="s">
        <v>420</v>
      </c>
      <c r="AX928" s="4" t="str">
        <f>"84062"</f>
        <v>84062</v>
      </c>
      <c r="AY928" t="s">
        <v>120</v>
      </c>
      <c r="BA928" s="5">
        <v>18012253570</v>
      </c>
      <c r="BC928" t="s">
        <v>4629</v>
      </c>
      <c r="BD928" t="s">
        <v>4630</v>
      </c>
      <c r="BE928" t="s">
        <v>420</v>
      </c>
      <c r="BF928" t="s">
        <v>322</v>
      </c>
      <c r="BG928" t="s">
        <v>420</v>
      </c>
      <c r="BH928" s="1">
        <v>44798.833333333336</v>
      </c>
      <c r="BI928">
        <v>40</v>
      </c>
      <c r="BJ928">
        <v>0</v>
      </c>
      <c r="BK928">
        <v>8</v>
      </c>
      <c r="BL928">
        <v>8</v>
      </c>
      <c r="BM928">
        <v>8</v>
      </c>
      <c r="BN928">
        <v>8</v>
      </c>
      <c r="BO928">
        <v>8</v>
      </c>
      <c r="BP928">
        <v>0</v>
      </c>
      <c r="BQ928" t="str">
        <f>"5:00 AM"</f>
        <v>5:00 AM</v>
      </c>
      <c r="BR928" t="str">
        <f>"1:00 PM"</f>
        <v>1:00 PM</v>
      </c>
      <c r="BS928" t="s">
        <v>133</v>
      </c>
      <c r="BT928">
        <v>0</v>
      </c>
      <c r="BU928">
        <v>0</v>
      </c>
      <c r="BV928" t="s">
        <v>134</v>
      </c>
      <c r="BX928" t="s">
        <v>15989</v>
      </c>
      <c r="BY928" t="s">
        <v>15984</v>
      </c>
      <c r="CA928" t="s">
        <v>15985</v>
      </c>
      <c r="CB928" t="s">
        <v>420</v>
      </c>
      <c r="CC928" s="4" t="str">
        <f>"84049"</f>
        <v>84049</v>
      </c>
      <c r="CD928" t="s">
        <v>12568</v>
      </c>
      <c r="CE928" t="s">
        <v>4193</v>
      </c>
      <c r="CF928" s="6">
        <v>17</v>
      </c>
      <c r="CH928" s="6">
        <v>25.5</v>
      </c>
      <c r="CJ928" t="s">
        <v>137</v>
      </c>
      <c r="CL928" t="s">
        <v>15990</v>
      </c>
      <c r="CO928" t="s">
        <v>138</v>
      </c>
      <c r="CP928" t="s">
        <v>114</v>
      </c>
      <c r="CQ928" t="s">
        <v>114</v>
      </c>
      <c r="CR928" t="s">
        <v>114</v>
      </c>
      <c r="CS928" t="s">
        <v>114</v>
      </c>
      <c r="CT928" t="s">
        <v>114</v>
      </c>
      <c r="CU928" t="s">
        <v>114</v>
      </c>
      <c r="CV928" s="2" t="s">
        <v>15991</v>
      </c>
      <c r="CW928" s="5" t="str">
        <f>"+14356549993"</f>
        <v>+14356549993</v>
      </c>
      <c r="CX928" t="s">
        <v>15988</v>
      </c>
      <c r="CY928" t="s">
        <v>138</v>
      </c>
      <c r="CZ928" t="s">
        <v>139</v>
      </c>
      <c r="DA928" t="s">
        <v>134</v>
      </c>
      <c r="DB928" t="s">
        <v>134</v>
      </c>
      <c r="DC928" t="s">
        <v>114</v>
      </c>
      <c r="DD928" t="s">
        <v>134</v>
      </c>
    </row>
    <row r="929" spans="1:113" ht="15" customHeight="1" x14ac:dyDescent="0.25">
      <c r="A929" t="s">
        <v>9756</v>
      </c>
      <c r="B929" t="s">
        <v>165</v>
      </c>
      <c r="C929" s="1">
        <v>44778.602165625001</v>
      </c>
      <c r="D929" s="1">
        <v>44852</v>
      </c>
      <c r="E929" t="s">
        <v>134</v>
      </c>
      <c r="F929" t="s">
        <v>4447</v>
      </c>
      <c r="G929" t="str">
        <f>"35-2014.00"</f>
        <v>35-2014.00</v>
      </c>
      <c r="H929" t="s">
        <v>915</v>
      </c>
      <c r="I929">
        <v>15</v>
      </c>
      <c r="J929">
        <v>15</v>
      </c>
      <c r="K929" s="1">
        <v>44866</v>
      </c>
      <c r="L929" s="1">
        <v>45047</v>
      </c>
      <c r="M929" s="1">
        <v>44866</v>
      </c>
      <c r="N929" s="1">
        <v>45047</v>
      </c>
      <c r="O929" t="s">
        <v>117</v>
      </c>
      <c r="P929" t="s">
        <v>9757</v>
      </c>
      <c r="Q929" t="s">
        <v>9758</v>
      </c>
      <c r="R929" t="s">
        <v>9759</v>
      </c>
      <c r="T929" t="s">
        <v>9760</v>
      </c>
      <c r="U929" t="s">
        <v>420</v>
      </c>
      <c r="V929" s="4" t="str">
        <f>"84121"</f>
        <v>84121</v>
      </c>
      <c r="W929" t="s">
        <v>120</v>
      </c>
      <c r="Y929" s="5">
        <v>18015365755</v>
      </c>
      <c r="AA929">
        <v>721110</v>
      </c>
      <c r="AB929" t="s">
        <v>9761</v>
      </c>
      <c r="AC929" t="s">
        <v>9762</v>
      </c>
      <c r="AE929" t="s">
        <v>9763</v>
      </c>
      <c r="AF929" t="s">
        <v>9759</v>
      </c>
      <c r="AH929" t="s">
        <v>9760</v>
      </c>
      <c r="AI929" t="s">
        <v>420</v>
      </c>
      <c r="AJ929" s="4" t="str">
        <f>"84121"</f>
        <v>84121</v>
      </c>
      <c r="AK929" t="s">
        <v>120</v>
      </c>
      <c r="AM929" s="5">
        <v>18015365760</v>
      </c>
      <c r="AO929" t="s">
        <v>9764</v>
      </c>
      <c r="AP929" t="s">
        <v>122</v>
      </c>
      <c r="AQ929" t="s">
        <v>3685</v>
      </c>
      <c r="AR929" t="s">
        <v>2874</v>
      </c>
      <c r="AS929" t="s">
        <v>3686</v>
      </c>
      <c r="AT929" t="s">
        <v>3687</v>
      </c>
      <c r="AU929" t="s">
        <v>152</v>
      </c>
      <c r="AV929" t="s">
        <v>3688</v>
      </c>
      <c r="AW929" t="s">
        <v>444</v>
      </c>
      <c r="AX929" s="4" t="str">
        <f>"91361"</f>
        <v>91361</v>
      </c>
      <c r="AY929" t="s">
        <v>120</v>
      </c>
      <c r="BA929" s="5">
        <v>18052611393</v>
      </c>
      <c r="BC929" t="s">
        <v>3689</v>
      </c>
      <c r="BD929" t="s">
        <v>3690</v>
      </c>
      <c r="BE929" t="s">
        <v>154</v>
      </c>
      <c r="BF929" t="s">
        <v>157</v>
      </c>
      <c r="BG929" t="s">
        <v>420</v>
      </c>
      <c r="BH929" s="1">
        <v>44775.833333333336</v>
      </c>
      <c r="BI929">
        <v>35</v>
      </c>
      <c r="BJ929">
        <v>5</v>
      </c>
      <c r="BK929">
        <v>5</v>
      </c>
      <c r="BL929">
        <v>5</v>
      </c>
      <c r="BM929">
        <v>5</v>
      </c>
      <c r="BN929">
        <v>5</v>
      </c>
      <c r="BO929">
        <v>5</v>
      </c>
      <c r="BP929">
        <v>5</v>
      </c>
      <c r="BQ929" t="str">
        <f>"6:00 AM"</f>
        <v>6:00 AM</v>
      </c>
      <c r="BR929" t="str">
        <f>"11:00 PM"</f>
        <v>11:00 PM</v>
      </c>
      <c r="BS929" t="s">
        <v>295</v>
      </c>
      <c r="BT929">
        <v>0</v>
      </c>
      <c r="BU929">
        <v>12</v>
      </c>
      <c r="BV929" t="s">
        <v>134</v>
      </c>
      <c r="BX929" s="2" t="s">
        <v>9765</v>
      </c>
      <c r="BY929" t="s">
        <v>9766</v>
      </c>
      <c r="CA929" t="s">
        <v>2444</v>
      </c>
      <c r="CB929" t="s">
        <v>420</v>
      </c>
      <c r="CC929" s="4" t="str">
        <f>"84121"</f>
        <v>84121</v>
      </c>
      <c r="CD929" t="s">
        <v>688</v>
      </c>
      <c r="CE929" t="s">
        <v>689</v>
      </c>
      <c r="CF929" s="6">
        <v>15.2</v>
      </c>
      <c r="CG929" s="6">
        <v>21.6</v>
      </c>
      <c r="CH929" s="6">
        <v>22.8</v>
      </c>
      <c r="CI929" s="6">
        <v>32.4</v>
      </c>
      <c r="CJ929" t="s">
        <v>137</v>
      </c>
      <c r="CL929" t="s">
        <v>9767</v>
      </c>
      <c r="CO929" t="s">
        <v>138</v>
      </c>
      <c r="CP929" t="s">
        <v>134</v>
      </c>
      <c r="CQ929" t="s">
        <v>114</v>
      </c>
      <c r="CR929" t="s">
        <v>114</v>
      </c>
      <c r="CS929" t="s">
        <v>114</v>
      </c>
      <c r="CT929" t="s">
        <v>114</v>
      </c>
      <c r="CU929" t="s">
        <v>134</v>
      </c>
      <c r="CV929" s="2" t="s">
        <v>9768</v>
      </c>
      <c r="CW929" s="5" t="str">
        <f>"+18015365760"</f>
        <v>+18015365760</v>
      </c>
      <c r="CX929" t="s">
        <v>9764</v>
      </c>
      <c r="CY929" t="s">
        <v>138</v>
      </c>
      <c r="CZ929" t="s">
        <v>139</v>
      </c>
      <c r="DA929" t="s">
        <v>134</v>
      </c>
      <c r="DB929" t="s">
        <v>134</v>
      </c>
      <c r="DC929" t="s">
        <v>114</v>
      </c>
      <c r="DD929" t="s">
        <v>134</v>
      </c>
    </row>
    <row r="930" spans="1:113" ht="15" customHeight="1" x14ac:dyDescent="0.25">
      <c r="A930" t="s">
        <v>5210</v>
      </c>
      <c r="B930" t="s">
        <v>165</v>
      </c>
      <c r="C930" s="1">
        <v>44776.731022569445</v>
      </c>
      <c r="D930" s="1">
        <v>44852</v>
      </c>
      <c r="E930" t="s">
        <v>134</v>
      </c>
      <c r="F930" t="s">
        <v>5211</v>
      </c>
      <c r="G930" t="str">
        <f>"35-2014.00"</f>
        <v>35-2014.00</v>
      </c>
      <c r="H930" t="s">
        <v>915</v>
      </c>
      <c r="I930">
        <v>20</v>
      </c>
      <c r="J930">
        <v>20</v>
      </c>
      <c r="K930" s="1">
        <v>44866</v>
      </c>
      <c r="L930" s="1">
        <v>45046</v>
      </c>
      <c r="M930" s="1">
        <v>44866</v>
      </c>
      <c r="N930" s="1">
        <v>45046</v>
      </c>
      <c r="O930" t="s">
        <v>117</v>
      </c>
      <c r="P930" t="s">
        <v>3562</v>
      </c>
      <c r="R930" t="s">
        <v>3563</v>
      </c>
      <c r="T930" t="s">
        <v>3564</v>
      </c>
      <c r="U930" t="s">
        <v>1846</v>
      </c>
      <c r="V930" s="4" t="str">
        <f>"05674"</f>
        <v>05674</v>
      </c>
      <c r="W930" t="s">
        <v>120</v>
      </c>
      <c r="Y930" s="5">
        <v>18025836381</v>
      </c>
      <c r="AA930">
        <v>713920</v>
      </c>
      <c r="AB930" t="s">
        <v>3565</v>
      </c>
      <c r="AC930" t="s">
        <v>3566</v>
      </c>
      <c r="AE930" t="s">
        <v>2368</v>
      </c>
      <c r="AF930" t="s">
        <v>3563</v>
      </c>
      <c r="AH930" t="s">
        <v>3567</v>
      </c>
      <c r="AI930" t="s">
        <v>1846</v>
      </c>
      <c r="AJ930" s="4" t="str">
        <f>"05674"</f>
        <v>05674</v>
      </c>
      <c r="AK930" t="s">
        <v>120</v>
      </c>
      <c r="AM930" s="5">
        <v>18025836381</v>
      </c>
      <c r="AO930" t="s">
        <v>3568</v>
      </c>
      <c r="AP930" t="s">
        <v>122</v>
      </c>
      <c r="AQ930" t="s">
        <v>2589</v>
      </c>
      <c r="AR930" t="s">
        <v>589</v>
      </c>
      <c r="AS930" t="s">
        <v>146</v>
      </c>
      <c r="AT930" t="s">
        <v>628</v>
      </c>
      <c r="AU930" t="s">
        <v>629</v>
      </c>
      <c r="AV930" t="s">
        <v>630</v>
      </c>
      <c r="AW930" t="s">
        <v>631</v>
      </c>
      <c r="AX930" s="4" t="str">
        <f>"73069"</f>
        <v>73069</v>
      </c>
      <c r="AY930" t="s">
        <v>120</v>
      </c>
      <c r="BA930" s="5">
        <v>14053642525</v>
      </c>
      <c r="BC930" t="s">
        <v>632</v>
      </c>
      <c r="BD930" t="s">
        <v>633</v>
      </c>
      <c r="BE930" t="s">
        <v>631</v>
      </c>
      <c r="BF930" t="s">
        <v>634</v>
      </c>
      <c r="BG930" t="s">
        <v>1846</v>
      </c>
      <c r="BH930" s="1">
        <v>44775.833333333336</v>
      </c>
      <c r="BI930">
        <v>56</v>
      </c>
      <c r="BJ930">
        <v>8</v>
      </c>
      <c r="BK930">
        <v>8</v>
      </c>
      <c r="BL930">
        <v>8</v>
      </c>
      <c r="BM930">
        <v>8</v>
      </c>
      <c r="BN930">
        <v>8</v>
      </c>
      <c r="BO930">
        <v>8</v>
      </c>
      <c r="BP930">
        <v>8</v>
      </c>
      <c r="BQ930" t="str">
        <f>"8:00 AM"</f>
        <v>8:00 AM</v>
      </c>
      <c r="BR930" t="str">
        <f>"10:00 PM"</f>
        <v>10:00 PM</v>
      </c>
      <c r="BS930" t="s">
        <v>133</v>
      </c>
      <c r="BT930">
        <v>0</v>
      </c>
      <c r="BU930">
        <v>1</v>
      </c>
      <c r="BV930" t="s">
        <v>134</v>
      </c>
      <c r="BX930" s="2" t="s">
        <v>5212</v>
      </c>
      <c r="BY930" t="s">
        <v>3563</v>
      </c>
      <c r="CA930" t="s">
        <v>3564</v>
      </c>
      <c r="CB930" t="s">
        <v>1846</v>
      </c>
      <c r="CC930" s="4" t="str">
        <f>"05674"</f>
        <v>05674</v>
      </c>
      <c r="CD930" t="s">
        <v>1345</v>
      </c>
      <c r="CE930" t="s">
        <v>3569</v>
      </c>
      <c r="CF930" s="6">
        <v>18.170000000000002</v>
      </c>
      <c r="CG930" s="6">
        <v>18.170000000000002</v>
      </c>
      <c r="CH930" s="6">
        <v>27.26</v>
      </c>
      <c r="CI930" s="6">
        <v>27.26</v>
      </c>
      <c r="CJ930" t="s">
        <v>137</v>
      </c>
      <c r="CL930" t="s">
        <v>5213</v>
      </c>
      <c r="CO930" t="s">
        <v>138</v>
      </c>
      <c r="CP930" t="s">
        <v>134</v>
      </c>
      <c r="CQ930" t="s">
        <v>134</v>
      </c>
      <c r="CR930" t="s">
        <v>114</v>
      </c>
      <c r="CS930" t="s">
        <v>134</v>
      </c>
      <c r="CT930" t="s">
        <v>114</v>
      </c>
      <c r="CU930" t="s">
        <v>114</v>
      </c>
      <c r="CV930" t="s">
        <v>5214</v>
      </c>
      <c r="CW930" s="5" t="str">
        <f>"+18028637676"</f>
        <v>+18028637676</v>
      </c>
      <c r="CX930" t="s">
        <v>3571</v>
      </c>
      <c r="CY930" t="s">
        <v>138</v>
      </c>
      <c r="CZ930" t="s">
        <v>139</v>
      </c>
      <c r="DA930" t="s">
        <v>134</v>
      </c>
      <c r="DB930" t="s">
        <v>134</v>
      </c>
      <c r="DC930" t="s">
        <v>114</v>
      </c>
      <c r="DD930" t="s">
        <v>134</v>
      </c>
    </row>
    <row r="931" spans="1:113" ht="15" customHeight="1" x14ac:dyDescent="0.25">
      <c r="A931" t="s">
        <v>16517</v>
      </c>
      <c r="B931" t="s">
        <v>165</v>
      </c>
      <c r="C931" s="1">
        <v>44747.909515046296</v>
      </c>
      <c r="D931" s="1">
        <v>44852</v>
      </c>
      <c r="E931" t="s">
        <v>134</v>
      </c>
      <c r="F931" t="s">
        <v>4970</v>
      </c>
      <c r="G931" t="str">
        <f>"31-9091.00"</f>
        <v>31-9091.00</v>
      </c>
      <c r="H931" t="s">
        <v>4971</v>
      </c>
      <c r="I931">
        <v>3</v>
      </c>
      <c r="J931">
        <v>3</v>
      </c>
      <c r="K931" s="1">
        <v>44835</v>
      </c>
      <c r="L931" s="1">
        <v>45016</v>
      </c>
      <c r="M931" s="1">
        <v>44835</v>
      </c>
      <c r="N931" s="1">
        <v>45016</v>
      </c>
      <c r="O931" t="s">
        <v>168</v>
      </c>
      <c r="P931" t="s">
        <v>4972</v>
      </c>
      <c r="R931" t="s">
        <v>4973</v>
      </c>
      <c r="T931" t="s">
        <v>4974</v>
      </c>
      <c r="U931" t="s">
        <v>420</v>
      </c>
      <c r="V931" s="4" t="str">
        <f>"84121"</f>
        <v>84121</v>
      </c>
      <c r="W931" t="s">
        <v>120</v>
      </c>
      <c r="Y931" s="5">
        <v>18454436711</v>
      </c>
      <c r="AA931">
        <v>339116</v>
      </c>
      <c r="AB931" t="s">
        <v>4975</v>
      </c>
      <c r="AC931" t="s">
        <v>4976</v>
      </c>
      <c r="AD931" t="s">
        <v>1458</v>
      </c>
      <c r="AE931" t="s">
        <v>2771</v>
      </c>
      <c r="AF931" t="s">
        <v>4977</v>
      </c>
      <c r="AH931" t="s">
        <v>4974</v>
      </c>
      <c r="AI931" t="s">
        <v>420</v>
      </c>
      <c r="AJ931" s="4" t="str">
        <f>"84121"</f>
        <v>84121</v>
      </c>
      <c r="AK931" t="s">
        <v>120</v>
      </c>
      <c r="AM931" s="5">
        <v>18454436711</v>
      </c>
      <c r="AO931" t="s">
        <v>4978</v>
      </c>
      <c r="AP931" t="s">
        <v>122</v>
      </c>
      <c r="AQ931" t="s">
        <v>4979</v>
      </c>
      <c r="AR931" t="s">
        <v>2361</v>
      </c>
      <c r="AS931" t="s">
        <v>2211</v>
      </c>
      <c r="AT931" t="s">
        <v>4980</v>
      </c>
      <c r="AU931" t="s">
        <v>1574</v>
      </c>
      <c r="AV931" t="s">
        <v>2748</v>
      </c>
      <c r="AW931" t="s">
        <v>420</v>
      </c>
      <c r="AX931" s="4" t="str">
        <f>"84117"</f>
        <v>84117</v>
      </c>
      <c r="AY931" t="s">
        <v>120</v>
      </c>
      <c r="BA931" s="5">
        <v>18012632314</v>
      </c>
      <c r="BC931" t="s">
        <v>4981</v>
      </c>
      <c r="BD931" t="s">
        <v>4982</v>
      </c>
      <c r="BE931" t="s">
        <v>444</v>
      </c>
      <c r="BF931" t="s">
        <v>322</v>
      </c>
      <c r="BG931" t="s">
        <v>339</v>
      </c>
      <c r="BH931" s="1">
        <v>44746.833333333336</v>
      </c>
      <c r="BI931">
        <v>40</v>
      </c>
      <c r="BJ931">
        <v>0</v>
      </c>
      <c r="BK931">
        <v>8</v>
      </c>
      <c r="BL931">
        <v>8</v>
      </c>
      <c r="BM931">
        <v>8</v>
      </c>
      <c r="BN931">
        <v>8</v>
      </c>
      <c r="BO931">
        <v>8</v>
      </c>
      <c r="BP931">
        <v>0</v>
      </c>
      <c r="BQ931" t="str">
        <f>"9:00 AM"</f>
        <v>9:00 AM</v>
      </c>
      <c r="BR931" t="str">
        <f>"5:00 PM"</f>
        <v>5:00 PM</v>
      </c>
      <c r="BS931" t="s">
        <v>133</v>
      </c>
      <c r="BT931">
        <v>0</v>
      </c>
      <c r="BU931">
        <v>0</v>
      </c>
      <c r="BV931" t="s">
        <v>134</v>
      </c>
      <c r="BX931" t="s">
        <v>133</v>
      </c>
      <c r="BY931" t="s">
        <v>16518</v>
      </c>
      <c r="BZ931" t="s">
        <v>16519</v>
      </c>
      <c r="CA931" t="s">
        <v>2858</v>
      </c>
      <c r="CB931" t="s">
        <v>339</v>
      </c>
      <c r="CC931" s="4" t="str">
        <f>"20815"</f>
        <v>20815</v>
      </c>
      <c r="CD931" t="s">
        <v>2007</v>
      </c>
      <c r="CE931" t="s">
        <v>355</v>
      </c>
      <c r="CF931" s="6">
        <v>24.64</v>
      </c>
      <c r="CG931" s="6">
        <v>24.64</v>
      </c>
      <c r="CH931" s="6">
        <v>36.96</v>
      </c>
      <c r="CI931" s="6">
        <v>36.96</v>
      </c>
      <c r="CJ931" t="s">
        <v>137</v>
      </c>
      <c r="CL931" t="s">
        <v>16520</v>
      </c>
      <c r="CO931" t="s">
        <v>138</v>
      </c>
      <c r="CP931" t="s">
        <v>134</v>
      </c>
      <c r="CQ931" t="s">
        <v>134</v>
      </c>
      <c r="CR931" t="s">
        <v>114</v>
      </c>
      <c r="CS931" t="s">
        <v>114</v>
      </c>
      <c r="CT931" t="s">
        <v>114</v>
      </c>
      <c r="CU931" t="s">
        <v>134</v>
      </c>
      <c r="CV931" t="s">
        <v>16521</v>
      </c>
      <c r="CW931" s="5" t="str">
        <f>"+18454436711"</f>
        <v>+18454436711</v>
      </c>
      <c r="CX931" t="s">
        <v>4978</v>
      </c>
      <c r="CY931" t="s">
        <v>138</v>
      </c>
      <c r="CZ931" t="s">
        <v>139</v>
      </c>
      <c r="DA931" t="s">
        <v>134</v>
      </c>
      <c r="DB931" t="s">
        <v>134</v>
      </c>
      <c r="DC931" t="s">
        <v>114</v>
      </c>
      <c r="DD931" t="s">
        <v>134</v>
      </c>
    </row>
    <row r="932" spans="1:113" ht="15" customHeight="1" x14ac:dyDescent="0.25">
      <c r="A932" t="s">
        <v>15842</v>
      </c>
      <c r="B932" t="s">
        <v>165</v>
      </c>
      <c r="C932" s="1">
        <v>44818.741487962965</v>
      </c>
      <c r="D932" s="1">
        <v>44851</v>
      </c>
      <c r="E932" t="s">
        <v>134</v>
      </c>
      <c r="F932" t="s">
        <v>416</v>
      </c>
      <c r="G932" t="str">
        <f>"37-3011.00"</f>
        <v>37-3011.00</v>
      </c>
      <c r="H932" t="s">
        <v>335</v>
      </c>
      <c r="I932">
        <v>40</v>
      </c>
      <c r="J932">
        <v>40</v>
      </c>
      <c r="K932" s="1">
        <v>44896</v>
      </c>
      <c r="L932" s="1">
        <v>45016</v>
      </c>
      <c r="M932" s="1">
        <v>44896</v>
      </c>
      <c r="N932" s="1">
        <v>45016</v>
      </c>
      <c r="O932" t="s">
        <v>199</v>
      </c>
      <c r="P932" t="s">
        <v>4229</v>
      </c>
      <c r="R932" t="s">
        <v>4230</v>
      </c>
      <c r="T932" t="s">
        <v>1434</v>
      </c>
      <c r="U932" t="s">
        <v>420</v>
      </c>
      <c r="V932" s="4" t="str">
        <f>"84003"</f>
        <v>84003</v>
      </c>
      <c r="W932" t="s">
        <v>120</v>
      </c>
      <c r="Y932" s="5">
        <v>18017630272</v>
      </c>
      <c r="AA932">
        <v>56173</v>
      </c>
      <c r="AB932" t="s">
        <v>426</v>
      </c>
      <c r="AC932" t="s">
        <v>427</v>
      </c>
      <c r="AE932" t="s">
        <v>4231</v>
      </c>
      <c r="AF932" t="s">
        <v>4230</v>
      </c>
      <c r="AH932" t="s">
        <v>1434</v>
      </c>
      <c r="AI932" t="s">
        <v>420</v>
      </c>
      <c r="AJ932" s="4" t="str">
        <f>"84003"</f>
        <v>84003</v>
      </c>
      <c r="AK932" t="s">
        <v>120</v>
      </c>
      <c r="AM932" s="5">
        <v>18017630272</v>
      </c>
      <c r="AO932" t="s">
        <v>4232</v>
      </c>
      <c r="AX932" s="4" t="str">
        <f>""</f>
        <v/>
      </c>
      <c r="BG932" t="s">
        <v>420</v>
      </c>
      <c r="BH932" s="1">
        <v>44817.833333333336</v>
      </c>
      <c r="BI932">
        <v>35</v>
      </c>
      <c r="BJ932">
        <v>0</v>
      </c>
      <c r="BK932">
        <v>7</v>
      </c>
      <c r="BL932">
        <v>7</v>
      </c>
      <c r="BM932">
        <v>7</v>
      </c>
      <c r="BN932">
        <v>7</v>
      </c>
      <c r="BO932">
        <v>7</v>
      </c>
      <c r="BP932">
        <v>0</v>
      </c>
      <c r="BQ932" t="str">
        <f>"8:00 AM"</f>
        <v>8:00 AM</v>
      </c>
      <c r="BR932" t="str">
        <f>"3:30 PM"</f>
        <v>3:30 PM</v>
      </c>
      <c r="BS932" t="s">
        <v>133</v>
      </c>
      <c r="BT932">
        <v>0</v>
      </c>
      <c r="BU932">
        <v>0</v>
      </c>
      <c r="BV932" t="s">
        <v>134</v>
      </c>
      <c r="BX932" t="s">
        <v>1574</v>
      </c>
      <c r="BY932" t="s">
        <v>4233</v>
      </c>
      <c r="CA932" t="s">
        <v>1434</v>
      </c>
      <c r="CB932" t="s">
        <v>420</v>
      </c>
      <c r="CC932" s="4" t="str">
        <f>"84003"</f>
        <v>84003</v>
      </c>
      <c r="CD932" t="s">
        <v>433</v>
      </c>
      <c r="CE932" t="s">
        <v>434</v>
      </c>
      <c r="CF932" s="6">
        <v>17.21</v>
      </c>
      <c r="CH932" s="6">
        <v>25.82</v>
      </c>
      <c r="CJ932" t="s">
        <v>137</v>
      </c>
      <c r="CK932" s="2" t="s">
        <v>15843</v>
      </c>
      <c r="CL932" t="s">
        <v>15844</v>
      </c>
      <c r="CO932" t="s">
        <v>138</v>
      </c>
      <c r="CP932" t="s">
        <v>114</v>
      </c>
      <c r="CQ932" t="s">
        <v>114</v>
      </c>
      <c r="CR932" t="s">
        <v>114</v>
      </c>
      <c r="CS932" t="s">
        <v>134</v>
      </c>
      <c r="CT932" t="s">
        <v>114</v>
      </c>
      <c r="CU932" t="s">
        <v>134</v>
      </c>
      <c r="CV932" t="s">
        <v>6063</v>
      </c>
      <c r="CW932" s="5" t="str">
        <f>"+18017630272"</f>
        <v>+18017630272</v>
      </c>
      <c r="CX932" t="s">
        <v>4232</v>
      </c>
      <c r="CY932" t="s">
        <v>138</v>
      </c>
      <c r="CZ932" t="s">
        <v>139</v>
      </c>
      <c r="DA932" t="s">
        <v>134</v>
      </c>
      <c r="DB932" t="s">
        <v>134</v>
      </c>
      <c r="DC932" t="s">
        <v>114</v>
      </c>
      <c r="DD932" t="s">
        <v>134</v>
      </c>
    </row>
    <row r="933" spans="1:113" ht="15" customHeight="1" x14ac:dyDescent="0.25">
      <c r="A933" t="s">
        <v>9434</v>
      </c>
      <c r="B933" t="s">
        <v>165</v>
      </c>
      <c r="C933" s="1">
        <v>44817.483716782408</v>
      </c>
      <c r="D933" s="1">
        <v>44851</v>
      </c>
      <c r="E933" t="s">
        <v>134</v>
      </c>
      <c r="F933" t="s">
        <v>9435</v>
      </c>
      <c r="G933" t="str">
        <f>"27-2022.00"</f>
        <v>27-2022.00</v>
      </c>
      <c r="H933" t="s">
        <v>9436</v>
      </c>
      <c r="I933">
        <v>1</v>
      </c>
      <c r="J933">
        <v>1</v>
      </c>
      <c r="K933" s="1">
        <v>44892</v>
      </c>
      <c r="L933" s="1">
        <v>45046</v>
      </c>
      <c r="M933" s="1">
        <v>44892</v>
      </c>
      <c r="N933" s="1">
        <v>45046</v>
      </c>
      <c r="O933" t="s">
        <v>199</v>
      </c>
      <c r="P933" t="s">
        <v>9437</v>
      </c>
      <c r="R933" t="s">
        <v>9438</v>
      </c>
      <c r="T933" t="s">
        <v>5250</v>
      </c>
      <c r="U933" t="s">
        <v>420</v>
      </c>
      <c r="V933" s="4" t="str">
        <f>"84060"</f>
        <v>84060</v>
      </c>
      <c r="W933" t="s">
        <v>120</v>
      </c>
      <c r="Y933" s="5">
        <v>19175680253</v>
      </c>
      <c r="AA933">
        <v>711219</v>
      </c>
      <c r="AB933" t="s">
        <v>9439</v>
      </c>
      <c r="AC933" t="s">
        <v>1589</v>
      </c>
      <c r="AE933" t="s">
        <v>424</v>
      </c>
      <c r="AF933" t="s">
        <v>9440</v>
      </c>
      <c r="AH933" t="s">
        <v>5250</v>
      </c>
      <c r="AI933" t="s">
        <v>420</v>
      </c>
      <c r="AJ933" s="4" t="str">
        <f>"84060"</f>
        <v>84060</v>
      </c>
      <c r="AK933" t="s">
        <v>120</v>
      </c>
      <c r="AM933" s="5">
        <v>19175680253</v>
      </c>
      <c r="AO933" t="s">
        <v>9441</v>
      </c>
      <c r="AP933" t="s">
        <v>122</v>
      </c>
      <c r="AQ933" t="s">
        <v>4979</v>
      </c>
      <c r="AR933" t="s">
        <v>2361</v>
      </c>
      <c r="AS933" t="s">
        <v>2211</v>
      </c>
      <c r="AT933" t="s">
        <v>9442</v>
      </c>
      <c r="AU933" t="s">
        <v>9443</v>
      </c>
      <c r="AV933" t="s">
        <v>2748</v>
      </c>
      <c r="AW933" t="s">
        <v>420</v>
      </c>
      <c r="AX933" s="4" t="str">
        <f>"84107"</f>
        <v>84107</v>
      </c>
      <c r="AY933" t="s">
        <v>120</v>
      </c>
      <c r="BA933" s="5">
        <v>18012632314</v>
      </c>
      <c r="BC933" t="s">
        <v>4981</v>
      </c>
      <c r="BD933" t="s">
        <v>4982</v>
      </c>
      <c r="BE933" t="s">
        <v>444</v>
      </c>
      <c r="BF933" t="s">
        <v>322</v>
      </c>
      <c r="BG933" t="s">
        <v>420</v>
      </c>
      <c r="BH933" s="1">
        <v>44815.833333333336</v>
      </c>
      <c r="BI933">
        <v>37.5</v>
      </c>
      <c r="BJ933">
        <v>0</v>
      </c>
      <c r="BK933">
        <v>7.5</v>
      </c>
      <c r="BL933">
        <v>7.5</v>
      </c>
      <c r="BM933">
        <v>7.5</v>
      </c>
      <c r="BN933">
        <v>7.5</v>
      </c>
      <c r="BO933">
        <v>7.5</v>
      </c>
      <c r="BP933">
        <v>0</v>
      </c>
      <c r="BQ933" t="str">
        <f>"9:00 AM"</f>
        <v>9:00 AM</v>
      </c>
      <c r="BR933" t="str">
        <f>"4:30 PM"</f>
        <v>4:30 PM</v>
      </c>
      <c r="BS933" t="s">
        <v>133</v>
      </c>
      <c r="BT933">
        <v>0</v>
      </c>
      <c r="BU933">
        <v>36</v>
      </c>
      <c r="BV933" t="s">
        <v>134</v>
      </c>
      <c r="BX933" t="s">
        <v>133</v>
      </c>
      <c r="BY933" t="s">
        <v>9444</v>
      </c>
      <c r="CA933" t="s">
        <v>5250</v>
      </c>
      <c r="CB933" t="s">
        <v>420</v>
      </c>
      <c r="CC933" s="4" t="str">
        <f>"84060"</f>
        <v>84060</v>
      </c>
      <c r="CD933" t="s">
        <v>1459</v>
      </c>
      <c r="CE933" t="s">
        <v>4193</v>
      </c>
      <c r="CF933" s="6">
        <v>24.12</v>
      </c>
      <c r="CG933" s="6">
        <v>24.12</v>
      </c>
      <c r="CH933" s="6">
        <v>36.18</v>
      </c>
      <c r="CI933" s="6">
        <v>36.18</v>
      </c>
      <c r="CJ933" t="s">
        <v>137</v>
      </c>
      <c r="CL933" t="s">
        <v>9445</v>
      </c>
      <c r="CO933" t="s">
        <v>138</v>
      </c>
      <c r="CP933" t="s">
        <v>134</v>
      </c>
      <c r="CQ933" t="s">
        <v>114</v>
      </c>
      <c r="CR933" t="s">
        <v>114</v>
      </c>
      <c r="CS933" t="s">
        <v>134</v>
      </c>
      <c r="CT933" t="s">
        <v>114</v>
      </c>
      <c r="CU933" t="s">
        <v>114</v>
      </c>
      <c r="CV933" t="s">
        <v>9446</v>
      </c>
      <c r="CW933" s="5" t="str">
        <f>"+19175680253"</f>
        <v>+19175680253</v>
      </c>
      <c r="CX933" t="s">
        <v>9441</v>
      </c>
      <c r="CY933" t="s">
        <v>138</v>
      </c>
      <c r="CZ933" t="s">
        <v>139</v>
      </c>
      <c r="DA933" t="s">
        <v>134</v>
      </c>
      <c r="DB933" t="s">
        <v>134</v>
      </c>
      <c r="DC933" t="s">
        <v>114</v>
      </c>
      <c r="DD933" t="s">
        <v>134</v>
      </c>
    </row>
    <row r="934" spans="1:113" ht="15" customHeight="1" x14ac:dyDescent="0.25">
      <c r="A934" t="s">
        <v>8686</v>
      </c>
      <c r="B934" t="s">
        <v>165</v>
      </c>
      <c r="C934" s="1">
        <v>44816.594551504626</v>
      </c>
      <c r="D934" s="1">
        <v>44851</v>
      </c>
      <c r="E934" t="s">
        <v>134</v>
      </c>
      <c r="F934" t="s">
        <v>8687</v>
      </c>
      <c r="G934" t="str">
        <f>"37-2012.00"</f>
        <v>37-2012.00</v>
      </c>
      <c r="H934" t="s">
        <v>116</v>
      </c>
      <c r="I934">
        <v>14</v>
      </c>
      <c r="J934">
        <v>14</v>
      </c>
      <c r="K934" s="1">
        <v>44904</v>
      </c>
      <c r="L934" s="1">
        <v>45177</v>
      </c>
      <c r="M934" s="1">
        <v>44904</v>
      </c>
      <c r="N934" s="1">
        <v>45177</v>
      </c>
      <c r="O934" t="s">
        <v>199</v>
      </c>
      <c r="P934" t="s">
        <v>8688</v>
      </c>
      <c r="Q934" t="s">
        <v>8689</v>
      </c>
      <c r="R934" t="s">
        <v>8690</v>
      </c>
      <c r="T934" t="s">
        <v>1972</v>
      </c>
      <c r="U934" t="s">
        <v>988</v>
      </c>
      <c r="V934" s="4" t="str">
        <f>"89451"</f>
        <v>89451</v>
      </c>
      <c r="W934" t="s">
        <v>120</v>
      </c>
      <c r="Y934" s="5">
        <v>15305464438</v>
      </c>
      <c r="AA934">
        <v>561720</v>
      </c>
      <c r="AB934" t="s">
        <v>4301</v>
      </c>
      <c r="AC934" t="s">
        <v>1705</v>
      </c>
      <c r="AE934" t="s">
        <v>342</v>
      </c>
      <c r="AF934" t="s">
        <v>8690</v>
      </c>
      <c r="AH934" t="s">
        <v>1972</v>
      </c>
      <c r="AI934" t="s">
        <v>988</v>
      </c>
      <c r="AJ934" s="4" t="str">
        <f>"89451"</f>
        <v>89451</v>
      </c>
      <c r="AK934" t="s">
        <v>120</v>
      </c>
      <c r="AM934" s="5">
        <v>15305464438</v>
      </c>
      <c r="AO934" t="s">
        <v>8691</v>
      </c>
      <c r="AP934" t="s">
        <v>122</v>
      </c>
      <c r="AQ934" t="s">
        <v>3619</v>
      </c>
      <c r="AR934" t="s">
        <v>2944</v>
      </c>
      <c r="AT934" t="s">
        <v>3620</v>
      </c>
      <c r="AV934" t="s">
        <v>3621</v>
      </c>
      <c r="AW934" t="s">
        <v>511</v>
      </c>
      <c r="AX934" s="4" t="str">
        <f>"97401"</f>
        <v>97401</v>
      </c>
      <c r="AY934" t="s">
        <v>120</v>
      </c>
      <c r="BA934" s="5">
        <v>15414841811</v>
      </c>
      <c r="BC934" t="s">
        <v>3622</v>
      </c>
      <c r="BD934" t="s">
        <v>3623</v>
      </c>
      <c r="BE934" t="s">
        <v>511</v>
      </c>
      <c r="BF934" t="s">
        <v>3624</v>
      </c>
      <c r="BG934" t="s">
        <v>988</v>
      </c>
      <c r="BH934" s="1">
        <v>44815.833333333336</v>
      </c>
      <c r="BI934">
        <v>40</v>
      </c>
      <c r="BJ934">
        <v>8</v>
      </c>
      <c r="BK934">
        <v>8</v>
      </c>
      <c r="BL934">
        <v>8</v>
      </c>
      <c r="BM934">
        <v>8</v>
      </c>
      <c r="BN934">
        <v>8</v>
      </c>
      <c r="BO934">
        <v>0</v>
      </c>
      <c r="BP934">
        <v>0</v>
      </c>
      <c r="BQ934" t="str">
        <f>"10:00 AM"</f>
        <v>10:00 AM</v>
      </c>
      <c r="BR934" t="str">
        <f>"6:00 PM"</f>
        <v>6:00 PM</v>
      </c>
      <c r="BS934" t="s">
        <v>133</v>
      </c>
      <c r="BT934">
        <v>0</v>
      </c>
      <c r="BU934">
        <v>3</v>
      </c>
      <c r="BV934" t="s">
        <v>134</v>
      </c>
      <c r="BX934" s="2" t="s">
        <v>8692</v>
      </c>
      <c r="BY934" t="s">
        <v>8690</v>
      </c>
      <c r="CA934" t="s">
        <v>1972</v>
      </c>
      <c r="CB934" t="s">
        <v>988</v>
      </c>
      <c r="CC934" s="4" t="str">
        <f>"89451"</f>
        <v>89451</v>
      </c>
      <c r="CD934" t="s">
        <v>1974</v>
      </c>
      <c r="CE934" t="s">
        <v>1975</v>
      </c>
      <c r="CF934" s="6">
        <v>18.59</v>
      </c>
      <c r="CH934" s="6">
        <v>27.89</v>
      </c>
      <c r="CJ934" t="s">
        <v>137</v>
      </c>
      <c r="CL934" t="s">
        <v>8693</v>
      </c>
      <c r="CO934" t="s">
        <v>138</v>
      </c>
      <c r="CP934" t="s">
        <v>114</v>
      </c>
      <c r="CQ934" t="s">
        <v>114</v>
      </c>
      <c r="CR934" t="s">
        <v>114</v>
      </c>
      <c r="CS934" t="s">
        <v>134</v>
      </c>
      <c r="CT934" t="s">
        <v>114</v>
      </c>
      <c r="CU934" t="s">
        <v>134</v>
      </c>
      <c r="CV934" t="s">
        <v>8694</v>
      </c>
      <c r="CW934" s="5" t="str">
        <f>"+15305464438"</f>
        <v>+15305464438</v>
      </c>
      <c r="CX934" t="s">
        <v>8691</v>
      </c>
      <c r="CY934" t="s">
        <v>138</v>
      </c>
      <c r="CZ934" t="s">
        <v>139</v>
      </c>
      <c r="DA934" t="s">
        <v>134</v>
      </c>
      <c r="DB934" t="s">
        <v>134</v>
      </c>
      <c r="DC934" t="s">
        <v>114</v>
      </c>
      <c r="DD934" t="s">
        <v>134</v>
      </c>
      <c r="DE934" t="s">
        <v>3619</v>
      </c>
      <c r="DF934" t="s">
        <v>2944</v>
      </c>
      <c r="DG934" t="s">
        <v>4044</v>
      </c>
      <c r="DH934" t="s">
        <v>8695</v>
      </c>
      <c r="DI934" t="s">
        <v>3622</v>
      </c>
    </row>
    <row r="935" spans="1:113" ht="15" customHeight="1" x14ac:dyDescent="0.25">
      <c r="A935" t="s">
        <v>7779</v>
      </c>
      <c r="B935" t="s">
        <v>165</v>
      </c>
      <c r="C935" s="1">
        <v>44816.451936805555</v>
      </c>
      <c r="D935" s="1">
        <v>44851</v>
      </c>
      <c r="E935" t="s">
        <v>134</v>
      </c>
      <c r="F935" t="s">
        <v>1865</v>
      </c>
      <c r="G935" t="str">
        <f>"37-2012.00"</f>
        <v>37-2012.00</v>
      </c>
      <c r="H935" t="s">
        <v>116</v>
      </c>
      <c r="I935">
        <v>5</v>
      </c>
      <c r="J935">
        <v>5</v>
      </c>
      <c r="K935" s="1">
        <v>44895</v>
      </c>
      <c r="L935" s="1">
        <v>45016</v>
      </c>
      <c r="M935" s="1">
        <v>44895</v>
      </c>
      <c r="N935" s="1">
        <v>45016</v>
      </c>
      <c r="O935" t="s">
        <v>117</v>
      </c>
      <c r="P935" t="s">
        <v>7780</v>
      </c>
      <c r="R935" t="s">
        <v>7781</v>
      </c>
      <c r="S935" t="s">
        <v>7782</v>
      </c>
      <c r="T935" t="s">
        <v>2211</v>
      </c>
      <c r="U935" t="s">
        <v>2164</v>
      </c>
      <c r="V935" s="4" t="str">
        <f>"83014"</f>
        <v>83014</v>
      </c>
      <c r="W935" t="s">
        <v>120</v>
      </c>
      <c r="Y935" s="5">
        <v>13077331177</v>
      </c>
      <c r="AA935">
        <v>72111</v>
      </c>
      <c r="AB935" t="s">
        <v>7783</v>
      </c>
      <c r="AC935" t="s">
        <v>7784</v>
      </c>
      <c r="AD935" t="s">
        <v>2149</v>
      </c>
      <c r="AE935" t="s">
        <v>7785</v>
      </c>
      <c r="AF935" t="s">
        <v>7781</v>
      </c>
      <c r="AG935" t="s">
        <v>7782</v>
      </c>
      <c r="AH935" t="s">
        <v>2211</v>
      </c>
      <c r="AI935" t="s">
        <v>2164</v>
      </c>
      <c r="AJ935" s="4" t="str">
        <f>"83014"</f>
        <v>83014</v>
      </c>
      <c r="AK935" t="s">
        <v>120</v>
      </c>
      <c r="AM935" s="5">
        <v>13077331177</v>
      </c>
      <c r="AO935" t="s">
        <v>138</v>
      </c>
      <c r="AP935" t="s">
        <v>256</v>
      </c>
      <c r="AQ935" t="s">
        <v>475</v>
      </c>
      <c r="AR935" t="s">
        <v>476</v>
      </c>
      <c r="AT935" t="s">
        <v>477</v>
      </c>
      <c r="AV935" t="s">
        <v>478</v>
      </c>
      <c r="AW935" t="s">
        <v>479</v>
      </c>
      <c r="AX935" s="4" t="str">
        <f>"22903"</f>
        <v>22903</v>
      </c>
      <c r="AY935" t="s">
        <v>120</v>
      </c>
      <c r="BA935" s="5">
        <v>14342634300</v>
      </c>
      <c r="BC935" t="s">
        <v>1549</v>
      </c>
      <c r="BD935" t="s">
        <v>481</v>
      </c>
      <c r="BG935" t="s">
        <v>2164</v>
      </c>
      <c r="BH935" s="1">
        <v>44815.833333333336</v>
      </c>
      <c r="BI935">
        <v>40</v>
      </c>
      <c r="BJ935">
        <v>0</v>
      </c>
      <c r="BK935">
        <v>8</v>
      </c>
      <c r="BL935">
        <v>8</v>
      </c>
      <c r="BM935">
        <v>8</v>
      </c>
      <c r="BN935">
        <v>8</v>
      </c>
      <c r="BO935">
        <v>8</v>
      </c>
      <c r="BP935">
        <v>0</v>
      </c>
      <c r="BQ935" t="str">
        <f>"8:00 AM"</f>
        <v>8:00 AM</v>
      </c>
      <c r="BR935" t="str">
        <f>"4:30 PM"</f>
        <v>4:30 PM</v>
      </c>
      <c r="BS935" t="s">
        <v>133</v>
      </c>
      <c r="BT935">
        <v>0</v>
      </c>
      <c r="BU935">
        <v>0</v>
      </c>
      <c r="BV935" t="s">
        <v>134</v>
      </c>
      <c r="BX935" s="2" t="s">
        <v>7786</v>
      </c>
      <c r="BY935" t="s">
        <v>7781</v>
      </c>
      <c r="CA935" t="s">
        <v>2211</v>
      </c>
      <c r="CB935" t="s">
        <v>2164</v>
      </c>
      <c r="CC935" s="4" t="str">
        <f>"83014"</f>
        <v>83014</v>
      </c>
      <c r="CD935" t="s">
        <v>1428</v>
      </c>
      <c r="CE935" t="s">
        <v>4445</v>
      </c>
      <c r="CF935" s="6">
        <v>14.28</v>
      </c>
      <c r="CH935" s="6">
        <v>21.42</v>
      </c>
      <c r="CJ935" t="s">
        <v>137</v>
      </c>
      <c r="CK935" t="s">
        <v>487</v>
      </c>
      <c r="CL935" t="s">
        <v>7787</v>
      </c>
      <c r="CO935" t="s">
        <v>138</v>
      </c>
      <c r="CP935" t="s">
        <v>134</v>
      </c>
      <c r="CQ935" t="s">
        <v>134</v>
      </c>
      <c r="CR935" t="s">
        <v>114</v>
      </c>
      <c r="CS935" t="s">
        <v>114</v>
      </c>
      <c r="CT935" t="s">
        <v>114</v>
      </c>
      <c r="CU935" t="s">
        <v>114</v>
      </c>
      <c r="CV935" t="s">
        <v>7788</v>
      </c>
      <c r="CW935" s="5" t="str">
        <f>"N/A"</f>
        <v>N/A</v>
      </c>
      <c r="CX935" t="s">
        <v>7789</v>
      </c>
      <c r="CY935" t="s">
        <v>4446</v>
      </c>
      <c r="CZ935" t="s">
        <v>139</v>
      </c>
      <c r="DA935" t="s">
        <v>134</v>
      </c>
      <c r="DB935" t="s">
        <v>114</v>
      </c>
      <c r="DC935" t="s">
        <v>114</v>
      </c>
      <c r="DD935" t="s">
        <v>134</v>
      </c>
      <c r="DE935" t="s">
        <v>1551</v>
      </c>
      <c r="DF935" t="s">
        <v>1377</v>
      </c>
      <c r="DH935" t="s">
        <v>481</v>
      </c>
      <c r="DI935" t="s">
        <v>1549</v>
      </c>
    </row>
    <row r="936" spans="1:113" ht="15" customHeight="1" x14ac:dyDescent="0.25">
      <c r="A936" t="s">
        <v>12374</v>
      </c>
      <c r="B936" t="s">
        <v>165</v>
      </c>
      <c r="C936" s="1">
        <v>44810.667611689816</v>
      </c>
      <c r="D936" s="1">
        <v>44851</v>
      </c>
      <c r="E936" t="s">
        <v>134</v>
      </c>
      <c r="F936" t="s">
        <v>2276</v>
      </c>
      <c r="G936" t="str">
        <f>"47-4051.00"</f>
        <v>47-4051.00</v>
      </c>
      <c r="H936" t="s">
        <v>4349</v>
      </c>
      <c r="I936">
        <v>28</v>
      </c>
      <c r="J936">
        <v>28</v>
      </c>
      <c r="K936" s="1">
        <v>44896</v>
      </c>
      <c r="L936" s="1">
        <v>45199</v>
      </c>
      <c r="M936" s="1">
        <v>44896</v>
      </c>
      <c r="N936" s="1">
        <v>45199</v>
      </c>
      <c r="O936" t="s">
        <v>117</v>
      </c>
      <c r="P936" t="s">
        <v>12375</v>
      </c>
      <c r="R936" t="s">
        <v>12376</v>
      </c>
      <c r="T936" t="s">
        <v>12377</v>
      </c>
      <c r="U936" t="s">
        <v>119</v>
      </c>
      <c r="V936" s="4" t="str">
        <f>"28012"</f>
        <v>28012</v>
      </c>
      <c r="W936" t="s">
        <v>120</v>
      </c>
      <c r="Y936" s="5">
        <v>17047186669</v>
      </c>
      <c r="AA936">
        <v>561730</v>
      </c>
      <c r="AB936" t="s">
        <v>12378</v>
      </c>
      <c r="AC936" t="s">
        <v>12379</v>
      </c>
      <c r="AD936" t="s">
        <v>138</v>
      </c>
      <c r="AE936" t="s">
        <v>342</v>
      </c>
      <c r="AF936" t="s">
        <v>12376</v>
      </c>
      <c r="AH936" t="s">
        <v>12377</v>
      </c>
      <c r="AI936" t="s">
        <v>119</v>
      </c>
      <c r="AJ936" s="4" t="str">
        <f>"28012"</f>
        <v>28012</v>
      </c>
      <c r="AK936" t="s">
        <v>120</v>
      </c>
      <c r="AM936" s="5">
        <v>17047186669</v>
      </c>
      <c r="AO936" t="s">
        <v>138</v>
      </c>
      <c r="AP936" t="s">
        <v>256</v>
      </c>
      <c r="AQ936" t="s">
        <v>826</v>
      </c>
      <c r="AR936" t="s">
        <v>827</v>
      </c>
      <c r="AS936" t="s">
        <v>138</v>
      </c>
      <c r="AT936" t="s">
        <v>346</v>
      </c>
      <c r="AU936" t="s">
        <v>347</v>
      </c>
      <c r="AV936" t="s">
        <v>828</v>
      </c>
      <c r="AW936" t="s">
        <v>349</v>
      </c>
      <c r="AX936" s="4" t="str">
        <f>"83814"</f>
        <v>83814</v>
      </c>
      <c r="AY936" t="s">
        <v>120</v>
      </c>
      <c r="BA936" s="5">
        <v>12087772654</v>
      </c>
      <c r="BC936" t="s">
        <v>829</v>
      </c>
      <c r="BD936" t="s">
        <v>351</v>
      </c>
      <c r="BG936" t="s">
        <v>119</v>
      </c>
      <c r="BH936" s="1">
        <v>44805.833333333336</v>
      </c>
      <c r="BI936">
        <v>40</v>
      </c>
      <c r="BJ936">
        <v>0</v>
      </c>
      <c r="BK936">
        <v>8</v>
      </c>
      <c r="BL936">
        <v>8</v>
      </c>
      <c r="BM936">
        <v>8</v>
      </c>
      <c r="BN936">
        <v>8</v>
      </c>
      <c r="BO936">
        <v>8</v>
      </c>
      <c r="BP936">
        <v>0</v>
      </c>
      <c r="BQ936" t="str">
        <f>"7:00 AM"</f>
        <v>7:00 AM</v>
      </c>
      <c r="BR936" t="str">
        <f>"4:00 PM"</f>
        <v>4:00 PM</v>
      </c>
      <c r="BS936" t="s">
        <v>133</v>
      </c>
      <c r="BT936">
        <v>0</v>
      </c>
      <c r="BU936">
        <v>0</v>
      </c>
      <c r="BV936" t="s">
        <v>134</v>
      </c>
      <c r="BX936" s="2" t="s">
        <v>4097</v>
      </c>
      <c r="BY936" t="s">
        <v>12380</v>
      </c>
      <c r="CA936" t="s">
        <v>12377</v>
      </c>
      <c r="CB936" t="s">
        <v>119</v>
      </c>
      <c r="CC936" s="4" t="str">
        <f>"28012"</f>
        <v>28012</v>
      </c>
      <c r="CD936" t="s">
        <v>3456</v>
      </c>
      <c r="CE936" t="s">
        <v>1404</v>
      </c>
      <c r="CF936" s="6">
        <v>18.11</v>
      </c>
      <c r="CH936" s="6">
        <v>27.17</v>
      </c>
      <c r="CJ936" t="s">
        <v>137</v>
      </c>
      <c r="CK936" t="s">
        <v>138</v>
      </c>
      <c r="CL936" t="s">
        <v>12381</v>
      </c>
      <c r="CO936" t="s">
        <v>138</v>
      </c>
      <c r="CP936" t="s">
        <v>114</v>
      </c>
      <c r="CQ936" t="s">
        <v>114</v>
      </c>
      <c r="CR936" t="s">
        <v>114</v>
      </c>
      <c r="CS936" t="s">
        <v>114</v>
      </c>
      <c r="CT936" t="s">
        <v>114</v>
      </c>
      <c r="CU936" t="s">
        <v>134</v>
      </c>
      <c r="CV936" t="s">
        <v>358</v>
      </c>
      <c r="CW936" s="5" t="str">
        <f>"+17047181414"</f>
        <v>+17047181414</v>
      </c>
      <c r="CX936" t="s">
        <v>12382</v>
      </c>
      <c r="CY936" t="s">
        <v>138</v>
      </c>
      <c r="CZ936" t="s">
        <v>139</v>
      </c>
      <c r="DA936" t="s">
        <v>134</v>
      </c>
      <c r="DB936" t="s">
        <v>114</v>
      </c>
      <c r="DC936" t="s">
        <v>114</v>
      </c>
      <c r="DD936" t="s">
        <v>134</v>
      </c>
    </row>
    <row r="937" spans="1:113" ht="15" customHeight="1" x14ac:dyDescent="0.25">
      <c r="A937" t="s">
        <v>5030</v>
      </c>
      <c r="B937" t="s">
        <v>165</v>
      </c>
      <c r="C937" s="1">
        <v>44797.877663425927</v>
      </c>
      <c r="D937" s="1">
        <v>44851</v>
      </c>
      <c r="E937" t="s">
        <v>134</v>
      </c>
      <c r="F937" t="s">
        <v>1909</v>
      </c>
      <c r="G937" t="str">
        <f>"35-2021.00"</f>
        <v>35-2021.00</v>
      </c>
      <c r="H937" t="s">
        <v>718</v>
      </c>
      <c r="I937">
        <v>5</v>
      </c>
      <c r="J937">
        <v>5</v>
      </c>
      <c r="K937" s="1">
        <v>44872</v>
      </c>
      <c r="L937" s="1">
        <v>45016</v>
      </c>
      <c r="M937" s="1">
        <v>44872</v>
      </c>
      <c r="N937" s="1">
        <v>45016</v>
      </c>
      <c r="O937" t="s">
        <v>117</v>
      </c>
      <c r="P937" t="s">
        <v>5031</v>
      </c>
      <c r="R937" t="s">
        <v>5032</v>
      </c>
      <c r="T937" t="s">
        <v>2014</v>
      </c>
      <c r="U937" t="s">
        <v>154</v>
      </c>
      <c r="V937" s="4" t="str">
        <f>"33132"</f>
        <v>33132</v>
      </c>
      <c r="W937" t="s">
        <v>120</v>
      </c>
      <c r="Y937" s="5">
        <v>13053743900</v>
      </c>
      <c r="AA937">
        <v>72111</v>
      </c>
      <c r="AB937" t="s">
        <v>5033</v>
      </c>
      <c r="AC937" t="s">
        <v>5034</v>
      </c>
      <c r="AE937" t="s">
        <v>1915</v>
      </c>
      <c r="AF937" t="s">
        <v>5032</v>
      </c>
      <c r="AH937" t="s">
        <v>2014</v>
      </c>
      <c r="AI937" t="s">
        <v>154</v>
      </c>
      <c r="AJ937" s="4" t="str">
        <f>"33132"</f>
        <v>33132</v>
      </c>
      <c r="AK937" t="s">
        <v>120</v>
      </c>
      <c r="AM937" s="5">
        <v>13053743900</v>
      </c>
      <c r="AO937" t="s">
        <v>5035</v>
      </c>
      <c r="AP937" t="s">
        <v>122</v>
      </c>
      <c r="AQ937" t="s">
        <v>2938</v>
      </c>
      <c r="AR937" t="s">
        <v>2672</v>
      </c>
      <c r="AS937" t="s">
        <v>2939</v>
      </c>
      <c r="AT937" t="s">
        <v>2940</v>
      </c>
      <c r="AU937" t="s">
        <v>2013</v>
      </c>
      <c r="AV937" t="s">
        <v>2014</v>
      </c>
      <c r="AW937" t="s">
        <v>154</v>
      </c>
      <c r="AX937" s="4" t="str">
        <f>"33126"</f>
        <v>33126</v>
      </c>
      <c r="AY937" t="s">
        <v>120</v>
      </c>
      <c r="BA937" s="5">
        <v>13057745800</v>
      </c>
      <c r="BC937" t="s">
        <v>2941</v>
      </c>
      <c r="BD937" t="s">
        <v>2942</v>
      </c>
      <c r="BE937" t="s">
        <v>154</v>
      </c>
      <c r="BF937" t="s">
        <v>322</v>
      </c>
      <c r="BG937" t="s">
        <v>154</v>
      </c>
      <c r="BH937" s="1">
        <v>44796.833333333336</v>
      </c>
      <c r="BI937">
        <v>35</v>
      </c>
      <c r="BJ937">
        <v>8</v>
      </c>
      <c r="BK937">
        <v>8</v>
      </c>
      <c r="BL937">
        <v>8</v>
      </c>
      <c r="BM937">
        <v>8</v>
      </c>
      <c r="BN937">
        <v>3</v>
      </c>
      <c r="BO937">
        <v>0</v>
      </c>
      <c r="BP937">
        <v>0</v>
      </c>
      <c r="BQ937" t="str">
        <f>"7:00 AM"</f>
        <v>7:00 AM</v>
      </c>
      <c r="BR937" t="str">
        <f>"11:00 PM"</f>
        <v>11:00 PM</v>
      </c>
      <c r="BS937" t="s">
        <v>133</v>
      </c>
      <c r="BT937">
        <v>0</v>
      </c>
      <c r="BU937">
        <v>0</v>
      </c>
      <c r="BV937" t="s">
        <v>134</v>
      </c>
      <c r="BX937" t="s">
        <v>5036</v>
      </c>
      <c r="BY937" t="s">
        <v>5032</v>
      </c>
      <c r="CA937" t="s">
        <v>2014</v>
      </c>
      <c r="CB937" t="s">
        <v>154</v>
      </c>
      <c r="CC937" s="4" t="str">
        <f>"33132"</f>
        <v>33132</v>
      </c>
      <c r="CD937" t="s">
        <v>1741</v>
      </c>
      <c r="CE937" t="s">
        <v>1742</v>
      </c>
      <c r="CF937" s="6">
        <v>14.25</v>
      </c>
      <c r="CH937" s="6">
        <v>21.37</v>
      </c>
      <c r="CJ937" t="s">
        <v>137</v>
      </c>
      <c r="CK937" t="s">
        <v>5037</v>
      </c>
      <c r="CL937" t="s">
        <v>5038</v>
      </c>
      <c r="CO937" t="s">
        <v>138</v>
      </c>
      <c r="CP937" t="s">
        <v>134</v>
      </c>
      <c r="CQ937" t="s">
        <v>134</v>
      </c>
      <c r="CR937" t="s">
        <v>114</v>
      </c>
      <c r="CS937" t="s">
        <v>114</v>
      </c>
      <c r="CT937" t="s">
        <v>114</v>
      </c>
      <c r="CU937" t="s">
        <v>114</v>
      </c>
      <c r="CV937" t="s">
        <v>5039</v>
      </c>
      <c r="CW937" s="5" t="str">
        <f>"+13053743900"</f>
        <v>+13053743900</v>
      </c>
      <c r="CX937" t="s">
        <v>5040</v>
      </c>
      <c r="CY937" t="s">
        <v>138</v>
      </c>
      <c r="CZ937" t="s">
        <v>139</v>
      </c>
      <c r="DA937" t="s">
        <v>134</v>
      </c>
      <c r="DB937" t="s">
        <v>114</v>
      </c>
      <c r="DC937" t="s">
        <v>114</v>
      </c>
      <c r="DD937" t="s">
        <v>134</v>
      </c>
    </row>
    <row r="938" spans="1:113" ht="15" customHeight="1" x14ac:dyDescent="0.25">
      <c r="A938" t="s">
        <v>13183</v>
      </c>
      <c r="B938" t="s">
        <v>165</v>
      </c>
      <c r="C938" s="1">
        <v>44797.865459259257</v>
      </c>
      <c r="D938" s="1">
        <v>44851</v>
      </c>
      <c r="E938" t="s">
        <v>134</v>
      </c>
      <c r="F938" t="s">
        <v>13184</v>
      </c>
      <c r="G938" t="str">
        <f>"37-2012.00"</f>
        <v>37-2012.00</v>
      </c>
      <c r="H938" t="s">
        <v>116</v>
      </c>
      <c r="I938">
        <v>15</v>
      </c>
      <c r="J938">
        <v>15</v>
      </c>
      <c r="K938" s="1">
        <v>44872</v>
      </c>
      <c r="L938" s="1">
        <v>45016</v>
      </c>
      <c r="M938" s="1">
        <v>44872</v>
      </c>
      <c r="N938" s="1">
        <v>45016</v>
      </c>
      <c r="O938" t="s">
        <v>117</v>
      </c>
      <c r="P938" t="s">
        <v>5031</v>
      </c>
      <c r="R938" t="s">
        <v>5032</v>
      </c>
      <c r="T938" t="s">
        <v>2014</v>
      </c>
      <c r="U938" t="s">
        <v>154</v>
      </c>
      <c r="V938" s="4" t="str">
        <f>"33132"</f>
        <v>33132</v>
      </c>
      <c r="W938" t="s">
        <v>120</v>
      </c>
      <c r="Y938" s="5">
        <v>13053743900</v>
      </c>
      <c r="AA938">
        <v>72111</v>
      </c>
      <c r="AB938" t="s">
        <v>5033</v>
      </c>
      <c r="AC938" t="s">
        <v>5034</v>
      </c>
      <c r="AE938" t="s">
        <v>1915</v>
      </c>
      <c r="AF938" t="s">
        <v>5032</v>
      </c>
      <c r="AH938" t="s">
        <v>2014</v>
      </c>
      <c r="AI938" t="s">
        <v>154</v>
      </c>
      <c r="AJ938" s="4" t="str">
        <f>"33132"</f>
        <v>33132</v>
      </c>
      <c r="AK938" t="s">
        <v>120</v>
      </c>
      <c r="AM938" s="5">
        <v>13053743900</v>
      </c>
      <c r="AO938" t="s">
        <v>5035</v>
      </c>
      <c r="AP938" t="s">
        <v>122</v>
      </c>
      <c r="AQ938" t="s">
        <v>2938</v>
      </c>
      <c r="AR938" t="s">
        <v>2672</v>
      </c>
      <c r="AS938" t="s">
        <v>2939</v>
      </c>
      <c r="AT938" t="s">
        <v>2940</v>
      </c>
      <c r="AU938" t="s">
        <v>2013</v>
      </c>
      <c r="AV938" t="s">
        <v>2014</v>
      </c>
      <c r="AW938" t="s">
        <v>154</v>
      </c>
      <c r="AX938" s="4" t="str">
        <f>"33126"</f>
        <v>33126</v>
      </c>
      <c r="AY938" t="s">
        <v>120</v>
      </c>
      <c r="BA938" s="5">
        <v>13057745800</v>
      </c>
      <c r="BC938" t="s">
        <v>2941</v>
      </c>
      <c r="BD938" t="s">
        <v>2942</v>
      </c>
      <c r="BE938" t="s">
        <v>154</v>
      </c>
      <c r="BF938" t="s">
        <v>322</v>
      </c>
      <c r="BG938" t="s">
        <v>154</v>
      </c>
      <c r="BH938" s="1">
        <v>44796.833333333336</v>
      </c>
      <c r="BI938">
        <v>35</v>
      </c>
      <c r="BJ938">
        <v>8</v>
      </c>
      <c r="BK938">
        <v>8</v>
      </c>
      <c r="BL938">
        <v>8</v>
      </c>
      <c r="BM938">
        <v>8</v>
      </c>
      <c r="BN938">
        <v>3</v>
      </c>
      <c r="BO938">
        <v>0</v>
      </c>
      <c r="BP938">
        <v>0</v>
      </c>
      <c r="BQ938" t="str">
        <f>"7:00 AM"</f>
        <v>7:00 AM</v>
      </c>
      <c r="BR938" t="str">
        <f>"11:00 PM"</f>
        <v>11:00 PM</v>
      </c>
      <c r="BS938" t="s">
        <v>133</v>
      </c>
      <c r="BT938">
        <v>0</v>
      </c>
      <c r="BU938">
        <v>0</v>
      </c>
      <c r="BV938" t="s">
        <v>134</v>
      </c>
      <c r="BX938" t="s">
        <v>133</v>
      </c>
      <c r="BY938" t="s">
        <v>5032</v>
      </c>
      <c r="CA938" t="s">
        <v>2014</v>
      </c>
      <c r="CB938" t="s">
        <v>154</v>
      </c>
      <c r="CC938" s="4" t="str">
        <f>"33132"</f>
        <v>33132</v>
      </c>
      <c r="CD938" t="s">
        <v>1741</v>
      </c>
      <c r="CE938" t="s">
        <v>1742</v>
      </c>
      <c r="CF938" s="6">
        <v>15.5</v>
      </c>
      <c r="CH938" s="6">
        <v>23.25</v>
      </c>
      <c r="CJ938" t="s">
        <v>137</v>
      </c>
      <c r="CK938" t="s">
        <v>13185</v>
      </c>
      <c r="CL938" t="s">
        <v>13186</v>
      </c>
      <c r="CO938" t="s">
        <v>138</v>
      </c>
      <c r="CP938" t="s">
        <v>134</v>
      </c>
      <c r="CQ938" t="s">
        <v>134</v>
      </c>
      <c r="CR938" t="s">
        <v>114</v>
      </c>
      <c r="CS938" t="s">
        <v>134</v>
      </c>
      <c r="CT938" t="s">
        <v>114</v>
      </c>
      <c r="CU938" t="s">
        <v>114</v>
      </c>
      <c r="CV938" t="s">
        <v>5039</v>
      </c>
      <c r="CW938" s="5" t="str">
        <f>"+13053743900"</f>
        <v>+13053743900</v>
      </c>
      <c r="CX938" t="s">
        <v>5040</v>
      </c>
      <c r="CY938" t="s">
        <v>138</v>
      </c>
      <c r="CZ938" t="s">
        <v>139</v>
      </c>
      <c r="DA938" t="s">
        <v>134</v>
      </c>
      <c r="DB938" t="s">
        <v>114</v>
      </c>
      <c r="DC938" t="s">
        <v>114</v>
      </c>
      <c r="DD938" t="s">
        <v>134</v>
      </c>
    </row>
    <row r="939" spans="1:113" ht="15" customHeight="1" x14ac:dyDescent="0.25">
      <c r="A939" t="s">
        <v>11448</v>
      </c>
      <c r="B939" t="s">
        <v>165</v>
      </c>
      <c r="C939" s="1">
        <v>44791.863120601854</v>
      </c>
      <c r="D939" s="1">
        <v>44851</v>
      </c>
      <c r="E939" t="s">
        <v>134</v>
      </c>
      <c r="F939" t="s">
        <v>11449</v>
      </c>
      <c r="G939" t="str">
        <f>"53-7051.00"</f>
        <v>53-7051.00</v>
      </c>
      <c r="H939" t="s">
        <v>2127</v>
      </c>
      <c r="I939">
        <v>6</v>
      </c>
      <c r="J939">
        <v>6</v>
      </c>
      <c r="K939" s="1">
        <v>44866</v>
      </c>
      <c r="L939" s="1">
        <v>45016</v>
      </c>
      <c r="M939" s="1">
        <v>44866</v>
      </c>
      <c r="N939" s="1">
        <v>45016</v>
      </c>
      <c r="O939" t="s">
        <v>117</v>
      </c>
      <c r="P939" t="s">
        <v>3412</v>
      </c>
      <c r="R939" t="s">
        <v>3413</v>
      </c>
      <c r="T939" t="s">
        <v>3414</v>
      </c>
      <c r="U939" t="s">
        <v>444</v>
      </c>
      <c r="V939" s="4" t="str">
        <f>"93940"</f>
        <v>93940</v>
      </c>
      <c r="W939" t="s">
        <v>120</v>
      </c>
      <c r="Y939" s="5">
        <v>18317543429</v>
      </c>
      <c r="AA939">
        <v>11121</v>
      </c>
      <c r="AB939" t="s">
        <v>3415</v>
      </c>
      <c r="AC939" t="s">
        <v>3416</v>
      </c>
      <c r="AE939" t="s">
        <v>2368</v>
      </c>
      <c r="AF939" t="s">
        <v>3413</v>
      </c>
      <c r="AH939" t="s">
        <v>3414</v>
      </c>
      <c r="AI939" t="s">
        <v>444</v>
      </c>
      <c r="AJ939" s="4" t="str">
        <f>"93940"</f>
        <v>93940</v>
      </c>
      <c r="AK939" t="s">
        <v>120</v>
      </c>
      <c r="AM939" s="5">
        <v>1831754429</v>
      </c>
      <c r="AO939" t="s">
        <v>3417</v>
      </c>
      <c r="AP939" t="s">
        <v>122</v>
      </c>
      <c r="AQ939" t="s">
        <v>1721</v>
      </c>
      <c r="AR939" t="s">
        <v>1722</v>
      </c>
      <c r="AS939" t="s">
        <v>1723</v>
      </c>
      <c r="AT939" t="s">
        <v>1724</v>
      </c>
      <c r="AV939" t="s">
        <v>1725</v>
      </c>
      <c r="AW939" t="s">
        <v>444</v>
      </c>
      <c r="AX939" s="4" t="str">
        <f>"92106"</f>
        <v>92106</v>
      </c>
      <c r="AY939" t="s">
        <v>120</v>
      </c>
      <c r="BA939" s="5">
        <v>16192696164</v>
      </c>
      <c r="BC939" t="s">
        <v>1726</v>
      </c>
      <c r="BD939" t="s">
        <v>1727</v>
      </c>
      <c r="BE939" t="s">
        <v>444</v>
      </c>
      <c r="BF939" t="s">
        <v>510</v>
      </c>
      <c r="BG939" t="s">
        <v>530</v>
      </c>
      <c r="BH939" s="1">
        <v>44789.833333333336</v>
      </c>
      <c r="BI939">
        <v>60</v>
      </c>
      <c r="BJ939">
        <v>0</v>
      </c>
      <c r="BK939">
        <v>10</v>
      </c>
      <c r="BL939">
        <v>10</v>
      </c>
      <c r="BM939">
        <v>10</v>
      </c>
      <c r="BN939">
        <v>10</v>
      </c>
      <c r="BO939">
        <v>10</v>
      </c>
      <c r="BP939">
        <v>10</v>
      </c>
      <c r="BQ939" t="str">
        <f>"8:00 PM"</f>
        <v>8:00 PM</v>
      </c>
      <c r="BR939" t="str">
        <f>"6:30 AM"</f>
        <v>6:30 AM</v>
      </c>
      <c r="BS939" t="s">
        <v>133</v>
      </c>
      <c r="BT939">
        <v>0</v>
      </c>
      <c r="BU939">
        <v>3</v>
      </c>
      <c r="BV939" t="s">
        <v>134</v>
      </c>
      <c r="BX939" s="2" t="s">
        <v>11450</v>
      </c>
      <c r="BY939" t="s">
        <v>11385</v>
      </c>
      <c r="CA939" t="s">
        <v>9790</v>
      </c>
      <c r="CB939" t="s">
        <v>530</v>
      </c>
      <c r="CC939" s="4" t="str">
        <f>"85364"</f>
        <v>85364</v>
      </c>
      <c r="CD939" t="s">
        <v>9791</v>
      </c>
      <c r="CE939" t="s">
        <v>9792</v>
      </c>
      <c r="CF939" s="6">
        <v>15.17</v>
      </c>
      <c r="CG939" s="6">
        <v>15.17</v>
      </c>
      <c r="CH939" s="6">
        <v>22.76</v>
      </c>
      <c r="CI939" s="6">
        <v>22.76</v>
      </c>
      <c r="CJ939" t="s">
        <v>137</v>
      </c>
      <c r="CK939" t="s">
        <v>11386</v>
      </c>
      <c r="CL939" t="s">
        <v>11451</v>
      </c>
      <c r="CO939" t="s">
        <v>138</v>
      </c>
      <c r="CP939" t="s">
        <v>134</v>
      </c>
      <c r="CQ939" t="s">
        <v>134</v>
      </c>
      <c r="CR939" t="s">
        <v>114</v>
      </c>
      <c r="CS939" t="s">
        <v>114</v>
      </c>
      <c r="CT939" t="s">
        <v>114</v>
      </c>
      <c r="CU939" t="s">
        <v>114</v>
      </c>
      <c r="CV939" t="s">
        <v>11452</v>
      </c>
      <c r="CW939" s="5" t="str">
        <f>"+19283418362"</f>
        <v>+19283418362</v>
      </c>
      <c r="CX939" t="s">
        <v>11389</v>
      </c>
      <c r="CY939" t="s">
        <v>138</v>
      </c>
      <c r="CZ939" t="s">
        <v>139</v>
      </c>
      <c r="DA939" t="s">
        <v>134</v>
      </c>
      <c r="DB939" t="s">
        <v>134</v>
      </c>
      <c r="DC939" t="s">
        <v>114</v>
      </c>
      <c r="DD939" t="s">
        <v>134</v>
      </c>
    </row>
    <row r="940" spans="1:113" ht="15" customHeight="1" x14ac:dyDescent="0.25">
      <c r="A940" t="s">
        <v>6631</v>
      </c>
      <c r="B940" t="s">
        <v>165</v>
      </c>
      <c r="C940" s="1">
        <v>44791.61753333333</v>
      </c>
      <c r="D940" s="1">
        <v>44851</v>
      </c>
      <c r="E940" t="s">
        <v>134</v>
      </c>
      <c r="F940" t="s">
        <v>4132</v>
      </c>
      <c r="G940" t="str">
        <f>"51-6093.00"</f>
        <v>51-6093.00</v>
      </c>
      <c r="H940" t="s">
        <v>4133</v>
      </c>
      <c r="I940">
        <v>120</v>
      </c>
      <c r="J940">
        <v>120</v>
      </c>
      <c r="K940" s="1">
        <v>44866</v>
      </c>
      <c r="L940" s="1">
        <v>45016</v>
      </c>
      <c r="M940" s="1">
        <v>44866</v>
      </c>
      <c r="N940" s="1">
        <v>45016</v>
      </c>
      <c r="O940" t="s">
        <v>168</v>
      </c>
      <c r="P940" t="s">
        <v>169</v>
      </c>
      <c r="R940" t="s">
        <v>170</v>
      </c>
      <c r="T940" t="s">
        <v>171</v>
      </c>
      <c r="U940" t="s">
        <v>119</v>
      </c>
      <c r="V940" s="4" t="str">
        <f>"27006"</f>
        <v>27006</v>
      </c>
      <c r="W940" t="s">
        <v>120</v>
      </c>
      <c r="Y940" s="5">
        <v>16088635999</v>
      </c>
      <c r="AA940">
        <v>337121</v>
      </c>
      <c r="AB940" t="s">
        <v>172</v>
      </c>
      <c r="AC940" t="s">
        <v>173</v>
      </c>
      <c r="AE940" t="s">
        <v>174</v>
      </c>
      <c r="AF940" t="s">
        <v>170</v>
      </c>
      <c r="AH940" t="s">
        <v>171</v>
      </c>
      <c r="AI940" t="s">
        <v>119</v>
      </c>
      <c r="AJ940" s="4" t="str">
        <f>"27006"</f>
        <v>27006</v>
      </c>
      <c r="AK940" t="s">
        <v>120</v>
      </c>
      <c r="AM940" s="5">
        <v>16088635999</v>
      </c>
      <c r="AO940" t="s">
        <v>175</v>
      </c>
      <c r="AP940" t="s">
        <v>122</v>
      </c>
      <c r="AQ940" t="s">
        <v>176</v>
      </c>
      <c r="AR940" t="s">
        <v>146</v>
      </c>
      <c r="AS940" t="s">
        <v>177</v>
      </c>
      <c r="AT940" t="s">
        <v>178</v>
      </c>
      <c r="AU940" t="s">
        <v>179</v>
      </c>
      <c r="AV940" t="s">
        <v>180</v>
      </c>
      <c r="AW940" t="s">
        <v>181</v>
      </c>
      <c r="AX940" s="4" t="str">
        <f>"80222"</f>
        <v>80222</v>
      </c>
      <c r="AY940" t="s">
        <v>120</v>
      </c>
      <c r="BA940" s="5">
        <v>13037646802</v>
      </c>
      <c r="BC940" t="s">
        <v>182</v>
      </c>
      <c r="BD940" t="s">
        <v>183</v>
      </c>
      <c r="BE940" t="s">
        <v>184</v>
      </c>
      <c r="BF940" t="s">
        <v>185</v>
      </c>
      <c r="BG940" t="s">
        <v>119</v>
      </c>
      <c r="BH940" s="1">
        <v>44790.833333333336</v>
      </c>
      <c r="BI940">
        <v>40</v>
      </c>
      <c r="BJ940">
        <v>0</v>
      </c>
      <c r="BK940">
        <v>10</v>
      </c>
      <c r="BL940">
        <v>10</v>
      </c>
      <c r="BM940">
        <v>10</v>
      </c>
      <c r="BN940">
        <v>10</v>
      </c>
      <c r="BO940">
        <v>0</v>
      </c>
      <c r="BP940">
        <v>0</v>
      </c>
      <c r="BQ940" t="str">
        <f>"5:00 PM"</f>
        <v>5:00 PM</v>
      </c>
      <c r="BR940" t="str">
        <f>"3:00 AM"</f>
        <v>3:00 AM</v>
      </c>
      <c r="BS940" t="s">
        <v>133</v>
      </c>
      <c r="BT940">
        <v>0</v>
      </c>
      <c r="BU940">
        <v>0</v>
      </c>
      <c r="BV940" t="s">
        <v>134</v>
      </c>
      <c r="BX940" s="2" t="s">
        <v>4134</v>
      </c>
      <c r="BY940" t="s">
        <v>170</v>
      </c>
      <c r="CA940" t="s">
        <v>171</v>
      </c>
      <c r="CB940" t="s">
        <v>119</v>
      </c>
      <c r="CC940" s="4" t="str">
        <f>"27006"</f>
        <v>27006</v>
      </c>
      <c r="CD940" t="s">
        <v>187</v>
      </c>
      <c r="CE940" t="s">
        <v>188</v>
      </c>
      <c r="CF940" s="6">
        <v>16.760000000000002</v>
      </c>
      <c r="CG940" s="6">
        <v>19.760000000000002</v>
      </c>
      <c r="CH940" s="6">
        <v>25.14</v>
      </c>
      <c r="CI940" s="6">
        <v>29.64</v>
      </c>
      <c r="CJ940" t="s">
        <v>137</v>
      </c>
      <c r="CK940" t="s">
        <v>189</v>
      </c>
      <c r="CL940" t="s">
        <v>6632</v>
      </c>
      <c r="CO940" t="s">
        <v>138</v>
      </c>
      <c r="CP940" t="s">
        <v>134</v>
      </c>
      <c r="CQ940" t="s">
        <v>114</v>
      </c>
      <c r="CR940" t="s">
        <v>114</v>
      </c>
      <c r="CS940" t="s">
        <v>114</v>
      </c>
      <c r="CT940" t="s">
        <v>114</v>
      </c>
      <c r="CU940" t="s">
        <v>114</v>
      </c>
      <c r="CV940" t="s">
        <v>191</v>
      </c>
      <c r="CW940" s="5" t="str">
        <f>"+16088635999"</f>
        <v>+16088635999</v>
      </c>
      <c r="CX940" t="s">
        <v>138</v>
      </c>
      <c r="CY940" t="s">
        <v>192</v>
      </c>
      <c r="CZ940" t="s">
        <v>139</v>
      </c>
      <c r="DA940" t="s">
        <v>134</v>
      </c>
      <c r="DB940" t="s">
        <v>114</v>
      </c>
      <c r="DC940" t="s">
        <v>114</v>
      </c>
      <c r="DD940" t="s">
        <v>134</v>
      </c>
      <c r="DE940" t="s">
        <v>193</v>
      </c>
      <c r="DF940" t="s">
        <v>194</v>
      </c>
      <c r="DH940" t="s">
        <v>183</v>
      </c>
      <c r="DI940" t="s">
        <v>195</v>
      </c>
    </row>
    <row r="941" spans="1:113" ht="15" customHeight="1" x14ac:dyDescent="0.25">
      <c r="A941" t="s">
        <v>16545</v>
      </c>
      <c r="B941" t="s">
        <v>165</v>
      </c>
      <c r="C941" s="1">
        <v>44790.911758101851</v>
      </c>
      <c r="D941" s="1">
        <v>44851</v>
      </c>
      <c r="E941" t="s">
        <v>134</v>
      </c>
      <c r="F941" t="s">
        <v>4132</v>
      </c>
      <c r="G941" t="str">
        <f>"51-6093.00"</f>
        <v>51-6093.00</v>
      </c>
      <c r="H941" t="s">
        <v>4133</v>
      </c>
      <c r="I941">
        <v>100</v>
      </c>
      <c r="J941">
        <v>100</v>
      </c>
      <c r="K941" s="1">
        <v>44866</v>
      </c>
      <c r="L941" s="1">
        <v>45016</v>
      </c>
      <c r="M941" s="1">
        <v>44866</v>
      </c>
      <c r="N941" s="1">
        <v>45016</v>
      </c>
      <c r="O941" t="s">
        <v>168</v>
      </c>
      <c r="P941" t="s">
        <v>169</v>
      </c>
      <c r="R941" t="s">
        <v>170</v>
      </c>
      <c r="T941" t="s">
        <v>171</v>
      </c>
      <c r="U941" t="s">
        <v>119</v>
      </c>
      <c r="V941" s="4" t="str">
        <f>"27006"</f>
        <v>27006</v>
      </c>
      <c r="W941" t="s">
        <v>120</v>
      </c>
      <c r="Y941" s="5">
        <v>16088635999</v>
      </c>
      <c r="AA941">
        <v>337121</v>
      </c>
      <c r="AB941" t="s">
        <v>172</v>
      </c>
      <c r="AC941" t="s">
        <v>173</v>
      </c>
      <c r="AE941" t="s">
        <v>174</v>
      </c>
      <c r="AF941" t="s">
        <v>170</v>
      </c>
      <c r="AH941" t="s">
        <v>171</v>
      </c>
      <c r="AI941" t="s">
        <v>119</v>
      </c>
      <c r="AJ941" s="4" t="str">
        <f>"27006"</f>
        <v>27006</v>
      </c>
      <c r="AK941" t="s">
        <v>120</v>
      </c>
      <c r="AM941" s="5">
        <v>16088635999</v>
      </c>
      <c r="AO941" t="s">
        <v>175</v>
      </c>
      <c r="AP941" t="s">
        <v>122</v>
      </c>
      <c r="AQ941" t="s">
        <v>176</v>
      </c>
      <c r="AR941" t="s">
        <v>146</v>
      </c>
      <c r="AS941" t="s">
        <v>177</v>
      </c>
      <c r="AT941" t="s">
        <v>178</v>
      </c>
      <c r="AU941" t="s">
        <v>179</v>
      </c>
      <c r="AV941" t="s">
        <v>180</v>
      </c>
      <c r="AW941" t="s">
        <v>181</v>
      </c>
      <c r="AX941" s="4" t="str">
        <f>"80222"</f>
        <v>80222</v>
      </c>
      <c r="AY941" t="s">
        <v>120</v>
      </c>
      <c r="BA941" s="5">
        <v>13037646802</v>
      </c>
      <c r="BC941" t="s">
        <v>182</v>
      </c>
      <c r="BD941" t="s">
        <v>183</v>
      </c>
      <c r="BE941" t="s">
        <v>184</v>
      </c>
      <c r="BF941" t="s">
        <v>185</v>
      </c>
      <c r="BG941" t="s">
        <v>232</v>
      </c>
      <c r="BH941" s="1">
        <v>44789.833333333336</v>
      </c>
      <c r="BI941">
        <v>40</v>
      </c>
      <c r="BJ941">
        <v>0</v>
      </c>
      <c r="BK941">
        <v>10</v>
      </c>
      <c r="BL941">
        <v>10</v>
      </c>
      <c r="BM941">
        <v>10</v>
      </c>
      <c r="BN941">
        <v>10</v>
      </c>
      <c r="BO941">
        <v>0</v>
      </c>
      <c r="BP941">
        <v>0</v>
      </c>
      <c r="BQ941" t="str">
        <f>"5:00 PM"</f>
        <v>5:00 PM</v>
      </c>
      <c r="BR941" t="str">
        <f>"3:00 AM"</f>
        <v>3:00 AM</v>
      </c>
      <c r="BS941" t="s">
        <v>133</v>
      </c>
      <c r="BT941">
        <v>0</v>
      </c>
      <c r="BU941">
        <v>0</v>
      </c>
      <c r="BV941" t="s">
        <v>134</v>
      </c>
      <c r="BX941" s="2" t="s">
        <v>4134</v>
      </c>
      <c r="BY941" t="s">
        <v>5634</v>
      </c>
      <c r="CA941" t="s">
        <v>1853</v>
      </c>
      <c r="CB941" t="s">
        <v>232</v>
      </c>
      <c r="CC941" s="4" t="str">
        <f>"75181"</f>
        <v>75181</v>
      </c>
      <c r="CD941" t="s">
        <v>1482</v>
      </c>
      <c r="CE941" t="s">
        <v>1528</v>
      </c>
      <c r="CF941" s="6">
        <v>15.14</v>
      </c>
      <c r="CG941" s="6">
        <v>18.14</v>
      </c>
      <c r="CH941" s="6">
        <v>22.71</v>
      </c>
      <c r="CI941" s="6">
        <v>27.21</v>
      </c>
      <c r="CJ941" t="s">
        <v>137</v>
      </c>
      <c r="CK941" t="s">
        <v>189</v>
      </c>
      <c r="CL941" t="s">
        <v>5635</v>
      </c>
      <c r="CO941" t="s">
        <v>138</v>
      </c>
      <c r="CP941" t="s">
        <v>134</v>
      </c>
      <c r="CQ941" t="s">
        <v>114</v>
      </c>
      <c r="CR941" t="s">
        <v>114</v>
      </c>
      <c r="CS941" t="s">
        <v>114</v>
      </c>
      <c r="CT941" t="s">
        <v>114</v>
      </c>
      <c r="CU941" t="s">
        <v>114</v>
      </c>
      <c r="CV941" t="s">
        <v>191</v>
      </c>
      <c r="CW941" s="5" t="str">
        <f>"+16088635999"</f>
        <v>+16088635999</v>
      </c>
      <c r="CX941" t="s">
        <v>138</v>
      </c>
      <c r="CY941" t="s">
        <v>192</v>
      </c>
      <c r="CZ941" t="s">
        <v>139</v>
      </c>
      <c r="DA941" t="s">
        <v>134</v>
      </c>
      <c r="DB941" t="s">
        <v>114</v>
      </c>
      <c r="DC941" t="s">
        <v>114</v>
      </c>
      <c r="DD941" t="s">
        <v>134</v>
      </c>
      <c r="DE941" t="s">
        <v>193</v>
      </c>
      <c r="DF941" t="s">
        <v>194</v>
      </c>
      <c r="DH941" t="s">
        <v>183</v>
      </c>
      <c r="DI941" t="s">
        <v>195</v>
      </c>
    </row>
    <row r="942" spans="1:113" ht="15" customHeight="1" x14ac:dyDescent="0.25">
      <c r="A942" t="s">
        <v>5140</v>
      </c>
      <c r="B942" t="s">
        <v>165</v>
      </c>
      <c r="C942" s="1">
        <v>44790.904382523149</v>
      </c>
      <c r="D942" s="1">
        <v>44851</v>
      </c>
      <c r="E942" t="s">
        <v>134</v>
      </c>
      <c r="F942" t="s">
        <v>4132</v>
      </c>
      <c r="G942" t="str">
        <f>"51-6093.00"</f>
        <v>51-6093.00</v>
      </c>
      <c r="H942" t="s">
        <v>4133</v>
      </c>
      <c r="I942">
        <v>98</v>
      </c>
      <c r="J942">
        <v>98</v>
      </c>
      <c r="K942" s="1">
        <v>44866</v>
      </c>
      <c r="L942" s="1">
        <v>45016</v>
      </c>
      <c r="M942" s="1">
        <v>44866</v>
      </c>
      <c r="N942" s="1">
        <v>45016</v>
      </c>
      <c r="O942" t="s">
        <v>168</v>
      </c>
      <c r="P942" t="s">
        <v>169</v>
      </c>
      <c r="R942" t="s">
        <v>170</v>
      </c>
      <c r="T942" t="s">
        <v>171</v>
      </c>
      <c r="U942" t="s">
        <v>119</v>
      </c>
      <c r="V942" s="4" t="str">
        <f>"27006"</f>
        <v>27006</v>
      </c>
      <c r="W942" t="s">
        <v>120</v>
      </c>
      <c r="Y942" s="5">
        <v>16088635999</v>
      </c>
      <c r="AA942">
        <v>337121</v>
      </c>
      <c r="AB942" t="s">
        <v>172</v>
      </c>
      <c r="AC942" t="s">
        <v>173</v>
      </c>
      <c r="AE942" t="s">
        <v>174</v>
      </c>
      <c r="AF942" t="s">
        <v>170</v>
      </c>
      <c r="AH942" t="s">
        <v>171</v>
      </c>
      <c r="AI942" t="s">
        <v>119</v>
      </c>
      <c r="AJ942" s="4" t="str">
        <f>"27006"</f>
        <v>27006</v>
      </c>
      <c r="AK942" t="s">
        <v>120</v>
      </c>
      <c r="AM942" s="5">
        <v>16088635999</v>
      </c>
      <c r="AO942" t="s">
        <v>175</v>
      </c>
      <c r="AP942" t="s">
        <v>122</v>
      </c>
      <c r="AQ942" t="s">
        <v>176</v>
      </c>
      <c r="AR942" t="s">
        <v>146</v>
      </c>
      <c r="AS942" t="s">
        <v>177</v>
      </c>
      <c r="AT942" t="s">
        <v>178</v>
      </c>
      <c r="AU942" t="s">
        <v>179</v>
      </c>
      <c r="AV942" t="s">
        <v>180</v>
      </c>
      <c r="AW942" t="s">
        <v>181</v>
      </c>
      <c r="AX942" s="4" t="str">
        <f>"80222"</f>
        <v>80222</v>
      </c>
      <c r="AY942" t="s">
        <v>120</v>
      </c>
      <c r="BA942" s="5">
        <v>13037646802</v>
      </c>
      <c r="BC942" t="s">
        <v>182</v>
      </c>
      <c r="BD942" t="s">
        <v>183</v>
      </c>
      <c r="BE942" t="s">
        <v>184</v>
      </c>
      <c r="BF942" t="s">
        <v>185</v>
      </c>
      <c r="BG942" t="s">
        <v>1147</v>
      </c>
      <c r="BH942" s="1">
        <v>44788.833333333336</v>
      </c>
      <c r="BI942">
        <v>40</v>
      </c>
      <c r="BJ942">
        <v>0</v>
      </c>
      <c r="BK942">
        <v>10</v>
      </c>
      <c r="BL942">
        <v>10</v>
      </c>
      <c r="BM942">
        <v>10</v>
      </c>
      <c r="BN942">
        <v>10</v>
      </c>
      <c r="BO942">
        <v>0</v>
      </c>
      <c r="BP942">
        <v>0</v>
      </c>
      <c r="BQ942" t="str">
        <f>"5:00 PM"</f>
        <v>5:00 PM</v>
      </c>
      <c r="BR942" t="str">
        <f>"3:00 AM"</f>
        <v>3:00 AM</v>
      </c>
      <c r="BS942" t="s">
        <v>133</v>
      </c>
      <c r="BT942">
        <v>0</v>
      </c>
      <c r="BU942">
        <v>0</v>
      </c>
      <c r="BV942" t="s">
        <v>134</v>
      </c>
      <c r="BX942" s="2" t="s">
        <v>4134</v>
      </c>
      <c r="BY942" t="s">
        <v>5141</v>
      </c>
      <c r="CA942" t="s">
        <v>5142</v>
      </c>
      <c r="CB942" t="s">
        <v>1147</v>
      </c>
      <c r="CC942" s="4" t="str">
        <f>"54612"</f>
        <v>54612</v>
      </c>
      <c r="CD942" t="s">
        <v>5143</v>
      </c>
      <c r="CE942" t="s">
        <v>5144</v>
      </c>
      <c r="CF942" s="6">
        <v>19.84</v>
      </c>
      <c r="CG942" s="6">
        <v>22.84</v>
      </c>
      <c r="CH942" s="6">
        <v>29.76</v>
      </c>
      <c r="CI942" s="6">
        <v>34.26</v>
      </c>
      <c r="CJ942" t="s">
        <v>137</v>
      </c>
      <c r="CK942" t="s">
        <v>189</v>
      </c>
      <c r="CL942" t="s">
        <v>5145</v>
      </c>
      <c r="CO942" t="s">
        <v>138</v>
      </c>
      <c r="CP942" t="s">
        <v>134</v>
      </c>
      <c r="CQ942" t="s">
        <v>114</v>
      </c>
      <c r="CR942" t="s">
        <v>114</v>
      </c>
      <c r="CS942" t="s">
        <v>114</v>
      </c>
      <c r="CT942" t="s">
        <v>114</v>
      </c>
      <c r="CU942" t="s">
        <v>114</v>
      </c>
      <c r="CV942" t="s">
        <v>191</v>
      </c>
      <c r="CW942" s="5" t="str">
        <f>"+16088635999"</f>
        <v>+16088635999</v>
      </c>
      <c r="CX942" t="s">
        <v>138</v>
      </c>
      <c r="CY942" t="s">
        <v>192</v>
      </c>
      <c r="CZ942" t="s">
        <v>139</v>
      </c>
      <c r="DA942" t="s">
        <v>134</v>
      </c>
      <c r="DB942" t="s">
        <v>114</v>
      </c>
      <c r="DC942" t="s">
        <v>114</v>
      </c>
      <c r="DD942" t="s">
        <v>134</v>
      </c>
      <c r="DE942" t="s">
        <v>193</v>
      </c>
      <c r="DF942" t="s">
        <v>194</v>
      </c>
      <c r="DH942" t="s">
        <v>183</v>
      </c>
      <c r="DI942" t="s">
        <v>195</v>
      </c>
    </row>
    <row r="943" spans="1:113" ht="15" customHeight="1" x14ac:dyDescent="0.25">
      <c r="A943" t="s">
        <v>12129</v>
      </c>
      <c r="B943" t="s">
        <v>165</v>
      </c>
      <c r="C943" s="1">
        <v>44825.508586689815</v>
      </c>
      <c r="D943" s="1">
        <v>44848</v>
      </c>
      <c r="E943" t="s">
        <v>134</v>
      </c>
      <c r="F943" t="s">
        <v>3920</v>
      </c>
      <c r="G943" t="str">
        <f>"35-3023.00"</f>
        <v>35-3023.00</v>
      </c>
      <c r="H943" t="s">
        <v>555</v>
      </c>
      <c r="I943">
        <v>20</v>
      </c>
      <c r="J943">
        <v>20</v>
      </c>
      <c r="K943" s="1">
        <v>44900</v>
      </c>
      <c r="L943" s="1">
        <v>45203</v>
      </c>
      <c r="M943" s="1">
        <v>44900</v>
      </c>
      <c r="N943" s="1">
        <v>45203</v>
      </c>
      <c r="O943" t="s">
        <v>199</v>
      </c>
      <c r="P943" t="s">
        <v>12130</v>
      </c>
      <c r="R943" t="s">
        <v>12131</v>
      </c>
      <c r="S943" t="s">
        <v>12132</v>
      </c>
      <c r="T943" t="s">
        <v>128</v>
      </c>
      <c r="V943" s="4" t="str">
        <f>"30338"</f>
        <v>30338</v>
      </c>
      <c r="W943" t="s">
        <v>130</v>
      </c>
      <c r="Y943" s="5">
        <v>19412707311</v>
      </c>
      <c r="Z943">
        <v>0</v>
      </c>
      <c r="AA943">
        <v>71399</v>
      </c>
      <c r="AB943" t="s">
        <v>6879</v>
      </c>
      <c r="AC943" t="s">
        <v>6761</v>
      </c>
      <c r="AE943" t="s">
        <v>424</v>
      </c>
      <c r="AF943" t="s">
        <v>12131</v>
      </c>
      <c r="AG943" t="s">
        <v>12132</v>
      </c>
      <c r="AH943" t="s">
        <v>128</v>
      </c>
      <c r="AI943" t="s">
        <v>129</v>
      </c>
      <c r="AJ943" s="4" t="str">
        <f>"30338"</f>
        <v>30338</v>
      </c>
      <c r="AK943" t="s">
        <v>120</v>
      </c>
      <c r="AM943" s="5">
        <v>19412707311</v>
      </c>
      <c r="AN943">
        <v>0</v>
      </c>
      <c r="AO943" t="s">
        <v>12133</v>
      </c>
      <c r="AP943" t="s">
        <v>256</v>
      </c>
      <c r="AQ943" t="s">
        <v>535</v>
      </c>
      <c r="AR943" t="s">
        <v>536</v>
      </c>
      <c r="AS943" t="s">
        <v>537</v>
      </c>
      <c r="AT943" t="s">
        <v>538</v>
      </c>
      <c r="AU943" t="s">
        <v>539</v>
      </c>
      <c r="AV943" t="s">
        <v>540</v>
      </c>
      <c r="AW943" t="s">
        <v>232</v>
      </c>
      <c r="AX943" s="4" t="str">
        <f>"78550"</f>
        <v>78550</v>
      </c>
      <c r="AY943" t="s">
        <v>120</v>
      </c>
      <c r="AZ943" t="s">
        <v>541</v>
      </c>
      <c r="BA943" s="5">
        <v>19564408720</v>
      </c>
      <c r="BB943">
        <v>0</v>
      </c>
      <c r="BC943" t="s">
        <v>542</v>
      </c>
      <c r="BD943" t="s">
        <v>543</v>
      </c>
      <c r="BG943" t="s">
        <v>129</v>
      </c>
      <c r="BH943" s="1">
        <v>44824.833333333336</v>
      </c>
      <c r="BI943">
        <v>40</v>
      </c>
      <c r="BJ943">
        <v>8</v>
      </c>
      <c r="BK943">
        <v>0</v>
      </c>
      <c r="BL943">
        <v>0</v>
      </c>
      <c r="BM943">
        <v>8</v>
      </c>
      <c r="BN943">
        <v>8</v>
      </c>
      <c r="BO943">
        <v>8</v>
      </c>
      <c r="BP943">
        <v>8</v>
      </c>
      <c r="BQ943" t="str">
        <f>"1:00 PM"</f>
        <v>1:00 PM</v>
      </c>
      <c r="BR943" t="str">
        <f>"10:00 PM"</f>
        <v>10:00 PM</v>
      </c>
      <c r="BS943" t="s">
        <v>133</v>
      </c>
      <c r="BT943">
        <v>0</v>
      </c>
      <c r="BU943">
        <v>0</v>
      </c>
      <c r="BV943" t="s">
        <v>134</v>
      </c>
      <c r="BX943" s="2" t="s">
        <v>7168</v>
      </c>
      <c r="BY943" t="s">
        <v>12131</v>
      </c>
      <c r="CA943" t="s">
        <v>128</v>
      </c>
      <c r="CB943" t="s">
        <v>129</v>
      </c>
      <c r="CC943" s="4" t="str">
        <f>"30338"</f>
        <v>30338</v>
      </c>
      <c r="CD943" t="s">
        <v>907</v>
      </c>
      <c r="CE943" t="s">
        <v>908</v>
      </c>
      <c r="CF943" s="6">
        <v>9.93</v>
      </c>
      <c r="CG943" s="6">
        <v>11.6</v>
      </c>
      <c r="CH943" s="6">
        <v>0</v>
      </c>
      <c r="CI943" s="6">
        <v>0</v>
      </c>
      <c r="CJ943" t="s">
        <v>137</v>
      </c>
      <c r="CK943" t="s">
        <v>549</v>
      </c>
      <c r="CL943" t="s">
        <v>12134</v>
      </c>
      <c r="CO943" t="s">
        <v>138</v>
      </c>
      <c r="CP943" t="s">
        <v>114</v>
      </c>
      <c r="CQ943" t="s">
        <v>114</v>
      </c>
      <c r="CR943" t="s">
        <v>134</v>
      </c>
      <c r="CS943" t="s">
        <v>114</v>
      </c>
      <c r="CT943" t="s">
        <v>114</v>
      </c>
      <c r="CU943" t="s">
        <v>114</v>
      </c>
      <c r="CV943" t="s">
        <v>4912</v>
      </c>
      <c r="CW943" s="5" t="str">
        <f>"+19412707311"</f>
        <v>+19412707311</v>
      </c>
      <c r="CX943" t="s">
        <v>12133</v>
      </c>
      <c r="CY943" t="s">
        <v>138</v>
      </c>
      <c r="CZ943" t="s">
        <v>139</v>
      </c>
      <c r="DA943" t="s">
        <v>134</v>
      </c>
      <c r="DB943" t="s">
        <v>114</v>
      </c>
      <c r="DC943" t="s">
        <v>114</v>
      </c>
      <c r="DD943" t="s">
        <v>134</v>
      </c>
    </row>
    <row r="944" spans="1:113" ht="15" customHeight="1" x14ac:dyDescent="0.25">
      <c r="A944" t="s">
        <v>15949</v>
      </c>
      <c r="B944" t="s">
        <v>165</v>
      </c>
      <c r="C944" s="1">
        <v>44820.766641435184</v>
      </c>
      <c r="D944" s="1">
        <v>44848</v>
      </c>
      <c r="E944" t="s">
        <v>134</v>
      </c>
      <c r="F944" t="s">
        <v>614</v>
      </c>
      <c r="G944" t="str">
        <f>"39-2021.00"</f>
        <v>39-2021.00</v>
      </c>
      <c r="H944" t="s">
        <v>1090</v>
      </c>
      <c r="I944">
        <v>4</v>
      </c>
      <c r="J944">
        <v>4</v>
      </c>
      <c r="K944" s="1">
        <v>44896</v>
      </c>
      <c r="L944" s="1">
        <v>45046</v>
      </c>
      <c r="M944" s="1">
        <v>44896</v>
      </c>
      <c r="N944" s="1">
        <v>45046</v>
      </c>
      <c r="O944" t="s">
        <v>199</v>
      </c>
      <c r="P944" t="s">
        <v>13452</v>
      </c>
      <c r="R944" t="s">
        <v>13453</v>
      </c>
      <c r="T944" t="s">
        <v>12993</v>
      </c>
      <c r="U944" t="s">
        <v>2636</v>
      </c>
      <c r="V944" s="4" t="str">
        <f>"18940"</f>
        <v>18940</v>
      </c>
      <c r="W944" t="s">
        <v>120</v>
      </c>
      <c r="Y944" s="5">
        <v>15168052312</v>
      </c>
      <c r="AA944">
        <v>711212</v>
      </c>
      <c r="AB944" t="s">
        <v>13454</v>
      </c>
      <c r="AC944" t="s">
        <v>2506</v>
      </c>
      <c r="AE944" t="s">
        <v>622</v>
      </c>
      <c r="AF944" t="s">
        <v>13453</v>
      </c>
      <c r="AH944" t="s">
        <v>2635</v>
      </c>
      <c r="AI944" t="s">
        <v>2636</v>
      </c>
      <c r="AJ944" s="4" t="str">
        <f>"18940"</f>
        <v>18940</v>
      </c>
      <c r="AK944" t="s">
        <v>120</v>
      </c>
      <c r="AM944" s="5">
        <v>15168052312</v>
      </c>
      <c r="AO944" t="s">
        <v>13455</v>
      </c>
      <c r="AP944" t="s">
        <v>122</v>
      </c>
      <c r="AQ944" t="s">
        <v>625</v>
      </c>
      <c r="AR944" t="s">
        <v>626</v>
      </c>
      <c r="AS944" t="s">
        <v>627</v>
      </c>
      <c r="AT944" t="s">
        <v>628</v>
      </c>
      <c r="AU944" t="s">
        <v>629</v>
      </c>
      <c r="AV944" t="s">
        <v>630</v>
      </c>
      <c r="AW944" t="s">
        <v>631</v>
      </c>
      <c r="AX944" s="4" t="str">
        <f>"73069"</f>
        <v>73069</v>
      </c>
      <c r="AY944" t="s">
        <v>120</v>
      </c>
      <c r="BA944" s="5">
        <v>14053642525</v>
      </c>
      <c r="BC944" t="s">
        <v>632</v>
      </c>
      <c r="BD944" t="s">
        <v>633</v>
      </c>
      <c r="BE944" t="s">
        <v>631</v>
      </c>
      <c r="BF944" t="s">
        <v>634</v>
      </c>
      <c r="BG944" t="s">
        <v>154</v>
      </c>
      <c r="BH944" s="1">
        <v>44819.833333333336</v>
      </c>
      <c r="BI944">
        <v>56</v>
      </c>
      <c r="BJ944">
        <v>8</v>
      </c>
      <c r="BK944">
        <v>8</v>
      </c>
      <c r="BL944">
        <v>8</v>
      </c>
      <c r="BM944">
        <v>8</v>
      </c>
      <c r="BN944">
        <v>8</v>
      </c>
      <c r="BO944">
        <v>8</v>
      </c>
      <c r="BP944">
        <v>8</v>
      </c>
      <c r="BQ944" t="str">
        <f>"5:00 AM"</f>
        <v>5:00 AM</v>
      </c>
      <c r="BR944" t="str">
        <f>"5:00 PM"</f>
        <v>5:00 PM</v>
      </c>
      <c r="BS944" t="s">
        <v>133</v>
      </c>
      <c r="BT944">
        <v>0</v>
      </c>
      <c r="BU944">
        <v>1</v>
      </c>
      <c r="BV944" t="s">
        <v>134</v>
      </c>
      <c r="BX944" s="2" t="s">
        <v>3578</v>
      </c>
      <c r="BY944" t="s">
        <v>3314</v>
      </c>
      <c r="BZ944" t="s">
        <v>3315</v>
      </c>
      <c r="CA944" t="s">
        <v>3316</v>
      </c>
      <c r="CB944" t="s">
        <v>154</v>
      </c>
      <c r="CC944" s="4" t="str">
        <f>"33009"</f>
        <v>33009</v>
      </c>
      <c r="CD944" t="s">
        <v>2313</v>
      </c>
      <c r="CE944" t="s">
        <v>1742</v>
      </c>
      <c r="CF944" s="6">
        <v>14.62</v>
      </c>
      <c r="CG944" s="6">
        <v>14.62</v>
      </c>
      <c r="CH944" s="6">
        <v>21.93</v>
      </c>
      <c r="CI944" s="6">
        <v>21.93</v>
      </c>
      <c r="CJ944" t="s">
        <v>137</v>
      </c>
      <c r="CL944" t="s">
        <v>15950</v>
      </c>
      <c r="CO944" t="s">
        <v>138</v>
      </c>
      <c r="CP944" t="s">
        <v>134</v>
      </c>
      <c r="CQ944" t="s">
        <v>114</v>
      </c>
      <c r="CR944" t="s">
        <v>114</v>
      </c>
      <c r="CS944" t="s">
        <v>134</v>
      </c>
      <c r="CT944" t="s">
        <v>114</v>
      </c>
      <c r="CU944" t="s">
        <v>114</v>
      </c>
      <c r="CV944" t="s">
        <v>2591</v>
      </c>
      <c r="CW944" s="5" t="str">
        <f>"+19546775555"</f>
        <v>+19546775555</v>
      </c>
      <c r="CX944" t="s">
        <v>13455</v>
      </c>
      <c r="CY944" t="s">
        <v>138</v>
      </c>
      <c r="CZ944" t="s">
        <v>139</v>
      </c>
      <c r="DA944" t="s">
        <v>134</v>
      </c>
      <c r="DB944" t="s">
        <v>134</v>
      </c>
      <c r="DC944" t="s">
        <v>114</v>
      </c>
      <c r="DD944" t="s">
        <v>134</v>
      </c>
    </row>
    <row r="945" spans="1:113" ht="15" customHeight="1" x14ac:dyDescent="0.25">
      <c r="A945" t="s">
        <v>9611</v>
      </c>
      <c r="B945" t="s">
        <v>165</v>
      </c>
      <c r="C945" s="1">
        <v>44820.67348287037</v>
      </c>
      <c r="D945" s="1">
        <v>44848</v>
      </c>
      <c r="E945" t="s">
        <v>114</v>
      </c>
      <c r="F945" t="s">
        <v>388</v>
      </c>
      <c r="G945" t="str">
        <f>"35-3031.00"</f>
        <v>35-3031.00</v>
      </c>
      <c r="H945" t="s">
        <v>389</v>
      </c>
      <c r="I945">
        <v>6</v>
      </c>
      <c r="J945">
        <v>6</v>
      </c>
      <c r="K945" s="1">
        <v>44896</v>
      </c>
      <c r="L945" s="1">
        <v>45016</v>
      </c>
      <c r="M945" s="1">
        <v>44896</v>
      </c>
      <c r="N945" s="1">
        <v>45016</v>
      </c>
      <c r="O945" t="s">
        <v>117</v>
      </c>
      <c r="P945" t="s">
        <v>838</v>
      </c>
      <c r="Q945" t="s">
        <v>839</v>
      </c>
      <c r="R945" t="s">
        <v>840</v>
      </c>
      <c r="S945" t="s">
        <v>841</v>
      </c>
      <c r="T945" t="s">
        <v>842</v>
      </c>
      <c r="U945" t="s">
        <v>232</v>
      </c>
      <c r="V945" s="4" t="str">
        <f>"75038"</f>
        <v>75038</v>
      </c>
      <c r="W945" t="s">
        <v>120</v>
      </c>
      <c r="Y945" s="5">
        <v>15185236284</v>
      </c>
      <c r="AA945">
        <v>721110</v>
      </c>
      <c r="AB945" t="s">
        <v>843</v>
      </c>
      <c r="AC945" t="s">
        <v>844</v>
      </c>
      <c r="AE945" t="s">
        <v>845</v>
      </c>
      <c r="AF945" t="s">
        <v>9612</v>
      </c>
      <c r="AH945" t="s">
        <v>847</v>
      </c>
      <c r="AI945" t="s">
        <v>848</v>
      </c>
      <c r="AJ945" s="4" t="str">
        <f>"12946"</f>
        <v>12946</v>
      </c>
      <c r="AK945" t="s">
        <v>120</v>
      </c>
      <c r="AM945" s="5">
        <v>15185236284</v>
      </c>
      <c r="AO945" t="s">
        <v>849</v>
      </c>
      <c r="AP945" t="s">
        <v>122</v>
      </c>
      <c r="AQ945" t="s">
        <v>753</v>
      </c>
      <c r="AR945" t="s">
        <v>754</v>
      </c>
      <c r="AS945" t="s">
        <v>755</v>
      </c>
      <c r="AT945" t="s">
        <v>756</v>
      </c>
      <c r="AU945" t="s">
        <v>757</v>
      </c>
      <c r="AV945" t="s">
        <v>758</v>
      </c>
      <c r="AW945" t="s">
        <v>281</v>
      </c>
      <c r="AX945" s="4" t="str">
        <f>"01701"</f>
        <v>01701</v>
      </c>
      <c r="AY945" t="s">
        <v>120</v>
      </c>
      <c r="BA945" s="5">
        <v>16179399444</v>
      </c>
      <c r="BC945" t="s">
        <v>759</v>
      </c>
      <c r="BD945" t="s">
        <v>760</v>
      </c>
      <c r="BE945" t="s">
        <v>281</v>
      </c>
      <c r="BF945" t="s">
        <v>761</v>
      </c>
      <c r="BG945" t="s">
        <v>848</v>
      </c>
      <c r="BH945" s="1">
        <v>44819.833333333336</v>
      </c>
      <c r="BI945">
        <v>35</v>
      </c>
      <c r="BJ945">
        <v>0</v>
      </c>
      <c r="BK945">
        <v>7</v>
      </c>
      <c r="BL945">
        <v>7</v>
      </c>
      <c r="BM945">
        <v>7</v>
      </c>
      <c r="BN945">
        <v>7</v>
      </c>
      <c r="BO945">
        <v>7</v>
      </c>
      <c r="BP945">
        <v>0</v>
      </c>
      <c r="BQ945" t="str">
        <f>"7:00 AM"</f>
        <v>7:00 AM</v>
      </c>
      <c r="BR945" t="str">
        <f>"2:00 PM"</f>
        <v>2:00 PM</v>
      </c>
      <c r="BS945" t="s">
        <v>133</v>
      </c>
      <c r="BT945">
        <v>0</v>
      </c>
      <c r="BU945">
        <v>3</v>
      </c>
      <c r="BV945" t="s">
        <v>134</v>
      </c>
      <c r="BX945" s="2" t="s">
        <v>9613</v>
      </c>
      <c r="BY945" t="s">
        <v>9612</v>
      </c>
      <c r="CA945" t="s">
        <v>9614</v>
      </c>
      <c r="CB945" t="s">
        <v>848</v>
      </c>
      <c r="CC945" s="4" t="str">
        <f>"12946"</f>
        <v>12946</v>
      </c>
      <c r="CD945" t="s">
        <v>851</v>
      </c>
      <c r="CE945" t="s">
        <v>852</v>
      </c>
      <c r="CF945" s="6">
        <v>18.7</v>
      </c>
      <c r="CH945" s="6">
        <v>28.05</v>
      </c>
      <c r="CJ945" t="s">
        <v>137</v>
      </c>
      <c r="CK945" t="s">
        <v>9615</v>
      </c>
      <c r="CL945" t="s">
        <v>9616</v>
      </c>
      <c r="CO945" t="s">
        <v>138</v>
      </c>
      <c r="CP945" t="s">
        <v>134</v>
      </c>
      <c r="CQ945" t="s">
        <v>134</v>
      </c>
      <c r="CR945" t="s">
        <v>114</v>
      </c>
      <c r="CS945" t="s">
        <v>114</v>
      </c>
      <c r="CT945" t="s">
        <v>114</v>
      </c>
      <c r="CU945" t="s">
        <v>134</v>
      </c>
      <c r="CV945" t="s">
        <v>138</v>
      </c>
      <c r="CW945" s="5" t="str">
        <f>"+15185236284"</f>
        <v>+15185236284</v>
      </c>
      <c r="CX945" t="s">
        <v>849</v>
      </c>
      <c r="CY945" t="s">
        <v>138</v>
      </c>
      <c r="CZ945" t="s">
        <v>139</v>
      </c>
      <c r="DA945" t="s">
        <v>134</v>
      </c>
      <c r="DB945" t="s">
        <v>134</v>
      </c>
      <c r="DC945" t="s">
        <v>114</v>
      </c>
      <c r="DD945" t="s">
        <v>134</v>
      </c>
    </row>
    <row r="946" spans="1:113" ht="15" customHeight="1" x14ac:dyDescent="0.25">
      <c r="A946" t="s">
        <v>835</v>
      </c>
      <c r="B946" t="s">
        <v>165</v>
      </c>
      <c r="C946" s="1">
        <v>44820.673167361114</v>
      </c>
      <c r="D946" s="1">
        <v>44848</v>
      </c>
      <c r="E946" t="s">
        <v>114</v>
      </c>
      <c r="F946" t="s">
        <v>836</v>
      </c>
      <c r="G946" t="str">
        <f>"41-2031.00"</f>
        <v>41-2031.00</v>
      </c>
      <c r="H946" t="s">
        <v>837</v>
      </c>
      <c r="I946">
        <v>3</v>
      </c>
      <c r="J946">
        <v>3</v>
      </c>
      <c r="K946" s="1">
        <v>44896</v>
      </c>
      <c r="L946" s="1">
        <v>45016</v>
      </c>
      <c r="M946" s="1">
        <v>44896</v>
      </c>
      <c r="N946" s="1">
        <v>45016</v>
      </c>
      <c r="O946" t="s">
        <v>117</v>
      </c>
      <c r="P946" t="s">
        <v>838</v>
      </c>
      <c r="Q946" t="s">
        <v>839</v>
      </c>
      <c r="R946" t="s">
        <v>840</v>
      </c>
      <c r="S946" t="s">
        <v>841</v>
      </c>
      <c r="T946" t="s">
        <v>842</v>
      </c>
      <c r="U946" t="s">
        <v>232</v>
      </c>
      <c r="V946" s="4" t="str">
        <f>"75038"</f>
        <v>75038</v>
      </c>
      <c r="W946" t="s">
        <v>120</v>
      </c>
      <c r="Y946" s="5">
        <v>15185236284</v>
      </c>
      <c r="AA946">
        <v>721110</v>
      </c>
      <c r="AB946" t="s">
        <v>843</v>
      </c>
      <c r="AC946" t="s">
        <v>844</v>
      </c>
      <c r="AE946" t="s">
        <v>845</v>
      </c>
      <c r="AF946" t="s">
        <v>846</v>
      </c>
      <c r="AH946" t="s">
        <v>847</v>
      </c>
      <c r="AI946" t="s">
        <v>848</v>
      </c>
      <c r="AJ946" s="4" t="str">
        <f>"12946"</f>
        <v>12946</v>
      </c>
      <c r="AK946" t="s">
        <v>120</v>
      </c>
      <c r="AM946" s="5">
        <v>15185236284</v>
      </c>
      <c r="AO946" t="s">
        <v>849</v>
      </c>
      <c r="AP946" t="s">
        <v>122</v>
      </c>
      <c r="AQ946" t="s">
        <v>753</v>
      </c>
      <c r="AR946" t="s">
        <v>754</v>
      </c>
      <c r="AS946" t="s">
        <v>755</v>
      </c>
      <c r="AT946" t="s">
        <v>756</v>
      </c>
      <c r="AU946" t="s">
        <v>757</v>
      </c>
      <c r="AV946" t="s">
        <v>758</v>
      </c>
      <c r="AW946" t="s">
        <v>281</v>
      </c>
      <c r="AX946" s="4" t="str">
        <f>"01701"</f>
        <v>01701</v>
      </c>
      <c r="AY946" t="s">
        <v>120</v>
      </c>
      <c r="BA946" s="5">
        <v>16179399444</v>
      </c>
      <c r="BC946" t="s">
        <v>759</v>
      </c>
      <c r="BD946" t="s">
        <v>760</v>
      </c>
      <c r="BE946" t="s">
        <v>281</v>
      </c>
      <c r="BF946" t="s">
        <v>761</v>
      </c>
      <c r="BG946" t="s">
        <v>848</v>
      </c>
      <c r="BH946" s="1">
        <v>44819.833333333336</v>
      </c>
      <c r="BI946">
        <v>40</v>
      </c>
      <c r="BJ946">
        <v>0</v>
      </c>
      <c r="BK946">
        <v>8</v>
      </c>
      <c r="BL946">
        <v>8</v>
      </c>
      <c r="BM946">
        <v>8</v>
      </c>
      <c r="BN946">
        <v>8</v>
      </c>
      <c r="BO946">
        <v>8</v>
      </c>
      <c r="BP946">
        <v>0</v>
      </c>
      <c r="BQ946" t="str">
        <f>"7:00 AM"</f>
        <v>7:00 AM</v>
      </c>
      <c r="BR946" t="str">
        <f>"3:00 PM"</f>
        <v>3:00 PM</v>
      </c>
      <c r="BS946" t="s">
        <v>133</v>
      </c>
      <c r="BT946">
        <v>0</v>
      </c>
      <c r="BU946">
        <v>6</v>
      </c>
      <c r="BV946" t="s">
        <v>134</v>
      </c>
      <c r="BX946" s="2" t="s">
        <v>850</v>
      </c>
      <c r="BY946" t="s">
        <v>846</v>
      </c>
      <c r="CA946" t="s">
        <v>847</v>
      </c>
      <c r="CB946" t="s">
        <v>848</v>
      </c>
      <c r="CC946" s="4" t="str">
        <f>"12946"</f>
        <v>12946</v>
      </c>
      <c r="CD946" t="s">
        <v>851</v>
      </c>
      <c r="CE946" t="s">
        <v>852</v>
      </c>
      <c r="CF946" s="6">
        <v>16.190000000000001</v>
      </c>
      <c r="CG946" s="6">
        <v>18</v>
      </c>
      <c r="CH946" s="6">
        <v>24.29</v>
      </c>
      <c r="CI946" s="6">
        <v>27</v>
      </c>
      <c r="CJ946" t="s">
        <v>137</v>
      </c>
      <c r="CK946" t="s">
        <v>853</v>
      </c>
      <c r="CL946" t="s">
        <v>854</v>
      </c>
      <c r="CO946" t="s">
        <v>138</v>
      </c>
      <c r="CP946" t="s">
        <v>134</v>
      </c>
      <c r="CQ946" t="s">
        <v>134</v>
      </c>
      <c r="CR946" t="s">
        <v>114</v>
      </c>
      <c r="CS946" t="s">
        <v>114</v>
      </c>
      <c r="CT946" t="s">
        <v>114</v>
      </c>
      <c r="CU946" t="s">
        <v>134</v>
      </c>
      <c r="CV946" t="s">
        <v>138</v>
      </c>
      <c r="CW946" s="5" t="str">
        <f>"+15185236284"</f>
        <v>+15185236284</v>
      </c>
      <c r="CX946" t="s">
        <v>855</v>
      </c>
      <c r="CY946" t="s">
        <v>138</v>
      </c>
      <c r="CZ946" t="s">
        <v>139</v>
      </c>
      <c r="DA946" t="s">
        <v>134</v>
      </c>
      <c r="DB946" t="s">
        <v>134</v>
      </c>
      <c r="DC946" t="s">
        <v>114</v>
      </c>
      <c r="DD946" t="s">
        <v>134</v>
      </c>
    </row>
    <row r="947" spans="1:113" ht="15" customHeight="1" x14ac:dyDescent="0.25">
      <c r="A947" t="s">
        <v>7382</v>
      </c>
      <c r="B947" t="s">
        <v>165</v>
      </c>
      <c r="C947" s="1">
        <v>44820.576976736113</v>
      </c>
      <c r="D947" s="1">
        <v>44848</v>
      </c>
      <c r="E947" t="s">
        <v>134</v>
      </c>
      <c r="F947" t="s">
        <v>7383</v>
      </c>
      <c r="G947" t="str">
        <f>"51-3022.00"</f>
        <v>51-3022.00</v>
      </c>
      <c r="H947" t="s">
        <v>817</v>
      </c>
      <c r="I947">
        <v>2</v>
      </c>
      <c r="J947">
        <v>2</v>
      </c>
      <c r="K947" s="1">
        <v>44835</v>
      </c>
      <c r="L947" s="1">
        <v>45078</v>
      </c>
      <c r="M947" s="1">
        <v>44835</v>
      </c>
      <c r="N947" s="1">
        <v>45078</v>
      </c>
      <c r="O947" t="s">
        <v>199</v>
      </c>
      <c r="P947" t="s">
        <v>7384</v>
      </c>
      <c r="R947" t="s">
        <v>7385</v>
      </c>
      <c r="S947" t="s">
        <v>7386</v>
      </c>
      <c r="T947" t="s">
        <v>7387</v>
      </c>
      <c r="U947" t="s">
        <v>319</v>
      </c>
      <c r="V947" s="4" t="str">
        <f>"56585"</f>
        <v>56585</v>
      </c>
      <c r="W947" t="s">
        <v>120</v>
      </c>
      <c r="Y947" s="5">
        <v>12185968841</v>
      </c>
      <c r="AA947">
        <v>445210</v>
      </c>
      <c r="AB947" t="s">
        <v>7388</v>
      </c>
      <c r="AC947" t="s">
        <v>1572</v>
      </c>
      <c r="AE947" t="s">
        <v>424</v>
      </c>
      <c r="AF947" t="s">
        <v>7385</v>
      </c>
      <c r="AG947" t="s">
        <v>7386</v>
      </c>
      <c r="AH947" t="s">
        <v>7387</v>
      </c>
      <c r="AI947" t="s">
        <v>319</v>
      </c>
      <c r="AJ947" s="4" t="str">
        <f>"56585"</f>
        <v>56585</v>
      </c>
      <c r="AK947" t="s">
        <v>120</v>
      </c>
      <c r="AM947" s="5">
        <v>12185968841</v>
      </c>
      <c r="AO947" t="s">
        <v>7389</v>
      </c>
      <c r="AP947" t="s">
        <v>122</v>
      </c>
      <c r="AQ947" t="s">
        <v>7390</v>
      </c>
      <c r="AR947" t="s">
        <v>121</v>
      </c>
      <c r="AS947" t="s">
        <v>1857</v>
      </c>
      <c r="AT947" t="s">
        <v>7391</v>
      </c>
      <c r="AU947" t="s">
        <v>7392</v>
      </c>
      <c r="AV947" t="s">
        <v>7393</v>
      </c>
      <c r="AW947" t="s">
        <v>319</v>
      </c>
      <c r="AX947" s="4" t="str">
        <f>"55124"</f>
        <v>55124</v>
      </c>
      <c r="AY947" t="s">
        <v>120</v>
      </c>
      <c r="BA947" s="5">
        <v>19522369719</v>
      </c>
      <c r="BC947" t="s">
        <v>7394</v>
      </c>
      <c r="BD947" t="s">
        <v>7395</v>
      </c>
      <c r="BE947" t="s">
        <v>319</v>
      </c>
      <c r="BF947" t="s">
        <v>2152</v>
      </c>
      <c r="BG947" t="s">
        <v>319</v>
      </c>
      <c r="BH947" s="1">
        <v>44817.833333333336</v>
      </c>
      <c r="BI947">
        <v>40</v>
      </c>
      <c r="BJ947">
        <v>0</v>
      </c>
      <c r="BK947">
        <v>8</v>
      </c>
      <c r="BL947">
        <v>8</v>
      </c>
      <c r="BM947">
        <v>8</v>
      </c>
      <c r="BN947">
        <v>8</v>
      </c>
      <c r="BO947">
        <v>8</v>
      </c>
      <c r="BP947">
        <v>0</v>
      </c>
      <c r="BQ947" t="str">
        <f>"8:00 AM"</f>
        <v>8:00 AM</v>
      </c>
      <c r="BR947" t="str">
        <f>"5:00 PM"</f>
        <v>5:00 PM</v>
      </c>
      <c r="BS947" t="s">
        <v>133</v>
      </c>
      <c r="BT947">
        <v>0</v>
      </c>
      <c r="BU947">
        <v>0</v>
      </c>
      <c r="BV947" t="s">
        <v>134</v>
      </c>
      <c r="BX947" s="2" t="s">
        <v>7396</v>
      </c>
      <c r="BY947" t="s">
        <v>7385</v>
      </c>
      <c r="BZ947" t="s">
        <v>7397</v>
      </c>
      <c r="CA947" t="s">
        <v>7387</v>
      </c>
      <c r="CB947" t="s">
        <v>319</v>
      </c>
      <c r="CC947" s="4" t="str">
        <f>"56585"</f>
        <v>56585</v>
      </c>
      <c r="CD947" t="s">
        <v>2682</v>
      </c>
      <c r="CE947" t="s">
        <v>1996</v>
      </c>
      <c r="CF947" s="6">
        <v>16.399999999999999</v>
      </c>
      <c r="CH947" s="6">
        <v>24.6</v>
      </c>
      <c r="CJ947" t="s">
        <v>137</v>
      </c>
      <c r="CL947" t="s">
        <v>7398</v>
      </c>
      <c r="CO947" t="s">
        <v>114</v>
      </c>
      <c r="CP947" t="s">
        <v>134</v>
      </c>
      <c r="CQ947" t="s">
        <v>134</v>
      </c>
      <c r="CR947" t="s">
        <v>114</v>
      </c>
      <c r="CS947" t="s">
        <v>114</v>
      </c>
      <c r="CT947" t="s">
        <v>114</v>
      </c>
      <c r="CU947" t="s">
        <v>114</v>
      </c>
      <c r="CV947" t="s">
        <v>7399</v>
      </c>
      <c r="CW947" s="5" t="str">
        <f>"+12185968841"</f>
        <v>+12185968841</v>
      </c>
      <c r="CX947" t="s">
        <v>7389</v>
      </c>
      <c r="CY947" t="s">
        <v>138</v>
      </c>
      <c r="CZ947" t="s">
        <v>139</v>
      </c>
      <c r="DA947" t="s">
        <v>134</v>
      </c>
      <c r="DB947" t="s">
        <v>134</v>
      </c>
      <c r="DC947" t="s">
        <v>114</v>
      </c>
      <c r="DD947" t="s">
        <v>134</v>
      </c>
    </row>
    <row r="948" spans="1:113" ht="15" customHeight="1" x14ac:dyDescent="0.25">
      <c r="A948" t="s">
        <v>10527</v>
      </c>
      <c r="B948" t="s">
        <v>165</v>
      </c>
      <c r="C948" s="1">
        <v>44820.528433564818</v>
      </c>
      <c r="D948" s="1">
        <v>44848</v>
      </c>
      <c r="E948" t="s">
        <v>134</v>
      </c>
      <c r="F948" t="s">
        <v>10528</v>
      </c>
      <c r="G948" t="str">
        <f>"37-2012.00"</f>
        <v>37-2012.00</v>
      </c>
      <c r="H948" t="s">
        <v>116</v>
      </c>
      <c r="I948">
        <v>24</v>
      </c>
      <c r="J948">
        <v>24</v>
      </c>
      <c r="K948" s="1">
        <v>44910</v>
      </c>
      <c r="L948" s="1">
        <v>45214</v>
      </c>
      <c r="M948" s="1">
        <v>44910</v>
      </c>
      <c r="N948" s="1">
        <v>45214</v>
      </c>
      <c r="O948" t="s">
        <v>117</v>
      </c>
      <c r="P948" t="s">
        <v>10529</v>
      </c>
      <c r="Q948" t="s">
        <v>10530</v>
      </c>
      <c r="R948" t="s">
        <v>10531</v>
      </c>
      <c r="S948" t="s">
        <v>10532</v>
      </c>
      <c r="T948" t="s">
        <v>1856</v>
      </c>
      <c r="U948" t="s">
        <v>2164</v>
      </c>
      <c r="V948" s="4" t="str">
        <f>"83001-1712"</f>
        <v>83001-1712</v>
      </c>
      <c r="W948" t="s">
        <v>120</v>
      </c>
      <c r="Y948" s="5">
        <v>13077332648</v>
      </c>
      <c r="AA948">
        <v>72111</v>
      </c>
      <c r="AB948" t="s">
        <v>10533</v>
      </c>
      <c r="AC948" t="s">
        <v>10534</v>
      </c>
      <c r="AE948" t="s">
        <v>1654</v>
      </c>
      <c r="AF948" t="s">
        <v>10531</v>
      </c>
      <c r="AG948" t="s">
        <v>10532</v>
      </c>
      <c r="AH948" t="s">
        <v>1856</v>
      </c>
      <c r="AI948" t="s">
        <v>2164</v>
      </c>
      <c r="AJ948" s="4" t="str">
        <f>"83001-1712"</f>
        <v>83001-1712</v>
      </c>
      <c r="AK948" t="s">
        <v>120</v>
      </c>
      <c r="AM948" s="5">
        <v>13077332648</v>
      </c>
      <c r="AO948" t="s">
        <v>138</v>
      </c>
      <c r="AP948" t="s">
        <v>256</v>
      </c>
      <c r="AQ948" t="s">
        <v>475</v>
      </c>
      <c r="AR948" t="s">
        <v>476</v>
      </c>
      <c r="AT948" t="s">
        <v>1471</v>
      </c>
      <c r="AU948" t="s">
        <v>1472</v>
      </c>
      <c r="AV948" t="s">
        <v>1473</v>
      </c>
      <c r="AW948" t="s">
        <v>479</v>
      </c>
      <c r="AX948" s="4" t="str">
        <f>"22949"</f>
        <v>22949</v>
      </c>
      <c r="AY948" t="s">
        <v>120</v>
      </c>
      <c r="BA948" s="5">
        <v>14342634300</v>
      </c>
      <c r="BC948" t="s">
        <v>1664</v>
      </c>
      <c r="BD948" t="s">
        <v>481</v>
      </c>
      <c r="BG948" t="s">
        <v>2164</v>
      </c>
      <c r="BH948" s="1">
        <v>44819.833333333336</v>
      </c>
      <c r="BI948">
        <v>35</v>
      </c>
      <c r="BJ948">
        <v>0</v>
      </c>
      <c r="BK948">
        <v>7</v>
      </c>
      <c r="BL948">
        <v>7</v>
      </c>
      <c r="BM948">
        <v>7</v>
      </c>
      <c r="BN948">
        <v>7</v>
      </c>
      <c r="BO948">
        <v>7</v>
      </c>
      <c r="BP948">
        <v>0</v>
      </c>
      <c r="BQ948" t="str">
        <f>"8:00 AM"</f>
        <v>8:00 AM</v>
      </c>
      <c r="BR948" t="str">
        <f>"4:00 PM"</f>
        <v>4:00 PM</v>
      </c>
      <c r="BS948" t="s">
        <v>133</v>
      </c>
      <c r="BT948">
        <v>0</v>
      </c>
      <c r="BU948">
        <v>0</v>
      </c>
      <c r="BV948" t="s">
        <v>134</v>
      </c>
      <c r="BX948" s="2" t="s">
        <v>10535</v>
      </c>
      <c r="BY948" t="s">
        <v>10536</v>
      </c>
      <c r="CA948" t="s">
        <v>1856</v>
      </c>
      <c r="CB948" t="s">
        <v>2164</v>
      </c>
      <c r="CC948" s="4" t="str">
        <f>"83001-1712"</f>
        <v>83001-1712</v>
      </c>
      <c r="CD948" t="s">
        <v>1428</v>
      </c>
      <c r="CE948" t="s">
        <v>4445</v>
      </c>
      <c r="CF948" s="6">
        <v>14.28</v>
      </c>
      <c r="CH948" s="6">
        <v>21.42</v>
      </c>
      <c r="CJ948" t="s">
        <v>137</v>
      </c>
      <c r="CK948" t="s">
        <v>10537</v>
      </c>
      <c r="CL948" t="s">
        <v>10538</v>
      </c>
      <c r="CO948" t="s">
        <v>138</v>
      </c>
      <c r="CP948" t="s">
        <v>134</v>
      </c>
      <c r="CQ948" t="s">
        <v>134</v>
      </c>
      <c r="CR948" t="s">
        <v>114</v>
      </c>
      <c r="CS948" t="s">
        <v>114</v>
      </c>
      <c r="CT948" t="s">
        <v>114</v>
      </c>
      <c r="CU948" t="s">
        <v>114</v>
      </c>
      <c r="CV948" t="s">
        <v>10539</v>
      </c>
      <c r="CW948" s="5" t="str">
        <f>"N/A"</f>
        <v>N/A</v>
      </c>
      <c r="CX948" t="s">
        <v>10540</v>
      </c>
      <c r="CY948" t="s">
        <v>4446</v>
      </c>
      <c r="CZ948" t="s">
        <v>139</v>
      </c>
      <c r="DA948" t="s">
        <v>134</v>
      </c>
      <c r="DB948" t="s">
        <v>114</v>
      </c>
      <c r="DC948" t="s">
        <v>114</v>
      </c>
      <c r="DD948" t="s">
        <v>134</v>
      </c>
      <c r="DE948" t="s">
        <v>1669</v>
      </c>
      <c r="DF948" t="s">
        <v>1670</v>
      </c>
      <c r="DH948" t="s">
        <v>481</v>
      </c>
      <c r="DI948" t="s">
        <v>1664</v>
      </c>
    </row>
    <row r="949" spans="1:113" ht="15" customHeight="1" x14ac:dyDescent="0.25">
      <c r="A949" t="s">
        <v>15965</v>
      </c>
      <c r="B949" t="s">
        <v>165</v>
      </c>
      <c r="C949" s="1">
        <v>44818.676297685182</v>
      </c>
      <c r="D949" s="1">
        <v>44848</v>
      </c>
      <c r="E949" t="s">
        <v>134</v>
      </c>
      <c r="F949" t="s">
        <v>388</v>
      </c>
      <c r="G949" t="str">
        <f>"35-3031.00"</f>
        <v>35-3031.00</v>
      </c>
      <c r="H949" t="s">
        <v>389</v>
      </c>
      <c r="I949">
        <v>18</v>
      </c>
      <c r="J949">
        <v>18</v>
      </c>
      <c r="K949" s="1">
        <v>44893</v>
      </c>
      <c r="L949" s="1">
        <v>45138</v>
      </c>
      <c r="M949" s="1">
        <v>44893</v>
      </c>
      <c r="N949" s="1">
        <v>45138</v>
      </c>
      <c r="O949" t="s">
        <v>117</v>
      </c>
      <c r="P949" t="s">
        <v>15226</v>
      </c>
      <c r="R949" t="s">
        <v>15227</v>
      </c>
      <c r="T949" t="s">
        <v>1970</v>
      </c>
      <c r="U949" t="s">
        <v>1411</v>
      </c>
      <c r="V949" s="4" t="str">
        <f>"45202"</f>
        <v>45202</v>
      </c>
      <c r="W949" t="s">
        <v>120</v>
      </c>
      <c r="Y949" s="5">
        <v>15132503121</v>
      </c>
      <c r="AA949">
        <v>71321</v>
      </c>
      <c r="AB949" t="s">
        <v>2685</v>
      </c>
      <c r="AC949" t="s">
        <v>1586</v>
      </c>
      <c r="AE949" t="s">
        <v>944</v>
      </c>
      <c r="AF949" t="s">
        <v>15227</v>
      </c>
      <c r="AH949" t="s">
        <v>1970</v>
      </c>
      <c r="AI949" t="s">
        <v>1411</v>
      </c>
      <c r="AJ949" s="4" t="str">
        <f>"45202"</f>
        <v>45202</v>
      </c>
      <c r="AK949" t="s">
        <v>120</v>
      </c>
      <c r="AM949" s="5">
        <v>15132503121</v>
      </c>
      <c r="AO949" t="s">
        <v>15966</v>
      </c>
      <c r="AP949" t="s">
        <v>256</v>
      </c>
      <c r="AQ949" t="s">
        <v>400</v>
      </c>
      <c r="AR949" t="s">
        <v>401</v>
      </c>
      <c r="AS949" t="s">
        <v>397</v>
      </c>
      <c r="AT949" t="s">
        <v>402</v>
      </c>
      <c r="AU949" t="s">
        <v>152</v>
      </c>
      <c r="AV949" t="s">
        <v>403</v>
      </c>
      <c r="AW949" t="s">
        <v>232</v>
      </c>
      <c r="AX949" s="4" t="str">
        <f>"75033"</f>
        <v>75033</v>
      </c>
      <c r="AY949" t="s">
        <v>120</v>
      </c>
      <c r="BA949" s="5">
        <v>19727789690</v>
      </c>
      <c r="BC949" t="s">
        <v>15230</v>
      </c>
      <c r="BD949" t="s">
        <v>405</v>
      </c>
      <c r="BG949" t="s">
        <v>1411</v>
      </c>
      <c r="BH949" s="1">
        <v>44817.833333333336</v>
      </c>
      <c r="BI949">
        <v>40</v>
      </c>
      <c r="BJ949">
        <v>8</v>
      </c>
      <c r="BK949">
        <v>0</v>
      </c>
      <c r="BL949">
        <v>8</v>
      </c>
      <c r="BM949">
        <v>8</v>
      </c>
      <c r="BN949">
        <v>8</v>
      </c>
      <c r="BO949">
        <v>0</v>
      </c>
      <c r="BP949">
        <v>8</v>
      </c>
      <c r="BQ949" t="str">
        <f>"10:00 AM"</f>
        <v>10:00 AM</v>
      </c>
      <c r="BR949" t="str">
        <f>"6:00 PM"</f>
        <v>6:00 PM</v>
      </c>
      <c r="BS949" t="s">
        <v>133</v>
      </c>
      <c r="BT949">
        <v>0</v>
      </c>
      <c r="BU949">
        <v>0</v>
      </c>
      <c r="BV949" t="s">
        <v>134</v>
      </c>
      <c r="BX949" s="2" t="s">
        <v>15967</v>
      </c>
      <c r="BY949" t="s">
        <v>15227</v>
      </c>
      <c r="CA949" t="s">
        <v>1970</v>
      </c>
      <c r="CB949" t="s">
        <v>1411</v>
      </c>
      <c r="CC949" s="4" t="str">
        <f>"45202"</f>
        <v>45202</v>
      </c>
      <c r="CD949" t="s">
        <v>1839</v>
      </c>
      <c r="CE949" t="s">
        <v>1417</v>
      </c>
      <c r="CF949" s="6">
        <v>9.3000000000000007</v>
      </c>
      <c r="CG949" s="6">
        <v>9.3000000000000007</v>
      </c>
      <c r="CH949" s="6">
        <v>13.95</v>
      </c>
      <c r="CI949" s="6">
        <v>13.95</v>
      </c>
      <c r="CJ949" t="s">
        <v>137</v>
      </c>
      <c r="CK949" t="s">
        <v>950</v>
      </c>
      <c r="CL949" t="s">
        <v>15968</v>
      </c>
      <c r="CO949" t="s">
        <v>138</v>
      </c>
      <c r="CP949" t="s">
        <v>134</v>
      </c>
      <c r="CQ949" t="s">
        <v>114</v>
      </c>
      <c r="CR949" t="s">
        <v>114</v>
      </c>
      <c r="CS949" t="s">
        <v>114</v>
      </c>
      <c r="CT949" t="s">
        <v>114</v>
      </c>
      <c r="CU949" t="s">
        <v>114</v>
      </c>
      <c r="CV949" s="2" t="s">
        <v>15969</v>
      </c>
      <c r="CW949" s="5" t="str">
        <f>"+15132503121"</f>
        <v>+15132503121</v>
      </c>
      <c r="CX949" t="s">
        <v>138</v>
      </c>
      <c r="CY949" t="s">
        <v>2295</v>
      </c>
      <c r="CZ949" t="s">
        <v>139</v>
      </c>
      <c r="DA949" t="s">
        <v>134</v>
      </c>
      <c r="DB949" t="s">
        <v>114</v>
      </c>
      <c r="DC949" t="s">
        <v>114</v>
      </c>
      <c r="DD949" t="s">
        <v>134</v>
      </c>
    </row>
    <row r="950" spans="1:113" ht="15" customHeight="1" x14ac:dyDescent="0.25">
      <c r="A950" t="s">
        <v>5191</v>
      </c>
      <c r="B950" t="s">
        <v>165</v>
      </c>
      <c r="C950" s="1">
        <v>44817.976172569448</v>
      </c>
      <c r="D950" s="1">
        <v>44848</v>
      </c>
      <c r="E950" t="s">
        <v>134</v>
      </c>
      <c r="F950" t="s">
        <v>416</v>
      </c>
      <c r="G950" t="str">
        <f>"37-3011.00"</f>
        <v>37-3011.00</v>
      </c>
      <c r="H950" t="s">
        <v>335</v>
      </c>
      <c r="I950">
        <v>15</v>
      </c>
      <c r="J950">
        <v>15</v>
      </c>
      <c r="K950" s="1">
        <v>44896</v>
      </c>
      <c r="L950" s="1">
        <v>45016</v>
      </c>
      <c r="M950" s="1">
        <v>44896</v>
      </c>
      <c r="N950" s="1">
        <v>45016</v>
      </c>
      <c r="O950" t="s">
        <v>199</v>
      </c>
      <c r="P950" t="s">
        <v>5192</v>
      </c>
      <c r="Q950" t="s">
        <v>5193</v>
      </c>
      <c r="R950" t="s">
        <v>5194</v>
      </c>
      <c r="T950" t="s">
        <v>2748</v>
      </c>
      <c r="U950" t="s">
        <v>420</v>
      </c>
      <c r="V950" s="4" t="str">
        <f>"84107"</f>
        <v>84107</v>
      </c>
      <c r="W950" t="s">
        <v>120</v>
      </c>
      <c r="Y950" s="5">
        <v>18019120077</v>
      </c>
      <c r="AA950">
        <v>56173</v>
      </c>
      <c r="AB950" t="s">
        <v>2211</v>
      </c>
      <c r="AC950" t="s">
        <v>2913</v>
      </c>
      <c r="AE950" t="s">
        <v>1710</v>
      </c>
      <c r="AF950" t="s">
        <v>5194</v>
      </c>
      <c r="AH950" t="s">
        <v>2748</v>
      </c>
      <c r="AI950" t="s">
        <v>420</v>
      </c>
      <c r="AJ950" s="4" t="str">
        <f>"84017"</f>
        <v>84017</v>
      </c>
      <c r="AK950" t="s">
        <v>120</v>
      </c>
      <c r="AM950" s="5">
        <v>18019120077</v>
      </c>
      <c r="AO950" t="s">
        <v>5195</v>
      </c>
      <c r="AP950" t="s">
        <v>256</v>
      </c>
      <c r="AQ950" t="s">
        <v>426</v>
      </c>
      <c r="AR950" t="s">
        <v>427</v>
      </c>
      <c r="AT950" t="s">
        <v>428</v>
      </c>
      <c r="AV950" t="s">
        <v>4583</v>
      </c>
      <c r="AW950" t="s">
        <v>420</v>
      </c>
      <c r="AX950" s="4" t="str">
        <f>"84059"</f>
        <v>84059</v>
      </c>
      <c r="AY950" t="s">
        <v>120</v>
      </c>
      <c r="BA950" s="5">
        <v>18013677097</v>
      </c>
      <c r="BC950" t="s">
        <v>430</v>
      </c>
      <c r="BD950" t="s">
        <v>431</v>
      </c>
      <c r="BG950" t="s">
        <v>420</v>
      </c>
      <c r="BH950" s="1">
        <v>44816.833333333336</v>
      </c>
      <c r="BI950">
        <v>35</v>
      </c>
      <c r="BJ950">
        <v>0</v>
      </c>
      <c r="BK950">
        <v>7</v>
      </c>
      <c r="BL950">
        <v>7</v>
      </c>
      <c r="BM950">
        <v>7</v>
      </c>
      <c r="BN950">
        <v>7</v>
      </c>
      <c r="BO950">
        <v>7</v>
      </c>
      <c r="BP950">
        <v>0</v>
      </c>
      <c r="BQ950" t="str">
        <f>"8:00 AM"</f>
        <v>8:00 AM</v>
      </c>
      <c r="BR950" t="str">
        <f>"3:30 PM"</f>
        <v>3:30 PM</v>
      </c>
      <c r="BS950" t="s">
        <v>133</v>
      </c>
      <c r="BT950">
        <v>0</v>
      </c>
      <c r="BU950">
        <v>0</v>
      </c>
      <c r="BV950" t="s">
        <v>134</v>
      </c>
      <c r="BX950" s="2" t="s">
        <v>5196</v>
      </c>
      <c r="BY950" t="s">
        <v>5194</v>
      </c>
      <c r="CA950" t="s">
        <v>2748</v>
      </c>
      <c r="CB950" t="s">
        <v>420</v>
      </c>
      <c r="CC950" s="4" t="str">
        <f>"84107"</f>
        <v>84107</v>
      </c>
      <c r="CD950" t="s">
        <v>688</v>
      </c>
      <c r="CE950" t="s">
        <v>689</v>
      </c>
      <c r="CF950" s="6">
        <v>17.21</v>
      </c>
      <c r="CH950" s="6">
        <v>25.82</v>
      </c>
      <c r="CJ950" t="s">
        <v>137</v>
      </c>
      <c r="CK950" t="s">
        <v>5197</v>
      </c>
      <c r="CL950" t="s">
        <v>5198</v>
      </c>
      <c r="CO950" t="s">
        <v>138</v>
      </c>
      <c r="CP950" t="s">
        <v>114</v>
      </c>
      <c r="CQ950" t="s">
        <v>114</v>
      </c>
      <c r="CR950" t="s">
        <v>114</v>
      </c>
      <c r="CS950" t="s">
        <v>134</v>
      </c>
      <c r="CT950" t="s">
        <v>114</v>
      </c>
      <c r="CU950" t="s">
        <v>134</v>
      </c>
      <c r="CV950" t="s">
        <v>437</v>
      </c>
      <c r="CW950" s="5" t="str">
        <f>"+18019120077"</f>
        <v>+18019120077</v>
      </c>
      <c r="CX950" t="s">
        <v>5195</v>
      </c>
      <c r="CY950" t="s">
        <v>138</v>
      </c>
      <c r="CZ950" t="s">
        <v>139</v>
      </c>
      <c r="DA950" t="s">
        <v>134</v>
      </c>
      <c r="DB950" t="s">
        <v>134</v>
      </c>
      <c r="DC950" t="s">
        <v>114</v>
      </c>
      <c r="DD950" t="s">
        <v>134</v>
      </c>
    </row>
    <row r="951" spans="1:113" ht="15" customHeight="1" x14ac:dyDescent="0.25">
      <c r="A951" t="s">
        <v>12313</v>
      </c>
      <c r="B951" t="s">
        <v>165</v>
      </c>
      <c r="C951" s="1">
        <v>44817.643496990742</v>
      </c>
      <c r="D951" s="1">
        <v>44848</v>
      </c>
      <c r="E951" t="s">
        <v>134</v>
      </c>
      <c r="F951" t="s">
        <v>416</v>
      </c>
      <c r="G951" t="str">
        <f>"37-3011.00"</f>
        <v>37-3011.00</v>
      </c>
      <c r="H951" t="s">
        <v>335</v>
      </c>
      <c r="I951">
        <v>12</v>
      </c>
      <c r="J951">
        <v>12</v>
      </c>
      <c r="K951" s="1">
        <v>44896</v>
      </c>
      <c r="L951" s="1">
        <v>45016</v>
      </c>
      <c r="M951" s="1">
        <v>44896</v>
      </c>
      <c r="N951" s="1">
        <v>45016</v>
      </c>
      <c r="O951" t="s">
        <v>199</v>
      </c>
      <c r="P951" t="s">
        <v>12314</v>
      </c>
      <c r="R951" t="s">
        <v>12315</v>
      </c>
      <c r="T951" t="s">
        <v>5934</v>
      </c>
      <c r="U951" t="s">
        <v>420</v>
      </c>
      <c r="V951" s="4" t="str">
        <f>"84404"</f>
        <v>84404</v>
      </c>
      <c r="W951" t="s">
        <v>120</v>
      </c>
      <c r="Y951" s="5">
        <v>18016860627</v>
      </c>
      <c r="AA951">
        <v>56173</v>
      </c>
      <c r="AB951" t="s">
        <v>12316</v>
      </c>
      <c r="AC951" t="s">
        <v>4389</v>
      </c>
      <c r="AE951" t="s">
        <v>252</v>
      </c>
      <c r="AF951" t="s">
        <v>12317</v>
      </c>
      <c r="AH951" t="s">
        <v>5934</v>
      </c>
      <c r="AI951" t="s">
        <v>420</v>
      </c>
      <c r="AJ951" s="4" t="str">
        <f>"84404"</f>
        <v>84404</v>
      </c>
      <c r="AK951" t="s">
        <v>120</v>
      </c>
      <c r="AM951" s="5">
        <v>18016870627</v>
      </c>
      <c r="AO951" t="s">
        <v>12318</v>
      </c>
      <c r="AP951" t="s">
        <v>256</v>
      </c>
      <c r="AQ951" t="s">
        <v>426</v>
      </c>
      <c r="AR951" t="s">
        <v>427</v>
      </c>
      <c r="AT951" t="s">
        <v>428</v>
      </c>
      <c r="AV951" t="s">
        <v>4583</v>
      </c>
      <c r="AW951" t="s">
        <v>420</v>
      </c>
      <c r="AX951" s="4" t="str">
        <f>"84059"</f>
        <v>84059</v>
      </c>
      <c r="AY951" t="s">
        <v>120</v>
      </c>
      <c r="BA951" s="5">
        <v>18013677097</v>
      </c>
      <c r="BC951" t="s">
        <v>430</v>
      </c>
      <c r="BD951" t="s">
        <v>431</v>
      </c>
      <c r="BG951" t="s">
        <v>420</v>
      </c>
      <c r="BH951" s="1">
        <v>44816.833333333336</v>
      </c>
      <c r="BI951">
        <v>40</v>
      </c>
      <c r="BJ951">
        <v>0</v>
      </c>
      <c r="BK951">
        <v>8</v>
      </c>
      <c r="BL951">
        <v>8</v>
      </c>
      <c r="BM951">
        <v>8</v>
      </c>
      <c r="BN951">
        <v>8</v>
      </c>
      <c r="BO951">
        <v>8</v>
      </c>
      <c r="BP951">
        <v>0</v>
      </c>
      <c r="BQ951" t="str">
        <f>"7:00 AM"</f>
        <v>7:00 AM</v>
      </c>
      <c r="BR951" t="str">
        <f>"3:30 PM"</f>
        <v>3:30 PM</v>
      </c>
      <c r="BS951" t="s">
        <v>133</v>
      </c>
      <c r="BT951">
        <v>0</v>
      </c>
      <c r="BU951">
        <v>0</v>
      </c>
      <c r="BV951" t="s">
        <v>134</v>
      </c>
      <c r="BX951" s="2" t="s">
        <v>432</v>
      </c>
      <c r="BY951" t="s">
        <v>12319</v>
      </c>
      <c r="CA951" t="s">
        <v>5934</v>
      </c>
      <c r="CB951" t="s">
        <v>420</v>
      </c>
      <c r="CC951" s="4" t="str">
        <f>"84404"</f>
        <v>84404</v>
      </c>
      <c r="CD951" t="s">
        <v>5935</v>
      </c>
      <c r="CE951" t="s">
        <v>4475</v>
      </c>
      <c r="CF951" s="6">
        <v>16.38</v>
      </c>
      <c r="CH951" s="6">
        <v>24.57</v>
      </c>
      <c r="CJ951" t="s">
        <v>137</v>
      </c>
      <c r="CK951" t="s">
        <v>5243</v>
      </c>
      <c r="CL951" t="s">
        <v>12320</v>
      </c>
      <c r="CO951" t="s">
        <v>138</v>
      </c>
      <c r="CP951" t="s">
        <v>114</v>
      </c>
      <c r="CQ951" t="s">
        <v>114</v>
      </c>
      <c r="CR951" t="s">
        <v>114</v>
      </c>
      <c r="CS951" t="s">
        <v>134</v>
      </c>
      <c r="CT951" t="s">
        <v>114</v>
      </c>
      <c r="CU951" t="s">
        <v>134</v>
      </c>
      <c r="CV951" t="s">
        <v>3383</v>
      </c>
      <c r="CW951" s="5" t="str">
        <f>"+18016860627"</f>
        <v>+18016860627</v>
      </c>
      <c r="CX951" t="s">
        <v>12318</v>
      </c>
      <c r="CY951" t="s">
        <v>138</v>
      </c>
      <c r="CZ951" t="s">
        <v>139</v>
      </c>
      <c r="DA951" t="s">
        <v>134</v>
      </c>
      <c r="DB951" t="s">
        <v>134</v>
      </c>
      <c r="DC951" t="s">
        <v>114</v>
      </c>
      <c r="DD951" t="s">
        <v>134</v>
      </c>
    </row>
    <row r="952" spans="1:113" ht="15" customHeight="1" x14ac:dyDescent="0.25">
      <c r="A952" t="s">
        <v>13109</v>
      </c>
      <c r="B952" t="s">
        <v>165</v>
      </c>
      <c r="C952" s="1">
        <v>44814.529391898148</v>
      </c>
      <c r="D952" s="1">
        <v>44848</v>
      </c>
      <c r="E952" t="s">
        <v>134</v>
      </c>
      <c r="F952" t="s">
        <v>416</v>
      </c>
      <c r="G952" t="str">
        <f>"37-3011.00"</f>
        <v>37-3011.00</v>
      </c>
      <c r="H952" t="s">
        <v>335</v>
      </c>
      <c r="I952">
        <v>4</v>
      </c>
      <c r="J952">
        <v>4</v>
      </c>
      <c r="K952" s="1">
        <v>44896</v>
      </c>
      <c r="L952" s="1">
        <v>45016</v>
      </c>
      <c r="M952" s="1">
        <v>44896</v>
      </c>
      <c r="N952" s="1">
        <v>45016</v>
      </c>
      <c r="O952" t="s">
        <v>199</v>
      </c>
      <c r="P952" t="s">
        <v>9243</v>
      </c>
      <c r="R952" t="s">
        <v>9244</v>
      </c>
      <c r="T952" t="s">
        <v>9245</v>
      </c>
      <c r="U952" t="s">
        <v>420</v>
      </c>
      <c r="V952" s="4" t="str">
        <f>"84660"</f>
        <v>84660</v>
      </c>
      <c r="W952" t="s">
        <v>120</v>
      </c>
      <c r="Y952" s="5">
        <v>18017358357</v>
      </c>
      <c r="AA952">
        <v>56173</v>
      </c>
      <c r="AB952" t="s">
        <v>9246</v>
      </c>
      <c r="AC952" t="s">
        <v>4474</v>
      </c>
      <c r="AE952" t="s">
        <v>252</v>
      </c>
      <c r="AF952" t="s">
        <v>9244</v>
      </c>
      <c r="AH952" t="s">
        <v>9245</v>
      </c>
      <c r="AI952" t="s">
        <v>420</v>
      </c>
      <c r="AJ952" s="4" t="str">
        <f>"84660"</f>
        <v>84660</v>
      </c>
      <c r="AK952" t="s">
        <v>120</v>
      </c>
      <c r="AM952" s="5">
        <v>18017358357</v>
      </c>
      <c r="AO952" t="s">
        <v>9247</v>
      </c>
      <c r="AP952" t="s">
        <v>256</v>
      </c>
      <c r="AQ952" t="s">
        <v>426</v>
      </c>
      <c r="AR952" t="s">
        <v>427</v>
      </c>
      <c r="AT952" t="s">
        <v>9248</v>
      </c>
      <c r="AV952" t="s">
        <v>429</v>
      </c>
      <c r="AW952" t="s">
        <v>420</v>
      </c>
      <c r="AX952" s="4" t="str">
        <f>"84059"</f>
        <v>84059</v>
      </c>
      <c r="AY952" t="s">
        <v>120</v>
      </c>
      <c r="BA952" s="5">
        <v>18013677097</v>
      </c>
      <c r="BC952" t="s">
        <v>430</v>
      </c>
      <c r="BD952" t="s">
        <v>431</v>
      </c>
      <c r="BG952" t="s">
        <v>420</v>
      </c>
      <c r="BH952" s="1">
        <v>44813.833333333336</v>
      </c>
      <c r="BI952">
        <v>35</v>
      </c>
      <c r="BJ952">
        <v>0</v>
      </c>
      <c r="BK952">
        <v>7</v>
      </c>
      <c r="BL952">
        <v>7</v>
      </c>
      <c r="BM952">
        <v>7</v>
      </c>
      <c r="BN952">
        <v>7</v>
      </c>
      <c r="BO952">
        <v>7</v>
      </c>
      <c r="BP952">
        <v>0</v>
      </c>
      <c r="BQ952" t="str">
        <f>"8:00 AM"</f>
        <v>8:00 AM</v>
      </c>
      <c r="BR952" t="str">
        <f>"3:30 PM"</f>
        <v>3:30 PM</v>
      </c>
      <c r="BS952" t="s">
        <v>133</v>
      </c>
      <c r="BT952">
        <v>0</v>
      </c>
      <c r="BU952">
        <v>0</v>
      </c>
      <c r="BV952" t="s">
        <v>134</v>
      </c>
      <c r="BX952" s="2" t="s">
        <v>13110</v>
      </c>
      <c r="BY952" t="s">
        <v>9249</v>
      </c>
      <c r="CA952" t="s">
        <v>9245</v>
      </c>
      <c r="CB952" t="s">
        <v>420</v>
      </c>
      <c r="CC952" s="4" t="str">
        <f>"84660"</f>
        <v>84660</v>
      </c>
      <c r="CD952" t="s">
        <v>433</v>
      </c>
      <c r="CE952" t="s">
        <v>434</v>
      </c>
      <c r="CF952" s="6">
        <v>17.21</v>
      </c>
      <c r="CH952" s="6">
        <v>25.82</v>
      </c>
      <c r="CJ952" t="s">
        <v>137</v>
      </c>
      <c r="CK952" t="s">
        <v>5243</v>
      </c>
      <c r="CL952" t="s">
        <v>13111</v>
      </c>
      <c r="CO952" t="s">
        <v>138</v>
      </c>
      <c r="CP952" t="s">
        <v>114</v>
      </c>
      <c r="CQ952" t="s">
        <v>114</v>
      </c>
      <c r="CR952" t="s">
        <v>114</v>
      </c>
      <c r="CS952" t="s">
        <v>134</v>
      </c>
      <c r="CT952" t="s">
        <v>114</v>
      </c>
      <c r="CU952" t="s">
        <v>134</v>
      </c>
      <c r="CV952" t="s">
        <v>437</v>
      </c>
      <c r="CW952" s="5" t="str">
        <f>"+18017358357"</f>
        <v>+18017358357</v>
      </c>
      <c r="CX952" t="s">
        <v>9247</v>
      </c>
      <c r="CY952" t="s">
        <v>138</v>
      </c>
      <c r="CZ952" t="s">
        <v>139</v>
      </c>
      <c r="DA952" t="s">
        <v>134</v>
      </c>
      <c r="DB952" t="s">
        <v>134</v>
      </c>
      <c r="DC952" t="s">
        <v>114</v>
      </c>
      <c r="DD952" t="s">
        <v>134</v>
      </c>
    </row>
    <row r="953" spans="1:113" ht="15" customHeight="1" x14ac:dyDescent="0.25">
      <c r="A953" t="s">
        <v>8544</v>
      </c>
      <c r="B953" t="s">
        <v>165</v>
      </c>
      <c r="C953" s="1">
        <v>44805.495271874999</v>
      </c>
      <c r="D953" s="1">
        <v>44848</v>
      </c>
      <c r="E953" t="s">
        <v>134</v>
      </c>
      <c r="F953" t="s">
        <v>2320</v>
      </c>
      <c r="G953" t="str">
        <f>"37-3011.00"</f>
        <v>37-3011.00</v>
      </c>
      <c r="H953" t="s">
        <v>335</v>
      </c>
      <c r="I953">
        <v>6</v>
      </c>
      <c r="J953">
        <v>6</v>
      </c>
      <c r="K953" s="1">
        <v>44880</v>
      </c>
      <c r="L953" s="1">
        <v>45124</v>
      </c>
      <c r="M953" s="1">
        <v>44880</v>
      </c>
      <c r="N953" s="1">
        <v>45124</v>
      </c>
      <c r="O953" t="s">
        <v>117</v>
      </c>
      <c r="P953" t="s">
        <v>8545</v>
      </c>
      <c r="R953" t="s">
        <v>8546</v>
      </c>
      <c r="T953" t="s">
        <v>8547</v>
      </c>
      <c r="U953" t="s">
        <v>232</v>
      </c>
      <c r="V953" s="4" t="str">
        <f>"77480"</f>
        <v>77480</v>
      </c>
      <c r="W953" t="s">
        <v>120</v>
      </c>
      <c r="Y953" s="5">
        <v>19793456490</v>
      </c>
      <c r="AA953">
        <v>561730</v>
      </c>
      <c r="AB953" t="s">
        <v>4522</v>
      </c>
      <c r="AC953" t="s">
        <v>2775</v>
      </c>
      <c r="AE953" t="s">
        <v>1526</v>
      </c>
      <c r="AF953" t="s">
        <v>8548</v>
      </c>
      <c r="AH953" t="s">
        <v>8549</v>
      </c>
      <c r="AI953" t="s">
        <v>232</v>
      </c>
      <c r="AJ953" s="4" t="str">
        <f>"77486"</f>
        <v>77486</v>
      </c>
      <c r="AK953" t="s">
        <v>120</v>
      </c>
      <c r="AM953" s="5">
        <v>19793455392</v>
      </c>
      <c r="AO953" t="s">
        <v>1574</v>
      </c>
      <c r="AP953" t="s">
        <v>256</v>
      </c>
      <c r="AQ953" t="s">
        <v>2478</v>
      </c>
      <c r="AR953" t="s">
        <v>1427</v>
      </c>
      <c r="AT953" t="s">
        <v>2479</v>
      </c>
      <c r="AV953" t="s">
        <v>2480</v>
      </c>
      <c r="AW953" t="s">
        <v>129</v>
      </c>
      <c r="AX953" s="4" t="str">
        <f>"31606"</f>
        <v>31606</v>
      </c>
      <c r="AY953" t="s">
        <v>120</v>
      </c>
      <c r="BA953" s="5">
        <v>12295590241</v>
      </c>
      <c r="BC953" t="s">
        <v>2481</v>
      </c>
      <c r="BD953" t="s">
        <v>2482</v>
      </c>
      <c r="BG953" t="s">
        <v>232</v>
      </c>
      <c r="BH953" s="1">
        <v>44804.833333333336</v>
      </c>
      <c r="BI953">
        <v>35</v>
      </c>
      <c r="BJ953">
        <v>0</v>
      </c>
      <c r="BK953">
        <v>6</v>
      </c>
      <c r="BL953">
        <v>6</v>
      </c>
      <c r="BM953">
        <v>6</v>
      </c>
      <c r="BN953">
        <v>6</v>
      </c>
      <c r="BO953">
        <v>6</v>
      </c>
      <c r="BP953">
        <v>5</v>
      </c>
      <c r="BQ953" t="str">
        <f>"7:00 AM"</f>
        <v>7:00 AM</v>
      </c>
      <c r="BR953" t="str">
        <f>"2:00 PM"</f>
        <v>2:00 PM</v>
      </c>
      <c r="BS953" t="s">
        <v>133</v>
      </c>
      <c r="BT953">
        <v>0</v>
      </c>
      <c r="BU953">
        <v>0</v>
      </c>
      <c r="BV953" t="s">
        <v>134</v>
      </c>
      <c r="BX953" t="s">
        <v>8550</v>
      </c>
      <c r="BY953" t="s">
        <v>8551</v>
      </c>
      <c r="CA953" t="s">
        <v>8547</v>
      </c>
      <c r="CB953" t="s">
        <v>232</v>
      </c>
      <c r="CC953" s="4" t="str">
        <f>"77480"</f>
        <v>77480</v>
      </c>
      <c r="CD953" t="s">
        <v>4126</v>
      </c>
      <c r="CE953" t="s">
        <v>873</v>
      </c>
      <c r="CF953" s="6">
        <v>15.56</v>
      </c>
      <c r="CJ953" t="s">
        <v>137</v>
      </c>
      <c r="CL953" t="s">
        <v>8552</v>
      </c>
      <c r="CO953" t="s">
        <v>138</v>
      </c>
      <c r="CP953" t="s">
        <v>134</v>
      </c>
      <c r="CQ953" t="s">
        <v>114</v>
      </c>
      <c r="CR953" t="s">
        <v>134</v>
      </c>
      <c r="CS953" t="s">
        <v>134</v>
      </c>
      <c r="CT953" t="s">
        <v>114</v>
      </c>
      <c r="CU953" t="s">
        <v>134</v>
      </c>
      <c r="CV953" t="s">
        <v>2483</v>
      </c>
      <c r="CW953" s="5" t="str">
        <f>"+12295590241"</f>
        <v>+12295590241</v>
      </c>
      <c r="CX953" t="s">
        <v>2481</v>
      </c>
      <c r="CY953" t="s">
        <v>138</v>
      </c>
      <c r="CZ953" t="s">
        <v>139</v>
      </c>
      <c r="DA953" t="s">
        <v>134</v>
      </c>
      <c r="DB953" t="s">
        <v>134</v>
      </c>
      <c r="DC953" t="s">
        <v>114</v>
      </c>
      <c r="DD953" t="s">
        <v>134</v>
      </c>
    </row>
    <row r="954" spans="1:113" ht="15" customHeight="1" x14ac:dyDescent="0.25">
      <c r="A954" t="s">
        <v>13890</v>
      </c>
      <c r="B954" t="s">
        <v>165</v>
      </c>
      <c r="C954" s="1">
        <v>44804.690696412035</v>
      </c>
      <c r="D954" s="1">
        <v>44848</v>
      </c>
      <c r="E954" t="s">
        <v>134</v>
      </c>
      <c r="F954" t="s">
        <v>2393</v>
      </c>
      <c r="G954" t="str">
        <f>"35-2014.00"</f>
        <v>35-2014.00</v>
      </c>
      <c r="H954" t="s">
        <v>915</v>
      </c>
      <c r="I954">
        <v>3</v>
      </c>
      <c r="J954">
        <v>3</v>
      </c>
      <c r="K954" s="1">
        <v>44880</v>
      </c>
      <c r="L954" s="1">
        <v>45016</v>
      </c>
      <c r="M954" s="1">
        <v>44880</v>
      </c>
      <c r="N954" s="1">
        <v>45016</v>
      </c>
      <c r="O954" t="s">
        <v>117</v>
      </c>
      <c r="P954" t="s">
        <v>5372</v>
      </c>
      <c r="R954" t="s">
        <v>5373</v>
      </c>
      <c r="S954" t="s">
        <v>13891</v>
      </c>
      <c r="T954" t="s">
        <v>4962</v>
      </c>
      <c r="U954" t="s">
        <v>1846</v>
      </c>
      <c r="V954" s="4" t="str">
        <f>"05672"</f>
        <v>05672</v>
      </c>
      <c r="W954" t="s">
        <v>120</v>
      </c>
      <c r="Y954" s="5">
        <v>18022538511</v>
      </c>
      <c r="AA954">
        <v>721110</v>
      </c>
      <c r="AB954" t="s">
        <v>5375</v>
      </c>
      <c r="AC954" t="s">
        <v>2484</v>
      </c>
      <c r="AE954" t="s">
        <v>5376</v>
      </c>
      <c r="AF954" t="s">
        <v>5373</v>
      </c>
      <c r="AG954" t="s">
        <v>13892</v>
      </c>
      <c r="AH954" t="s">
        <v>4962</v>
      </c>
      <c r="AI954" t="s">
        <v>1846</v>
      </c>
      <c r="AJ954" s="4" t="str">
        <f>"05672"</f>
        <v>05672</v>
      </c>
      <c r="AK954" t="s">
        <v>120</v>
      </c>
      <c r="AM954" s="5">
        <v>18022538511</v>
      </c>
      <c r="AO954" t="s">
        <v>5377</v>
      </c>
      <c r="AP954" t="s">
        <v>122</v>
      </c>
      <c r="AQ954" t="s">
        <v>753</v>
      </c>
      <c r="AR954" t="s">
        <v>754</v>
      </c>
      <c r="AS954" t="s">
        <v>755</v>
      </c>
      <c r="AT954" t="s">
        <v>756</v>
      </c>
      <c r="AU954" t="s">
        <v>757</v>
      </c>
      <c r="AV954" t="s">
        <v>758</v>
      </c>
      <c r="AW954" t="s">
        <v>281</v>
      </c>
      <c r="AX954" s="4" t="str">
        <f>"01701"</f>
        <v>01701</v>
      </c>
      <c r="AY954" t="s">
        <v>120</v>
      </c>
      <c r="BA954" s="5">
        <v>16179399444</v>
      </c>
      <c r="BC954" t="s">
        <v>2487</v>
      </c>
      <c r="BD954" t="s">
        <v>760</v>
      </c>
      <c r="BE954" t="s">
        <v>281</v>
      </c>
      <c r="BF954" t="s">
        <v>761</v>
      </c>
      <c r="BG954" t="s">
        <v>1846</v>
      </c>
      <c r="BH954" s="1">
        <v>44789.833333333336</v>
      </c>
      <c r="BI954">
        <v>40</v>
      </c>
      <c r="BJ954">
        <v>0</v>
      </c>
      <c r="BK954">
        <v>8</v>
      </c>
      <c r="BL954">
        <v>8</v>
      </c>
      <c r="BM954">
        <v>8</v>
      </c>
      <c r="BN954">
        <v>8</v>
      </c>
      <c r="BO954">
        <v>8</v>
      </c>
      <c r="BP954">
        <v>0</v>
      </c>
      <c r="BQ954" t="str">
        <f>"8:00 AM"</f>
        <v>8:00 AM</v>
      </c>
      <c r="BR954" t="str">
        <f>"4:00 PM"</f>
        <v>4:00 PM</v>
      </c>
      <c r="BS954" t="s">
        <v>133</v>
      </c>
      <c r="BT954">
        <v>0</v>
      </c>
      <c r="BU954">
        <v>6</v>
      </c>
      <c r="BV954" t="s">
        <v>134</v>
      </c>
      <c r="BX954" s="2" t="s">
        <v>13893</v>
      </c>
      <c r="BY954" t="s">
        <v>5373</v>
      </c>
      <c r="CA954" t="s">
        <v>4962</v>
      </c>
      <c r="CB954" t="s">
        <v>1846</v>
      </c>
      <c r="CC954" s="4" t="str">
        <f>"05672"</f>
        <v>05672</v>
      </c>
      <c r="CD954" t="s">
        <v>4966</v>
      </c>
      <c r="CE954" t="s">
        <v>3569</v>
      </c>
      <c r="CF954" s="6">
        <v>18.170000000000002</v>
      </c>
      <c r="CH954" s="6">
        <v>27.26</v>
      </c>
      <c r="CJ954" t="s">
        <v>137</v>
      </c>
      <c r="CK954" t="s">
        <v>13894</v>
      </c>
      <c r="CL954" t="s">
        <v>13895</v>
      </c>
      <c r="CO954" t="s">
        <v>138</v>
      </c>
      <c r="CP954" t="s">
        <v>134</v>
      </c>
      <c r="CQ954" t="s">
        <v>134</v>
      </c>
      <c r="CR954" t="s">
        <v>114</v>
      </c>
      <c r="CS954" t="s">
        <v>114</v>
      </c>
      <c r="CT954" t="s">
        <v>114</v>
      </c>
      <c r="CU954" t="s">
        <v>134</v>
      </c>
      <c r="CV954" t="s">
        <v>5381</v>
      </c>
      <c r="CW954" s="5" t="str">
        <f>"+18022538511"</f>
        <v>+18022538511</v>
      </c>
      <c r="CX954" t="s">
        <v>5382</v>
      </c>
      <c r="CY954" t="s">
        <v>138</v>
      </c>
      <c r="CZ954" t="s">
        <v>139</v>
      </c>
      <c r="DA954" t="s">
        <v>134</v>
      </c>
      <c r="DB954" t="s">
        <v>134</v>
      </c>
      <c r="DC954" t="s">
        <v>114</v>
      </c>
      <c r="DD954" t="s">
        <v>134</v>
      </c>
    </row>
    <row r="955" spans="1:113" ht="15" customHeight="1" x14ac:dyDescent="0.25">
      <c r="A955" t="s">
        <v>7688</v>
      </c>
      <c r="B955" t="s">
        <v>165</v>
      </c>
      <c r="C955" s="1">
        <v>44804.679426388888</v>
      </c>
      <c r="D955" s="1">
        <v>44848</v>
      </c>
      <c r="E955" t="s">
        <v>134</v>
      </c>
      <c r="F955" t="s">
        <v>2068</v>
      </c>
      <c r="G955" t="str">
        <f>"35-9021.00"</f>
        <v>35-9021.00</v>
      </c>
      <c r="H955" t="s">
        <v>1910</v>
      </c>
      <c r="I955">
        <v>3</v>
      </c>
      <c r="J955">
        <v>3</v>
      </c>
      <c r="K955" s="1">
        <v>44880</v>
      </c>
      <c r="L955" s="1">
        <v>45016</v>
      </c>
      <c r="M955" s="1">
        <v>44880</v>
      </c>
      <c r="N955" s="1">
        <v>45016</v>
      </c>
      <c r="O955" t="s">
        <v>117</v>
      </c>
      <c r="P955" t="s">
        <v>5372</v>
      </c>
      <c r="R955" t="s">
        <v>5373</v>
      </c>
      <c r="S955" t="s">
        <v>7689</v>
      </c>
      <c r="T955" t="s">
        <v>4962</v>
      </c>
      <c r="U955" t="s">
        <v>1846</v>
      </c>
      <c r="V955" s="4" t="str">
        <f>"05672"</f>
        <v>05672</v>
      </c>
      <c r="W955" t="s">
        <v>120</v>
      </c>
      <c r="Y955" s="5">
        <v>18022538511</v>
      </c>
      <c r="AA955">
        <v>721110</v>
      </c>
      <c r="AB955" t="s">
        <v>5375</v>
      </c>
      <c r="AC955" t="s">
        <v>2484</v>
      </c>
      <c r="AE955" t="s">
        <v>5376</v>
      </c>
      <c r="AF955" t="s">
        <v>5373</v>
      </c>
      <c r="AH955" t="s">
        <v>4962</v>
      </c>
      <c r="AI955" t="s">
        <v>1846</v>
      </c>
      <c r="AJ955" s="4" t="str">
        <f>"05672"</f>
        <v>05672</v>
      </c>
      <c r="AK955" t="s">
        <v>120</v>
      </c>
      <c r="AM955" s="5">
        <v>18022538511</v>
      </c>
      <c r="AO955" t="s">
        <v>5377</v>
      </c>
      <c r="AP955" t="s">
        <v>122</v>
      </c>
      <c r="AQ955" t="s">
        <v>753</v>
      </c>
      <c r="AR955" t="s">
        <v>754</v>
      </c>
      <c r="AS955" t="s">
        <v>755</v>
      </c>
      <c r="AT955" t="s">
        <v>756</v>
      </c>
      <c r="AU955" t="s">
        <v>757</v>
      </c>
      <c r="AV955" t="s">
        <v>758</v>
      </c>
      <c r="AW955" t="s">
        <v>281</v>
      </c>
      <c r="AX955" s="4" t="str">
        <f>"01701"</f>
        <v>01701</v>
      </c>
      <c r="AY955" t="s">
        <v>120</v>
      </c>
      <c r="BA955" s="5">
        <v>16179399444</v>
      </c>
      <c r="BC955" t="s">
        <v>2487</v>
      </c>
      <c r="BD955" t="s">
        <v>760</v>
      </c>
      <c r="BE955" t="s">
        <v>281</v>
      </c>
      <c r="BF955" t="s">
        <v>761</v>
      </c>
      <c r="BG955" t="s">
        <v>1846</v>
      </c>
      <c r="BH955" s="1">
        <v>44789.833333333336</v>
      </c>
      <c r="BI955">
        <v>40</v>
      </c>
      <c r="BJ955">
        <v>0</v>
      </c>
      <c r="BK955">
        <v>8</v>
      </c>
      <c r="BL955">
        <v>8</v>
      </c>
      <c r="BM955">
        <v>8</v>
      </c>
      <c r="BN955">
        <v>8</v>
      </c>
      <c r="BO955">
        <v>8</v>
      </c>
      <c r="BP955">
        <v>0</v>
      </c>
      <c r="BQ955" t="str">
        <f>"8:00 AM"</f>
        <v>8:00 AM</v>
      </c>
      <c r="BR955" t="str">
        <f>"4:00 PM"</f>
        <v>4:00 PM</v>
      </c>
      <c r="BS955" t="s">
        <v>133</v>
      </c>
      <c r="BT955">
        <v>0</v>
      </c>
      <c r="BU955">
        <v>3</v>
      </c>
      <c r="BV955" t="s">
        <v>134</v>
      </c>
      <c r="BX955" s="2" t="s">
        <v>7690</v>
      </c>
      <c r="BY955" t="s">
        <v>5373</v>
      </c>
      <c r="CA955" t="s">
        <v>4962</v>
      </c>
      <c r="CB955" t="s">
        <v>1846</v>
      </c>
      <c r="CC955" s="4" t="str">
        <f>"05672"</f>
        <v>05672</v>
      </c>
      <c r="CD955" t="s">
        <v>4966</v>
      </c>
      <c r="CE955" t="s">
        <v>3569</v>
      </c>
      <c r="CF955" s="6">
        <v>13.49</v>
      </c>
      <c r="CH955" s="6">
        <v>20.239999999999998</v>
      </c>
      <c r="CJ955" t="s">
        <v>137</v>
      </c>
      <c r="CK955" t="s">
        <v>7691</v>
      </c>
      <c r="CL955" t="s">
        <v>7692</v>
      </c>
      <c r="CO955" t="s">
        <v>138</v>
      </c>
      <c r="CP955" t="s">
        <v>134</v>
      </c>
      <c r="CQ955" t="s">
        <v>134</v>
      </c>
      <c r="CR955" t="s">
        <v>114</v>
      </c>
      <c r="CS955" t="s">
        <v>114</v>
      </c>
      <c r="CT955" t="s">
        <v>114</v>
      </c>
      <c r="CU955" t="s">
        <v>134</v>
      </c>
      <c r="CV955" t="s">
        <v>5381</v>
      </c>
      <c r="CW955" s="5" t="str">
        <f>"+18022538511"</f>
        <v>+18022538511</v>
      </c>
      <c r="CX955" t="s">
        <v>5382</v>
      </c>
      <c r="CY955" t="s">
        <v>138</v>
      </c>
      <c r="CZ955" t="s">
        <v>139</v>
      </c>
      <c r="DA955" t="s">
        <v>134</v>
      </c>
      <c r="DB955" t="s">
        <v>134</v>
      </c>
      <c r="DC955" t="s">
        <v>114</v>
      </c>
      <c r="DD955" t="s">
        <v>134</v>
      </c>
    </row>
    <row r="956" spans="1:113" ht="15" customHeight="1" x14ac:dyDescent="0.25">
      <c r="A956" t="s">
        <v>5371</v>
      </c>
      <c r="B956" t="s">
        <v>165</v>
      </c>
      <c r="C956" s="1">
        <v>44804.671459722224</v>
      </c>
      <c r="D956" s="1">
        <v>44848</v>
      </c>
      <c r="E956" t="s">
        <v>134</v>
      </c>
      <c r="F956" t="s">
        <v>115</v>
      </c>
      <c r="G956" t="str">
        <f>"37-2012.00"</f>
        <v>37-2012.00</v>
      </c>
      <c r="H956" t="s">
        <v>116</v>
      </c>
      <c r="I956">
        <v>7</v>
      </c>
      <c r="J956">
        <v>7</v>
      </c>
      <c r="K956" s="1">
        <v>44880</v>
      </c>
      <c r="L956" s="1">
        <v>45016</v>
      </c>
      <c r="M956" s="1">
        <v>44880</v>
      </c>
      <c r="N956" s="1">
        <v>45016</v>
      </c>
      <c r="O956" t="s">
        <v>117</v>
      </c>
      <c r="P956" t="s">
        <v>5372</v>
      </c>
      <c r="R956" t="s">
        <v>5373</v>
      </c>
      <c r="S956" t="s">
        <v>5374</v>
      </c>
      <c r="T956" t="s">
        <v>4962</v>
      </c>
      <c r="U956" t="s">
        <v>1846</v>
      </c>
      <c r="V956" s="4" t="str">
        <f>"05672"</f>
        <v>05672</v>
      </c>
      <c r="W956" t="s">
        <v>120</v>
      </c>
      <c r="Y956" s="5">
        <v>18022538511</v>
      </c>
      <c r="AA956">
        <v>721110</v>
      </c>
      <c r="AB956" t="s">
        <v>5375</v>
      </c>
      <c r="AC956" t="s">
        <v>2484</v>
      </c>
      <c r="AE956" t="s">
        <v>5376</v>
      </c>
      <c r="AF956" t="s">
        <v>5373</v>
      </c>
      <c r="AG956" t="s">
        <v>5374</v>
      </c>
      <c r="AH956" t="s">
        <v>4962</v>
      </c>
      <c r="AI956" t="s">
        <v>1846</v>
      </c>
      <c r="AJ956" s="4" t="str">
        <f>"05672"</f>
        <v>05672</v>
      </c>
      <c r="AK956" t="s">
        <v>120</v>
      </c>
      <c r="AM956" s="5">
        <v>18022538511</v>
      </c>
      <c r="AO956" t="s">
        <v>5377</v>
      </c>
      <c r="AP956" t="s">
        <v>122</v>
      </c>
      <c r="AQ956" t="s">
        <v>753</v>
      </c>
      <c r="AR956" t="s">
        <v>754</v>
      </c>
      <c r="AS956" t="s">
        <v>755</v>
      </c>
      <c r="AT956" t="s">
        <v>756</v>
      </c>
      <c r="AU956" t="s">
        <v>757</v>
      </c>
      <c r="AV956" t="s">
        <v>758</v>
      </c>
      <c r="AW956" t="s">
        <v>281</v>
      </c>
      <c r="AX956" s="4" t="str">
        <f>"01701"</f>
        <v>01701</v>
      </c>
      <c r="AY956" t="s">
        <v>120</v>
      </c>
      <c r="BA956" s="5">
        <v>16179399444</v>
      </c>
      <c r="BC956" t="s">
        <v>2487</v>
      </c>
      <c r="BD956" t="s">
        <v>760</v>
      </c>
      <c r="BE956" t="s">
        <v>281</v>
      </c>
      <c r="BF956" t="s">
        <v>761</v>
      </c>
      <c r="BG956" t="s">
        <v>1846</v>
      </c>
      <c r="BH956" s="1">
        <v>44789.833333333336</v>
      </c>
      <c r="BI956">
        <v>40</v>
      </c>
      <c r="BJ956">
        <v>0</v>
      </c>
      <c r="BK956">
        <v>8</v>
      </c>
      <c r="BL956">
        <v>8</v>
      </c>
      <c r="BM956">
        <v>8</v>
      </c>
      <c r="BN956">
        <v>8</v>
      </c>
      <c r="BO956">
        <v>8</v>
      </c>
      <c r="BP956">
        <v>0</v>
      </c>
      <c r="BQ956" t="str">
        <f>"8:00 AM"</f>
        <v>8:00 AM</v>
      </c>
      <c r="BR956" t="str">
        <f>"4:00 PM"</f>
        <v>4:00 PM</v>
      </c>
      <c r="BS956" t="s">
        <v>133</v>
      </c>
      <c r="BT956">
        <v>0</v>
      </c>
      <c r="BU956">
        <v>3</v>
      </c>
      <c r="BV956" t="s">
        <v>134</v>
      </c>
      <c r="BX956" s="2" t="s">
        <v>5378</v>
      </c>
      <c r="BY956" t="s">
        <v>5373</v>
      </c>
      <c r="CA956" t="s">
        <v>4962</v>
      </c>
      <c r="CB956" t="s">
        <v>1846</v>
      </c>
      <c r="CC956" s="4" t="str">
        <f>"05672"</f>
        <v>05672</v>
      </c>
      <c r="CD956" t="s">
        <v>4966</v>
      </c>
      <c r="CE956" t="s">
        <v>3569</v>
      </c>
      <c r="CF956" s="6">
        <v>15.57</v>
      </c>
      <c r="CH956" s="6">
        <v>23.36</v>
      </c>
      <c r="CJ956" t="s">
        <v>137</v>
      </c>
      <c r="CK956" t="s">
        <v>5379</v>
      </c>
      <c r="CL956" t="s">
        <v>5380</v>
      </c>
      <c r="CO956" t="s">
        <v>138</v>
      </c>
      <c r="CP956" t="s">
        <v>134</v>
      </c>
      <c r="CQ956" t="s">
        <v>134</v>
      </c>
      <c r="CR956" t="s">
        <v>114</v>
      </c>
      <c r="CS956" t="s">
        <v>114</v>
      </c>
      <c r="CT956" t="s">
        <v>114</v>
      </c>
      <c r="CU956" t="s">
        <v>134</v>
      </c>
      <c r="CV956" t="s">
        <v>5381</v>
      </c>
      <c r="CW956" s="5" t="str">
        <f>"+18022538511"</f>
        <v>+18022538511</v>
      </c>
      <c r="CX956" t="s">
        <v>5382</v>
      </c>
      <c r="CY956" t="s">
        <v>138</v>
      </c>
      <c r="CZ956" t="s">
        <v>139</v>
      </c>
      <c r="DA956" t="s">
        <v>134</v>
      </c>
      <c r="DB956" t="s">
        <v>134</v>
      </c>
      <c r="DC956" t="s">
        <v>114</v>
      </c>
      <c r="DD956" t="s">
        <v>134</v>
      </c>
    </row>
    <row r="957" spans="1:113" ht="15" customHeight="1" x14ac:dyDescent="0.25">
      <c r="A957" t="s">
        <v>9599</v>
      </c>
      <c r="B957" t="s">
        <v>165</v>
      </c>
      <c r="C957" s="1">
        <v>44799.832588657409</v>
      </c>
      <c r="D957" s="1">
        <v>44848</v>
      </c>
      <c r="E957" t="s">
        <v>134</v>
      </c>
      <c r="F957" t="s">
        <v>2492</v>
      </c>
      <c r="G957" t="str">
        <f>"35-9011.00"</f>
        <v>35-9011.00</v>
      </c>
      <c r="H957" t="s">
        <v>743</v>
      </c>
      <c r="I957">
        <v>6</v>
      </c>
      <c r="J957">
        <v>6</v>
      </c>
      <c r="K957" s="1">
        <v>44874</v>
      </c>
      <c r="L957" s="1">
        <v>45077</v>
      </c>
      <c r="M957" s="1">
        <v>44874</v>
      </c>
      <c r="N957" s="1">
        <v>45077</v>
      </c>
      <c r="O957" t="s">
        <v>199</v>
      </c>
      <c r="P957" t="s">
        <v>9600</v>
      </c>
      <c r="R957" t="s">
        <v>9601</v>
      </c>
      <c r="T957" t="s">
        <v>9602</v>
      </c>
      <c r="U957" t="s">
        <v>154</v>
      </c>
      <c r="V957" s="4" t="str">
        <f>"34212"</f>
        <v>34212</v>
      </c>
      <c r="W957" t="s">
        <v>120</v>
      </c>
      <c r="Y957" s="5">
        <v>19417476898</v>
      </c>
      <c r="AA957">
        <v>62399</v>
      </c>
      <c r="AB957" t="s">
        <v>9603</v>
      </c>
      <c r="AC957" t="s">
        <v>1221</v>
      </c>
      <c r="AE957" t="s">
        <v>1849</v>
      </c>
      <c r="AF957" t="s">
        <v>9601</v>
      </c>
      <c r="AH957" t="s">
        <v>9602</v>
      </c>
      <c r="AI957" t="s">
        <v>154</v>
      </c>
      <c r="AJ957" s="4" t="str">
        <f>"34212"</f>
        <v>34212</v>
      </c>
      <c r="AK957" t="s">
        <v>120</v>
      </c>
      <c r="AM957" s="5">
        <v>19417476898</v>
      </c>
      <c r="AO957" t="s">
        <v>138</v>
      </c>
      <c r="AP957" t="s">
        <v>256</v>
      </c>
      <c r="AQ957" t="s">
        <v>1220</v>
      </c>
      <c r="AR957" t="s">
        <v>1221</v>
      </c>
      <c r="AT957" t="s">
        <v>1222</v>
      </c>
      <c r="AV957" t="s">
        <v>1223</v>
      </c>
      <c r="AW957" t="s">
        <v>848</v>
      </c>
      <c r="AX957" s="4" t="str">
        <f>"11590"</f>
        <v>11590</v>
      </c>
      <c r="AY957" t="s">
        <v>120</v>
      </c>
      <c r="BA957" s="5">
        <v>17577613231</v>
      </c>
      <c r="BC957" t="s">
        <v>1224</v>
      </c>
      <c r="BD957" t="s">
        <v>1225</v>
      </c>
      <c r="BG957" t="s">
        <v>154</v>
      </c>
      <c r="BH957" s="1">
        <v>44797.833333333336</v>
      </c>
      <c r="BI957">
        <v>40</v>
      </c>
      <c r="BJ957">
        <v>0</v>
      </c>
      <c r="BK957">
        <v>8</v>
      </c>
      <c r="BL957">
        <v>0</v>
      </c>
      <c r="BM957">
        <v>8</v>
      </c>
      <c r="BN957">
        <v>8</v>
      </c>
      <c r="BO957">
        <v>8</v>
      </c>
      <c r="BP957">
        <v>8</v>
      </c>
      <c r="BQ957" t="str">
        <f>"7:00 AM"</f>
        <v>7:00 AM</v>
      </c>
      <c r="BR957" t="str">
        <f>"11:00 PM"</f>
        <v>11:00 PM</v>
      </c>
      <c r="BS957" t="s">
        <v>133</v>
      </c>
      <c r="BT957">
        <v>0</v>
      </c>
      <c r="BU957">
        <v>0</v>
      </c>
      <c r="BV957" t="s">
        <v>134</v>
      </c>
      <c r="BX957" t="s">
        <v>1574</v>
      </c>
      <c r="BY957" t="s">
        <v>9604</v>
      </c>
      <c r="CA957" t="s">
        <v>9602</v>
      </c>
      <c r="CB957" t="s">
        <v>154</v>
      </c>
      <c r="CC957" s="4" t="str">
        <f>"34212"</f>
        <v>34212</v>
      </c>
      <c r="CD957" t="s">
        <v>8229</v>
      </c>
      <c r="CE957" t="s">
        <v>3944</v>
      </c>
      <c r="CF957" s="6">
        <v>11.85</v>
      </c>
      <c r="CG957" s="6">
        <v>11.85</v>
      </c>
      <c r="CH957" s="6">
        <v>17.77</v>
      </c>
      <c r="CI957" s="6">
        <v>17.77</v>
      </c>
      <c r="CJ957" t="s">
        <v>137</v>
      </c>
      <c r="CK957" t="s">
        <v>9605</v>
      </c>
      <c r="CL957" t="s">
        <v>9606</v>
      </c>
      <c r="CO957" t="s">
        <v>138</v>
      </c>
      <c r="CP957" t="s">
        <v>134</v>
      </c>
      <c r="CQ957" t="s">
        <v>134</v>
      </c>
      <c r="CR957" t="s">
        <v>114</v>
      </c>
      <c r="CS957" t="s">
        <v>134</v>
      </c>
      <c r="CT957" t="s">
        <v>114</v>
      </c>
      <c r="CU957" t="s">
        <v>114</v>
      </c>
      <c r="CV957" t="s">
        <v>9607</v>
      </c>
      <c r="CW957" s="5" t="str">
        <f>"+19417476898"</f>
        <v>+19417476898</v>
      </c>
      <c r="CX957" t="s">
        <v>9608</v>
      </c>
      <c r="CY957" t="s">
        <v>138</v>
      </c>
      <c r="CZ957" t="s">
        <v>139</v>
      </c>
      <c r="DA957" t="s">
        <v>134</v>
      </c>
      <c r="DB957" t="s">
        <v>134</v>
      </c>
      <c r="DC957" t="s">
        <v>114</v>
      </c>
      <c r="DD957" t="s">
        <v>134</v>
      </c>
    </row>
    <row r="958" spans="1:113" ht="15" customHeight="1" x14ac:dyDescent="0.25">
      <c r="A958" t="s">
        <v>164</v>
      </c>
      <c r="B958" t="s">
        <v>165</v>
      </c>
      <c r="C958" s="1">
        <v>44791.628579629629</v>
      </c>
      <c r="D958" s="1">
        <v>44848</v>
      </c>
      <c r="E958" t="s">
        <v>134</v>
      </c>
      <c r="F958" t="s">
        <v>166</v>
      </c>
      <c r="G958" t="str">
        <f>"51-2092.00"</f>
        <v>51-2092.00</v>
      </c>
      <c r="H958" t="s">
        <v>167</v>
      </c>
      <c r="I958">
        <v>25</v>
      </c>
      <c r="J958">
        <v>25</v>
      </c>
      <c r="K958" s="1">
        <v>44866</v>
      </c>
      <c r="L958" s="1">
        <v>45016</v>
      </c>
      <c r="M958" s="1">
        <v>44866</v>
      </c>
      <c r="N958" s="1">
        <v>45016</v>
      </c>
      <c r="O958" t="s">
        <v>168</v>
      </c>
      <c r="P958" t="s">
        <v>169</v>
      </c>
      <c r="R958" t="s">
        <v>170</v>
      </c>
      <c r="T958" t="s">
        <v>171</v>
      </c>
      <c r="U958" t="s">
        <v>119</v>
      </c>
      <c r="V958" s="4" t="str">
        <f>"27006"</f>
        <v>27006</v>
      </c>
      <c r="W958" t="s">
        <v>120</v>
      </c>
      <c r="Y958" s="5">
        <v>16088635999</v>
      </c>
      <c r="AA958">
        <v>337121</v>
      </c>
      <c r="AB958" t="s">
        <v>172</v>
      </c>
      <c r="AC958" t="s">
        <v>173</v>
      </c>
      <c r="AE958" t="s">
        <v>174</v>
      </c>
      <c r="AF958" t="s">
        <v>170</v>
      </c>
      <c r="AH958" t="s">
        <v>171</v>
      </c>
      <c r="AI958" t="s">
        <v>119</v>
      </c>
      <c r="AJ958" s="4" t="str">
        <f>"27006"</f>
        <v>27006</v>
      </c>
      <c r="AK958" t="s">
        <v>120</v>
      </c>
      <c r="AM958" s="5">
        <v>16088635999</v>
      </c>
      <c r="AO958" t="s">
        <v>175</v>
      </c>
      <c r="AP958" t="s">
        <v>122</v>
      </c>
      <c r="AQ958" t="s">
        <v>176</v>
      </c>
      <c r="AR958" t="s">
        <v>146</v>
      </c>
      <c r="AS958" t="s">
        <v>177</v>
      </c>
      <c r="AT958" t="s">
        <v>178</v>
      </c>
      <c r="AU958" t="s">
        <v>179</v>
      </c>
      <c r="AV958" t="s">
        <v>180</v>
      </c>
      <c r="AW958" t="s">
        <v>181</v>
      </c>
      <c r="AX958" s="4" t="str">
        <f>"80222"</f>
        <v>80222</v>
      </c>
      <c r="AY958" t="s">
        <v>120</v>
      </c>
      <c r="BA958" s="5">
        <v>13037646802</v>
      </c>
      <c r="BC958" t="s">
        <v>182</v>
      </c>
      <c r="BD958" t="s">
        <v>183</v>
      </c>
      <c r="BE958" t="s">
        <v>184</v>
      </c>
      <c r="BF958" t="s">
        <v>185</v>
      </c>
      <c r="BG958" t="s">
        <v>119</v>
      </c>
      <c r="BH958" s="1">
        <v>44790.833333333336</v>
      </c>
      <c r="BI958">
        <v>40</v>
      </c>
      <c r="BJ958">
        <v>0</v>
      </c>
      <c r="BK958">
        <v>10</v>
      </c>
      <c r="BL958">
        <v>10</v>
      </c>
      <c r="BM958">
        <v>10</v>
      </c>
      <c r="BN958">
        <v>10</v>
      </c>
      <c r="BO958">
        <v>0</v>
      </c>
      <c r="BP958">
        <v>0</v>
      </c>
      <c r="BQ958" t="str">
        <f>"5:00 PM"</f>
        <v>5:00 PM</v>
      </c>
      <c r="BR958" t="str">
        <f>"3:00 AM"</f>
        <v>3:00 AM</v>
      </c>
      <c r="BS958" t="s">
        <v>133</v>
      </c>
      <c r="BT958">
        <v>0</v>
      </c>
      <c r="BU958">
        <v>0</v>
      </c>
      <c r="BV958" t="s">
        <v>134</v>
      </c>
      <c r="BX958" t="s">
        <v>186</v>
      </c>
      <c r="BY958" t="s">
        <v>170</v>
      </c>
      <c r="CA958" t="s">
        <v>171</v>
      </c>
      <c r="CB958" t="s">
        <v>119</v>
      </c>
      <c r="CC958" s="4" t="str">
        <f>"27006"</f>
        <v>27006</v>
      </c>
      <c r="CD958" t="s">
        <v>187</v>
      </c>
      <c r="CE958" t="s">
        <v>188</v>
      </c>
      <c r="CF958" s="6">
        <v>16.559999999999999</v>
      </c>
      <c r="CG958" s="6">
        <v>19.559999999999999</v>
      </c>
      <c r="CH958" s="6">
        <v>24.84</v>
      </c>
      <c r="CI958" s="6">
        <v>29.34</v>
      </c>
      <c r="CJ958" t="s">
        <v>137</v>
      </c>
      <c r="CK958" t="s">
        <v>189</v>
      </c>
      <c r="CL958" t="s">
        <v>190</v>
      </c>
      <c r="CO958" t="s">
        <v>138</v>
      </c>
      <c r="CP958" t="s">
        <v>134</v>
      </c>
      <c r="CQ958" t="s">
        <v>114</v>
      </c>
      <c r="CR958" t="s">
        <v>114</v>
      </c>
      <c r="CS958" t="s">
        <v>114</v>
      </c>
      <c r="CT958" t="s">
        <v>114</v>
      </c>
      <c r="CU958" t="s">
        <v>114</v>
      </c>
      <c r="CV958" t="s">
        <v>191</v>
      </c>
      <c r="CW958" s="5" t="str">
        <f>"+16088635999"</f>
        <v>+16088635999</v>
      </c>
      <c r="CX958" t="s">
        <v>138</v>
      </c>
      <c r="CY958" t="s">
        <v>192</v>
      </c>
      <c r="CZ958" t="s">
        <v>139</v>
      </c>
      <c r="DA958" t="s">
        <v>134</v>
      </c>
      <c r="DB958" t="s">
        <v>114</v>
      </c>
      <c r="DC958" t="s">
        <v>114</v>
      </c>
      <c r="DD958" t="s">
        <v>134</v>
      </c>
      <c r="DE958" t="s">
        <v>193</v>
      </c>
      <c r="DF958" t="s">
        <v>194</v>
      </c>
      <c r="DH958" t="s">
        <v>183</v>
      </c>
      <c r="DI958" t="s">
        <v>195</v>
      </c>
    </row>
    <row r="959" spans="1:113" ht="15" customHeight="1" x14ac:dyDescent="0.25">
      <c r="A959" t="s">
        <v>14502</v>
      </c>
      <c r="B959" t="s">
        <v>165</v>
      </c>
      <c r="C959" s="1">
        <v>44783.936568518518</v>
      </c>
      <c r="D959" s="1">
        <v>44848</v>
      </c>
      <c r="E959" t="s">
        <v>134</v>
      </c>
      <c r="F959" t="s">
        <v>2320</v>
      </c>
      <c r="G959" t="str">
        <f>"37-3011.00"</f>
        <v>37-3011.00</v>
      </c>
      <c r="H959" t="s">
        <v>335</v>
      </c>
      <c r="I959">
        <v>36</v>
      </c>
      <c r="J959">
        <v>36</v>
      </c>
      <c r="K959" s="1">
        <v>44866</v>
      </c>
      <c r="L959" s="1">
        <v>44986</v>
      </c>
      <c r="M959" s="1">
        <v>44866</v>
      </c>
      <c r="N959" s="1">
        <v>44986</v>
      </c>
      <c r="O959" t="s">
        <v>199</v>
      </c>
      <c r="P959" t="s">
        <v>14503</v>
      </c>
      <c r="R959" t="s">
        <v>14504</v>
      </c>
      <c r="T959" t="s">
        <v>888</v>
      </c>
      <c r="U959" t="s">
        <v>232</v>
      </c>
      <c r="V959" s="4" t="str">
        <f>"75098"</f>
        <v>75098</v>
      </c>
      <c r="W959" t="s">
        <v>120</v>
      </c>
      <c r="Y959" s="5">
        <v>19724245343</v>
      </c>
      <c r="AA959">
        <v>56173</v>
      </c>
      <c r="AB959" t="s">
        <v>5724</v>
      </c>
      <c r="AC959" t="s">
        <v>3718</v>
      </c>
      <c r="AE959" t="s">
        <v>14505</v>
      </c>
      <c r="AF959" t="s">
        <v>14504</v>
      </c>
      <c r="AH959" t="s">
        <v>888</v>
      </c>
      <c r="AI959" t="s">
        <v>232</v>
      </c>
      <c r="AJ959" s="4" t="str">
        <f>"75098"</f>
        <v>75098</v>
      </c>
      <c r="AK959" t="s">
        <v>120</v>
      </c>
      <c r="AM959" s="5">
        <v>19724245343</v>
      </c>
      <c r="AO959" t="s">
        <v>138</v>
      </c>
      <c r="AP959" t="s">
        <v>122</v>
      </c>
      <c r="AQ959" t="s">
        <v>864</v>
      </c>
      <c r="AR959" t="s">
        <v>865</v>
      </c>
      <c r="AS959" t="s">
        <v>370</v>
      </c>
      <c r="AT959" t="s">
        <v>13361</v>
      </c>
      <c r="AV959" t="s">
        <v>684</v>
      </c>
      <c r="AW959" t="s">
        <v>232</v>
      </c>
      <c r="AX959" s="4" t="str">
        <f>"78705"</f>
        <v>78705</v>
      </c>
      <c r="AY959" t="s">
        <v>120</v>
      </c>
      <c r="BA959" s="5">
        <v>15123470007</v>
      </c>
      <c r="BC959" t="s">
        <v>14506</v>
      </c>
      <c r="BD959" t="s">
        <v>3909</v>
      </c>
      <c r="BE959" t="s">
        <v>232</v>
      </c>
      <c r="BF959" t="s">
        <v>870</v>
      </c>
      <c r="BG959" t="s">
        <v>232</v>
      </c>
      <c r="BH959" s="1">
        <v>44782.833333333336</v>
      </c>
      <c r="BI959">
        <v>40</v>
      </c>
      <c r="BJ959">
        <v>0</v>
      </c>
      <c r="BK959">
        <v>7</v>
      </c>
      <c r="BL959">
        <v>7</v>
      </c>
      <c r="BM959">
        <v>7</v>
      </c>
      <c r="BN959">
        <v>7</v>
      </c>
      <c r="BO959">
        <v>7</v>
      </c>
      <c r="BP959">
        <v>5</v>
      </c>
      <c r="BQ959" t="str">
        <f>"7:00 AM"</f>
        <v>7:00 AM</v>
      </c>
      <c r="BR959" t="str">
        <f>"5:00 PM"</f>
        <v>5:00 PM</v>
      </c>
      <c r="BS959" t="s">
        <v>133</v>
      </c>
      <c r="BT959">
        <v>0</v>
      </c>
      <c r="BU959">
        <v>0</v>
      </c>
      <c r="BV959" t="s">
        <v>134</v>
      </c>
      <c r="BX959" t="s">
        <v>133</v>
      </c>
      <c r="BY959" t="s">
        <v>14504</v>
      </c>
      <c r="CA959" t="s">
        <v>888</v>
      </c>
      <c r="CB959" t="s">
        <v>232</v>
      </c>
      <c r="CC959" s="4" t="str">
        <f>"75098"</f>
        <v>75098</v>
      </c>
      <c r="CD959" t="s">
        <v>3860</v>
      </c>
      <c r="CE959" t="s">
        <v>1528</v>
      </c>
      <c r="CF959" s="6">
        <v>16.489999999999998</v>
      </c>
      <c r="CG959" s="6">
        <v>18</v>
      </c>
      <c r="CH959" s="6">
        <v>24.74</v>
      </c>
      <c r="CI959" s="6">
        <v>27</v>
      </c>
      <c r="CJ959" t="s">
        <v>137</v>
      </c>
      <c r="CK959" t="s">
        <v>14507</v>
      </c>
      <c r="CL959" t="s">
        <v>14508</v>
      </c>
      <c r="CO959" t="s">
        <v>138</v>
      </c>
      <c r="CP959" t="s">
        <v>114</v>
      </c>
      <c r="CQ959" t="s">
        <v>114</v>
      </c>
      <c r="CR959" t="s">
        <v>114</v>
      </c>
      <c r="CS959" t="s">
        <v>114</v>
      </c>
      <c r="CT959" t="s">
        <v>114</v>
      </c>
      <c r="CU959" t="s">
        <v>114</v>
      </c>
      <c r="CV959" t="s">
        <v>14509</v>
      </c>
      <c r="CW959" s="5" t="str">
        <f>"+19724245343"</f>
        <v>+19724245343</v>
      </c>
      <c r="CX959" t="s">
        <v>14510</v>
      </c>
      <c r="CY959" t="s">
        <v>138</v>
      </c>
      <c r="CZ959" t="s">
        <v>139</v>
      </c>
      <c r="DA959" t="s">
        <v>134</v>
      </c>
      <c r="DB959" t="s">
        <v>134</v>
      </c>
      <c r="DC959" t="s">
        <v>114</v>
      </c>
      <c r="DD959" t="s">
        <v>134</v>
      </c>
    </row>
    <row r="960" spans="1:113" ht="15" customHeight="1" x14ac:dyDescent="0.25">
      <c r="A960" t="s">
        <v>3561</v>
      </c>
      <c r="B960" t="s">
        <v>165</v>
      </c>
      <c r="C960" s="1">
        <v>44776.73552465278</v>
      </c>
      <c r="D960" s="1">
        <v>44848</v>
      </c>
      <c r="E960" t="s">
        <v>134</v>
      </c>
      <c r="F960" t="s">
        <v>2846</v>
      </c>
      <c r="G960" t="str">
        <f>"35-3023.00"</f>
        <v>35-3023.00</v>
      </c>
      <c r="H960" t="s">
        <v>555</v>
      </c>
      <c r="I960">
        <v>16</v>
      </c>
      <c r="J960">
        <v>16</v>
      </c>
      <c r="K960" s="1">
        <v>44866</v>
      </c>
      <c r="L960" s="1">
        <v>45046</v>
      </c>
      <c r="M960" s="1">
        <v>44866</v>
      </c>
      <c r="N960" s="1">
        <v>45046</v>
      </c>
      <c r="O960" t="s">
        <v>117</v>
      </c>
      <c r="P960" t="s">
        <v>3562</v>
      </c>
      <c r="R960" t="s">
        <v>3563</v>
      </c>
      <c r="T960" t="s">
        <v>3564</v>
      </c>
      <c r="U960" t="s">
        <v>1846</v>
      </c>
      <c r="V960" s="4" t="str">
        <f>"05674"</f>
        <v>05674</v>
      </c>
      <c r="W960" t="s">
        <v>120</v>
      </c>
      <c r="Y960" s="5">
        <v>18025836381</v>
      </c>
      <c r="AA960">
        <v>713920</v>
      </c>
      <c r="AB960" t="s">
        <v>3565</v>
      </c>
      <c r="AC960" t="s">
        <v>3566</v>
      </c>
      <c r="AE960" t="s">
        <v>2368</v>
      </c>
      <c r="AF960" t="s">
        <v>3563</v>
      </c>
      <c r="AH960" t="s">
        <v>3567</v>
      </c>
      <c r="AI960" t="s">
        <v>1846</v>
      </c>
      <c r="AJ960" s="4" t="str">
        <f>"05674"</f>
        <v>05674</v>
      </c>
      <c r="AK960" t="s">
        <v>120</v>
      </c>
      <c r="AM960" s="5">
        <v>18025836381</v>
      </c>
      <c r="AO960" t="s">
        <v>3568</v>
      </c>
      <c r="AP960" t="s">
        <v>122</v>
      </c>
      <c r="AQ960" t="s">
        <v>2589</v>
      </c>
      <c r="AR960" t="s">
        <v>589</v>
      </c>
      <c r="AS960" t="s">
        <v>146</v>
      </c>
      <c r="AT960" t="s">
        <v>628</v>
      </c>
      <c r="AU960" t="s">
        <v>629</v>
      </c>
      <c r="AV960" t="s">
        <v>630</v>
      </c>
      <c r="AW960" t="s">
        <v>631</v>
      </c>
      <c r="AX960" s="4" t="str">
        <f>"73069"</f>
        <v>73069</v>
      </c>
      <c r="AY960" t="s">
        <v>120</v>
      </c>
      <c r="BA960" s="5">
        <v>14053642525</v>
      </c>
      <c r="BC960" t="s">
        <v>632</v>
      </c>
      <c r="BD960" t="s">
        <v>633</v>
      </c>
      <c r="BE960" t="s">
        <v>631</v>
      </c>
      <c r="BF960" t="s">
        <v>634</v>
      </c>
      <c r="BG960" t="s">
        <v>1846</v>
      </c>
      <c r="BH960" s="1">
        <v>44775.833333333336</v>
      </c>
      <c r="BI960">
        <v>56</v>
      </c>
      <c r="BJ960">
        <v>8</v>
      </c>
      <c r="BK960">
        <v>8</v>
      </c>
      <c r="BL960">
        <v>8</v>
      </c>
      <c r="BM960">
        <v>8</v>
      </c>
      <c r="BN960">
        <v>8</v>
      </c>
      <c r="BO960">
        <v>8</v>
      </c>
      <c r="BP960">
        <v>8</v>
      </c>
      <c r="BQ960" t="str">
        <f>"8:00 AM"</f>
        <v>8:00 AM</v>
      </c>
      <c r="BR960" t="str">
        <f>"10:00 PM"</f>
        <v>10:00 PM</v>
      </c>
      <c r="BS960" t="s">
        <v>133</v>
      </c>
      <c r="BT960">
        <v>0</v>
      </c>
      <c r="BU960">
        <v>1</v>
      </c>
      <c r="BV960" t="s">
        <v>134</v>
      </c>
      <c r="BX960" t="s">
        <v>138</v>
      </c>
      <c r="BY960" t="s">
        <v>3563</v>
      </c>
      <c r="CA960" t="s">
        <v>3564</v>
      </c>
      <c r="CB960" t="s">
        <v>1846</v>
      </c>
      <c r="CC960" s="4" t="str">
        <f>"05674"</f>
        <v>05674</v>
      </c>
      <c r="CD960" t="s">
        <v>1345</v>
      </c>
      <c r="CE960" t="s">
        <v>3569</v>
      </c>
      <c r="CF960" s="6">
        <v>13.91</v>
      </c>
      <c r="CG960" s="6">
        <v>13.91</v>
      </c>
      <c r="CH960" s="6">
        <v>20.87</v>
      </c>
      <c r="CI960" s="6">
        <v>20.87</v>
      </c>
      <c r="CJ960" t="s">
        <v>137</v>
      </c>
      <c r="CL960" t="s">
        <v>3570</v>
      </c>
      <c r="CO960" t="s">
        <v>138</v>
      </c>
      <c r="CP960" t="s">
        <v>134</v>
      </c>
      <c r="CQ960" t="s">
        <v>134</v>
      </c>
      <c r="CR960" t="s">
        <v>114</v>
      </c>
      <c r="CS960" t="s">
        <v>134</v>
      </c>
      <c r="CT960" t="s">
        <v>114</v>
      </c>
      <c r="CU960" t="s">
        <v>134</v>
      </c>
      <c r="CV960" t="s">
        <v>2591</v>
      </c>
      <c r="CW960" s="5" t="str">
        <f>"+18028637676"</f>
        <v>+18028637676</v>
      </c>
      <c r="CX960" t="s">
        <v>3571</v>
      </c>
      <c r="CY960" t="s">
        <v>138</v>
      </c>
      <c r="CZ960" t="s">
        <v>139</v>
      </c>
      <c r="DA960" t="s">
        <v>134</v>
      </c>
      <c r="DB960" t="s">
        <v>134</v>
      </c>
      <c r="DC960" t="s">
        <v>114</v>
      </c>
      <c r="DD960" t="s">
        <v>134</v>
      </c>
    </row>
    <row r="961" spans="1:113" ht="15" customHeight="1" x14ac:dyDescent="0.25">
      <c r="A961" t="s">
        <v>13025</v>
      </c>
      <c r="B961" t="s">
        <v>165</v>
      </c>
      <c r="C961" s="1">
        <v>44756.658524421298</v>
      </c>
      <c r="D961" s="1">
        <v>44848</v>
      </c>
      <c r="E961" t="s">
        <v>134</v>
      </c>
      <c r="F961" t="s">
        <v>13026</v>
      </c>
      <c r="G961" t="str">
        <f>"51-7041.00"</f>
        <v>51-7041.00</v>
      </c>
      <c r="H961" t="s">
        <v>6987</v>
      </c>
      <c r="I961">
        <v>10</v>
      </c>
      <c r="J961">
        <v>10</v>
      </c>
      <c r="K961" s="1">
        <v>44835</v>
      </c>
      <c r="L961" s="1">
        <v>45930</v>
      </c>
      <c r="M961" s="1">
        <v>44835</v>
      </c>
      <c r="N961" s="1">
        <v>45930</v>
      </c>
      <c r="O961" t="s">
        <v>168</v>
      </c>
      <c r="P961" t="s">
        <v>13027</v>
      </c>
      <c r="R961" t="s">
        <v>13028</v>
      </c>
      <c r="S961" t="s">
        <v>13029</v>
      </c>
      <c r="T961" t="s">
        <v>13030</v>
      </c>
      <c r="V961" s="4" t="str">
        <f>"E2L 4Z2"</f>
        <v>E2L 4Z2</v>
      </c>
      <c r="W961" t="s">
        <v>13031</v>
      </c>
      <c r="X961" t="s">
        <v>8124</v>
      </c>
      <c r="Y961" s="5">
        <v>12074353132</v>
      </c>
      <c r="AA961">
        <v>32111</v>
      </c>
      <c r="AB961" t="s">
        <v>10836</v>
      </c>
      <c r="AC961" t="s">
        <v>1696</v>
      </c>
      <c r="AE961" t="s">
        <v>474</v>
      </c>
      <c r="AF961" t="s">
        <v>13032</v>
      </c>
      <c r="AG961" t="s">
        <v>13033</v>
      </c>
      <c r="AH961" t="s">
        <v>13034</v>
      </c>
      <c r="AI961" t="s">
        <v>1593</v>
      </c>
      <c r="AJ961" s="4" t="str">
        <f>"04732"</f>
        <v>04732</v>
      </c>
      <c r="AK961" t="s">
        <v>120</v>
      </c>
      <c r="AM961" s="5">
        <v>12074353132</v>
      </c>
      <c r="AO961" t="s">
        <v>138</v>
      </c>
      <c r="AP961" t="s">
        <v>256</v>
      </c>
      <c r="AQ961" t="s">
        <v>475</v>
      </c>
      <c r="AR961" t="s">
        <v>476</v>
      </c>
      <c r="AT961" t="s">
        <v>477</v>
      </c>
      <c r="AV961" t="s">
        <v>478</v>
      </c>
      <c r="AW961" t="s">
        <v>479</v>
      </c>
      <c r="AX961" s="4" t="str">
        <f>"22903"</f>
        <v>22903</v>
      </c>
      <c r="AY961" t="s">
        <v>120</v>
      </c>
      <c r="BA961" s="5">
        <v>14342634300</v>
      </c>
      <c r="BC961" t="s">
        <v>13035</v>
      </c>
      <c r="BD961" t="s">
        <v>481</v>
      </c>
      <c r="BG961" t="s">
        <v>1593</v>
      </c>
      <c r="BH961" s="1">
        <v>44755.833333333336</v>
      </c>
      <c r="BI961">
        <v>48</v>
      </c>
      <c r="BJ961">
        <v>0</v>
      </c>
      <c r="BK961">
        <v>12</v>
      </c>
      <c r="BL961">
        <v>12</v>
      </c>
      <c r="BM961">
        <v>12</v>
      </c>
      <c r="BN961">
        <v>12</v>
      </c>
      <c r="BO961">
        <v>0</v>
      </c>
      <c r="BP961">
        <v>0</v>
      </c>
      <c r="BQ961" t="str">
        <f>"6:00 AM"</f>
        <v>6:00 AM</v>
      </c>
      <c r="BR961" t="str">
        <f>"6:00 PM"</f>
        <v>6:00 PM</v>
      </c>
      <c r="BS961" t="s">
        <v>133</v>
      </c>
      <c r="BT961">
        <v>0</v>
      </c>
      <c r="BU961">
        <v>0</v>
      </c>
      <c r="BV961" t="s">
        <v>134</v>
      </c>
      <c r="BX961" s="2" t="s">
        <v>13036</v>
      </c>
      <c r="BY961" t="s">
        <v>13032</v>
      </c>
      <c r="CA961" t="s">
        <v>13034</v>
      </c>
      <c r="CB961" t="s">
        <v>1593</v>
      </c>
      <c r="CC961" s="4" t="str">
        <f>"04732"</f>
        <v>04732</v>
      </c>
      <c r="CD961" t="s">
        <v>13037</v>
      </c>
      <c r="CE961" t="s">
        <v>1850</v>
      </c>
      <c r="CF961" s="6">
        <v>18.88</v>
      </c>
      <c r="CH961" s="6">
        <v>28.32</v>
      </c>
      <c r="CJ961" t="s">
        <v>137</v>
      </c>
      <c r="CK961" t="s">
        <v>487</v>
      </c>
      <c r="CL961" t="s">
        <v>13038</v>
      </c>
      <c r="CO961" t="s">
        <v>138</v>
      </c>
      <c r="CP961" t="s">
        <v>134</v>
      </c>
      <c r="CQ961" t="s">
        <v>114</v>
      </c>
      <c r="CR961" t="s">
        <v>114</v>
      </c>
      <c r="CS961" t="s">
        <v>114</v>
      </c>
      <c r="CT961" t="s">
        <v>114</v>
      </c>
      <c r="CU961" t="s">
        <v>114</v>
      </c>
      <c r="CV961" t="s">
        <v>13039</v>
      </c>
      <c r="CW961" s="5" t="str">
        <f>"+12075547026"</f>
        <v>+12075547026</v>
      </c>
      <c r="CX961" t="s">
        <v>138</v>
      </c>
      <c r="CY961" t="s">
        <v>4396</v>
      </c>
      <c r="CZ961" t="s">
        <v>139</v>
      </c>
      <c r="DA961" t="s">
        <v>134</v>
      </c>
      <c r="DB961" t="s">
        <v>114</v>
      </c>
      <c r="DC961" t="s">
        <v>114</v>
      </c>
      <c r="DD961" t="s">
        <v>134</v>
      </c>
      <c r="DE961" t="s">
        <v>1669</v>
      </c>
      <c r="DF961" t="s">
        <v>1670</v>
      </c>
      <c r="DH961" t="s">
        <v>481</v>
      </c>
      <c r="DI961" t="s">
        <v>1664</v>
      </c>
    </row>
    <row r="962" spans="1:113" ht="15" customHeight="1" x14ac:dyDescent="0.25">
      <c r="A962" t="s">
        <v>15427</v>
      </c>
      <c r="B962" t="s">
        <v>165</v>
      </c>
      <c r="C962" s="1">
        <v>44824.336170486109</v>
      </c>
      <c r="D962" s="1">
        <v>44847</v>
      </c>
      <c r="E962" t="s">
        <v>134</v>
      </c>
      <c r="F962" t="s">
        <v>10528</v>
      </c>
      <c r="G962" t="str">
        <f>"37-2012.00"</f>
        <v>37-2012.00</v>
      </c>
      <c r="H962" t="s">
        <v>116</v>
      </c>
      <c r="I962">
        <v>8</v>
      </c>
      <c r="J962">
        <v>8</v>
      </c>
      <c r="K962" s="1">
        <v>44914</v>
      </c>
      <c r="L962" s="1">
        <v>45218</v>
      </c>
      <c r="M962" s="1">
        <v>44914</v>
      </c>
      <c r="N962" s="1">
        <v>45218</v>
      </c>
      <c r="O962" t="s">
        <v>117</v>
      </c>
      <c r="P962" t="s">
        <v>15428</v>
      </c>
      <c r="Q962" t="s">
        <v>15429</v>
      </c>
      <c r="R962" t="s">
        <v>15430</v>
      </c>
      <c r="S962" t="s">
        <v>15431</v>
      </c>
      <c r="T962" t="s">
        <v>2196</v>
      </c>
      <c r="U962" t="s">
        <v>661</v>
      </c>
      <c r="V962" s="4" t="str">
        <f>"59758"</f>
        <v>59758</v>
      </c>
      <c r="W962" t="s">
        <v>120</v>
      </c>
      <c r="Y962" s="5">
        <v>14066467376</v>
      </c>
      <c r="AA962">
        <v>72111</v>
      </c>
      <c r="AB962" t="s">
        <v>2211</v>
      </c>
      <c r="AC962" t="s">
        <v>15432</v>
      </c>
      <c r="AE962" t="s">
        <v>424</v>
      </c>
      <c r="AF962" t="s">
        <v>15430</v>
      </c>
      <c r="AG962" t="s">
        <v>15431</v>
      </c>
      <c r="AH962" t="s">
        <v>2196</v>
      </c>
      <c r="AI962" t="s">
        <v>661</v>
      </c>
      <c r="AJ962" s="4" t="str">
        <f>"59758"</f>
        <v>59758</v>
      </c>
      <c r="AK962" t="s">
        <v>120</v>
      </c>
      <c r="AM962" s="5">
        <v>14066467376</v>
      </c>
      <c r="AO962" t="s">
        <v>138</v>
      </c>
      <c r="AP962" t="s">
        <v>256</v>
      </c>
      <c r="AQ962" t="s">
        <v>475</v>
      </c>
      <c r="AR962" t="s">
        <v>476</v>
      </c>
      <c r="AT962" t="s">
        <v>1471</v>
      </c>
      <c r="AU962" t="s">
        <v>1472</v>
      </c>
      <c r="AV962" t="s">
        <v>1473</v>
      </c>
      <c r="AW962" t="s">
        <v>479</v>
      </c>
      <c r="AX962" s="4" t="str">
        <f>"22949"</f>
        <v>22949</v>
      </c>
      <c r="AY962" t="s">
        <v>120</v>
      </c>
      <c r="BA962" s="5">
        <v>14342634300</v>
      </c>
      <c r="BC962" t="s">
        <v>1664</v>
      </c>
      <c r="BD962" t="s">
        <v>481</v>
      </c>
      <c r="BG962" t="s">
        <v>661</v>
      </c>
      <c r="BH962" s="1">
        <v>44823.833333333336</v>
      </c>
      <c r="BI962">
        <v>35</v>
      </c>
      <c r="BJ962">
        <v>0</v>
      </c>
      <c r="BK962">
        <v>7</v>
      </c>
      <c r="BL962">
        <v>7</v>
      </c>
      <c r="BM962">
        <v>7</v>
      </c>
      <c r="BN962">
        <v>7</v>
      </c>
      <c r="BO962">
        <v>7</v>
      </c>
      <c r="BP962">
        <v>0</v>
      </c>
      <c r="BQ962" t="str">
        <f>"8:00 AM"</f>
        <v>8:00 AM</v>
      </c>
      <c r="BR962" t="str">
        <f>"3:30 PM"</f>
        <v>3:30 PM</v>
      </c>
      <c r="BS962" t="s">
        <v>133</v>
      </c>
      <c r="BT962">
        <v>0</v>
      </c>
      <c r="BU962">
        <v>0</v>
      </c>
      <c r="BV962" t="s">
        <v>134</v>
      </c>
      <c r="BX962" s="2" t="s">
        <v>15433</v>
      </c>
      <c r="BY962" t="s">
        <v>15434</v>
      </c>
      <c r="CA962" t="s">
        <v>2196</v>
      </c>
      <c r="CB962" t="s">
        <v>661</v>
      </c>
      <c r="CC962" s="4" t="str">
        <f>"59758"</f>
        <v>59758</v>
      </c>
      <c r="CD962" t="s">
        <v>665</v>
      </c>
      <c r="CE962" t="s">
        <v>666</v>
      </c>
      <c r="CF962" s="6">
        <v>13.69</v>
      </c>
      <c r="CH962" s="6">
        <v>20.54</v>
      </c>
      <c r="CJ962" t="s">
        <v>137</v>
      </c>
      <c r="CK962" t="s">
        <v>487</v>
      </c>
      <c r="CL962" t="s">
        <v>15435</v>
      </c>
      <c r="CO962" t="s">
        <v>138</v>
      </c>
      <c r="CP962" t="s">
        <v>134</v>
      </c>
      <c r="CQ962" t="s">
        <v>134</v>
      </c>
      <c r="CR962" t="s">
        <v>114</v>
      </c>
      <c r="CS962" t="s">
        <v>114</v>
      </c>
      <c r="CT962" t="s">
        <v>114</v>
      </c>
      <c r="CU962" t="s">
        <v>114</v>
      </c>
      <c r="CV962" t="s">
        <v>15436</v>
      </c>
      <c r="CW962" s="5" t="str">
        <f>"+14066467376"</f>
        <v>+14066467376</v>
      </c>
      <c r="CX962" t="s">
        <v>138</v>
      </c>
      <c r="CY962" t="s">
        <v>4277</v>
      </c>
      <c r="CZ962" t="s">
        <v>139</v>
      </c>
      <c r="DA962" t="s">
        <v>134</v>
      </c>
      <c r="DB962" t="s">
        <v>114</v>
      </c>
      <c r="DC962" t="s">
        <v>114</v>
      </c>
      <c r="DD962" t="s">
        <v>134</v>
      </c>
      <c r="DE962" t="s">
        <v>1669</v>
      </c>
      <c r="DF962" t="s">
        <v>1670</v>
      </c>
      <c r="DH962" t="s">
        <v>481</v>
      </c>
      <c r="DI962" t="s">
        <v>1664</v>
      </c>
    </row>
    <row r="963" spans="1:113" ht="15" customHeight="1" x14ac:dyDescent="0.25">
      <c r="A963" t="s">
        <v>6757</v>
      </c>
      <c r="B963" t="s">
        <v>165</v>
      </c>
      <c r="C963" s="1">
        <v>44823.738870833331</v>
      </c>
      <c r="D963" s="1">
        <v>44847</v>
      </c>
      <c r="E963" t="s">
        <v>134</v>
      </c>
      <c r="F963" t="s">
        <v>614</v>
      </c>
      <c r="G963" t="str">
        <f>"39-2021.00"</f>
        <v>39-2021.00</v>
      </c>
      <c r="H963" t="s">
        <v>1090</v>
      </c>
      <c r="I963">
        <v>4</v>
      </c>
      <c r="J963">
        <v>4</v>
      </c>
      <c r="K963" s="1">
        <v>44900</v>
      </c>
      <c r="L963" s="1">
        <v>45163</v>
      </c>
      <c r="M963" s="1">
        <v>44900</v>
      </c>
      <c r="N963" s="1">
        <v>45163</v>
      </c>
      <c r="O963" t="s">
        <v>199</v>
      </c>
      <c r="P963" t="s">
        <v>6758</v>
      </c>
      <c r="R963" t="s">
        <v>6759</v>
      </c>
      <c r="T963" t="s">
        <v>6760</v>
      </c>
      <c r="U963" t="s">
        <v>479</v>
      </c>
      <c r="V963" s="4" t="str">
        <f>"22737"</f>
        <v>22737</v>
      </c>
      <c r="W963" t="s">
        <v>120</v>
      </c>
      <c r="Y963" s="5">
        <v>15402227105</v>
      </c>
      <c r="AA963">
        <v>711212</v>
      </c>
      <c r="AB963" t="s">
        <v>6761</v>
      </c>
      <c r="AC963" t="s">
        <v>5696</v>
      </c>
      <c r="AE963" t="s">
        <v>622</v>
      </c>
      <c r="AF963" t="s">
        <v>6759</v>
      </c>
      <c r="AH963" t="s">
        <v>6760</v>
      </c>
      <c r="AI963" t="s">
        <v>479</v>
      </c>
      <c r="AJ963" s="4" t="str">
        <f>"22737"</f>
        <v>22737</v>
      </c>
      <c r="AK963" t="s">
        <v>120</v>
      </c>
      <c r="AM963" s="5">
        <v>15402227105</v>
      </c>
      <c r="AO963" t="s">
        <v>6762</v>
      </c>
      <c r="AP963" t="s">
        <v>122</v>
      </c>
      <c r="AQ963" t="s">
        <v>625</v>
      </c>
      <c r="AR963" t="s">
        <v>626</v>
      </c>
      <c r="AS963" t="s">
        <v>627</v>
      </c>
      <c r="AT963" t="s">
        <v>628</v>
      </c>
      <c r="AU963" t="s">
        <v>629</v>
      </c>
      <c r="AV963" t="s">
        <v>630</v>
      </c>
      <c r="AW963" t="s">
        <v>631</v>
      </c>
      <c r="AX963" s="4" t="str">
        <f>"73069"</f>
        <v>73069</v>
      </c>
      <c r="AY963" t="s">
        <v>120</v>
      </c>
      <c r="BA963" s="5">
        <v>14053642525</v>
      </c>
      <c r="BC963" t="s">
        <v>632</v>
      </c>
      <c r="BD963" t="s">
        <v>633</v>
      </c>
      <c r="BE963" t="s">
        <v>631</v>
      </c>
      <c r="BF963" t="s">
        <v>634</v>
      </c>
      <c r="BG963" t="s">
        <v>479</v>
      </c>
      <c r="BH963" s="1">
        <v>44822.833333333336</v>
      </c>
      <c r="BI963">
        <v>56</v>
      </c>
      <c r="BJ963">
        <v>8</v>
      </c>
      <c r="BK963">
        <v>8</v>
      </c>
      <c r="BL963">
        <v>8</v>
      </c>
      <c r="BM963">
        <v>8</v>
      </c>
      <c r="BN963">
        <v>8</v>
      </c>
      <c r="BO963">
        <v>8</v>
      </c>
      <c r="BP963">
        <v>8</v>
      </c>
      <c r="BQ963" t="str">
        <f>"5:00 AM"</f>
        <v>5:00 AM</v>
      </c>
      <c r="BR963" t="str">
        <f>"5:00 PM"</f>
        <v>5:00 PM</v>
      </c>
      <c r="BS963" t="s">
        <v>133</v>
      </c>
      <c r="BT963">
        <v>0</v>
      </c>
      <c r="BU963">
        <v>1</v>
      </c>
      <c r="BV963" t="s">
        <v>134</v>
      </c>
      <c r="BX963" s="2" t="s">
        <v>635</v>
      </c>
      <c r="BY963" t="s">
        <v>6759</v>
      </c>
      <c r="CA963" t="s">
        <v>6760</v>
      </c>
      <c r="CB963" t="s">
        <v>479</v>
      </c>
      <c r="CC963" s="4" t="str">
        <f>"22737"</f>
        <v>22737</v>
      </c>
      <c r="CD963" t="s">
        <v>6763</v>
      </c>
      <c r="CE963" t="s">
        <v>355</v>
      </c>
      <c r="CF963" s="6">
        <v>15.41</v>
      </c>
      <c r="CG963" s="6">
        <v>15.41</v>
      </c>
      <c r="CH963" s="6">
        <v>23.12</v>
      </c>
      <c r="CI963" s="6">
        <v>23.12</v>
      </c>
      <c r="CJ963" t="s">
        <v>137</v>
      </c>
      <c r="CL963" t="s">
        <v>6764</v>
      </c>
      <c r="CO963" t="s">
        <v>138</v>
      </c>
      <c r="CP963" t="s">
        <v>134</v>
      </c>
      <c r="CQ963" t="s">
        <v>134</v>
      </c>
      <c r="CR963" t="s">
        <v>114</v>
      </c>
      <c r="CS963" t="s">
        <v>134</v>
      </c>
      <c r="CT963" t="s">
        <v>114</v>
      </c>
      <c r="CU963" t="s">
        <v>134</v>
      </c>
      <c r="CV963" t="s">
        <v>2591</v>
      </c>
      <c r="CW963" s="5" t="str">
        <f>"+15402227105"</f>
        <v>+15402227105</v>
      </c>
      <c r="CX963" t="s">
        <v>6762</v>
      </c>
      <c r="CY963" t="s">
        <v>138</v>
      </c>
      <c r="CZ963" t="s">
        <v>139</v>
      </c>
      <c r="DA963" t="s">
        <v>134</v>
      </c>
      <c r="DB963" t="s">
        <v>134</v>
      </c>
      <c r="DC963" t="s">
        <v>114</v>
      </c>
      <c r="DD963" t="s">
        <v>134</v>
      </c>
    </row>
    <row r="964" spans="1:113" ht="15" customHeight="1" x14ac:dyDescent="0.25">
      <c r="A964" t="s">
        <v>15275</v>
      </c>
      <c r="B964" t="s">
        <v>165</v>
      </c>
      <c r="C964" s="1">
        <v>44823.694484837964</v>
      </c>
      <c r="D964" s="1">
        <v>44847</v>
      </c>
      <c r="E964" t="s">
        <v>114</v>
      </c>
      <c r="F964" t="s">
        <v>1229</v>
      </c>
      <c r="G964" t="str">
        <f>"35-9031.00"</f>
        <v>35-9031.00</v>
      </c>
      <c r="H964" t="s">
        <v>1230</v>
      </c>
      <c r="I964">
        <v>5</v>
      </c>
      <c r="J964">
        <v>5</v>
      </c>
      <c r="K964" s="1">
        <v>44898</v>
      </c>
      <c r="L964" s="1">
        <v>45030</v>
      </c>
      <c r="M964" s="1">
        <v>44898</v>
      </c>
      <c r="N964" s="1">
        <v>45030</v>
      </c>
      <c r="O964" t="s">
        <v>117</v>
      </c>
      <c r="P964" t="s">
        <v>5247</v>
      </c>
      <c r="Q964" t="s">
        <v>5248</v>
      </c>
      <c r="R964" t="s">
        <v>5249</v>
      </c>
      <c r="T964" t="s">
        <v>5250</v>
      </c>
      <c r="U964" t="s">
        <v>420</v>
      </c>
      <c r="V964" s="4" t="str">
        <f>"84060"</f>
        <v>84060</v>
      </c>
      <c r="W964" t="s">
        <v>120</v>
      </c>
      <c r="Y964" s="5">
        <v>14356493700</v>
      </c>
      <c r="AA964">
        <v>72111</v>
      </c>
      <c r="AB964" t="s">
        <v>5251</v>
      </c>
      <c r="AC964" t="s">
        <v>5252</v>
      </c>
      <c r="AE964" t="s">
        <v>5253</v>
      </c>
      <c r="AF964" t="s">
        <v>5249</v>
      </c>
      <c r="AH964" t="s">
        <v>5250</v>
      </c>
      <c r="AI964" t="s">
        <v>420</v>
      </c>
      <c r="AJ964" s="4" t="str">
        <f>"84060"</f>
        <v>84060</v>
      </c>
      <c r="AK964" t="s">
        <v>120</v>
      </c>
      <c r="AM964" s="5">
        <v>14356493700</v>
      </c>
      <c r="AO964" t="s">
        <v>5254</v>
      </c>
      <c r="AP964" t="s">
        <v>256</v>
      </c>
      <c r="AQ964" t="s">
        <v>400</v>
      </c>
      <c r="AR964" t="s">
        <v>401</v>
      </c>
      <c r="AS964" t="s">
        <v>397</v>
      </c>
      <c r="AT964" t="s">
        <v>402</v>
      </c>
      <c r="AU964" t="s">
        <v>152</v>
      </c>
      <c r="AV964" t="s">
        <v>403</v>
      </c>
      <c r="AW964" t="s">
        <v>232</v>
      </c>
      <c r="AX964" s="4" t="str">
        <f>"75033"</f>
        <v>75033</v>
      </c>
      <c r="AY964" t="s">
        <v>120</v>
      </c>
      <c r="BA964" s="5">
        <v>19727789690</v>
      </c>
      <c r="BC964" t="s">
        <v>1527</v>
      </c>
      <c r="BD964" t="s">
        <v>405</v>
      </c>
      <c r="BG964" t="s">
        <v>420</v>
      </c>
      <c r="BH964" s="1">
        <v>44822.833333333336</v>
      </c>
      <c r="BI964">
        <v>40</v>
      </c>
      <c r="BJ964">
        <v>8</v>
      </c>
      <c r="BK964">
        <v>8</v>
      </c>
      <c r="BL964">
        <v>0</v>
      </c>
      <c r="BM964">
        <v>0</v>
      </c>
      <c r="BN964">
        <v>8</v>
      </c>
      <c r="BO964">
        <v>8</v>
      </c>
      <c r="BP964">
        <v>8</v>
      </c>
      <c r="BQ964" t="str">
        <f>"7:00 AM"</f>
        <v>7:00 AM</v>
      </c>
      <c r="BR964" t="str">
        <f>"3:00 PM"</f>
        <v>3:00 PM</v>
      </c>
      <c r="BS964" t="s">
        <v>133</v>
      </c>
      <c r="BT964">
        <v>0</v>
      </c>
      <c r="BU964">
        <v>0</v>
      </c>
      <c r="BV964" t="s">
        <v>134</v>
      </c>
      <c r="BX964" s="2" t="s">
        <v>15276</v>
      </c>
      <c r="BY964" t="s">
        <v>5249</v>
      </c>
      <c r="CA964" t="s">
        <v>5250</v>
      </c>
      <c r="CB964" t="s">
        <v>420</v>
      </c>
      <c r="CC964" s="4" t="str">
        <f>"84060"</f>
        <v>84060</v>
      </c>
      <c r="CD964" t="s">
        <v>1459</v>
      </c>
      <c r="CE964" t="s">
        <v>4193</v>
      </c>
      <c r="CF964" s="6">
        <v>16.73</v>
      </c>
      <c r="CH964" s="6">
        <v>25.1</v>
      </c>
      <c r="CJ964" t="s">
        <v>137</v>
      </c>
      <c r="CK964" t="s">
        <v>1529</v>
      </c>
      <c r="CL964" t="s">
        <v>15277</v>
      </c>
      <c r="CO964" t="s">
        <v>138</v>
      </c>
      <c r="CP964" t="s">
        <v>114</v>
      </c>
      <c r="CQ964" t="s">
        <v>114</v>
      </c>
      <c r="CR964" t="s">
        <v>114</v>
      </c>
      <c r="CS964" t="s">
        <v>114</v>
      </c>
      <c r="CT964" t="s">
        <v>114</v>
      </c>
      <c r="CU964" t="s">
        <v>114</v>
      </c>
      <c r="CV964" s="2" t="s">
        <v>13659</v>
      </c>
      <c r="CW964" s="5" t="str">
        <f>"+14356493700"</f>
        <v>+14356493700</v>
      </c>
      <c r="CX964" t="s">
        <v>5258</v>
      </c>
      <c r="CY964" t="s">
        <v>5259</v>
      </c>
      <c r="CZ964" t="s">
        <v>139</v>
      </c>
      <c r="DA964" t="s">
        <v>134</v>
      </c>
      <c r="DB964" t="s">
        <v>134</v>
      </c>
      <c r="DC964" t="s">
        <v>114</v>
      </c>
      <c r="DD964" t="s">
        <v>134</v>
      </c>
    </row>
    <row r="965" spans="1:113" ht="15" customHeight="1" x14ac:dyDescent="0.25">
      <c r="A965" t="s">
        <v>4958</v>
      </c>
      <c r="B965" t="s">
        <v>165</v>
      </c>
      <c r="C965" s="1">
        <v>44820.697775810186</v>
      </c>
      <c r="D965" s="1">
        <v>44847</v>
      </c>
      <c r="E965" t="s">
        <v>134</v>
      </c>
      <c r="F965" t="s">
        <v>115</v>
      </c>
      <c r="G965" t="str">
        <f>"37-2012.00"</f>
        <v>37-2012.00</v>
      </c>
      <c r="H965" t="s">
        <v>116</v>
      </c>
      <c r="I965">
        <v>6</v>
      </c>
      <c r="J965">
        <v>6</v>
      </c>
      <c r="K965" s="1">
        <v>44910</v>
      </c>
      <c r="L965" s="1">
        <v>45031</v>
      </c>
      <c r="M965" s="1">
        <v>44910</v>
      </c>
      <c r="N965" s="1">
        <v>45031</v>
      </c>
      <c r="O965" t="s">
        <v>117</v>
      </c>
      <c r="P965" t="s">
        <v>4959</v>
      </c>
      <c r="Q965" t="s">
        <v>4960</v>
      </c>
      <c r="R965" t="s">
        <v>4961</v>
      </c>
      <c r="T965" t="s">
        <v>4962</v>
      </c>
      <c r="U965" t="s">
        <v>1846</v>
      </c>
      <c r="V965" s="4" t="str">
        <f>"05672"</f>
        <v>05672</v>
      </c>
      <c r="W965" t="s">
        <v>120</v>
      </c>
      <c r="Y965" s="5">
        <v>18022538132</v>
      </c>
      <c r="AA965">
        <v>531210</v>
      </c>
      <c r="AB965" t="s">
        <v>4963</v>
      </c>
      <c r="AC965" t="s">
        <v>2146</v>
      </c>
      <c r="AE965" t="s">
        <v>424</v>
      </c>
      <c r="AF965" t="s">
        <v>4961</v>
      </c>
      <c r="AH965" t="s">
        <v>4962</v>
      </c>
      <c r="AI965" t="s">
        <v>1846</v>
      </c>
      <c r="AJ965" s="4" t="str">
        <f>"05672"</f>
        <v>05672</v>
      </c>
      <c r="AK965" t="s">
        <v>120</v>
      </c>
      <c r="AM965" s="5">
        <v>18022538132</v>
      </c>
      <c r="AO965" t="s">
        <v>4964</v>
      </c>
      <c r="AP965" t="s">
        <v>122</v>
      </c>
      <c r="AQ965" t="s">
        <v>753</v>
      </c>
      <c r="AR965" t="s">
        <v>754</v>
      </c>
      <c r="AS965" t="s">
        <v>755</v>
      </c>
      <c r="AT965" t="s">
        <v>756</v>
      </c>
      <c r="AU965" t="s">
        <v>757</v>
      </c>
      <c r="AV965" t="s">
        <v>758</v>
      </c>
      <c r="AW965" t="s">
        <v>281</v>
      </c>
      <c r="AX965" s="4" t="str">
        <f>"01701"</f>
        <v>01701</v>
      </c>
      <c r="AY965" t="s">
        <v>120</v>
      </c>
      <c r="BA965" s="5">
        <v>16179399444</v>
      </c>
      <c r="BC965" t="s">
        <v>2487</v>
      </c>
      <c r="BD965" t="s">
        <v>760</v>
      </c>
      <c r="BE965" t="s">
        <v>281</v>
      </c>
      <c r="BF965" t="s">
        <v>761</v>
      </c>
      <c r="BG965" t="s">
        <v>1846</v>
      </c>
      <c r="BH965" s="1">
        <v>44805.833333333336</v>
      </c>
      <c r="BI965">
        <v>35</v>
      </c>
      <c r="BJ965">
        <v>0</v>
      </c>
      <c r="BK965">
        <v>7</v>
      </c>
      <c r="BL965">
        <v>7</v>
      </c>
      <c r="BM965">
        <v>7</v>
      </c>
      <c r="BN965">
        <v>7</v>
      </c>
      <c r="BO965">
        <v>7</v>
      </c>
      <c r="BP965">
        <v>0</v>
      </c>
      <c r="BQ965" t="str">
        <f>"9:00 AM"</f>
        <v>9:00 AM</v>
      </c>
      <c r="BR965" t="str">
        <f>"4:30 PM"</f>
        <v>4:30 PM</v>
      </c>
      <c r="BS965" t="s">
        <v>133</v>
      </c>
      <c r="BT965">
        <v>0</v>
      </c>
      <c r="BU965">
        <v>3</v>
      </c>
      <c r="BV965" t="s">
        <v>134</v>
      </c>
      <c r="BX965" s="2" t="s">
        <v>4965</v>
      </c>
      <c r="BY965" t="s">
        <v>4961</v>
      </c>
      <c r="CA965" t="s">
        <v>4962</v>
      </c>
      <c r="CB965" t="s">
        <v>1846</v>
      </c>
      <c r="CC965" s="4" t="str">
        <f>"05672"</f>
        <v>05672</v>
      </c>
      <c r="CD965" t="s">
        <v>4966</v>
      </c>
      <c r="CE965" t="s">
        <v>3569</v>
      </c>
      <c r="CF965" s="6">
        <v>15.57</v>
      </c>
      <c r="CH965" s="6">
        <v>23.36</v>
      </c>
      <c r="CJ965" t="s">
        <v>137</v>
      </c>
      <c r="CK965" t="e">
        <f>+DOE. the employer will pay or exceed prevailing wage, as determined by US Department of Labor.</f>
        <v>#NAME?</v>
      </c>
      <c r="CL965" t="s">
        <v>4967</v>
      </c>
      <c r="CO965" t="s">
        <v>138</v>
      </c>
      <c r="CP965" t="s">
        <v>114</v>
      </c>
      <c r="CQ965" t="s">
        <v>114</v>
      </c>
      <c r="CR965" t="s">
        <v>114</v>
      </c>
      <c r="CS965" t="s">
        <v>114</v>
      </c>
      <c r="CT965" t="s">
        <v>114</v>
      </c>
      <c r="CU965" t="s">
        <v>114</v>
      </c>
      <c r="CV965" t="s">
        <v>4968</v>
      </c>
      <c r="CW965" s="5" t="str">
        <f>"+18022538132"</f>
        <v>+18022538132</v>
      </c>
      <c r="CX965" t="s">
        <v>4964</v>
      </c>
      <c r="CY965" t="s">
        <v>138</v>
      </c>
      <c r="CZ965" t="s">
        <v>139</v>
      </c>
      <c r="DA965" t="s">
        <v>134</v>
      </c>
      <c r="DB965" t="s">
        <v>134</v>
      </c>
      <c r="DC965" t="s">
        <v>114</v>
      </c>
      <c r="DD965" t="s">
        <v>134</v>
      </c>
    </row>
    <row r="966" spans="1:113" ht="15" customHeight="1" x14ac:dyDescent="0.25">
      <c r="A966" t="s">
        <v>14528</v>
      </c>
      <c r="B966" t="s">
        <v>165</v>
      </c>
      <c r="C966" s="1">
        <v>44820.532974421294</v>
      </c>
      <c r="D966" s="1">
        <v>44847</v>
      </c>
      <c r="E966" t="s">
        <v>134</v>
      </c>
      <c r="F966" t="s">
        <v>614</v>
      </c>
      <c r="G966" t="str">
        <f>"39-2021.00"</f>
        <v>39-2021.00</v>
      </c>
      <c r="H966" t="s">
        <v>615</v>
      </c>
      <c r="I966">
        <v>7</v>
      </c>
      <c r="J966">
        <v>7</v>
      </c>
      <c r="K966" s="1">
        <v>44896</v>
      </c>
      <c r="L966" s="1">
        <v>45199</v>
      </c>
      <c r="M966" s="1">
        <v>44896</v>
      </c>
      <c r="N966" s="1">
        <v>45199</v>
      </c>
      <c r="O966" t="s">
        <v>199</v>
      </c>
      <c r="P966" t="s">
        <v>14529</v>
      </c>
      <c r="R966" t="s">
        <v>14530</v>
      </c>
      <c r="T966" t="s">
        <v>2919</v>
      </c>
      <c r="U966" t="s">
        <v>339</v>
      </c>
      <c r="V966" s="4" t="str">
        <f>"21921"</f>
        <v>21921</v>
      </c>
      <c r="W966" t="s">
        <v>120</v>
      </c>
      <c r="Y966" s="5">
        <v>13155290183</v>
      </c>
      <c r="AA966">
        <v>711212</v>
      </c>
      <c r="AB966" t="s">
        <v>14531</v>
      </c>
      <c r="AC966" t="s">
        <v>4443</v>
      </c>
      <c r="AE966" t="s">
        <v>622</v>
      </c>
      <c r="AF966" t="s">
        <v>14530</v>
      </c>
      <c r="AH966" t="s">
        <v>2919</v>
      </c>
      <c r="AI966" t="s">
        <v>339</v>
      </c>
      <c r="AJ966" s="4" t="str">
        <f>"21921"</f>
        <v>21921</v>
      </c>
      <c r="AK966" t="s">
        <v>120</v>
      </c>
      <c r="AM966" s="5">
        <v>13155290183</v>
      </c>
      <c r="AO966" t="s">
        <v>14532</v>
      </c>
      <c r="AP966" t="s">
        <v>122</v>
      </c>
      <c r="AQ966" t="s">
        <v>625</v>
      </c>
      <c r="AR966" t="s">
        <v>626</v>
      </c>
      <c r="AS966" t="s">
        <v>627</v>
      </c>
      <c r="AT966" t="s">
        <v>628</v>
      </c>
      <c r="AU966" t="s">
        <v>629</v>
      </c>
      <c r="AV966" t="s">
        <v>630</v>
      </c>
      <c r="AW966" t="s">
        <v>631</v>
      </c>
      <c r="AX966" s="4" t="str">
        <f>"73069"</f>
        <v>73069</v>
      </c>
      <c r="AY966" t="s">
        <v>120</v>
      </c>
      <c r="BA966" s="5">
        <v>14053642525</v>
      </c>
      <c r="BC966" t="s">
        <v>632</v>
      </c>
      <c r="BD966" t="s">
        <v>633</v>
      </c>
      <c r="BE966" t="s">
        <v>631</v>
      </c>
      <c r="BF966" t="s">
        <v>634</v>
      </c>
      <c r="BG966" t="s">
        <v>214</v>
      </c>
      <c r="BH966" s="1">
        <v>44818.833333333336</v>
      </c>
      <c r="BI966">
        <v>40</v>
      </c>
      <c r="BJ966">
        <v>8</v>
      </c>
      <c r="BK966">
        <v>8</v>
      </c>
      <c r="BL966">
        <v>8</v>
      </c>
      <c r="BM966">
        <v>8</v>
      </c>
      <c r="BN966">
        <v>8</v>
      </c>
      <c r="BO966">
        <v>8</v>
      </c>
      <c r="BP966">
        <v>8</v>
      </c>
      <c r="BQ966" t="str">
        <f>"5:00 AM"</f>
        <v>5:00 AM</v>
      </c>
      <c r="BR966" t="str">
        <f>"5:00 PM"</f>
        <v>5:00 PM</v>
      </c>
      <c r="BS966" t="s">
        <v>133</v>
      </c>
      <c r="BT966">
        <v>0</v>
      </c>
      <c r="BU966">
        <v>1</v>
      </c>
      <c r="BV966" t="s">
        <v>134</v>
      </c>
      <c r="BX966" s="2" t="s">
        <v>635</v>
      </c>
      <c r="BY966" t="s">
        <v>14533</v>
      </c>
      <c r="BZ966" t="s">
        <v>14534</v>
      </c>
      <c r="CA966" t="s">
        <v>8176</v>
      </c>
      <c r="CB966" t="s">
        <v>214</v>
      </c>
      <c r="CC966" s="4" t="str">
        <f>"70119"</f>
        <v>70119</v>
      </c>
      <c r="CD966" t="s">
        <v>5631</v>
      </c>
      <c r="CE966" t="s">
        <v>2289</v>
      </c>
      <c r="CF966" s="6">
        <v>11.85</v>
      </c>
      <c r="CG966" s="6">
        <v>11.85</v>
      </c>
      <c r="CH966" s="6">
        <v>17.760000000000002</v>
      </c>
      <c r="CI966" s="6">
        <v>17.760000000000002</v>
      </c>
      <c r="CJ966" t="s">
        <v>137</v>
      </c>
      <c r="CL966" t="s">
        <v>14535</v>
      </c>
      <c r="CO966" t="s">
        <v>138</v>
      </c>
      <c r="CP966" t="s">
        <v>134</v>
      </c>
      <c r="CQ966" t="s">
        <v>134</v>
      </c>
      <c r="CR966" t="s">
        <v>114</v>
      </c>
      <c r="CS966" t="s">
        <v>134</v>
      </c>
      <c r="CT966" t="s">
        <v>114</v>
      </c>
      <c r="CU966" t="s">
        <v>114</v>
      </c>
      <c r="CV966" t="s">
        <v>14536</v>
      </c>
      <c r="CW966" s="5" t="str">
        <f>"+15046584500"</f>
        <v>+15046584500</v>
      </c>
      <c r="CX966" t="s">
        <v>14537</v>
      </c>
      <c r="CY966" t="s">
        <v>138</v>
      </c>
      <c r="CZ966" t="s">
        <v>139</v>
      </c>
      <c r="DA966" t="s">
        <v>134</v>
      </c>
      <c r="DB966" t="s">
        <v>134</v>
      </c>
      <c r="DC966" t="s">
        <v>114</v>
      </c>
      <c r="DD966" t="s">
        <v>134</v>
      </c>
    </row>
    <row r="967" spans="1:113" ht="15" customHeight="1" x14ac:dyDescent="0.25">
      <c r="A967" t="s">
        <v>7671</v>
      </c>
      <c r="B967" t="s">
        <v>165</v>
      </c>
      <c r="C967" s="1">
        <v>44813.758082175926</v>
      </c>
      <c r="D967" s="1">
        <v>44847</v>
      </c>
      <c r="E967" t="s">
        <v>134</v>
      </c>
      <c r="F967" t="s">
        <v>7672</v>
      </c>
      <c r="G967" t="str">
        <f>"53-7062.00"</f>
        <v>53-7062.00</v>
      </c>
      <c r="H967" t="s">
        <v>245</v>
      </c>
      <c r="I967">
        <v>40</v>
      </c>
      <c r="J967">
        <v>40</v>
      </c>
      <c r="K967" s="1">
        <v>44896</v>
      </c>
      <c r="L967" s="1">
        <v>45107</v>
      </c>
      <c r="M967" s="1">
        <v>44896</v>
      </c>
      <c r="N967" s="1">
        <v>45107</v>
      </c>
      <c r="O967" t="s">
        <v>199</v>
      </c>
      <c r="P967" t="s">
        <v>7673</v>
      </c>
      <c r="R967" t="s">
        <v>7674</v>
      </c>
      <c r="T967" t="s">
        <v>4291</v>
      </c>
      <c r="U967" t="s">
        <v>214</v>
      </c>
      <c r="V967" s="4" t="str">
        <f>"70517"</f>
        <v>70517</v>
      </c>
      <c r="W967" t="s">
        <v>120</v>
      </c>
      <c r="X967" t="s">
        <v>7675</v>
      </c>
      <c r="Y967" s="5">
        <v>13376676118</v>
      </c>
      <c r="AA967">
        <v>3117</v>
      </c>
      <c r="AB967" t="s">
        <v>942</v>
      </c>
      <c r="AC967" t="s">
        <v>2174</v>
      </c>
      <c r="AD967" t="s">
        <v>1458</v>
      </c>
      <c r="AE967" t="s">
        <v>342</v>
      </c>
      <c r="AF967" t="s">
        <v>7674</v>
      </c>
      <c r="AH967" t="s">
        <v>4291</v>
      </c>
      <c r="AI967" t="s">
        <v>214</v>
      </c>
      <c r="AJ967" s="4" t="str">
        <f>"70517"</f>
        <v>70517</v>
      </c>
      <c r="AK967" t="s">
        <v>120</v>
      </c>
      <c r="AL967" t="s">
        <v>7675</v>
      </c>
      <c r="AM967" s="5">
        <v>13376676118</v>
      </c>
      <c r="AO967" t="s">
        <v>7676</v>
      </c>
      <c r="AP967" t="s">
        <v>256</v>
      </c>
      <c r="AQ967" t="s">
        <v>7677</v>
      </c>
      <c r="AR967" t="s">
        <v>7678</v>
      </c>
      <c r="AS967" t="s">
        <v>1856</v>
      </c>
      <c r="AT967" t="s">
        <v>7679</v>
      </c>
      <c r="AV967" t="s">
        <v>7680</v>
      </c>
      <c r="AW967" t="s">
        <v>214</v>
      </c>
      <c r="AX967" s="4" t="str">
        <f>"70760"</f>
        <v>70760</v>
      </c>
      <c r="AY967" t="s">
        <v>120</v>
      </c>
      <c r="AZ967" t="s">
        <v>7681</v>
      </c>
      <c r="BA967" s="5">
        <v>12256387218</v>
      </c>
      <c r="BC967" t="s">
        <v>7682</v>
      </c>
      <c r="BD967" t="s">
        <v>7683</v>
      </c>
      <c r="BG967" t="s">
        <v>214</v>
      </c>
      <c r="BH967" s="1">
        <v>44812.833333333336</v>
      </c>
      <c r="BI967">
        <v>35</v>
      </c>
      <c r="BJ967">
        <v>0</v>
      </c>
      <c r="BK967">
        <v>7</v>
      </c>
      <c r="BL967">
        <v>7</v>
      </c>
      <c r="BM967">
        <v>7</v>
      </c>
      <c r="BN967">
        <v>7</v>
      </c>
      <c r="BO967">
        <v>7</v>
      </c>
      <c r="BP967">
        <v>0</v>
      </c>
      <c r="BQ967" t="str">
        <f>"6:00 AM"</f>
        <v>6:00 AM</v>
      </c>
      <c r="BR967" t="str">
        <f>"2:00 PM"</f>
        <v>2:00 PM</v>
      </c>
      <c r="BS967" t="s">
        <v>133</v>
      </c>
      <c r="BT967">
        <v>0</v>
      </c>
      <c r="BU967">
        <v>0</v>
      </c>
      <c r="BV967" t="s">
        <v>134</v>
      </c>
      <c r="BX967" s="2" t="s">
        <v>7684</v>
      </c>
      <c r="BY967" t="s">
        <v>7674</v>
      </c>
      <c r="CA967" t="s">
        <v>4291</v>
      </c>
      <c r="CB967" t="s">
        <v>214</v>
      </c>
      <c r="CC967" s="4" t="str">
        <f>"70517"</f>
        <v>70517</v>
      </c>
      <c r="CD967" t="s">
        <v>4293</v>
      </c>
      <c r="CE967" t="s">
        <v>1822</v>
      </c>
      <c r="CF967" s="6">
        <v>14.38</v>
      </c>
      <c r="CG967" s="6">
        <v>14.38</v>
      </c>
      <c r="CH967" s="6">
        <v>21.57</v>
      </c>
      <c r="CI967" s="6">
        <v>21.57</v>
      </c>
      <c r="CJ967" t="s">
        <v>137</v>
      </c>
      <c r="CK967" t="s">
        <v>7685</v>
      </c>
      <c r="CL967" t="s">
        <v>7686</v>
      </c>
      <c r="CO967" t="s">
        <v>138</v>
      </c>
      <c r="CP967" t="s">
        <v>134</v>
      </c>
      <c r="CQ967" t="s">
        <v>134</v>
      </c>
      <c r="CR967" t="s">
        <v>114</v>
      </c>
      <c r="CS967" t="s">
        <v>134</v>
      </c>
      <c r="CT967" t="s">
        <v>114</v>
      </c>
      <c r="CU967" t="s">
        <v>114</v>
      </c>
      <c r="CV967" s="2" t="s">
        <v>7687</v>
      </c>
      <c r="CW967" s="5" t="str">
        <f>"+13376676118"</f>
        <v>+13376676118</v>
      </c>
      <c r="CX967" t="s">
        <v>138</v>
      </c>
      <c r="CY967" t="s">
        <v>274</v>
      </c>
      <c r="CZ967" t="s">
        <v>139</v>
      </c>
      <c r="DA967" t="s">
        <v>134</v>
      </c>
      <c r="DB967" t="s">
        <v>114</v>
      </c>
      <c r="DC967" t="s">
        <v>114</v>
      </c>
      <c r="DD967" t="s">
        <v>134</v>
      </c>
    </row>
    <row r="968" spans="1:113" ht="15" customHeight="1" x14ac:dyDescent="0.25">
      <c r="A968" t="s">
        <v>7557</v>
      </c>
      <c r="B968" t="s">
        <v>165</v>
      </c>
      <c r="C968" s="1">
        <v>44813.619897569442</v>
      </c>
      <c r="D968" s="1">
        <v>44847</v>
      </c>
      <c r="E968" t="s">
        <v>134</v>
      </c>
      <c r="F968" t="s">
        <v>5564</v>
      </c>
      <c r="G968" t="str">
        <f>"53-7062.00"</f>
        <v>53-7062.00</v>
      </c>
      <c r="H968" t="s">
        <v>245</v>
      </c>
      <c r="I968">
        <v>30</v>
      </c>
      <c r="J968">
        <v>30</v>
      </c>
      <c r="K968" s="1">
        <v>44890</v>
      </c>
      <c r="L968" s="1">
        <v>45046</v>
      </c>
      <c r="M968" s="1">
        <v>44890</v>
      </c>
      <c r="N968" s="1">
        <v>45046</v>
      </c>
      <c r="O968" t="s">
        <v>117</v>
      </c>
      <c r="P968" t="s">
        <v>7558</v>
      </c>
      <c r="R968" t="s">
        <v>7559</v>
      </c>
      <c r="S968" t="s">
        <v>7560</v>
      </c>
      <c r="T968" t="s">
        <v>7561</v>
      </c>
      <c r="U968" t="s">
        <v>2371</v>
      </c>
      <c r="V968" s="4" t="str">
        <f>"46168"</f>
        <v>46168</v>
      </c>
      <c r="W968" t="s">
        <v>120</v>
      </c>
      <c r="Y968" s="5">
        <v>15047123472</v>
      </c>
      <c r="AA968">
        <v>493110</v>
      </c>
      <c r="AB968" t="s">
        <v>7562</v>
      </c>
      <c r="AC968" t="s">
        <v>2376</v>
      </c>
      <c r="AD968" t="s">
        <v>138</v>
      </c>
      <c r="AE968" t="s">
        <v>1831</v>
      </c>
      <c r="AF968" t="s">
        <v>7559</v>
      </c>
      <c r="AG968" t="s">
        <v>7563</v>
      </c>
      <c r="AH968" t="s">
        <v>7561</v>
      </c>
      <c r="AI968" t="s">
        <v>2371</v>
      </c>
      <c r="AJ968" s="4" t="str">
        <f>"46168"</f>
        <v>46168</v>
      </c>
      <c r="AK968" t="s">
        <v>120</v>
      </c>
      <c r="AM968" s="5">
        <v>15047123472</v>
      </c>
      <c r="AO968" t="s">
        <v>7564</v>
      </c>
      <c r="AP968" t="s">
        <v>122</v>
      </c>
      <c r="AQ968" t="s">
        <v>7153</v>
      </c>
      <c r="AR968" t="s">
        <v>2317</v>
      </c>
      <c r="AS968" t="s">
        <v>7154</v>
      </c>
      <c r="AT968" t="s">
        <v>7565</v>
      </c>
      <c r="AV968" t="s">
        <v>7155</v>
      </c>
      <c r="AW968" t="s">
        <v>214</v>
      </c>
      <c r="AX968" s="4" t="str">
        <f>"70601"</f>
        <v>70601</v>
      </c>
      <c r="AY968" t="s">
        <v>120</v>
      </c>
      <c r="BA968" s="5">
        <v>13372140354</v>
      </c>
      <c r="BC968" t="s">
        <v>7566</v>
      </c>
      <c r="BD968" t="s">
        <v>7567</v>
      </c>
      <c r="BE968" t="s">
        <v>214</v>
      </c>
      <c r="BF968" t="s">
        <v>733</v>
      </c>
      <c r="BG968" t="s">
        <v>2371</v>
      </c>
      <c r="BH968" s="1">
        <v>44812.833333333336</v>
      </c>
      <c r="BI968">
        <v>45</v>
      </c>
      <c r="BJ968">
        <v>0</v>
      </c>
      <c r="BK968">
        <v>9</v>
      </c>
      <c r="BL968">
        <v>9</v>
      </c>
      <c r="BM968">
        <v>9</v>
      </c>
      <c r="BN968">
        <v>9</v>
      </c>
      <c r="BO968">
        <v>9</v>
      </c>
      <c r="BP968">
        <v>0</v>
      </c>
      <c r="BQ968" t="str">
        <f>"7:00 AM"</f>
        <v>7:00 AM</v>
      </c>
      <c r="BR968" t="str">
        <f>"4:00 PM"</f>
        <v>4:00 PM</v>
      </c>
      <c r="BS968" t="s">
        <v>133</v>
      </c>
      <c r="BT968">
        <v>0</v>
      </c>
      <c r="BU968">
        <v>0</v>
      </c>
      <c r="BV968" t="s">
        <v>134</v>
      </c>
      <c r="BX968" s="2" t="s">
        <v>7568</v>
      </c>
      <c r="BY968" t="s">
        <v>7559</v>
      </c>
      <c r="CA968" t="s">
        <v>7561</v>
      </c>
      <c r="CB968" t="s">
        <v>2371</v>
      </c>
      <c r="CC968" s="4" t="str">
        <f>"46168"</f>
        <v>46168</v>
      </c>
      <c r="CD968" t="s">
        <v>5561</v>
      </c>
      <c r="CE968" t="s">
        <v>2372</v>
      </c>
      <c r="CF968" s="6">
        <v>16.03</v>
      </c>
      <c r="CH968" s="6">
        <v>24.05</v>
      </c>
      <c r="CJ968" t="s">
        <v>137</v>
      </c>
      <c r="CK968" t="s">
        <v>7569</v>
      </c>
      <c r="CL968" t="s">
        <v>7570</v>
      </c>
      <c r="CO968" t="s">
        <v>138</v>
      </c>
      <c r="CP968" t="s">
        <v>134</v>
      </c>
      <c r="CQ968" t="s">
        <v>114</v>
      </c>
      <c r="CR968" t="s">
        <v>114</v>
      </c>
      <c r="CS968" t="s">
        <v>114</v>
      </c>
      <c r="CT968" t="s">
        <v>114</v>
      </c>
      <c r="CU968" t="s">
        <v>114</v>
      </c>
      <c r="CV968" t="s">
        <v>7571</v>
      </c>
      <c r="CW968" s="5" t="str">
        <f>"+15047123472"</f>
        <v>+15047123472</v>
      </c>
      <c r="CX968" t="s">
        <v>7564</v>
      </c>
      <c r="CY968" t="s">
        <v>138</v>
      </c>
      <c r="CZ968" t="s">
        <v>139</v>
      </c>
      <c r="DA968" t="s">
        <v>134</v>
      </c>
      <c r="DB968" t="s">
        <v>114</v>
      </c>
      <c r="DC968" t="s">
        <v>114</v>
      </c>
      <c r="DD968" t="s">
        <v>134</v>
      </c>
      <c r="DE968" t="s">
        <v>1509</v>
      </c>
      <c r="DF968" t="s">
        <v>7157</v>
      </c>
      <c r="DH968" t="s">
        <v>7572</v>
      </c>
      <c r="DI968" t="s">
        <v>7573</v>
      </c>
    </row>
    <row r="969" spans="1:113" ht="15" customHeight="1" x14ac:dyDescent="0.25">
      <c r="A969" t="s">
        <v>8566</v>
      </c>
      <c r="B969" t="s">
        <v>165</v>
      </c>
      <c r="C969" s="1">
        <v>44812.753267824075</v>
      </c>
      <c r="D969" s="1">
        <v>44847</v>
      </c>
      <c r="E969" t="s">
        <v>114</v>
      </c>
      <c r="F969" t="s">
        <v>2182</v>
      </c>
      <c r="G969" t="str">
        <f>"39-2021.00"</f>
        <v>39-2021.00</v>
      </c>
      <c r="H969" t="s">
        <v>615</v>
      </c>
      <c r="I969">
        <v>8</v>
      </c>
      <c r="J969">
        <v>8</v>
      </c>
      <c r="K969" s="1">
        <v>44890</v>
      </c>
      <c r="L969" s="1">
        <v>45047</v>
      </c>
      <c r="M969" s="1">
        <v>44890</v>
      </c>
      <c r="N969" s="1">
        <v>45047</v>
      </c>
      <c r="O969" t="s">
        <v>199</v>
      </c>
      <c r="P969" t="s">
        <v>4072</v>
      </c>
      <c r="R969" t="s">
        <v>4073</v>
      </c>
      <c r="T969" t="s">
        <v>4014</v>
      </c>
      <c r="U969" t="s">
        <v>619</v>
      </c>
      <c r="V969" s="4" t="str">
        <f>"40217"</f>
        <v>40217</v>
      </c>
      <c r="W969" t="s">
        <v>120</v>
      </c>
      <c r="Y969" s="5">
        <v>15188107858</v>
      </c>
      <c r="AA969">
        <v>711219</v>
      </c>
      <c r="AB969" t="s">
        <v>2185</v>
      </c>
      <c r="AC969" t="s">
        <v>4074</v>
      </c>
      <c r="AD969" t="s">
        <v>397</v>
      </c>
      <c r="AE969" t="s">
        <v>342</v>
      </c>
      <c r="AF969" t="s">
        <v>4073</v>
      </c>
      <c r="AH969" t="s">
        <v>4014</v>
      </c>
      <c r="AI969" t="s">
        <v>619</v>
      </c>
      <c r="AJ969" s="4" t="str">
        <f>"40217"</f>
        <v>40217</v>
      </c>
      <c r="AK969" t="s">
        <v>120</v>
      </c>
      <c r="AM969" s="5">
        <v>15188107858</v>
      </c>
      <c r="AO969" t="s">
        <v>4075</v>
      </c>
      <c r="AP969" t="s">
        <v>122</v>
      </c>
      <c r="AQ969" t="s">
        <v>2187</v>
      </c>
      <c r="AR969" t="s">
        <v>1951</v>
      </c>
      <c r="AT969" t="s">
        <v>2188</v>
      </c>
      <c r="AU969" t="s">
        <v>2189</v>
      </c>
      <c r="AV969" t="s">
        <v>2012</v>
      </c>
      <c r="AW969" t="s">
        <v>848</v>
      </c>
      <c r="AX969" s="4" t="str">
        <f>"10165"</f>
        <v>10165</v>
      </c>
      <c r="AY969" t="s">
        <v>120</v>
      </c>
      <c r="BA969" s="5">
        <v>12127604400</v>
      </c>
      <c r="BC969" t="s">
        <v>2190</v>
      </c>
      <c r="BD969" t="s">
        <v>2191</v>
      </c>
      <c r="BE969" t="s">
        <v>848</v>
      </c>
      <c r="BF969" t="s">
        <v>2192</v>
      </c>
      <c r="BG969" t="s">
        <v>1349</v>
      </c>
      <c r="BH969" s="1">
        <v>44811.833333333336</v>
      </c>
      <c r="BI969">
        <v>40</v>
      </c>
      <c r="BJ969">
        <v>8</v>
      </c>
      <c r="BK969">
        <v>0</v>
      </c>
      <c r="BL969">
        <v>0</v>
      </c>
      <c r="BM969">
        <v>8</v>
      </c>
      <c r="BN969">
        <v>8</v>
      </c>
      <c r="BO969">
        <v>8</v>
      </c>
      <c r="BP969">
        <v>8</v>
      </c>
      <c r="BQ969" t="str">
        <f>"5:00 AM"</f>
        <v>5:00 AM</v>
      </c>
      <c r="BR969" t="str">
        <f>"11:00 AM"</f>
        <v>11:00 AM</v>
      </c>
      <c r="BS969" t="s">
        <v>133</v>
      </c>
      <c r="BT969">
        <v>0</v>
      </c>
      <c r="BU969">
        <v>1</v>
      </c>
      <c r="BV969" t="s">
        <v>134</v>
      </c>
      <c r="BX969" t="s">
        <v>7739</v>
      </c>
      <c r="BY969" t="s">
        <v>8567</v>
      </c>
      <c r="BZ969" t="s">
        <v>8568</v>
      </c>
      <c r="CA969" t="s">
        <v>2852</v>
      </c>
      <c r="CB969" t="s">
        <v>1349</v>
      </c>
      <c r="CC969" s="4" t="str">
        <f>"71901"</f>
        <v>71901</v>
      </c>
      <c r="CD969" t="s">
        <v>2853</v>
      </c>
      <c r="CE969" t="s">
        <v>2854</v>
      </c>
      <c r="CF969" s="6">
        <v>15.21</v>
      </c>
      <c r="CG969" s="6">
        <v>15.21</v>
      </c>
      <c r="CH969" s="6">
        <v>22.82</v>
      </c>
      <c r="CI969" s="6">
        <v>22.82</v>
      </c>
      <c r="CJ969" t="s">
        <v>137</v>
      </c>
      <c r="CL969" t="s">
        <v>8569</v>
      </c>
      <c r="CO969" t="s">
        <v>138</v>
      </c>
      <c r="CP969" t="s">
        <v>134</v>
      </c>
      <c r="CQ969" t="s">
        <v>134</v>
      </c>
      <c r="CR969" t="s">
        <v>114</v>
      </c>
      <c r="CS969" t="s">
        <v>134</v>
      </c>
      <c r="CT969" t="s">
        <v>114</v>
      </c>
      <c r="CU969" t="s">
        <v>114</v>
      </c>
      <c r="CV969" t="s">
        <v>2195</v>
      </c>
      <c r="CW969" s="5" t="str">
        <f>"+15188107858"</f>
        <v>+15188107858</v>
      </c>
      <c r="CX969" t="s">
        <v>4075</v>
      </c>
      <c r="CY969" t="s">
        <v>138</v>
      </c>
      <c r="CZ969" t="s">
        <v>139</v>
      </c>
      <c r="DA969" t="s">
        <v>134</v>
      </c>
      <c r="DB969" t="s">
        <v>134</v>
      </c>
      <c r="DC969" t="s">
        <v>114</v>
      </c>
      <c r="DD969" t="s">
        <v>134</v>
      </c>
    </row>
    <row r="970" spans="1:113" ht="15" customHeight="1" x14ac:dyDescent="0.25">
      <c r="A970" t="s">
        <v>7734</v>
      </c>
      <c r="B970" t="s">
        <v>165</v>
      </c>
      <c r="C970" s="1">
        <v>44807.601251273147</v>
      </c>
      <c r="D970" s="1">
        <v>44847</v>
      </c>
      <c r="E970" t="s">
        <v>114</v>
      </c>
      <c r="F970" t="s">
        <v>2182</v>
      </c>
      <c r="G970" t="str">
        <f>"39-2021.00"</f>
        <v>39-2021.00</v>
      </c>
      <c r="H970" t="s">
        <v>615</v>
      </c>
      <c r="I970">
        <v>10</v>
      </c>
      <c r="J970">
        <v>10</v>
      </c>
      <c r="K970" s="1">
        <v>44895</v>
      </c>
      <c r="L970" s="1">
        <v>45017</v>
      </c>
      <c r="M970" s="1">
        <v>44895</v>
      </c>
      <c r="N970" s="1">
        <v>45017</v>
      </c>
      <c r="O970" t="s">
        <v>199</v>
      </c>
      <c r="P970" t="s">
        <v>7735</v>
      </c>
      <c r="R970" t="s">
        <v>7736</v>
      </c>
      <c r="T970" t="s">
        <v>1425</v>
      </c>
      <c r="U970" t="s">
        <v>848</v>
      </c>
      <c r="V970" s="4" t="str">
        <f>"14564"</f>
        <v>14564</v>
      </c>
      <c r="W970" t="s">
        <v>120</v>
      </c>
      <c r="Y970" s="5">
        <v>15853983967</v>
      </c>
      <c r="AA970">
        <v>711219</v>
      </c>
      <c r="AB970" t="s">
        <v>7737</v>
      </c>
      <c r="AC970" t="s">
        <v>1149</v>
      </c>
      <c r="AD970" t="s">
        <v>1730</v>
      </c>
      <c r="AE970" t="s">
        <v>342</v>
      </c>
      <c r="AF970" t="s">
        <v>7736</v>
      </c>
      <c r="AH970" t="s">
        <v>1425</v>
      </c>
      <c r="AI970" t="s">
        <v>848</v>
      </c>
      <c r="AJ970" s="4" t="str">
        <f>"14564"</f>
        <v>14564</v>
      </c>
      <c r="AK970" t="s">
        <v>120</v>
      </c>
      <c r="AM970" s="5">
        <v>15853983967</v>
      </c>
      <c r="AO970" t="s">
        <v>7738</v>
      </c>
      <c r="AP970" t="s">
        <v>122</v>
      </c>
      <c r="AQ970" t="s">
        <v>2187</v>
      </c>
      <c r="AR970" t="s">
        <v>1951</v>
      </c>
      <c r="AT970" t="s">
        <v>2188</v>
      </c>
      <c r="AU970" t="s">
        <v>2189</v>
      </c>
      <c r="AV970" t="s">
        <v>2012</v>
      </c>
      <c r="AW970" t="s">
        <v>848</v>
      </c>
      <c r="AX970" s="4" t="str">
        <f>"10165"</f>
        <v>10165</v>
      </c>
      <c r="AY970" t="s">
        <v>120</v>
      </c>
      <c r="BA970" s="5">
        <v>12127604400</v>
      </c>
      <c r="BC970" t="s">
        <v>2190</v>
      </c>
      <c r="BD970" t="s">
        <v>2191</v>
      </c>
      <c r="BE970" t="s">
        <v>848</v>
      </c>
      <c r="BF970" t="s">
        <v>2192</v>
      </c>
      <c r="BG970" t="s">
        <v>154</v>
      </c>
      <c r="BH970" s="1">
        <v>44805.833333333336</v>
      </c>
      <c r="BI970">
        <v>40</v>
      </c>
      <c r="BJ970">
        <v>8</v>
      </c>
      <c r="BK970">
        <v>0</v>
      </c>
      <c r="BL970">
        <v>0</v>
      </c>
      <c r="BM970">
        <v>8</v>
      </c>
      <c r="BN970">
        <v>8</v>
      </c>
      <c r="BO970">
        <v>8</v>
      </c>
      <c r="BP970">
        <v>8</v>
      </c>
      <c r="BQ970" t="str">
        <f>"5:00 AM"</f>
        <v>5:00 AM</v>
      </c>
      <c r="BR970" t="str">
        <f>"11:00 AM"</f>
        <v>11:00 AM</v>
      </c>
      <c r="BS970" t="s">
        <v>133</v>
      </c>
      <c r="BT970">
        <v>0</v>
      </c>
      <c r="BU970">
        <v>1</v>
      </c>
      <c r="BV970" t="s">
        <v>134</v>
      </c>
      <c r="BX970" t="s">
        <v>7739</v>
      </c>
      <c r="BY970" t="s">
        <v>7740</v>
      </c>
      <c r="BZ970" t="s">
        <v>7741</v>
      </c>
      <c r="CA970" t="s">
        <v>974</v>
      </c>
      <c r="CB970" t="s">
        <v>154</v>
      </c>
      <c r="CC970" s="4" t="str">
        <f>"33626"</f>
        <v>33626</v>
      </c>
      <c r="CD970" t="s">
        <v>566</v>
      </c>
      <c r="CE970" t="s">
        <v>567</v>
      </c>
      <c r="CF970" s="6">
        <v>12.83</v>
      </c>
      <c r="CG970" s="6">
        <v>12.83</v>
      </c>
      <c r="CH970" s="6">
        <v>19.25</v>
      </c>
      <c r="CI970" s="6">
        <v>19.25</v>
      </c>
      <c r="CJ970" t="s">
        <v>137</v>
      </c>
      <c r="CL970" t="s">
        <v>7742</v>
      </c>
      <c r="CO970" t="s">
        <v>138</v>
      </c>
      <c r="CP970" t="s">
        <v>134</v>
      </c>
      <c r="CQ970" t="s">
        <v>134</v>
      </c>
      <c r="CR970" t="s">
        <v>114</v>
      </c>
      <c r="CS970" t="s">
        <v>134</v>
      </c>
      <c r="CT970" t="s">
        <v>114</v>
      </c>
      <c r="CU970" t="s">
        <v>114</v>
      </c>
      <c r="CV970" t="s">
        <v>2195</v>
      </c>
      <c r="CW970" s="5" t="str">
        <f>"+15853983967"</f>
        <v>+15853983967</v>
      </c>
      <c r="CX970" t="s">
        <v>7738</v>
      </c>
      <c r="CY970" t="s">
        <v>138</v>
      </c>
      <c r="CZ970" t="s">
        <v>139</v>
      </c>
      <c r="DA970" t="s">
        <v>134</v>
      </c>
      <c r="DB970" t="s">
        <v>134</v>
      </c>
      <c r="DC970" t="s">
        <v>114</v>
      </c>
      <c r="DD970" t="s">
        <v>134</v>
      </c>
    </row>
    <row r="971" spans="1:113" ht="15" customHeight="1" x14ac:dyDescent="0.25">
      <c r="A971" t="s">
        <v>15739</v>
      </c>
      <c r="B971" t="s">
        <v>165</v>
      </c>
      <c r="C971" s="1">
        <v>44805.539393749998</v>
      </c>
      <c r="D971" s="1">
        <v>44847</v>
      </c>
      <c r="E971" t="s">
        <v>134</v>
      </c>
      <c r="F971" t="s">
        <v>15740</v>
      </c>
      <c r="G971" t="str">
        <f>"35-9011.00"</f>
        <v>35-9011.00</v>
      </c>
      <c r="H971" t="s">
        <v>743</v>
      </c>
      <c r="I971">
        <v>15</v>
      </c>
      <c r="J971">
        <v>15</v>
      </c>
      <c r="K971" s="1">
        <v>44880</v>
      </c>
      <c r="L971" s="1">
        <v>45183</v>
      </c>
      <c r="M971" s="1">
        <v>44880</v>
      </c>
      <c r="N971" s="1">
        <v>45183</v>
      </c>
      <c r="O971" t="s">
        <v>117</v>
      </c>
      <c r="P971" t="s">
        <v>12343</v>
      </c>
      <c r="Q971" t="s">
        <v>3281</v>
      </c>
      <c r="R971" t="s">
        <v>12344</v>
      </c>
      <c r="T971" t="s">
        <v>2309</v>
      </c>
      <c r="U971" t="s">
        <v>154</v>
      </c>
      <c r="V971" s="4" t="str">
        <f>"33019"</f>
        <v>33019</v>
      </c>
      <c r="W971" t="s">
        <v>120</v>
      </c>
      <c r="Y971" s="5">
        <v>19548744418</v>
      </c>
      <c r="AA971">
        <v>721110</v>
      </c>
      <c r="AB971" t="s">
        <v>12345</v>
      </c>
      <c r="AC971" t="s">
        <v>9941</v>
      </c>
      <c r="AE971" t="s">
        <v>1845</v>
      </c>
      <c r="AF971" t="s">
        <v>12344</v>
      </c>
      <c r="AH971" t="s">
        <v>2309</v>
      </c>
      <c r="AI971" t="s">
        <v>154</v>
      </c>
      <c r="AJ971" s="4" t="str">
        <f>"33019"</f>
        <v>33019</v>
      </c>
      <c r="AK971" t="s">
        <v>120</v>
      </c>
      <c r="AM971" s="5">
        <v>19548744418</v>
      </c>
      <c r="AO971" t="s">
        <v>12346</v>
      </c>
      <c r="AP971" t="s">
        <v>122</v>
      </c>
      <c r="AQ971" t="s">
        <v>753</v>
      </c>
      <c r="AR971" t="s">
        <v>754</v>
      </c>
      <c r="AS971" t="s">
        <v>755</v>
      </c>
      <c r="AT971" t="s">
        <v>756</v>
      </c>
      <c r="AU971" t="s">
        <v>757</v>
      </c>
      <c r="AV971" t="s">
        <v>758</v>
      </c>
      <c r="AW971" t="s">
        <v>281</v>
      </c>
      <c r="AX971" s="4" t="str">
        <f>"01701"</f>
        <v>01701</v>
      </c>
      <c r="AY971" t="s">
        <v>120</v>
      </c>
      <c r="BA971" s="5">
        <v>16179399444</v>
      </c>
      <c r="BC971" t="s">
        <v>2487</v>
      </c>
      <c r="BD971" t="s">
        <v>760</v>
      </c>
      <c r="BE971" t="s">
        <v>281</v>
      </c>
      <c r="BF971" t="s">
        <v>761</v>
      </c>
      <c r="BG971" t="s">
        <v>154</v>
      </c>
      <c r="BH971" s="1">
        <v>44789.833333333336</v>
      </c>
      <c r="BI971">
        <v>40</v>
      </c>
      <c r="BJ971">
        <v>0</v>
      </c>
      <c r="BK971">
        <v>8</v>
      </c>
      <c r="BL971">
        <v>8</v>
      </c>
      <c r="BM971">
        <v>8</v>
      </c>
      <c r="BN971">
        <v>8</v>
      </c>
      <c r="BO971">
        <v>8</v>
      </c>
      <c r="BP971">
        <v>0</v>
      </c>
      <c r="BQ971" t="str">
        <f>"8:00 AM"</f>
        <v>8:00 AM</v>
      </c>
      <c r="BR971" t="str">
        <f>"4:00 PM"</f>
        <v>4:00 PM</v>
      </c>
      <c r="BS971" t="s">
        <v>133</v>
      </c>
      <c r="BT971">
        <v>0</v>
      </c>
      <c r="BU971">
        <v>3</v>
      </c>
      <c r="BV971" t="s">
        <v>134</v>
      </c>
      <c r="BX971" s="2" t="s">
        <v>15741</v>
      </c>
      <c r="BY971" t="s">
        <v>12348</v>
      </c>
      <c r="CA971" t="s">
        <v>2309</v>
      </c>
      <c r="CB971" t="s">
        <v>154</v>
      </c>
      <c r="CC971" s="4" t="str">
        <f>"33019"</f>
        <v>33019</v>
      </c>
      <c r="CD971" t="s">
        <v>2313</v>
      </c>
      <c r="CE971" t="s">
        <v>1742</v>
      </c>
      <c r="CF971" s="6">
        <v>12.2</v>
      </c>
      <c r="CH971" s="6">
        <v>18.3</v>
      </c>
      <c r="CJ971" t="s">
        <v>137</v>
      </c>
      <c r="CK971" t="s">
        <v>15742</v>
      </c>
      <c r="CL971" t="s">
        <v>15743</v>
      </c>
      <c r="CO971" t="s">
        <v>138</v>
      </c>
      <c r="CP971" t="s">
        <v>134</v>
      </c>
      <c r="CQ971" t="s">
        <v>134</v>
      </c>
      <c r="CR971" t="s">
        <v>114</v>
      </c>
      <c r="CS971" t="s">
        <v>114</v>
      </c>
      <c r="CT971" t="s">
        <v>114</v>
      </c>
      <c r="CU971" t="s">
        <v>114</v>
      </c>
      <c r="CV971" s="2" t="s">
        <v>15744</v>
      </c>
      <c r="CW971" s="5" t="str">
        <f>"+19548744418"</f>
        <v>+19548744418</v>
      </c>
      <c r="CX971" t="s">
        <v>12352</v>
      </c>
      <c r="CY971" t="s">
        <v>138</v>
      </c>
      <c r="CZ971" t="s">
        <v>139</v>
      </c>
      <c r="DA971" t="s">
        <v>134</v>
      </c>
      <c r="DB971" t="s">
        <v>114</v>
      </c>
      <c r="DC971" t="s">
        <v>114</v>
      </c>
      <c r="DD971" t="s">
        <v>134</v>
      </c>
    </row>
    <row r="972" spans="1:113" ht="15" customHeight="1" x14ac:dyDescent="0.25">
      <c r="A972" t="s">
        <v>10574</v>
      </c>
      <c r="B972" t="s">
        <v>165</v>
      </c>
      <c r="C972" s="1">
        <v>44803.586960185188</v>
      </c>
      <c r="D972" s="1">
        <v>44847</v>
      </c>
      <c r="E972" t="s">
        <v>134</v>
      </c>
      <c r="F972" t="s">
        <v>10575</v>
      </c>
      <c r="G972" t="str">
        <f>"25-3021.00"</f>
        <v>25-3021.00</v>
      </c>
      <c r="H972" t="s">
        <v>4988</v>
      </c>
      <c r="I972">
        <v>45</v>
      </c>
      <c r="J972">
        <v>45</v>
      </c>
      <c r="K972" s="1">
        <v>44893</v>
      </c>
      <c r="L972" s="1">
        <v>45018</v>
      </c>
      <c r="M972" s="1">
        <v>44893</v>
      </c>
      <c r="N972" s="1">
        <v>45018</v>
      </c>
      <c r="O972" t="s">
        <v>199</v>
      </c>
      <c r="P972" t="s">
        <v>8653</v>
      </c>
      <c r="Q972" t="s">
        <v>8654</v>
      </c>
      <c r="R972" t="s">
        <v>8655</v>
      </c>
      <c r="S972" t="s">
        <v>8656</v>
      </c>
      <c r="T972" t="s">
        <v>5250</v>
      </c>
      <c r="U972" t="s">
        <v>420</v>
      </c>
      <c r="V972" s="4" t="str">
        <f>"84060"</f>
        <v>84060</v>
      </c>
      <c r="W972" t="s">
        <v>120</v>
      </c>
      <c r="Y972" s="5">
        <v>14356456653</v>
      </c>
      <c r="AA972">
        <v>721110</v>
      </c>
      <c r="AB972" t="s">
        <v>8657</v>
      </c>
      <c r="AC972" t="s">
        <v>8658</v>
      </c>
      <c r="AE972" t="s">
        <v>5253</v>
      </c>
      <c r="AF972" t="s">
        <v>8659</v>
      </c>
      <c r="AG972" t="s">
        <v>8655</v>
      </c>
      <c r="AH972" t="s">
        <v>5250</v>
      </c>
      <c r="AI972" t="s">
        <v>420</v>
      </c>
      <c r="AJ972" s="4" t="str">
        <f>"84060"</f>
        <v>84060</v>
      </c>
      <c r="AK972" t="s">
        <v>120</v>
      </c>
      <c r="AM972" s="5">
        <v>14356456653</v>
      </c>
      <c r="AO972" t="s">
        <v>8660</v>
      </c>
      <c r="AP972" t="s">
        <v>122</v>
      </c>
      <c r="AQ972" t="s">
        <v>3685</v>
      </c>
      <c r="AR972" t="s">
        <v>2874</v>
      </c>
      <c r="AS972" t="s">
        <v>3686</v>
      </c>
      <c r="AT972" t="s">
        <v>3687</v>
      </c>
      <c r="AU972" t="s">
        <v>152</v>
      </c>
      <c r="AV972" t="s">
        <v>3688</v>
      </c>
      <c r="AW972" t="s">
        <v>444</v>
      </c>
      <c r="AX972" s="4" t="str">
        <f>"91361"</f>
        <v>91361</v>
      </c>
      <c r="AY972" t="s">
        <v>120</v>
      </c>
      <c r="BA972" s="5">
        <v>18052611393</v>
      </c>
      <c r="BC972" t="s">
        <v>10576</v>
      </c>
      <c r="BD972" t="s">
        <v>3690</v>
      </c>
      <c r="BE972" t="s">
        <v>154</v>
      </c>
      <c r="BF972" t="s">
        <v>157</v>
      </c>
      <c r="BG972" t="s">
        <v>420</v>
      </c>
      <c r="BH972" s="1">
        <v>44797.833333333336</v>
      </c>
      <c r="BI972">
        <v>35</v>
      </c>
      <c r="BJ972">
        <v>5</v>
      </c>
      <c r="BK972">
        <v>5</v>
      </c>
      <c r="BL972">
        <v>5</v>
      </c>
      <c r="BM972">
        <v>5</v>
      </c>
      <c r="BN972">
        <v>5</v>
      </c>
      <c r="BO972">
        <v>5</v>
      </c>
      <c r="BP972">
        <v>5</v>
      </c>
      <c r="BQ972" t="str">
        <f>"8:30 AM"</f>
        <v>8:30 AM</v>
      </c>
      <c r="BR972" t="str">
        <f>"4:00 PM"</f>
        <v>4:00 PM</v>
      </c>
      <c r="BS972" t="s">
        <v>133</v>
      </c>
      <c r="BT972">
        <v>0</v>
      </c>
      <c r="BU972">
        <v>9</v>
      </c>
      <c r="BV972" t="s">
        <v>134</v>
      </c>
      <c r="BX972" s="2" t="s">
        <v>10577</v>
      </c>
      <c r="BY972" t="s">
        <v>8655</v>
      </c>
      <c r="CA972" t="s">
        <v>5250</v>
      </c>
      <c r="CB972" t="s">
        <v>420</v>
      </c>
      <c r="CC972" s="4" t="str">
        <f>"84060"</f>
        <v>84060</v>
      </c>
      <c r="CD972" t="s">
        <v>1459</v>
      </c>
      <c r="CE972" t="s">
        <v>4193</v>
      </c>
      <c r="CF972" s="6">
        <v>22.47</v>
      </c>
      <c r="CG972" s="6">
        <v>46</v>
      </c>
      <c r="CH972" s="6">
        <v>33.71</v>
      </c>
      <c r="CI972" s="6">
        <v>69</v>
      </c>
      <c r="CJ972" t="s">
        <v>137</v>
      </c>
      <c r="CK972" s="2" t="s">
        <v>10578</v>
      </c>
      <c r="CL972" t="s">
        <v>10579</v>
      </c>
      <c r="CO972" t="s">
        <v>138</v>
      </c>
      <c r="CP972" t="s">
        <v>134</v>
      </c>
      <c r="CQ972" t="s">
        <v>134</v>
      </c>
      <c r="CR972" t="s">
        <v>114</v>
      </c>
      <c r="CS972" t="s">
        <v>114</v>
      </c>
      <c r="CT972" t="s">
        <v>114</v>
      </c>
      <c r="CU972" t="s">
        <v>114</v>
      </c>
      <c r="CV972" t="s">
        <v>10580</v>
      </c>
      <c r="CW972" s="5" t="str">
        <f>"+14356456635"</f>
        <v>+14356456635</v>
      </c>
      <c r="CX972" t="s">
        <v>10581</v>
      </c>
      <c r="CY972" t="s">
        <v>138</v>
      </c>
      <c r="CZ972" t="s">
        <v>139</v>
      </c>
      <c r="DA972" t="s">
        <v>134</v>
      </c>
      <c r="DB972" t="s">
        <v>134</v>
      </c>
      <c r="DC972" t="s">
        <v>114</v>
      </c>
      <c r="DD972" t="s">
        <v>134</v>
      </c>
    </row>
    <row r="973" spans="1:113" ht="15" customHeight="1" x14ac:dyDescent="0.25">
      <c r="A973" t="s">
        <v>15210</v>
      </c>
      <c r="B973" t="s">
        <v>165</v>
      </c>
      <c r="C973" s="1">
        <v>44801.007440624999</v>
      </c>
      <c r="D973" s="1">
        <v>44847</v>
      </c>
      <c r="E973" t="s">
        <v>134</v>
      </c>
      <c r="F973" t="s">
        <v>1106</v>
      </c>
      <c r="G973" t="str">
        <f>"45-4011.00"</f>
        <v>45-4011.00</v>
      </c>
      <c r="H973" t="s">
        <v>1107</v>
      </c>
      <c r="I973">
        <v>150</v>
      </c>
      <c r="J973">
        <v>150</v>
      </c>
      <c r="K973" s="1">
        <v>44891</v>
      </c>
      <c r="L973" s="1">
        <v>45194</v>
      </c>
      <c r="M973" s="1">
        <v>44891</v>
      </c>
      <c r="N973" s="1">
        <v>45194</v>
      </c>
      <c r="O973" t="s">
        <v>117</v>
      </c>
      <c r="P973" t="s">
        <v>15211</v>
      </c>
      <c r="R973" t="s">
        <v>15212</v>
      </c>
      <c r="T973" t="s">
        <v>2119</v>
      </c>
      <c r="U973" t="s">
        <v>511</v>
      </c>
      <c r="V973" s="4" t="str">
        <f>"97502"</f>
        <v>97502</v>
      </c>
      <c r="W973" t="s">
        <v>120</v>
      </c>
      <c r="Y973" s="5">
        <v>15413266093</v>
      </c>
      <c r="AA973">
        <v>1153</v>
      </c>
      <c r="AB973" t="s">
        <v>15213</v>
      </c>
      <c r="AC973" t="s">
        <v>15214</v>
      </c>
      <c r="AD973" t="s">
        <v>138</v>
      </c>
      <c r="AE973" t="s">
        <v>342</v>
      </c>
      <c r="AF973" t="s">
        <v>15212</v>
      </c>
      <c r="AH973" t="s">
        <v>2119</v>
      </c>
      <c r="AI973" t="s">
        <v>511</v>
      </c>
      <c r="AJ973" s="4" t="str">
        <f>"97502"</f>
        <v>97502</v>
      </c>
      <c r="AK973" t="s">
        <v>120</v>
      </c>
      <c r="AM973" s="5">
        <v>15413266093</v>
      </c>
      <c r="AO973" t="s">
        <v>138</v>
      </c>
      <c r="AP973" t="s">
        <v>256</v>
      </c>
      <c r="AQ973" t="s">
        <v>826</v>
      </c>
      <c r="AR973" t="s">
        <v>827</v>
      </c>
      <c r="AS973" t="s">
        <v>138</v>
      </c>
      <c r="AT973" t="s">
        <v>346</v>
      </c>
      <c r="AU973" t="s">
        <v>347</v>
      </c>
      <c r="AV973" t="s">
        <v>828</v>
      </c>
      <c r="AW973" t="s">
        <v>349</v>
      </c>
      <c r="AX973" s="4" t="str">
        <f>"83814"</f>
        <v>83814</v>
      </c>
      <c r="AY973" t="s">
        <v>120</v>
      </c>
      <c r="BA973" s="5">
        <v>12087772654</v>
      </c>
      <c r="BC973" t="s">
        <v>829</v>
      </c>
      <c r="BD973" t="s">
        <v>351</v>
      </c>
      <c r="BG973" t="s">
        <v>511</v>
      </c>
      <c r="BH973" s="1">
        <v>44800.833333333336</v>
      </c>
      <c r="BI973">
        <v>40</v>
      </c>
      <c r="BJ973">
        <v>0</v>
      </c>
      <c r="BK973">
        <v>8</v>
      </c>
      <c r="BL973">
        <v>8</v>
      </c>
      <c r="BM973">
        <v>8</v>
      </c>
      <c r="BN973">
        <v>8</v>
      </c>
      <c r="BO973">
        <v>8</v>
      </c>
      <c r="BP973">
        <v>0</v>
      </c>
      <c r="BQ973" t="str">
        <f>"6:30 AM"</f>
        <v>6:30 AM</v>
      </c>
      <c r="BR973" t="str">
        <f>"3:00 PM"</f>
        <v>3:00 PM</v>
      </c>
      <c r="BS973" t="s">
        <v>133</v>
      </c>
      <c r="BT973">
        <v>0</v>
      </c>
      <c r="BU973">
        <v>0</v>
      </c>
      <c r="BV973" t="s">
        <v>134</v>
      </c>
      <c r="BX973" s="2" t="s">
        <v>8066</v>
      </c>
      <c r="BY973" t="s">
        <v>15215</v>
      </c>
      <c r="CA973" t="s">
        <v>2119</v>
      </c>
      <c r="CB973" t="s">
        <v>511</v>
      </c>
      <c r="CC973" s="4" t="str">
        <f>"97502"</f>
        <v>97502</v>
      </c>
      <c r="CD973" t="s">
        <v>1116</v>
      </c>
      <c r="CE973" t="s">
        <v>1117</v>
      </c>
      <c r="CF973" s="6">
        <v>15</v>
      </c>
      <c r="CG973" s="6">
        <v>30</v>
      </c>
      <c r="CH973" s="6">
        <v>22.5</v>
      </c>
      <c r="CI973" s="6">
        <v>45</v>
      </c>
      <c r="CJ973" t="s">
        <v>137</v>
      </c>
      <c r="CK973" t="s">
        <v>1118</v>
      </c>
      <c r="CL973" t="s">
        <v>15216</v>
      </c>
      <c r="CO973" t="s">
        <v>138</v>
      </c>
      <c r="CP973" t="s">
        <v>114</v>
      </c>
      <c r="CQ973" t="s">
        <v>114</v>
      </c>
      <c r="CR973" t="s">
        <v>114</v>
      </c>
      <c r="CS973" t="s">
        <v>134</v>
      </c>
      <c r="CT973" t="s">
        <v>114</v>
      </c>
      <c r="CU973" t="s">
        <v>114</v>
      </c>
      <c r="CV973" t="s">
        <v>358</v>
      </c>
      <c r="CW973" s="5" t="str">
        <f>"+15413266093"</f>
        <v>+15413266093</v>
      </c>
      <c r="CX973" t="s">
        <v>15217</v>
      </c>
      <c r="CY973" t="s">
        <v>3471</v>
      </c>
      <c r="CZ973" t="s">
        <v>139</v>
      </c>
      <c r="DA973" t="s">
        <v>134</v>
      </c>
      <c r="DB973" t="s">
        <v>114</v>
      </c>
      <c r="DC973" t="s">
        <v>114</v>
      </c>
      <c r="DD973" t="s">
        <v>134</v>
      </c>
    </row>
    <row r="974" spans="1:113" ht="15" customHeight="1" x14ac:dyDescent="0.25">
      <c r="A974" t="s">
        <v>9783</v>
      </c>
      <c r="B974" t="s">
        <v>165</v>
      </c>
      <c r="C974" s="1">
        <v>44798.886924652776</v>
      </c>
      <c r="D974" s="1">
        <v>44847</v>
      </c>
      <c r="E974" t="s">
        <v>134</v>
      </c>
      <c r="F974" t="s">
        <v>9784</v>
      </c>
      <c r="G974" t="str">
        <f>"49-3041.00"</f>
        <v>49-3041.00</v>
      </c>
      <c r="H974" t="s">
        <v>1720</v>
      </c>
      <c r="I974">
        <v>5</v>
      </c>
      <c r="J974">
        <v>5</v>
      </c>
      <c r="K974" s="1">
        <v>44873</v>
      </c>
      <c r="L974" s="1">
        <v>45046</v>
      </c>
      <c r="M974" s="1">
        <v>44873</v>
      </c>
      <c r="N974" s="1">
        <v>45046</v>
      </c>
      <c r="O974" t="s">
        <v>199</v>
      </c>
      <c r="P974" t="s">
        <v>9785</v>
      </c>
      <c r="R974" t="s">
        <v>9786</v>
      </c>
      <c r="T974" t="s">
        <v>1546</v>
      </c>
      <c r="U974" t="s">
        <v>444</v>
      </c>
      <c r="V974" s="4" t="str">
        <f>"93908"</f>
        <v>93908</v>
      </c>
      <c r="W974" t="s">
        <v>120</v>
      </c>
      <c r="Y974" s="5">
        <v>18312614383</v>
      </c>
      <c r="AA974">
        <v>115115</v>
      </c>
      <c r="AB974" t="s">
        <v>2911</v>
      </c>
      <c r="AC974" t="s">
        <v>1616</v>
      </c>
      <c r="AE974" t="s">
        <v>1555</v>
      </c>
      <c r="AF974" t="s">
        <v>9786</v>
      </c>
      <c r="AH974" t="s">
        <v>1546</v>
      </c>
      <c r="AI974" t="s">
        <v>444</v>
      </c>
      <c r="AJ974" s="4" t="str">
        <f>"93908"</f>
        <v>93908</v>
      </c>
      <c r="AK974" t="s">
        <v>120</v>
      </c>
      <c r="AM974" s="5">
        <v>18312614383</v>
      </c>
      <c r="AO974" t="s">
        <v>9787</v>
      </c>
      <c r="AP974" t="s">
        <v>122</v>
      </c>
      <c r="AQ974" t="s">
        <v>1721</v>
      </c>
      <c r="AR974" t="s">
        <v>1722</v>
      </c>
      <c r="AS974" t="s">
        <v>1723</v>
      </c>
      <c r="AT974" t="s">
        <v>1724</v>
      </c>
      <c r="AV974" t="s">
        <v>1725</v>
      </c>
      <c r="AW974" t="s">
        <v>444</v>
      </c>
      <c r="AX974" s="4" t="str">
        <f>"92106"</f>
        <v>92106</v>
      </c>
      <c r="AY974" t="s">
        <v>120</v>
      </c>
      <c r="BA974" s="5">
        <v>16192696164</v>
      </c>
      <c r="BC974" t="s">
        <v>1726</v>
      </c>
      <c r="BD974" t="s">
        <v>1727</v>
      </c>
      <c r="BE974" t="s">
        <v>444</v>
      </c>
      <c r="BF974" t="s">
        <v>510</v>
      </c>
      <c r="BG974" t="s">
        <v>530</v>
      </c>
      <c r="BH974" s="1">
        <v>44797.833333333336</v>
      </c>
      <c r="BI974">
        <v>35</v>
      </c>
      <c r="BJ974">
        <v>0</v>
      </c>
      <c r="BK974">
        <v>7</v>
      </c>
      <c r="BL974">
        <v>7</v>
      </c>
      <c r="BM974">
        <v>7</v>
      </c>
      <c r="BN974">
        <v>7</v>
      </c>
      <c r="BO974">
        <v>7</v>
      </c>
      <c r="BP974">
        <v>0</v>
      </c>
      <c r="BQ974" t="str">
        <f>"5:00 AM"</f>
        <v>5:00 AM</v>
      </c>
      <c r="BR974" t="str">
        <f>"1:00 PM"</f>
        <v>1:00 PM</v>
      </c>
      <c r="BS974" t="s">
        <v>295</v>
      </c>
      <c r="BT974">
        <v>0</v>
      </c>
      <c r="BU974">
        <v>12</v>
      </c>
      <c r="BV974" t="s">
        <v>134</v>
      </c>
      <c r="BX974" s="2" t="s">
        <v>9788</v>
      </c>
      <c r="BY974" t="s">
        <v>9789</v>
      </c>
      <c r="CA974" t="s">
        <v>9790</v>
      </c>
      <c r="CB974" t="s">
        <v>530</v>
      </c>
      <c r="CC974" s="4" t="str">
        <f>"85365"</f>
        <v>85365</v>
      </c>
      <c r="CD974" t="s">
        <v>9791</v>
      </c>
      <c r="CE974" t="s">
        <v>9792</v>
      </c>
      <c r="CF974" s="6">
        <v>21.49</v>
      </c>
      <c r="CG974" s="6">
        <v>21.49</v>
      </c>
      <c r="CH974" s="6">
        <v>32.24</v>
      </c>
      <c r="CI974" s="6">
        <v>32.24</v>
      </c>
      <c r="CJ974" t="s">
        <v>137</v>
      </c>
      <c r="CK974" t="s">
        <v>9793</v>
      </c>
      <c r="CL974" t="s">
        <v>9794</v>
      </c>
      <c r="CO974" t="s">
        <v>138</v>
      </c>
      <c r="CP974" t="s">
        <v>134</v>
      </c>
      <c r="CQ974" t="s">
        <v>114</v>
      </c>
      <c r="CR974" t="s">
        <v>114</v>
      </c>
      <c r="CS974" t="s">
        <v>114</v>
      </c>
      <c r="CT974" t="s">
        <v>114</v>
      </c>
      <c r="CU974" t="s">
        <v>114</v>
      </c>
      <c r="CV974" t="s">
        <v>9795</v>
      </c>
      <c r="CW974" s="5" t="str">
        <f>"+18312614383"</f>
        <v>+18312614383</v>
      </c>
      <c r="CX974" t="s">
        <v>9787</v>
      </c>
      <c r="CY974" t="s">
        <v>138</v>
      </c>
      <c r="CZ974" t="s">
        <v>139</v>
      </c>
      <c r="DA974" t="s">
        <v>134</v>
      </c>
      <c r="DB974" t="s">
        <v>134</v>
      </c>
      <c r="DC974" t="s">
        <v>114</v>
      </c>
      <c r="DD974" t="s">
        <v>134</v>
      </c>
    </row>
    <row r="975" spans="1:113" ht="15" customHeight="1" x14ac:dyDescent="0.25">
      <c r="A975" t="s">
        <v>13819</v>
      </c>
      <c r="B975" t="s">
        <v>165</v>
      </c>
      <c r="C975" s="1">
        <v>44782.550452430558</v>
      </c>
      <c r="D975" s="1">
        <v>44847</v>
      </c>
      <c r="E975" t="s">
        <v>134</v>
      </c>
      <c r="F975" t="s">
        <v>2320</v>
      </c>
      <c r="G975" t="str">
        <f>"37-3011.00"</f>
        <v>37-3011.00</v>
      </c>
      <c r="H975" t="s">
        <v>335</v>
      </c>
      <c r="I975">
        <v>40</v>
      </c>
      <c r="J975">
        <v>40</v>
      </c>
      <c r="K975" s="1">
        <v>44866</v>
      </c>
      <c r="L975" s="1">
        <v>44986</v>
      </c>
      <c r="M975" s="1">
        <v>44866</v>
      </c>
      <c r="N975" s="1">
        <v>44986</v>
      </c>
      <c r="O975" t="s">
        <v>199</v>
      </c>
      <c r="P975" t="s">
        <v>13820</v>
      </c>
      <c r="R975" t="s">
        <v>13821</v>
      </c>
      <c r="T975" t="s">
        <v>2460</v>
      </c>
      <c r="U975" t="s">
        <v>232</v>
      </c>
      <c r="V975" s="4" t="str">
        <f>"75006"</f>
        <v>75006</v>
      </c>
      <c r="W975" t="s">
        <v>120</v>
      </c>
      <c r="Y975" s="5">
        <v>19727120353</v>
      </c>
      <c r="AA975">
        <v>56173</v>
      </c>
      <c r="AB975" t="s">
        <v>13822</v>
      </c>
      <c r="AC975" t="s">
        <v>13516</v>
      </c>
      <c r="AE975" t="s">
        <v>10093</v>
      </c>
      <c r="AF975" t="s">
        <v>13821</v>
      </c>
      <c r="AH975" t="s">
        <v>2460</v>
      </c>
      <c r="AI975" t="s">
        <v>232</v>
      </c>
      <c r="AJ975" s="4" t="str">
        <f>"75006"</f>
        <v>75006</v>
      </c>
      <c r="AK975" t="s">
        <v>120</v>
      </c>
      <c r="AM975" s="5">
        <v>19727120353</v>
      </c>
      <c r="AO975" t="s">
        <v>138</v>
      </c>
      <c r="AP975" t="s">
        <v>122</v>
      </c>
      <c r="AQ975" t="s">
        <v>864</v>
      </c>
      <c r="AR975" t="s">
        <v>865</v>
      </c>
      <c r="AS975" t="s">
        <v>370</v>
      </c>
      <c r="AT975" t="s">
        <v>3908</v>
      </c>
      <c r="AV975" t="s">
        <v>684</v>
      </c>
      <c r="AW975" t="s">
        <v>232</v>
      </c>
      <c r="AX975" s="4" t="str">
        <f>"78705"</f>
        <v>78705</v>
      </c>
      <c r="AY975" t="s">
        <v>120</v>
      </c>
      <c r="BA975" s="5">
        <v>15123470007</v>
      </c>
      <c r="BC975" t="s">
        <v>868</v>
      </c>
      <c r="BD975" t="s">
        <v>2111</v>
      </c>
      <c r="BE975" t="s">
        <v>232</v>
      </c>
      <c r="BF975" t="s">
        <v>870</v>
      </c>
      <c r="BG975" t="s">
        <v>232</v>
      </c>
      <c r="BH975" s="1">
        <v>44781.833333333336</v>
      </c>
      <c r="BI975">
        <v>40</v>
      </c>
      <c r="BJ975">
        <v>0</v>
      </c>
      <c r="BK975">
        <v>8</v>
      </c>
      <c r="BL975">
        <v>8</v>
      </c>
      <c r="BM975">
        <v>8</v>
      </c>
      <c r="BN975">
        <v>8</v>
      </c>
      <c r="BO975">
        <v>8</v>
      </c>
      <c r="BP975">
        <v>0</v>
      </c>
      <c r="BQ975" t="str">
        <f>"7:00 AM"</f>
        <v>7:00 AM</v>
      </c>
      <c r="BR975" t="str">
        <f>"4:00 PM"</f>
        <v>4:00 PM</v>
      </c>
      <c r="BS975" t="s">
        <v>133</v>
      </c>
      <c r="BT975">
        <v>0</v>
      </c>
      <c r="BU975">
        <v>0</v>
      </c>
      <c r="BV975" t="s">
        <v>134</v>
      </c>
      <c r="BX975" t="s">
        <v>133</v>
      </c>
      <c r="BY975" t="s">
        <v>13821</v>
      </c>
      <c r="CA975" t="s">
        <v>2460</v>
      </c>
      <c r="CB975" t="s">
        <v>232</v>
      </c>
      <c r="CC975" s="4" t="str">
        <f>"75006"</f>
        <v>75006</v>
      </c>
      <c r="CD975" t="s">
        <v>1482</v>
      </c>
      <c r="CE975" t="s">
        <v>1528</v>
      </c>
      <c r="CF975" s="6">
        <v>16.3</v>
      </c>
      <c r="CG975" s="6">
        <v>22</v>
      </c>
      <c r="CH975" s="6">
        <v>24.45</v>
      </c>
      <c r="CI975" s="6">
        <v>33</v>
      </c>
      <c r="CJ975" t="s">
        <v>137</v>
      </c>
      <c r="CK975" t="s">
        <v>13823</v>
      </c>
      <c r="CL975" t="s">
        <v>13824</v>
      </c>
      <c r="CO975" t="s">
        <v>138</v>
      </c>
      <c r="CP975" t="s">
        <v>114</v>
      </c>
      <c r="CQ975" t="s">
        <v>114</v>
      </c>
      <c r="CR975" t="s">
        <v>114</v>
      </c>
      <c r="CS975" t="s">
        <v>114</v>
      </c>
      <c r="CT975" t="s">
        <v>114</v>
      </c>
      <c r="CU975" t="s">
        <v>114</v>
      </c>
      <c r="CV975" t="s">
        <v>13825</v>
      </c>
      <c r="CW975" s="5" t="str">
        <f>"+19727120353"</f>
        <v>+19727120353</v>
      </c>
      <c r="CX975" t="s">
        <v>11715</v>
      </c>
      <c r="CY975" t="s">
        <v>138</v>
      </c>
      <c r="CZ975" t="s">
        <v>139</v>
      </c>
      <c r="DA975" t="s">
        <v>134</v>
      </c>
      <c r="DB975" t="s">
        <v>134</v>
      </c>
      <c r="DC975" t="s">
        <v>114</v>
      </c>
      <c r="DD975" t="s">
        <v>134</v>
      </c>
    </row>
    <row r="976" spans="1:113" ht="15" customHeight="1" x14ac:dyDescent="0.25">
      <c r="A976" t="s">
        <v>7769</v>
      </c>
      <c r="B976" t="s">
        <v>165</v>
      </c>
      <c r="C976" s="1">
        <v>44823.802015162037</v>
      </c>
      <c r="D976" s="1">
        <v>44846</v>
      </c>
      <c r="E976" t="s">
        <v>134</v>
      </c>
      <c r="F976" t="s">
        <v>334</v>
      </c>
      <c r="G976" t="str">
        <f>"37-3011.00"</f>
        <v>37-3011.00</v>
      </c>
      <c r="H976" t="s">
        <v>335</v>
      </c>
      <c r="I976">
        <v>50</v>
      </c>
      <c r="J976">
        <v>50</v>
      </c>
      <c r="K976" s="1">
        <v>44899</v>
      </c>
      <c r="L976" s="1">
        <v>45031</v>
      </c>
      <c r="M976" s="1">
        <v>44899</v>
      </c>
      <c r="N976" s="1">
        <v>45031</v>
      </c>
      <c r="O976" t="s">
        <v>199</v>
      </c>
      <c r="P976" t="s">
        <v>7770</v>
      </c>
      <c r="R976" t="s">
        <v>7771</v>
      </c>
      <c r="T976" t="s">
        <v>7772</v>
      </c>
      <c r="U976" t="s">
        <v>119</v>
      </c>
      <c r="V976" s="4" t="str">
        <f>"28747"</f>
        <v>28747</v>
      </c>
      <c r="W976" t="s">
        <v>120</v>
      </c>
      <c r="Y976" s="5">
        <v>18283875631</v>
      </c>
      <c r="AA976">
        <v>56173</v>
      </c>
      <c r="AB976" t="s">
        <v>2441</v>
      </c>
      <c r="AC976" t="s">
        <v>4228</v>
      </c>
      <c r="AE976" t="s">
        <v>7773</v>
      </c>
      <c r="AF976" t="s">
        <v>7771</v>
      </c>
      <c r="AH976" t="s">
        <v>7772</v>
      </c>
      <c r="AI976" t="s">
        <v>119</v>
      </c>
      <c r="AJ976" s="4" t="str">
        <f>"28747"</f>
        <v>28747</v>
      </c>
      <c r="AK976" t="s">
        <v>120</v>
      </c>
      <c r="AM976" s="5">
        <v>18283875631</v>
      </c>
      <c r="AO976" t="s">
        <v>7774</v>
      </c>
      <c r="AP976" t="s">
        <v>256</v>
      </c>
      <c r="AQ976" t="s">
        <v>2277</v>
      </c>
      <c r="AR976" t="s">
        <v>1175</v>
      </c>
      <c r="AS976" t="s">
        <v>138</v>
      </c>
      <c r="AT976" t="s">
        <v>2278</v>
      </c>
      <c r="AU976" t="s">
        <v>347</v>
      </c>
      <c r="AV976" t="s">
        <v>828</v>
      </c>
      <c r="AW976" t="s">
        <v>349</v>
      </c>
      <c r="AX976" s="4" t="str">
        <f>"83814"</f>
        <v>83814</v>
      </c>
      <c r="AY976" t="s">
        <v>120</v>
      </c>
      <c r="BA976" s="5">
        <v>12087772654</v>
      </c>
      <c r="BC976" t="s">
        <v>2279</v>
      </c>
      <c r="BD976" t="s">
        <v>351</v>
      </c>
      <c r="BG976" t="s">
        <v>119</v>
      </c>
      <c r="BH976" s="1">
        <v>44822.833333333336</v>
      </c>
      <c r="BI976">
        <v>40</v>
      </c>
      <c r="BJ976">
        <v>0</v>
      </c>
      <c r="BK976">
        <v>8</v>
      </c>
      <c r="BL976">
        <v>8</v>
      </c>
      <c r="BM976">
        <v>8</v>
      </c>
      <c r="BN976">
        <v>8</v>
      </c>
      <c r="BO976">
        <v>8</v>
      </c>
      <c r="BP976">
        <v>0</v>
      </c>
      <c r="BQ976" t="str">
        <f>"7:30 AM"</f>
        <v>7:30 AM</v>
      </c>
      <c r="BR976" t="str">
        <f>"4:00 PM"</f>
        <v>4:00 PM</v>
      </c>
      <c r="BS976" t="s">
        <v>133</v>
      </c>
      <c r="BT976">
        <v>0</v>
      </c>
      <c r="BU976">
        <v>0</v>
      </c>
      <c r="BV976" t="s">
        <v>134</v>
      </c>
      <c r="BX976" s="2" t="s">
        <v>7775</v>
      </c>
      <c r="BY976" t="s">
        <v>7776</v>
      </c>
      <c r="CA976" t="s">
        <v>7047</v>
      </c>
      <c r="CB976" t="s">
        <v>119</v>
      </c>
      <c r="CC976" s="4" t="str">
        <f>"28747"</f>
        <v>28747</v>
      </c>
      <c r="CD976" t="s">
        <v>7048</v>
      </c>
      <c r="CE976" t="s">
        <v>4043</v>
      </c>
      <c r="CF976" s="6">
        <v>15.93</v>
      </c>
      <c r="CH976" s="6">
        <v>23.9</v>
      </c>
      <c r="CJ976" t="s">
        <v>137</v>
      </c>
      <c r="CK976" t="s">
        <v>138</v>
      </c>
      <c r="CL976" t="s">
        <v>7777</v>
      </c>
      <c r="CO976" t="s">
        <v>138</v>
      </c>
      <c r="CP976" t="s">
        <v>114</v>
      </c>
      <c r="CQ976" t="s">
        <v>114</v>
      </c>
      <c r="CR976" t="s">
        <v>114</v>
      </c>
      <c r="CS976" t="s">
        <v>114</v>
      </c>
      <c r="CT976" t="s">
        <v>114</v>
      </c>
      <c r="CU976" t="s">
        <v>114</v>
      </c>
      <c r="CV976" t="s">
        <v>7778</v>
      </c>
      <c r="CW976" s="5" t="str">
        <f>"+18283877193"</f>
        <v>+18283877193</v>
      </c>
      <c r="CX976" t="s">
        <v>138</v>
      </c>
      <c r="CY976" t="s">
        <v>1740</v>
      </c>
      <c r="CZ976" t="s">
        <v>139</v>
      </c>
      <c r="DA976" t="s">
        <v>134</v>
      </c>
      <c r="DB976" t="s">
        <v>114</v>
      </c>
      <c r="DC976" t="s">
        <v>114</v>
      </c>
      <c r="DD976" t="s">
        <v>134</v>
      </c>
    </row>
    <row r="977" spans="1:108" ht="15" customHeight="1" x14ac:dyDescent="0.25">
      <c r="A977" t="s">
        <v>9850</v>
      </c>
      <c r="B977" t="s">
        <v>165</v>
      </c>
      <c r="C977" s="1">
        <v>44820.582652083336</v>
      </c>
      <c r="D977" s="1">
        <v>44846</v>
      </c>
      <c r="E977" t="s">
        <v>114</v>
      </c>
      <c r="F977" t="s">
        <v>115</v>
      </c>
      <c r="G977" t="str">
        <f>"37-2012.00"</f>
        <v>37-2012.00</v>
      </c>
      <c r="H977" t="s">
        <v>116</v>
      </c>
      <c r="I977">
        <v>4</v>
      </c>
      <c r="J977">
        <v>4</v>
      </c>
      <c r="K977" s="1">
        <v>44896</v>
      </c>
      <c r="L977" s="1">
        <v>45016</v>
      </c>
      <c r="M977" s="1">
        <v>44896</v>
      </c>
      <c r="N977" s="1">
        <v>45016</v>
      </c>
      <c r="O977" t="s">
        <v>117</v>
      </c>
      <c r="P977" t="s">
        <v>9851</v>
      </c>
      <c r="Q977" t="s">
        <v>9852</v>
      </c>
      <c r="R977" t="s">
        <v>9853</v>
      </c>
      <c r="T977" t="s">
        <v>4208</v>
      </c>
      <c r="U977" t="s">
        <v>848</v>
      </c>
      <c r="V977" s="4" t="str">
        <f>"12442"</f>
        <v>12442</v>
      </c>
      <c r="W977" t="s">
        <v>120</v>
      </c>
      <c r="Y977" s="5">
        <v>15184410523</v>
      </c>
      <c r="AA977">
        <v>721110</v>
      </c>
      <c r="AB977" t="s">
        <v>9854</v>
      </c>
      <c r="AC977" t="s">
        <v>4289</v>
      </c>
      <c r="AE977" t="s">
        <v>2467</v>
      </c>
      <c r="AF977" t="s">
        <v>2468</v>
      </c>
      <c r="AG977" t="s">
        <v>138</v>
      </c>
      <c r="AH977" t="s">
        <v>2469</v>
      </c>
      <c r="AI977" t="s">
        <v>281</v>
      </c>
      <c r="AJ977" s="4" t="str">
        <f>"01913"</f>
        <v>01913</v>
      </c>
      <c r="AK977" t="s">
        <v>120</v>
      </c>
      <c r="AM977" s="5">
        <v>15184410523</v>
      </c>
      <c r="AO977" t="s">
        <v>9855</v>
      </c>
      <c r="AP977" t="s">
        <v>122</v>
      </c>
      <c r="AQ977" t="s">
        <v>753</v>
      </c>
      <c r="AR977" t="s">
        <v>754</v>
      </c>
      <c r="AS977" t="s">
        <v>755</v>
      </c>
      <c r="AT977" t="s">
        <v>756</v>
      </c>
      <c r="AU977" t="s">
        <v>757</v>
      </c>
      <c r="AV977" t="s">
        <v>758</v>
      </c>
      <c r="AW977" t="s">
        <v>281</v>
      </c>
      <c r="AX977" s="4" t="str">
        <f>"01701"</f>
        <v>01701</v>
      </c>
      <c r="AY977" t="s">
        <v>120</v>
      </c>
      <c r="BA977" s="5">
        <v>16179399444</v>
      </c>
      <c r="BC977" t="s">
        <v>759</v>
      </c>
      <c r="BD977" t="s">
        <v>760</v>
      </c>
      <c r="BE977" t="s">
        <v>281</v>
      </c>
      <c r="BF977" t="s">
        <v>761</v>
      </c>
      <c r="BG977" t="s">
        <v>848</v>
      </c>
      <c r="BH977" s="1">
        <v>44805.833333333336</v>
      </c>
      <c r="BI977">
        <v>35</v>
      </c>
      <c r="BJ977">
        <v>0</v>
      </c>
      <c r="BK977">
        <v>7</v>
      </c>
      <c r="BL977">
        <v>7</v>
      </c>
      <c r="BM977">
        <v>7</v>
      </c>
      <c r="BN977">
        <v>7</v>
      </c>
      <c r="BO977">
        <v>7</v>
      </c>
      <c r="BP977">
        <v>0</v>
      </c>
      <c r="BQ977" t="str">
        <f>"8:30 AM"</f>
        <v>8:30 AM</v>
      </c>
      <c r="BR977" t="str">
        <f>"3:30 PM"</f>
        <v>3:30 PM</v>
      </c>
      <c r="BS977" t="s">
        <v>133</v>
      </c>
      <c r="BT977">
        <v>0</v>
      </c>
      <c r="BU977">
        <v>0</v>
      </c>
      <c r="BV977" t="s">
        <v>134</v>
      </c>
      <c r="BX977" t="s">
        <v>138</v>
      </c>
      <c r="BY977" t="s">
        <v>9853</v>
      </c>
      <c r="CA977" t="s">
        <v>4208</v>
      </c>
      <c r="CB977" t="s">
        <v>848</v>
      </c>
      <c r="CC977" s="4" t="str">
        <f>"12442"</f>
        <v>12442</v>
      </c>
      <c r="CD977" t="s">
        <v>1363</v>
      </c>
      <c r="CE977" t="s">
        <v>3931</v>
      </c>
      <c r="CF977" s="6">
        <v>15.34</v>
      </c>
      <c r="CG977" s="6">
        <v>16.5</v>
      </c>
      <c r="CH977" s="6">
        <v>23.01</v>
      </c>
      <c r="CI977" s="6">
        <v>24.75</v>
      </c>
      <c r="CJ977" t="s">
        <v>137</v>
      </c>
      <c r="CK977" t="s">
        <v>9856</v>
      </c>
      <c r="CL977" t="s">
        <v>9857</v>
      </c>
      <c r="CO977" t="s">
        <v>138</v>
      </c>
      <c r="CP977" t="s">
        <v>134</v>
      </c>
      <c r="CQ977" t="s">
        <v>134</v>
      </c>
      <c r="CR977" t="s">
        <v>114</v>
      </c>
      <c r="CS977" t="s">
        <v>114</v>
      </c>
      <c r="CT977" t="s">
        <v>114</v>
      </c>
      <c r="CU977" t="s">
        <v>114</v>
      </c>
      <c r="CV977" t="s">
        <v>9858</v>
      </c>
      <c r="CW977" s="5" t="str">
        <f>"+16177947348"</f>
        <v>+16177947348</v>
      </c>
      <c r="CX977" t="s">
        <v>4415</v>
      </c>
      <c r="CY977" t="s">
        <v>138</v>
      </c>
      <c r="CZ977" t="s">
        <v>139</v>
      </c>
      <c r="DA977" t="s">
        <v>134</v>
      </c>
      <c r="DB977" t="s">
        <v>134</v>
      </c>
      <c r="DC977" t="s">
        <v>114</v>
      </c>
      <c r="DD977" t="s">
        <v>134</v>
      </c>
    </row>
    <row r="978" spans="1:108" ht="15" customHeight="1" x14ac:dyDescent="0.25">
      <c r="A978" t="s">
        <v>13831</v>
      </c>
      <c r="B978" t="s">
        <v>165</v>
      </c>
      <c r="C978" s="1">
        <v>44820.582431134259</v>
      </c>
      <c r="D978" s="1">
        <v>44846</v>
      </c>
      <c r="E978" t="s">
        <v>114</v>
      </c>
      <c r="F978" t="s">
        <v>11770</v>
      </c>
      <c r="G978" t="str">
        <f>"39-6011.00"</f>
        <v>39-6011.00</v>
      </c>
      <c r="H978" t="s">
        <v>4298</v>
      </c>
      <c r="I978">
        <v>2</v>
      </c>
      <c r="J978">
        <v>2</v>
      </c>
      <c r="K978" s="1">
        <v>44896</v>
      </c>
      <c r="L978" s="1">
        <v>45016</v>
      </c>
      <c r="M978" s="1">
        <v>44896</v>
      </c>
      <c r="N978" s="1">
        <v>45016</v>
      </c>
      <c r="O978" t="s">
        <v>117</v>
      </c>
      <c r="P978" t="s">
        <v>9851</v>
      </c>
      <c r="Q978" t="s">
        <v>9852</v>
      </c>
      <c r="R978" t="s">
        <v>9853</v>
      </c>
      <c r="T978" t="s">
        <v>4208</v>
      </c>
      <c r="U978" t="s">
        <v>848</v>
      </c>
      <c r="V978" s="4" t="str">
        <f>"12442"</f>
        <v>12442</v>
      </c>
      <c r="W978" t="s">
        <v>120</v>
      </c>
      <c r="Y978" s="5">
        <v>15184410523</v>
      </c>
      <c r="AA978">
        <v>721110</v>
      </c>
      <c r="AB978" t="s">
        <v>9854</v>
      </c>
      <c r="AC978" t="s">
        <v>4289</v>
      </c>
      <c r="AE978" t="s">
        <v>2467</v>
      </c>
      <c r="AF978" t="s">
        <v>2468</v>
      </c>
      <c r="AG978" t="s">
        <v>138</v>
      </c>
      <c r="AH978" t="s">
        <v>2469</v>
      </c>
      <c r="AI978" t="s">
        <v>281</v>
      </c>
      <c r="AJ978" s="4" t="str">
        <f>"01913"</f>
        <v>01913</v>
      </c>
      <c r="AK978" t="s">
        <v>120</v>
      </c>
      <c r="AM978" s="5">
        <v>15184410523</v>
      </c>
      <c r="AO978" t="s">
        <v>9855</v>
      </c>
      <c r="AP978" t="s">
        <v>122</v>
      </c>
      <c r="AQ978" t="s">
        <v>753</v>
      </c>
      <c r="AR978" t="s">
        <v>754</v>
      </c>
      <c r="AS978" t="s">
        <v>755</v>
      </c>
      <c r="AT978" t="s">
        <v>756</v>
      </c>
      <c r="AU978" t="s">
        <v>757</v>
      </c>
      <c r="AV978" t="s">
        <v>758</v>
      </c>
      <c r="AW978" t="s">
        <v>281</v>
      </c>
      <c r="AX978" s="4" t="str">
        <f>"01701"</f>
        <v>01701</v>
      </c>
      <c r="AY978" t="s">
        <v>120</v>
      </c>
      <c r="BA978" s="5">
        <v>16179399444</v>
      </c>
      <c r="BC978" t="s">
        <v>759</v>
      </c>
      <c r="BD978" t="s">
        <v>760</v>
      </c>
      <c r="BE978" t="s">
        <v>281</v>
      </c>
      <c r="BF978" t="s">
        <v>761</v>
      </c>
      <c r="BG978" t="s">
        <v>848</v>
      </c>
      <c r="BH978" s="1">
        <v>44805.833333333336</v>
      </c>
      <c r="BI978">
        <v>35</v>
      </c>
      <c r="BJ978">
        <v>0</v>
      </c>
      <c r="BK978">
        <v>7</v>
      </c>
      <c r="BL978">
        <v>7</v>
      </c>
      <c r="BM978">
        <v>7</v>
      </c>
      <c r="BN978">
        <v>7</v>
      </c>
      <c r="BO978">
        <v>7</v>
      </c>
      <c r="BP978">
        <v>0</v>
      </c>
      <c r="BQ978" t="str">
        <f>"7:30 AM"</f>
        <v>7:30 AM</v>
      </c>
      <c r="BR978" t="str">
        <f>"2:30 PM"</f>
        <v>2:30 PM</v>
      </c>
      <c r="BS978" t="s">
        <v>133</v>
      </c>
      <c r="BT978">
        <v>0</v>
      </c>
      <c r="BU978">
        <v>0</v>
      </c>
      <c r="BV978" t="s">
        <v>134</v>
      </c>
      <c r="BX978" t="s">
        <v>138</v>
      </c>
      <c r="BY978" t="s">
        <v>9853</v>
      </c>
      <c r="CA978" t="s">
        <v>4208</v>
      </c>
      <c r="CB978" t="s">
        <v>848</v>
      </c>
      <c r="CC978" s="4" t="str">
        <f>"12442"</f>
        <v>12442</v>
      </c>
      <c r="CD978" t="s">
        <v>1363</v>
      </c>
      <c r="CE978" t="s">
        <v>3931</v>
      </c>
      <c r="CF978" s="6">
        <v>19.899999999999999</v>
      </c>
      <c r="CG978" s="6">
        <v>19.899999999999999</v>
      </c>
      <c r="CH978" s="6">
        <v>29.85</v>
      </c>
      <c r="CI978" s="6">
        <v>29.85</v>
      </c>
      <c r="CJ978" t="s">
        <v>137</v>
      </c>
      <c r="CK978" t="s">
        <v>13832</v>
      </c>
      <c r="CL978" t="s">
        <v>13833</v>
      </c>
      <c r="CO978" t="s">
        <v>138</v>
      </c>
      <c r="CP978" t="s">
        <v>134</v>
      </c>
      <c r="CQ978" t="s">
        <v>134</v>
      </c>
      <c r="CR978" t="s">
        <v>114</v>
      </c>
      <c r="CS978" t="s">
        <v>114</v>
      </c>
      <c r="CT978" t="s">
        <v>114</v>
      </c>
      <c r="CU978" t="s">
        <v>114</v>
      </c>
      <c r="CV978" t="s">
        <v>9858</v>
      </c>
      <c r="CW978" s="5" t="str">
        <f>"+16177947348"</f>
        <v>+16177947348</v>
      </c>
      <c r="CX978" t="s">
        <v>4415</v>
      </c>
      <c r="CY978" t="s">
        <v>138</v>
      </c>
      <c r="CZ978" t="s">
        <v>139</v>
      </c>
      <c r="DA978" t="s">
        <v>134</v>
      </c>
      <c r="DB978" t="s">
        <v>134</v>
      </c>
      <c r="DC978" t="s">
        <v>114</v>
      </c>
      <c r="DD978" t="s">
        <v>134</v>
      </c>
    </row>
    <row r="979" spans="1:108" ht="15" customHeight="1" x14ac:dyDescent="0.25">
      <c r="A979" t="s">
        <v>10681</v>
      </c>
      <c r="B979" t="s">
        <v>165</v>
      </c>
      <c r="C979" s="1">
        <v>44820.005673726853</v>
      </c>
      <c r="D979" s="1">
        <v>44846</v>
      </c>
      <c r="E979" t="s">
        <v>134</v>
      </c>
      <c r="F979" t="s">
        <v>361</v>
      </c>
      <c r="G979" t="str">
        <f>"39-3091.00"</f>
        <v>39-3091.00</v>
      </c>
      <c r="H979" t="s">
        <v>362</v>
      </c>
      <c r="I979">
        <v>12</v>
      </c>
      <c r="J979">
        <v>12</v>
      </c>
      <c r="K979" s="1">
        <v>44910</v>
      </c>
      <c r="L979" s="1">
        <v>45213</v>
      </c>
      <c r="M979" s="1">
        <v>44910</v>
      </c>
      <c r="N979" s="1">
        <v>45213</v>
      </c>
      <c r="O979" t="s">
        <v>199</v>
      </c>
      <c r="P979" t="s">
        <v>10682</v>
      </c>
      <c r="R979" t="s">
        <v>10683</v>
      </c>
      <c r="T979" t="s">
        <v>1301</v>
      </c>
      <c r="U979" t="s">
        <v>1411</v>
      </c>
      <c r="V979" s="4" t="str">
        <f>"43506"</f>
        <v>43506</v>
      </c>
      <c r="W979" t="s">
        <v>120</v>
      </c>
      <c r="Y979" s="5">
        <v>14196360888</v>
      </c>
      <c r="AA979">
        <v>7139</v>
      </c>
      <c r="AB979" t="s">
        <v>10684</v>
      </c>
      <c r="AC979" t="s">
        <v>8031</v>
      </c>
      <c r="AE979" t="s">
        <v>424</v>
      </c>
      <c r="AF979" t="s">
        <v>10683</v>
      </c>
      <c r="AH979" t="s">
        <v>1301</v>
      </c>
      <c r="AI979" t="s">
        <v>1411</v>
      </c>
      <c r="AJ979" s="4" t="str">
        <f>"43506"</f>
        <v>43506</v>
      </c>
      <c r="AK979" t="s">
        <v>120</v>
      </c>
      <c r="AM979" s="5">
        <v>14196360888</v>
      </c>
      <c r="AO979" t="s">
        <v>10685</v>
      </c>
      <c r="AP979" t="s">
        <v>256</v>
      </c>
      <c r="AQ979" t="s">
        <v>400</v>
      </c>
      <c r="AR979" t="s">
        <v>401</v>
      </c>
      <c r="AS979" t="s">
        <v>397</v>
      </c>
      <c r="AT979" t="s">
        <v>402</v>
      </c>
      <c r="AU979" t="s">
        <v>152</v>
      </c>
      <c r="AV979" t="s">
        <v>403</v>
      </c>
      <c r="AW979" t="s">
        <v>232</v>
      </c>
      <c r="AX979" s="4" t="str">
        <f>"75033"</f>
        <v>75033</v>
      </c>
      <c r="AY979" t="s">
        <v>120</v>
      </c>
      <c r="BA979" s="5">
        <v>19727789690</v>
      </c>
      <c r="BC979" t="s">
        <v>404</v>
      </c>
      <c r="BD979" t="s">
        <v>405</v>
      </c>
      <c r="BG979" t="s">
        <v>1411</v>
      </c>
      <c r="BH979" s="1">
        <v>44819.833333333336</v>
      </c>
      <c r="BI979">
        <v>48</v>
      </c>
      <c r="BJ979">
        <v>8</v>
      </c>
      <c r="BK979">
        <v>0</v>
      </c>
      <c r="BL979">
        <v>8</v>
      </c>
      <c r="BM979">
        <v>8</v>
      </c>
      <c r="BN979">
        <v>8</v>
      </c>
      <c r="BO979">
        <v>8</v>
      </c>
      <c r="BP979">
        <v>8</v>
      </c>
      <c r="BQ979" t="str">
        <f>"10:00 AM"</f>
        <v>10:00 AM</v>
      </c>
      <c r="BR979" t="str">
        <f>"7:00 PM"</f>
        <v>7:00 PM</v>
      </c>
      <c r="BS979" t="s">
        <v>133</v>
      </c>
      <c r="BT979">
        <v>0</v>
      </c>
      <c r="BU979">
        <v>0</v>
      </c>
      <c r="BV979" t="s">
        <v>134</v>
      </c>
      <c r="BX979" s="2" t="s">
        <v>10686</v>
      </c>
      <c r="BY979" t="s">
        <v>10683</v>
      </c>
      <c r="CA979" t="s">
        <v>1301</v>
      </c>
      <c r="CB979" t="s">
        <v>1411</v>
      </c>
      <c r="CC979" s="4" t="str">
        <f>"43506"</f>
        <v>43506</v>
      </c>
      <c r="CD979" t="s">
        <v>2861</v>
      </c>
      <c r="CE979" t="s">
        <v>8181</v>
      </c>
      <c r="CF979" s="6">
        <v>9.65</v>
      </c>
      <c r="CG979" s="6">
        <v>12.61</v>
      </c>
      <c r="CH979" s="6">
        <v>16.28</v>
      </c>
      <c r="CI979" s="6">
        <v>17.97</v>
      </c>
      <c r="CJ979" t="s">
        <v>137</v>
      </c>
      <c r="CK979" t="s">
        <v>593</v>
      </c>
      <c r="CL979" t="s">
        <v>10687</v>
      </c>
      <c r="CM979" t="s">
        <v>10688</v>
      </c>
      <c r="CO979" t="s">
        <v>138</v>
      </c>
      <c r="CP979" t="s">
        <v>114</v>
      </c>
      <c r="CQ979" t="s">
        <v>114</v>
      </c>
      <c r="CR979" t="s">
        <v>114</v>
      </c>
      <c r="CS979" t="s">
        <v>114</v>
      </c>
      <c r="CT979" t="s">
        <v>114</v>
      </c>
      <c r="CU979" t="s">
        <v>114</v>
      </c>
      <c r="CV979" s="2" t="s">
        <v>5370</v>
      </c>
      <c r="CW979" s="5" t="str">
        <f>"+14196360888"</f>
        <v>+14196360888</v>
      </c>
      <c r="CX979" t="s">
        <v>138</v>
      </c>
      <c r="CY979" t="s">
        <v>8645</v>
      </c>
      <c r="CZ979" t="s">
        <v>139</v>
      </c>
      <c r="DA979" t="s">
        <v>134</v>
      </c>
      <c r="DB979" t="s">
        <v>114</v>
      </c>
      <c r="DC979" t="s">
        <v>114</v>
      </c>
      <c r="DD979" t="s">
        <v>134</v>
      </c>
    </row>
    <row r="980" spans="1:108" ht="15" customHeight="1" x14ac:dyDescent="0.25">
      <c r="A980" t="s">
        <v>7703</v>
      </c>
      <c r="B980" t="s">
        <v>165</v>
      </c>
      <c r="C980" s="1">
        <v>44819.615348032406</v>
      </c>
      <c r="D980" s="1">
        <v>44846</v>
      </c>
      <c r="E980" t="s">
        <v>134</v>
      </c>
      <c r="F980" t="s">
        <v>1089</v>
      </c>
      <c r="G980" t="str">
        <f>"39-2021.00"</f>
        <v>39-2021.00</v>
      </c>
      <c r="H980" t="s">
        <v>615</v>
      </c>
      <c r="I980">
        <v>5</v>
      </c>
      <c r="J980">
        <v>5</v>
      </c>
      <c r="K980" s="1">
        <v>44896</v>
      </c>
      <c r="L980" s="1">
        <v>45046</v>
      </c>
      <c r="M980" s="1">
        <v>44896</v>
      </c>
      <c r="N980" s="1">
        <v>45046</v>
      </c>
      <c r="O980" t="s">
        <v>199</v>
      </c>
      <c r="P980" t="s">
        <v>7704</v>
      </c>
      <c r="R980" t="s">
        <v>7705</v>
      </c>
      <c r="T980" t="s">
        <v>4183</v>
      </c>
      <c r="U980" t="s">
        <v>2081</v>
      </c>
      <c r="V980" s="4" t="str">
        <f>"50009"</f>
        <v>50009</v>
      </c>
      <c r="W980" t="s">
        <v>120</v>
      </c>
      <c r="Y980" s="5">
        <v>14056416003</v>
      </c>
      <c r="AA980">
        <v>711212</v>
      </c>
      <c r="AB980" t="s">
        <v>7706</v>
      </c>
      <c r="AC980" t="s">
        <v>7707</v>
      </c>
      <c r="AE980" t="s">
        <v>622</v>
      </c>
      <c r="AF980" t="s">
        <v>7705</v>
      </c>
      <c r="AH980" t="s">
        <v>4183</v>
      </c>
      <c r="AI980" t="s">
        <v>2081</v>
      </c>
      <c r="AJ980" s="4" t="str">
        <f>"50009"</f>
        <v>50009</v>
      </c>
      <c r="AK980" t="s">
        <v>120</v>
      </c>
      <c r="AM980" s="5">
        <v>14056416003</v>
      </c>
      <c r="AO980" t="s">
        <v>7708</v>
      </c>
      <c r="AP980" t="s">
        <v>122</v>
      </c>
      <c r="AQ980" t="s">
        <v>625</v>
      </c>
      <c r="AR980" t="s">
        <v>626</v>
      </c>
      <c r="AS980" t="s">
        <v>627</v>
      </c>
      <c r="AT980" t="s">
        <v>628</v>
      </c>
      <c r="AU980" t="s">
        <v>629</v>
      </c>
      <c r="AV980" t="s">
        <v>630</v>
      </c>
      <c r="AW980" t="s">
        <v>631</v>
      </c>
      <c r="AX980" s="4" t="str">
        <f>"73069"</f>
        <v>73069</v>
      </c>
      <c r="AY980" t="s">
        <v>120</v>
      </c>
      <c r="BA980" s="5">
        <v>14053642525</v>
      </c>
      <c r="BC980" t="s">
        <v>632</v>
      </c>
      <c r="BD980" t="s">
        <v>633</v>
      </c>
      <c r="BE980" t="s">
        <v>631</v>
      </c>
      <c r="BF980" t="s">
        <v>634</v>
      </c>
      <c r="BG980" t="s">
        <v>1349</v>
      </c>
      <c r="BH980" s="1">
        <v>44818.833333333336</v>
      </c>
      <c r="BI980">
        <v>56</v>
      </c>
      <c r="BJ980">
        <v>8</v>
      </c>
      <c r="BK980">
        <v>8</v>
      </c>
      <c r="BL980">
        <v>8</v>
      </c>
      <c r="BM980">
        <v>8</v>
      </c>
      <c r="BN980">
        <v>8</v>
      </c>
      <c r="BO980">
        <v>8</v>
      </c>
      <c r="BP980">
        <v>8</v>
      </c>
      <c r="BQ980" t="str">
        <f>"5:00 AM"</f>
        <v>5:00 AM</v>
      </c>
      <c r="BR980" t="str">
        <f>"5:00 PM"</f>
        <v>5:00 PM</v>
      </c>
      <c r="BS980" t="s">
        <v>133</v>
      </c>
      <c r="BT980">
        <v>0</v>
      </c>
      <c r="BU980">
        <v>1</v>
      </c>
      <c r="BV980" t="s">
        <v>134</v>
      </c>
      <c r="BX980" s="2" t="s">
        <v>2921</v>
      </c>
      <c r="BY980" t="s">
        <v>7709</v>
      </c>
      <c r="BZ980" t="s">
        <v>2851</v>
      </c>
      <c r="CA980" t="s">
        <v>7710</v>
      </c>
      <c r="CB980" t="s">
        <v>1349</v>
      </c>
      <c r="CC980" s="4" t="str">
        <f>"71901"</f>
        <v>71901</v>
      </c>
      <c r="CD980" t="s">
        <v>2853</v>
      </c>
      <c r="CE980" t="s">
        <v>2854</v>
      </c>
      <c r="CF980" s="6">
        <v>15.21</v>
      </c>
      <c r="CG980" s="6">
        <v>15.21</v>
      </c>
      <c r="CH980" s="6">
        <v>22.82</v>
      </c>
      <c r="CI980" s="6">
        <v>22.82</v>
      </c>
      <c r="CJ980" t="s">
        <v>137</v>
      </c>
      <c r="CL980" t="s">
        <v>7711</v>
      </c>
      <c r="CO980" t="s">
        <v>138</v>
      </c>
      <c r="CP980" t="s">
        <v>134</v>
      </c>
      <c r="CQ980" t="s">
        <v>134</v>
      </c>
      <c r="CR980" t="s">
        <v>114</v>
      </c>
      <c r="CS980" t="s">
        <v>134</v>
      </c>
      <c r="CT980" t="s">
        <v>114</v>
      </c>
      <c r="CU980" t="s">
        <v>134</v>
      </c>
      <c r="CV980" t="s">
        <v>2591</v>
      </c>
      <c r="CW980" s="5" t="str">
        <f>"+14024277099"</f>
        <v>+14024277099</v>
      </c>
      <c r="CX980" t="s">
        <v>7712</v>
      </c>
      <c r="CY980" t="s">
        <v>138</v>
      </c>
      <c r="CZ980" t="s">
        <v>139</v>
      </c>
      <c r="DA980" t="s">
        <v>134</v>
      </c>
      <c r="DB980" t="s">
        <v>134</v>
      </c>
      <c r="DC980" t="s">
        <v>114</v>
      </c>
      <c r="DD980" t="s">
        <v>134</v>
      </c>
    </row>
    <row r="981" spans="1:108" ht="15" customHeight="1" x14ac:dyDescent="0.25">
      <c r="A981" t="s">
        <v>12968</v>
      </c>
      <c r="B981" t="s">
        <v>165</v>
      </c>
      <c r="C981" s="1">
        <v>44817.638715277775</v>
      </c>
      <c r="D981" s="1">
        <v>44846</v>
      </c>
      <c r="E981" t="s">
        <v>134</v>
      </c>
      <c r="F981" t="s">
        <v>525</v>
      </c>
      <c r="G981" t="str">
        <f>"49-9098.00"</f>
        <v>49-9098.00</v>
      </c>
      <c r="H981" t="s">
        <v>525</v>
      </c>
      <c r="I981">
        <v>4</v>
      </c>
      <c r="J981">
        <v>4</v>
      </c>
      <c r="K981" s="1">
        <v>44893</v>
      </c>
      <c r="L981" s="1">
        <v>45138</v>
      </c>
      <c r="M981" s="1">
        <v>44893</v>
      </c>
      <c r="N981" s="1">
        <v>45138</v>
      </c>
      <c r="O981" t="s">
        <v>117</v>
      </c>
      <c r="P981" t="s">
        <v>12969</v>
      </c>
      <c r="R981" t="s">
        <v>12970</v>
      </c>
      <c r="T981" t="s">
        <v>12971</v>
      </c>
      <c r="U981" t="s">
        <v>848</v>
      </c>
      <c r="V981" s="4" t="str">
        <f>"11356"</f>
        <v>11356</v>
      </c>
      <c r="W981" t="s">
        <v>120</v>
      </c>
      <c r="Y981" s="5">
        <v>19292080184</v>
      </c>
      <c r="AA981">
        <v>423440</v>
      </c>
      <c r="AB981" t="s">
        <v>12972</v>
      </c>
      <c r="AC981" t="s">
        <v>4356</v>
      </c>
      <c r="AE981" t="s">
        <v>424</v>
      </c>
      <c r="AF981" t="s">
        <v>12970</v>
      </c>
      <c r="AH981" t="s">
        <v>12971</v>
      </c>
      <c r="AI981" t="s">
        <v>848</v>
      </c>
      <c r="AJ981" s="4" t="str">
        <f>"11356"</f>
        <v>11356</v>
      </c>
      <c r="AK981" t="s">
        <v>120</v>
      </c>
      <c r="AM981" s="5">
        <v>19292080184</v>
      </c>
      <c r="AO981" t="s">
        <v>12973</v>
      </c>
      <c r="AP981" t="s">
        <v>122</v>
      </c>
      <c r="AQ981" t="s">
        <v>2315</v>
      </c>
      <c r="AR981" t="s">
        <v>2316</v>
      </c>
      <c r="AS981" t="s">
        <v>2317</v>
      </c>
      <c r="AT981" t="s">
        <v>2001</v>
      </c>
      <c r="AV981" t="s">
        <v>2002</v>
      </c>
      <c r="AW981" t="s">
        <v>1147</v>
      </c>
      <c r="AX981" s="4" t="str">
        <f>"54301"</f>
        <v>54301</v>
      </c>
      <c r="AY981" t="s">
        <v>120</v>
      </c>
      <c r="BA981" s="5">
        <v>18004140978</v>
      </c>
      <c r="BC981" t="s">
        <v>2318</v>
      </c>
      <c r="BD981" t="s">
        <v>2003</v>
      </c>
      <c r="BE981" t="s">
        <v>479</v>
      </c>
      <c r="BF981" t="s">
        <v>2319</v>
      </c>
      <c r="BG981" t="s">
        <v>848</v>
      </c>
      <c r="BH981" s="1">
        <v>44816.833333333336</v>
      </c>
      <c r="BI981">
        <v>35</v>
      </c>
      <c r="BJ981">
        <v>0</v>
      </c>
      <c r="BK981">
        <v>8</v>
      </c>
      <c r="BL981">
        <v>8</v>
      </c>
      <c r="BM981">
        <v>8</v>
      </c>
      <c r="BN981">
        <v>8</v>
      </c>
      <c r="BO981">
        <v>8</v>
      </c>
      <c r="BP981">
        <v>0</v>
      </c>
      <c r="BQ981" t="str">
        <f>"8:00 AM"</f>
        <v>8:00 AM</v>
      </c>
      <c r="BR981" t="str">
        <f>"5:00 PM"</f>
        <v>5:00 PM</v>
      </c>
      <c r="BS981" t="s">
        <v>133</v>
      </c>
      <c r="BT981">
        <v>0</v>
      </c>
      <c r="BU981">
        <v>0</v>
      </c>
      <c r="BV981" t="s">
        <v>134</v>
      </c>
      <c r="BX981" s="2" t="s">
        <v>12974</v>
      </c>
      <c r="BY981" t="s">
        <v>12970</v>
      </c>
      <c r="CA981" t="s">
        <v>12971</v>
      </c>
      <c r="CB981" t="s">
        <v>848</v>
      </c>
      <c r="CC981" s="4" t="str">
        <f>"11356"</f>
        <v>11356</v>
      </c>
      <c r="CD981" t="s">
        <v>4468</v>
      </c>
      <c r="CE981" t="s">
        <v>1009</v>
      </c>
      <c r="CF981" s="6">
        <v>20.51</v>
      </c>
      <c r="CH981" s="6">
        <v>30.77</v>
      </c>
      <c r="CJ981" t="s">
        <v>137</v>
      </c>
      <c r="CK981" t="s">
        <v>12975</v>
      </c>
      <c r="CL981" t="s">
        <v>12976</v>
      </c>
      <c r="CO981" t="s">
        <v>138</v>
      </c>
      <c r="CP981" t="s">
        <v>114</v>
      </c>
      <c r="CQ981" t="s">
        <v>114</v>
      </c>
      <c r="CR981" t="s">
        <v>114</v>
      </c>
      <c r="CS981" t="s">
        <v>114</v>
      </c>
      <c r="CT981" t="s">
        <v>114</v>
      </c>
      <c r="CU981" t="s">
        <v>134</v>
      </c>
      <c r="CV981" t="s">
        <v>12977</v>
      </c>
      <c r="CW981" s="5" t="str">
        <f>"+19292080184"</f>
        <v>+19292080184</v>
      </c>
      <c r="CX981" t="s">
        <v>12973</v>
      </c>
      <c r="CY981" t="s">
        <v>138</v>
      </c>
      <c r="CZ981" t="s">
        <v>139</v>
      </c>
      <c r="DA981" t="s">
        <v>134</v>
      </c>
      <c r="DB981" t="s">
        <v>134</v>
      </c>
      <c r="DC981" t="s">
        <v>114</v>
      </c>
      <c r="DD981" t="s">
        <v>134</v>
      </c>
    </row>
    <row r="982" spans="1:108" ht="15" customHeight="1" x14ac:dyDescent="0.25">
      <c r="A982" t="s">
        <v>8613</v>
      </c>
      <c r="B982" t="s">
        <v>165</v>
      </c>
      <c r="C982" s="1">
        <v>44816.748774537038</v>
      </c>
      <c r="D982" s="1">
        <v>44846</v>
      </c>
      <c r="E982" t="s">
        <v>134</v>
      </c>
      <c r="F982" t="s">
        <v>1106</v>
      </c>
      <c r="G982" t="str">
        <f>"45-4011.00"</f>
        <v>45-4011.00</v>
      </c>
      <c r="H982" t="s">
        <v>1107</v>
      </c>
      <c r="I982">
        <v>20</v>
      </c>
      <c r="J982">
        <v>20</v>
      </c>
      <c r="K982" s="1">
        <v>44896</v>
      </c>
      <c r="L982" s="1">
        <v>45016</v>
      </c>
      <c r="M982" s="1">
        <v>44896</v>
      </c>
      <c r="N982" s="1">
        <v>45016</v>
      </c>
      <c r="O982" t="s">
        <v>199</v>
      </c>
      <c r="P982" t="s">
        <v>8614</v>
      </c>
      <c r="R982" t="s">
        <v>8615</v>
      </c>
      <c r="T982" t="s">
        <v>2577</v>
      </c>
      <c r="U982" t="s">
        <v>394</v>
      </c>
      <c r="V982" s="4" t="str">
        <f>"29579"</f>
        <v>29579</v>
      </c>
      <c r="W982" t="s">
        <v>120</v>
      </c>
      <c r="Y982" s="5">
        <v>18435033289</v>
      </c>
      <c r="AA982">
        <v>11531</v>
      </c>
      <c r="AB982" t="s">
        <v>8616</v>
      </c>
      <c r="AC982" t="s">
        <v>1659</v>
      </c>
      <c r="AE982" t="s">
        <v>424</v>
      </c>
      <c r="AF982" t="s">
        <v>8615</v>
      </c>
      <c r="AH982" t="s">
        <v>2577</v>
      </c>
      <c r="AI982" t="s">
        <v>394</v>
      </c>
      <c r="AJ982" s="4" t="str">
        <f>"29579"</f>
        <v>29579</v>
      </c>
      <c r="AK982" t="s">
        <v>120</v>
      </c>
      <c r="AM982" s="5">
        <v>18435033289</v>
      </c>
      <c r="AO982" t="s">
        <v>138</v>
      </c>
      <c r="AP982" t="s">
        <v>256</v>
      </c>
      <c r="AQ982" t="s">
        <v>1928</v>
      </c>
      <c r="AR982" t="s">
        <v>1929</v>
      </c>
      <c r="AS982" t="s">
        <v>1685</v>
      </c>
      <c r="AT982" t="s">
        <v>1930</v>
      </c>
      <c r="AU982" t="s">
        <v>1931</v>
      </c>
      <c r="AV982" t="s">
        <v>1932</v>
      </c>
      <c r="AW982" t="s">
        <v>349</v>
      </c>
      <c r="AX982" s="4" t="str">
        <f>"83814"</f>
        <v>83814</v>
      </c>
      <c r="AY982" t="s">
        <v>120</v>
      </c>
      <c r="BA982" s="5">
        <v>12087772654</v>
      </c>
      <c r="BC982" t="s">
        <v>1933</v>
      </c>
      <c r="BD982" t="s">
        <v>351</v>
      </c>
      <c r="BG982" t="s">
        <v>119</v>
      </c>
      <c r="BH982" s="1">
        <v>44815.833333333336</v>
      </c>
      <c r="BI982">
        <v>35</v>
      </c>
      <c r="BJ982">
        <v>0</v>
      </c>
      <c r="BK982">
        <v>7</v>
      </c>
      <c r="BL982">
        <v>7</v>
      </c>
      <c r="BM982">
        <v>7</v>
      </c>
      <c r="BN982">
        <v>7</v>
      </c>
      <c r="BO982">
        <v>7</v>
      </c>
      <c r="BP982">
        <v>0</v>
      </c>
      <c r="BQ982" t="str">
        <f>"7:00 AM"</f>
        <v>7:00 AM</v>
      </c>
      <c r="BR982" t="str">
        <f>"6:30 PM"</f>
        <v>6:30 PM</v>
      </c>
      <c r="BS982" t="s">
        <v>133</v>
      </c>
      <c r="BT982">
        <v>0</v>
      </c>
      <c r="BU982">
        <v>0</v>
      </c>
      <c r="BV982" t="s">
        <v>134</v>
      </c>
      <c r="BX982" t="s">
        <v>8617</v>
      </c>
      <c r="BY982" t="s">
        <v>5531</v>
      </c>
      <c r="CA982" t="s">
        <v>2728</v>
      </c>
      <c r="CB982" t="s">
        <v>119</v>
      </c>
      <c r="CC982" s="4" t="str">
        <f>"28752"</f>
        <v>28752</v>
      </c>
      <c r="CD982" t="s">
        <v>5532</v>
      </c>
      <c r="CE982" t="s">
        <v>4043</v>
      </c>
      <c r="CF982" s="6">
        <v>14.03</v>
      </c>
      <c r="CG982" s="6">
        <v>30</v>
      </c>
      <c r="CH982" s="6">
        <v>21.05</v>
      </c>
      <c r="CI982" s="6">
        <v>45</v>
      </c>
      <c r="CJ982" t="s">
        <v>137</v>
      </c>
      <c r="CK982" t="s">
        <v>2125</v>
      </c>
      <c r="CL982" t="s">
        <v>8618</v>
      </c>
      <c r="CO982" t="s">
        <v>138</v>
      </c>
      <c r="CP982" t="s">
        <v>114</v>
      </c>
      <c r="CQ982" t="s">
        <v>114</v>
      </c>
      <c r="CR982" t="s">
        <v>114</v>
      </c>
      <c r="CS982" t="s">
        <v>114</v>
      </c>
      <c r="CT982" t="s">
        <v>114</v>
      </c>
      <c r="CU982" t="s">
        <v>114</v>
      </c>
      <c r="CV982" t="s">
        <v>358</v>
      </c>
      <c r="CW982" s="5" t="str">
        <f>"+18439987160"</f>
        <v>+18439987160</v>
      </c>
      <c r="CX982" t="s">
        <v>8619</v>
      </c>
      <c r="CY982" t="s">
        <v>1740</v>
      </c>
      <c r="CZ982" t="s">
        <v>139</v>
      </c>
      <c r="DA982" t="s">
        <v>134</v>
      </c>
      <c r="DB982" t="s">
        <v>114</v>
      </c>
      <c r="DC982" t="s">
        <v>114</v>
      </c>
      <c r="DD982" t="s">
        <v>134</v>
      </c>
    </row>
    <row r="983" spans="1:108" ht="15" customHeight="1" x14ac:dyDescent="0.25">
      <c r="A983" t="s">
        <v>5238</v>
      </c>
      <c r="B983" t="s">
        <v>165</v>
      </c>
      <c r="C983" s="1">
        <v>44814.516603240743</v>
      </c>
      <c r="D983" s="1">
        <v>44846</v>
      </c>
      <c r="E983" t="s">
        <v>134</v>
      </c>
      <c r="F983" t="s">
        <v>416</v>
      </c>
      <c r="G983" t="str">
        <f>"37-3011.00"</f>
        <v>37-3011.00</v>
      </c>
      <c r="H983" t="s">
        <v>335</v>
      </c>
      <c r="I983">
        <v>30</v>
      </c>
      <c r="J983">
        <v>30</v>
      </c>
      <c r="K983" s="1">
        <v>44896</v>
      </c>
      <c r="L983" s="1">
        <v>45016</v>
      </c>
      <c r="M983" s="1">
        <v>44896</v>
      </c>
      <c r="N983" s="1">
        <v>45016</v>
      </c>
      <c r="O983" t="s">
        <v>199</v>
      </c>
      <c r="P983" t="s">
        <v>5239</v>
      </c>
      <c r="R983" t="s">
        <v>5240</v>
      </c>
      <c r="T983" t="s">
        <v>4552</v>
      </c>
      <c r="U983" t="s">
        <v>420</v>
      </c>
      <c r="V983" s="4" t="str">
        <f>"84070"</f>
        <v>84070</v>
      </c>
      <c r="W983" t="s">
        <v>120</v>
      </c>
      <c r="Y983" s="5">
        <v>18015773732</v>
      </c>
      <c r="AA983">
        <v>56173</v>
      </c>
      <c r="AB983" t="s">
        <v>5241</v>
      </c>
      <c r="AC983" t="s">
        <v>1190</v>
      </c>
      <c r="AE983" t="s">
        <v>342</v>
      </c>
      <c r="AF983" t="s">
        <v>5240</v>
      </c>
      <c r="AH983" t="s">
        <v>4552</v>
      </c>
      <c r="AI983" t="s">
        <v>420</v>
      </c>
      <c r="AJ983" s="4" t="str">
        <f>"84070"</f>
        <v>84070</v>
      </c>
      <c r="AK983" t="s">
        <v>120</v>
      </c>
      <c r="AM983" s="5">
        <v>18015773732</v>
      </c>
      <c r="AO983" t="s">
        <v>5242</v>
      </c>
      <c r="AP983" t="s">
        <v>256</v>
      </c>
      <c r="AQ983" t="s">
        <v>426</v>
      </c>
      <c r="AR983" t="s">
        <v>427</v>
      </c>
      <c r="AT983" t="s">
        <v>428</v>
      </c>
      <c r="AV983" t="s">
        <v>429</v>
      </c>
      <c r="AW983" t="s">
        <v>420</v>
      </c>
      <c r="AX983" s="4" t="str">
        <f>"84059"</f>
        <v>84059</v>
      </c>
      <c r="AY983" t="s">
        <v>120</v>
      </c>
      <c r="BA983" s="5">
        <v>18013677097</v>
      </c>
      <c r="BC983" t="s">
        <v>430</v>
      </c>
      <c r="BD983" t="s">
        <v>431</v>
      </c>
      <c r="BG983" t="s">
        <v>420</v>
      </c>
      <c r="BH983" s="1">
        <v>44813.833333333336</v>
      </c>
      <c r="BI983">
        <v>35</v>
      </c>
      <c r="BJ983">
        <v>0</v>
      </c>
      <c r="BK983">
        <v>7</v>
      </c>
      <c r="BL983">
        <v>7</v>
      </c>
      <c r="BM983">
        <v>7</v>
      </c>
      <c r="BN983">
        <v>7</v>
      </c>
      <c r="BO983">
        <v>7</v>
      </c>
      <c r="BP983">
        <v>0</v>
      </c>
      <c r="BQ983" t="str">
        <f>"8:00 AM"</f>
        <v>8:00 AM</v>
      </c>
      <c r="BR983" t="str">
        <f>"4:00 PM"</f>
        <v>4:00 PM</v>
      </c>
      <c r="BS983" t="s">
        <v>133</v>
      </c>
      <c r="BT983">
        <v>0</v>
      </c>
      <c r="BU983">
        <v>0</v>
      </c>
      <c r="BV983" t="s">
        <v>134</v>
      </c>
      <c r="BX983" s="2" t="s">
        <v>5196</v>
      </c>
      <c r="BY983" t="s">
        <v>5240</v>
      </c>
      <c r="CA983" t="s">
        <v>4552</v>
      </c>
      <c r="CB983" t="s">
        <v>420</v>
      </c>
      <c r="CC983" s="4" t="str">
        <f>"84070"</f>
        <v>84070</v>
      </c>
      <c r="CD983" t="s">
        <v>688</v>
      </c>
      <c r="CE983" t="s">
        <v>689</v>
      </c>
      <c r="CF983" s="6">
        <v>17.21</v>
      </c>
      <c r="CH983" s="6">
        <v>0</v>
      </c>
      <c r="CJ983" t="s">
        <v>137</v>
      </c>
      <c r="CK983" t="s">
        <v>5243</v>
      </c>
      <c r="CL983" t="s">
        <v>5244</v>
      </c>
      <c r="CO983" t="s">
        <v>138</v>
      </c>
      <c r="CP983" t="s">
        <v>114</v>
      </c>
      <c r="CQ983" t="s">
        <v>114</v>
      </c>
      <c r="CR983" t="s">
        <v>134</v>
      </c>
      <c r="CS983" t="s">
        <v>134</v>
      </c>
      <c r="CT983" t="s">
        <v>114</v>
      </c>
      <c r="CU983" t="s">
        <v>134</v>
      </c>
      <c r="CV983" t="s">
        <v>3383</v>
      </c>
      <c r="CW983" s="5" t="str">
        <f>"+18015773732"</f>
        <v>+18015773732</v>
      </c>
      <c r="CX983" t="s">
        <v>5242</v>
      </c>
      <c r="CY983" t="s">
        <v>138</v>
      </c>
      <c r="CZ983" t="s">
        <v>139</v>
      </c>
      <c r="DA983" t="s">
        <v>134</v>
      </c>
      <c r="DB983" t="s">
        <v>134</v>
      </c>
      <c r="DC983" t="s">
        <v>114</v>
      </c>
      <c r="DD983" t="s">
        <v>134</v>
      </c>
    </row>
    <row r="984" spans="1:108" ht="15" customHeight="1" x14ac:dyDescent="0.25">
      <c r="A984" t="s">
        <v>5320</v>
      </c>
      <c r="B984" t="s">
        <v>165</v>
      </c>
      <c r="C984" s="1">
        <v>44806.440854976849</v>
      </c>
      <c r="D984" s="1">
        <v>44846</v>
      </c>
      <c r="E984" t="s">
        <v>134</v>
      </c>
      <c r="F984" t="s">
        <v>5321</v>
      </c>
      <c r="G984" t="str">
        <f>"35-3023.00"</f>
        <v>35-3023.00</v>
      </c>
      <c r="H984" t="s">
        <v>555</v>
      </c>
      <c r="I984">
        <v>12</v>
      </c>
      <c r="J984">
        <v>12</v>
      </c>
      <c r="K984" s="1">
        <v>44896</v>
      </c>
      <c r="L984" s="1">
        <v>45138</v>
      </c>
      <c r="M984" s="1">
        <v>44896</v>
      </c>
      <c r="N984" s="1">
        <v>45138</v>
      </c>
      <c r="O984" t="s">
        <v>117</v>
      </c>
      <c r="P984" t="s">
        <v>5322</v>
      </c>
      <c r="Q984" t="s">
        <v>5323</v>
      </c>
      <c r="R984" t="s">
        <v>5324</v>
      </c>
      <c r="T984" t="s">
        <v>4400</v>
      </c>
      <c r="U984" t="s">
        <v>657</v>
      </c>
      <c r="V984" s="4" t="str">
        <f>"37909"</f>
        <v>37909</v>
      </c>
      <c r="W984" t="s">
        <v>120</v>
      </c>
      <c r="Y984" s="5">
        <v>18656905820</v>
      </c>
      <c r="AA984">
        <v>722513</v>
      </c>
      <c r="AB984" t="s">
        <v>5325</v>
      </c>
      <c r="AC984" t="s">
        <v>2093</v>
      </c>
      <c r="AD984" t="s">
        <v>5326</v>
      </c>
      <c r="AE984" t="s">
        <v>1710</v>
      </c>
      <c r="AF984" t="s">
        <v>5324</v>
      </c>
      <c r="AH984" t="s">
        <v>4400</v>
      </c>
      <c r="AI984" t="s">
        <v>657</v>
      </c>
      <c r="AJ984" s="4" t="str">
        <f>"37909"</f>
        <v>37909</v>
      </c>
      <c r="AK984" t="s">
        <v>120</v>
      </c>
      <c r="AM984" s="5">
        <v>18656905820</v>
      </c>
      <c r="AO984" t="s">
        <v>5327</v>
      </c>
      <c r="AP984" t="s">
        <v>122</v>
      </c>
      <c r="AQ984" t="s">
        <v>1399</v>
      </c>
      <c r="AR984" t="s">
        <v>1400</v>
      </c>
      <c r="AS984" t="s">
        <v>1401</v>
      </c>
      <c r="AT984" t="s">
        <v>5328</v>
      </c>
      <c r="AV984" t="s">
        <v>1817</v>
      </c>
      <c r="AW984" t="s">
        <v>339</v>
      </c>
      <c r="AX984" s="4" t="str">
        <f>"21117"</f>
        <v>21117</v>
      </c>
      <c r="AY984" t="s">
        <v>120</v>
      </c>
      <c r="BA984" s="5">
        <v>14435014240</v>
      </c>
      <c r="BC984" t="s">
        <v>1818</v>
      </c>
      <c r="BD984" t="s">
        <v>1819</v>
      </c>
      <c r="BE984" t="s">
        <v>848</v>
      </c>
      <c r="BF984" t="s">
        <v>1916</v>
      </c>
      <c r="BG984" t="s">
        <v>154</v>
      </c>
      <c r="BH984" s="1">
        <v>44805.833333333336</v>
      </c>
      <c r="BI984">
        <v>35</v>
      </c>
      <c r="BJ984">
        <v>5</v>
      </c>
      <c r="BK984">
        <v>5</v>
      </c>
      <c r="BL984">
        <v>5</v>
      </c>
      <c r="BM984">
        <v>5</v>
      </c>
      <c r="BN984">
        <v>5</v>
      </c>
      <c r="BO984">
        <v>5</v>
      </c>
      <c r="BP984">
        <v>5</v>
      </c>
      <c r="BQ984" t="str">
        <f>"8:00 AM"</f>
        <v>8:00 AM</v>
      </c>
      <c r="BR984" t="str">
        <f>"11:00 PM"</f>
        <v>11:00 PM</v>
      </c>
      <c r="BS984" t="s">
        <v>133</v>
      </c>
      <c r="BT984">
        <v>0</v>
      </c>
      <c r="BU984">
        <v>0</v>
      </c>
      <c r="BV984" t="s">
        <v>134</v>
      </c>
      <c r="BX984" s="2" t="s">
        <v>5329</v>
      </c>
      <c r="BY984" t="s">
        <v>5330</v>
      </c>
      <c r="CA984" t="s">
        <v>5331</v>
      </c>
      <c r="CB984" t="s">
        <v>154</v>
      </c>
      <c r="CC984" s="4" t="str">
        <f>"33781"</f>
        <v>33781</v>
      </c>
      <c r="CD984" t="s">
        <v>2806</v>
      </c>
      <c r="CE984" t="s">
        <v>567</v>
      </c>
      <c r="CF984" s="6">
        <v>11.2</v>
      </c>
      <c r="CH984" s="6">
        <v>16.8</v>
      </c>
      <c r="CJ984" t="s">
        <v>137</v>
      </c>
      <c r="CK984" t="s">
        <v>1405</v>
      </c>
      <c r="CL984" t="s">
        <v>5332</v>
      </c>
      <c r="CO984" t="s">
        <v>138</v>
      </c>
      <c r="CP984" t="s">
        <v>114</v>
      </c>
      <c r="CQ984" t="s">
        <v>114</v>
      </c>
      <c r="CR984" t="s">
        <v>114</v>
      </c>
      <c r="CS984" t="s">
        <v>134</v>
      </c>
      <c r="CT984" t="s">
        <v>114</v>
      </c>
      <c r="CU984" t="s">
        <v>114</v>
      </c>
      <c r="CV984" t="s">
        <v>5276</v>
      </c>
      <c r="CW984" s="5" t="str">
        <f>"+18656905820"</f>
        <v>+18656905820</v>
      </c>
      <c r="CX984" t="s">
        <v>5333</v>
      </c>
      <c r="CY984" t="s">
        <v>138</v>
      </c>
      <c r="CZ984" t="s">
        <v>139</v>
      </c>
      <c r="DA984" t="s">
        <v>134</v>
      </c>
      <c r="DB984" t="s">
        <v>114</v>
      </c>
      <c r="DC984" t="s">
        <v>114</v>
      </c>
      <c r="DD984" t="s">
        <v>134</v>
      </c>
    </row>
    <row r="985" spans="1:108" ht="15" customHeight="1" x14ac:dyDescent="0.25">
      <c r="A985" t="s">
        <v>8501</v>
      </c>
      <c r="B985" t="s">
        <v>165</v>
      </c>
      <c r="C985" s="1">
        <v>44804.763583912034</v>
      </c>
      <c r="D985" s="1">
        <v>44846</v>
      </c>
      <c r="E985" t="s">
        <v>134</v>
      </c>
      <c r="F985" t="s">
        <v>1089</v>
      </c>
      <c r="G985" t="str">
        <f>"39-2021.00"</f>
        <v>39-2021.00</v>
      </c>
      <c r="H985" t="s">
        <v>615</v>
      </c>
      <c r="I985">
        <v>17</v>
      </c>
      <c r="J985">
        <v>17</v>
      </c>
      <c r="K985" s="1">
        <v>44880</v>
      </c>
      <c r="L985" s="1">
        <v>45078</v>
      </c>
      <c r="M985" s="1">
        <v>44880</v>
      </c>
      <c r="N985" s="1">
        <v>45078</v>
      </c>
      <c r="O985" t="s">
        <v>199</v>
      </c>
      <c r="P985" t="s">
        <v>8502</v>
      </c>
      <c r="R985" t="s">
        <v>8503</v>
      </c>
      <c r="S985" t="s">
        <v>8504</v>
      </c>
      <c r="T985" t="s">
        <v>8505</v>
      </c>
      <c r="U985" t="s">
        <v>848</v>
      </c>
      <c r="V985" s="4" t="str">
        <f>"11001"</f>
        <v>11001</v>
      </c>
      <c r="W985" t="s">
        <v>120</v>
      </c>
      <c r="Y985" s="5">
        <v>19512704234</v>
      </c>
      <c r="AA985">
        <v>711212</v>
      </c>
      <c r="AB985" t="s">
        <v>8506</v>
      </c>
      <c r="AC985" t="s">
        <v>8507</v>
      </c>
      <c r="AE985" t="s">
        <v>8508</v>
      </c>
      <c r="AF985" t="s">
        <v>8503</v>
      </c>
      <c r="AG985" t="s">
        <v>8504</v>
      </c>
      <c r="AH985" t="s">
        <v>8505</v>
      </c>
      <c r="AI985" t="s">
        <v>848</v>
      </c>
      <c r="AJ985" s="4" t="str">
        <f>"11001"</f>
        <v>11001</v>
      </c>
      <c r="AK985" t="s">
        <v>120</v>
      </c>
      <c r="AM985" s="5">
        <v>19512704234</v>
      </c>
      <c r="AO985" t="s">
        <v>8509</v>
      </c>
      <c r="AP985" t="s">
        <v>122</v>
      </c>
      <c r="AQ985" t="s">
        <v>625</v>
      </c>
      <c r="AR985" t="s">
        <v>626</v>
      </c>
      <c r="AS985" t="s">
        <v>627</v>
      </c>
      <c r="AT985" t="s">
        <v>628</v>
      </c>
      <c r="AU985" t="s">
        <v>629</v>
      </c>
      <c r="AV985" t="s">
        <v>630</v>
      </c>
      <c r="AW985" t="s">
        <v>631</v>
      </c>
      <c r="AX985" s="4" t="str">
        <f>"73069"</f>
        <v>73069</v>
      </c>
      <c r="AY985" t="s">
        <v>120</v>
      </c>
      <c r="BA985" s="5">
        <v>14053642525</v>
      </c>
      <c r="BC985" t="s">
        <v>632</v>
      </c>
      <c r="BD985" t="s">
        <v>633</v>
      </c>
      <c r="BE985" t="s">
        <v>631</v>
      </c>
      <c r="BF985" t="s">
        <v>634</v>
      </c>
      <c r="BG985" t="s">
        <v>619</v>
      </c>
      <c r="BH985" s="1">
        <v>44803.833333333336</v>
      </c>
      <c r="BI985">
        <v>56</v>
      </c>
      <c r="BJ985">
        <v>8</v>
      </c>
      <c r="BK985">
        <v>8</v>
      </c>
      <c r="BL985">
        <v>8</v>
      </c>
      <c r="BM985">
        <v>8</v>
      </c>
      <c r="BN985">
        <v>8</v>
      </c>
      <c r="BO985">
        <v>8</v>
      </c>
      <c r="BP985">
        <v>8</v>
      </c>
      <c r="BQ985" t="str">
        <f>"5:00 AM"</f>
        <v>5:00 AM</v>
      </c>
      <c r="BR985" t="str">
        <f>"5:00 PM"</f>
        <v>5:00 PM</v>
      </c>
      <c r="BS985" t="s">
        <v>133</v>
      </c>
      <c r="BT985">
        <v>0</v>
      </c>
      <c r="BU985">
        <v>1</v>
      </c>
      <c r="BV985" t="s">
        <v>134</v>
      </c>
      <c r="BX985" s="2" t="s">
        <v>8510</v>
      </c>
      <c r="BY985" t="s">
        <v>4620</v>
      </c>
      <c r="BZ985" t="s">
        <v>8511</v>
      </c>
      <c r="CA985" t="s">
        <v>8512</v>
      </c>
      <c r="CB985" t="s">
        <v>619</v>
      </c>
      <c r="CC985" s="4" t="str">
        <f>"40208"</f>
        <v>40208</v>
      </c>
      <c r="CD985" t="s">
        <v>1387</v>
      </c>
      <c r="CE985" t="s">
        <v>1483</v>
      </c>
      <c r="CF985" s="6">
        <v>13.19</v>
      </c>
      <c r="CG985" s="6">
        <v>13.19</v>
      </c>
      <c r="CH985" s="6">
        <v>19.79</v>
      </c>
      <c r="CI985" s="6">
        <v>19.79</v>
      </c>
      <c r="CJ985" t="s">
        <v>137</v>
      </c>
      <c r="CL985" t="s">
        <v>8513</v>
      </c>
      <c r="CO985" t="s">
        <v>138</v>
      </c>
      <c r="CP985" t="s">
        <v>134</v>
      </c>
      <c r="CQ985" t="s">
        <v>134</v>
      </c>
      <c r="CR985" t="s">
        <v>114</v>
      </c>
      <c r="CS985" t="s">
        <v>134</v>
      </c>
      <c r="CT985" t="s">
        <v>114</v>
      </c>
      <c r="CU985" t="s">
        <v>114</v>
      </c>
      <c r="CV985" s="2" t="s">
        <v>8514</v>
      </c>
      <c r="CW985" s="5" t="str">
        <f>"+19512704234"</f>
        <v>+19512704234</v>
      </c>
      <c r="CX985" t="s">
        <v>8509</v>
      </c>
      <c r="CY985" t="s">
        <v>138</v>
      </c>
      <c r="CZ985" t="s">
        <v>139</v>
      </c>
      <c r="DA985" t="s">
        <v>134</v>
      </c>
      <c r="DB985" t="s">
        <v>134</v>
      </c>
      <c r="DC985" t="s">
        <v>114</v>
      </c>
      <c r="DD985" t="s">
        <v>134</v>
      </c>
    </row>
    <row r="986" spans="1:108" ht="15" customHeight="1" x14ac:dyDescent="0.25">
      <c r="A986" t="s">
        <v>15745</v>
      </c>
      <c r="B986" t="s">
        <v>165</v>
      </c>
      <c r="C986" s="1">
        <v>44802.787124421295</v>
      </c>
      <c r="D986" s="1">
        <v>44846</v>
      </c>
      <c r="E986" t="s">
        <v>134</v>
      </c>
      <c r="F986" t="s">
        <v>15746</v>
      </c>
      <c r="G986" t="str">
        <f>"51-9198.00"</f>
        <v>51-9198.00</v>
      </c>
      <c r="H986" t="s">
        <v>277</v>
      </c>
      <c r="I986">
        <v>31</v>
      </c>
      <c r="J986">
        <v>31</v>
      </c>
      <c r="K986" s="1">
        <v>44878</v>
      </c>
      <c r="L986" s="1">
        <v>44905</v>
      </c>
      <c r="M986" s="1">
        <v>44878</v>
      </c>
      <c r="N986" s="1">
        <v>44905</v>
      </c>
      <c r="O986" t="s">
        <v>199</v>
      </c>
      <c r="P986" t="s">
        <v>15747</v>
      </c>
      <c r="R986" t="s">
        <v>15748</v>
      </c>
      <c r="T986" t="s">
        <v>4524</v>
      </c>
      <c r="U986" t="s">
        <v>154</v>
      </c>
      <c r="V986" s="4" t="str">
        <f>"32309"</f>
        <v>32309</v>
      </c>
      <c r="W986" t="s">
        <v>120</v>
      </c>
      <c r="Y986" s="5">
        <v>18504251353</v>
      </c>
      <c r="AA986">
        <v>111421</v>
      </c>
      <c r="AB986" t="s">
        <v>1751</v>
      </c>
      <c r="AC986" t="s">
        <v>755</v>
      </c>
      <c r="AE986" t="s">
        <v>4595</v>
      </c>
      <c r="AF986" t="s">
        <v>15749</v>
      </c>
      <c r="AG986" t="s">
        <v>15750</v>
      </c>
      <c r="AH986" t="s">
        <v>4524</v>
      </c>
      <c r="AI986" t="s">
        <v>154</v>
      </c>
      <c r="AJ986" s="4" t="str">
        <f>"32309"</f>
        <v>32309</v>
      </c>
      <c r="AK986" t="s">
        <v>120</v>
      </c>
      <c r="AM986" s="5">
        <v>18504251353</v>
      </c>
      <c r="AO986" t="s">
        <v>138</v>
      </c>
      <c r="AP986" t="s">
        <v>256</v>
      </c>
      <c r="AQ986" t="s">
        <v>1731</v>
      </c>
      <c r="AR986" t="s">
        <v>2317</v>
      </c>
      <c r="AS986" t="s">
        <v>138</v>
      </c>
      <c r="AT986" t="s">
        <v>346</v>
      </c>
      <c r="AU986" t="s">
        <v>347</v>
      </c>
      <c r="AV986" t="s">
        <v>828</v>
      </c>
      <c r="AW986" t="s">
        <v>349</v>
      </c>
      <c r="AX986" s="4" t="str">
        <f>"83814"</f>
        <v>83814</v>
      </c>
      <c r="AY986" t="s">
        <v>120</v>
      </c>
      <c r="BA986" s="5">
        <v>12087772654</v>
      </c>
      <c r="BC986" t="s">
        <v>4094</v>
      </c>
      <c r="BD986" t="s">
        <v>351</v>
      </c>
      <c r="BG986" t="s">
        <v>319</v>
      </c>
      <c r="BH986" s="1">
        <v>44801.833333333336</v>
      </c>
      <c r="BI986">
        <v>35</v>
      </c>
      <c r="BJ986">
        <v>0</v>
      </c>
      <c r="BK986">
        <v>7</v>
      </c>
      <c r="BL986">
        <v>7</v>
      </c>
      <c r="BM986">
        <v>7</v>
      </c>
      <c r="BN986">
        <v>7</v>
      </c>
      <c r="BO986">
        <v>7</v>
      </c>
      <c r="BP986">
        <v>0</v>
      </c>
      <c r="BQ986" t="str">
        <f>"7:00 AM"</f>
        <v>7:00 AM</v>
      </c>
      <c r="BR986" t="str">
        <f>"6:00 PM"</f>
        <v>6:00 PM</v>
      </c>
      <c r="BS986" t="s">
        <v>133</v>
      </c>
      <c r="BT986">
        <v>0</v>
      </c>
      <c r="BU986">
        <v>3</v>
      </c>
      <c r="BV986" t="s">
        <v>134</v>
      </c>
      <c r="BX986" s="2" t="s">
        <v>15751</v>
      </c>
      <c r="BY986" t="s">
        <v>15752</v>
      </c>
      <c r="CA986" t="s">
        <v>15604</v>
      </c>
      <c r="CB986" t="s">
        <v>319</v>
      </c>
      <c r="CC986" s="4" t="str">
        <f>"55304"</f>
        <v>55304</v>
      </c>
      <c r="CD986" t="s">
        <v>9178</v>
      </c>
      <c r="CE986" t="s">
        <v>1443</v>
      </c>
      <c r="CF986" s="6">
        <v>16.02</v>
      </c>
      <c r="CG986" s="6">
        <v>16.02</v>
      </c>
      <c r="CH986" s="6">
        <v>24.03</v>
      </c>
      <c r="CI986" s="6">
        <v>24.03</v>
      </c>
      <c r="CJ986" t="s">
        <v>137</v>
      </c>
      <c r="CL986" t="s">
        <v>15753</v>
      </c>
      <c r="CO986" t="s">
        <v>138</v>
      </c>
      <c r="CP986" t="s">
        <v>114</v>
      </c>
      <c r="CQ986" t="s">
        <v>114</v>
      </c>
      <c r="CR986" t="s">
        <v>114</v>
      </c>
      <c r="CS986" t="s">
        <v>134</v>
      </c>
      <c r="CT986" t="s">
        <v>114</v>
      </c>
      <c r="CU986" t="s">
        <v>134</v>
      </c>
      <c r="CV986" t="s">
        <v>358</v>
      </c>
      <c r="CW986" s="5" t="str">
        <f>"+18502516361"</f>
        <v>+18502516361</v>
      </c>
      <c r="CX986" t="s">
        <v>15754</v>
      </c>
      <c r="CY986" t="s">
        <v>15755</v>
      </c>
      <c r="CZ986" t="s">
        <v>139</v>
      </c>
      <c r="DA986" t="s">
        <v>134</v>
      </c>
      <c r="DB986" t="s">
        <v>134</v>
      </c>
      <c r="DC986" t="s">
        <v>114</v>
      </c>
      <c r="DD986" t="s">
        <v>134</v>
      </c>
    </row>
    <row r="987" spans="1:108" ht="15" customHeight="1" x14ac:dyDescent="0.25">
      <c r="A987" t="s">
        <v>15437</v>
      </c>
      <c r="B987" t="s">
        <v>165</v>
      </c>
      <c r="C987" s="1">
        <v>44799.795177893517</v>
      </c>
      <c r="D987" s="1">
        <v>44846</v>
      </c>
      <c r="E987" t="s">
        <v>134</v>
      </c>
      <c r="F987" t="s">
        <v>2068</v>
      </c>
      <c r="G987" t="str">
        <f>"35-9021.00"</f>
        <v>35-9021.00</v>
      </c>
      <c r="H987" t="s">
        <v>1910</v>
      </c>
      <c r="I987">
        <v>25</v>
      </c>
      <c r="J987">
        <v>25</v>
      </c>
      <c r="K987" s="1">
        <v>44889</v>
      </c>
      <c r="L987" s="1">
        <v>45030</v>
      </c>
      <c r="M987" s="1">
        <v>44889</v>
      </c>
      <c r="N987" s="1">
        <v>45030</v>
      </c>
      <c r="O987" t="s">
        <v>117</v>
      </c>
      <c r="P987" t="s">
        <v>3678</v>
      </c>
      <c r="Q987" t="s">
        <v>3679</v>
      </c>
      <c r="R987" t="s">
        <v>3680</v>
      </c>
      <c r="T987" t="s">
        <v>3681</v>
      </c>
      <c r="U987" t="s">
        <v>181</v>
      </c>
      <c r="V987" s="4" t="str">
        <f>"80487"</f>
        <v>80487</v>
      </c>
      <c r="W987" t="s">
        <v>120</v>
      </c>
      <c r="Y987" s="5">
        <v>19708715138</v>
      </c>
      <c r="AA987">
        <v>721110</v>
      </c>
      <c r="AB987" t="s">
        <v>3682</v>
      </c>
      <c r="AC987" t="s">
        <v>3683</v>
      </c>
      <c r="AE987" t="s">
        <v>2863</v>
      </c>
      <c r="AF987" t="s">
        <v>3680</v>
      </c>
      <c r="AH987" t="s">
        <v>3681</v>
      </c>
      <c r="AI987" t="s">
        <v>181</v>
      </c>
      <c r="AJ987" s="4" t="str">
        <f>"80487"</f>
        <v>80487</v>
      </c>
      <c r="AK987" t="s">
        <v>120</v>
      </c>
      <c r="AM987" s="5">
        <v>19708715138</v>
      </c>
      <c r="AO987" t="s">
        <v>3684</v>
      </c>
      <c r="AP987" t="s">
        <v>122</v>
      </c>
      <c r="AQ987" t="s">
        <v>3685</v>
      </c>
      <c r="AR987" t="s">
        <v>2874</v>
      </c>
      <c r="AS987" t="s">
        <v>3686</v>
      </c>
      <c r="AT987" t="s">
        <v>3687</v>
      </c>
      <c r="AU987" t="s">
        <v>152</v>
      </c>
      <c r="AV987" t="s">
        <v>3688</v>
      </c>
      <c r="AW987" t="s">
        <v>444</v>
      </c>
      <c r="AX987" s="4" t="str">
        <f>"91361"</f>
        <v>91361</v>
      </c>
      <c r="AY987" t="s">
        <v>120</v>
      </c>
      <c r="BA987" s="5">
        <v>18052611393</v>
      </c>
      <c r="BC987" t="s">
        <v>3689</v>
      </c>
      <c r="BD987" t="s">
        <v>3690</v>
      </c>
      <c r="BE987" t="s">
        <v>154</v>
      </c>
      <c r="BF987" t="s">
        <v>157</v>
      </c>
      <c r="BG987" t="s">
        <v>181</v>
      </c>
      <c r="BH987" s="1">
        <v>44794.833333333336</v>
      </c>
      <c r="BI987">
        <v>35</v>
      </c>
      <c r="BJ987">
        <v>5</v>
      </c>
      <c r="BK987">
        <v>5</v>
      </c>
      <c r="BL987">
        <v>5</v>
      </c>
      <c r="BM987">
        <v>5</v>
      </c>
      <c r="BN987">
        <v>5</v>
      </c>
      <c r="BO987">
        <v>5</v>
      </c>
      <c r="BP987">
        <v>5</v>
      </c>
      <c r="BQ987" t="str">
        <f>"7:00 AM"</f>
        <v>7:00 AM</v>
      </c>
      <c r="BR987" t="str">
        <f>"3:00 PM"</f>
        <v>3:00 PM</v>
      </c>
      <c r="BS987" t="s">
        <v>133</v>
      </c>
      <c r="BT987">
        <v>0</v>
      </c>
      <c r="BU987">
        <v>0</v>
      </c>
      <c r="BV987" t="s">
        <v>134</v>
      </c>
      <c r="BX987" s="2" t="s">
        <v>15438</v>
      </c>
      <c r="BY987" t="s">
        <v>3680</v>
      </c>
      <c r="CA987" t="s">
        <v>3681</v>
      </c>
      <c r="CB987" t="s">
        <v>181</v>
      </c>
      <c r="CC987" s="4" t="str">
        <f>"80487"</f>
        <v>80487</v>
      </c>
      <c r="CD987" t="s">
        <v>3692</v>
      </c>
      <c r="CE987" t="s">
        <v>1570</v>
      </c>
      <c r="CF987" s="6">
        <v>14.96</v>
      </c>
      <c r="CG987" s="6">
        <v>21</v>
      </c>
      <c r="CH987" s="6">
        <v>22.44</v>
      </c>
      <c r="CI987" s="6">
        <v>31.5</v>
      </c>
      <c r="CJ987" t="s">
        <v>137</v>
      </c>
      <c r="CK987" t="s">
        <v>15439</v>
      </c>
      <c r="CL987" t="s">
        <v>15440</v>
      </c>
      <c r="CO987" t="s">
        <v>138</v>
      </c>
      <c r="CP987" t="s">
        <v>134</v>
      </c>
      <c r="CQ987" t="s">
        <v>114</v>
      </c>
      <c r="CR987" t="s">
        <v>114</v>
      </c>
      <c r="CS987" t="s">
        <v>114</v>
      </c>
      <c r="CT987" t="s">
        <v>114</v>
      </c>
      <c r="CU987" t="s">
        <v>114</v>
      </c>
      <c r="CV987" s="2" t="s">
        <v>15441</v>
      </c>
      <c r="CW987" s="5" t="str">
        <f>"+19708715138"</f>
        <v>+19708715138</v>
      </c>
      <c r="CX987" t="s">
        <v>3684</v>
      </c>
      <c r="CY987" t="s">
        <v>138</v>
      </c>
      <c r="CZ987" t="s">
        <v>139</v>
      </c>
      <c r="DA987" t="s">
        <v>134</v>
      </c>
      <c r="DB987" t="s">
        <v>134</v>
      </c>
      <c r="DC987" t="s">
        <v>114</v>
      </c>
      <c r="DD987" t="s">
        <v>134</v>
      </c>
    </row>
    <row r="988" spans="1:108" ht="15" customHeight="1" x14ac:dyDescent="0.25">
      <c r="A988" t="s">
        <v>9796</v>
      </c>
      <c r="B988" t="s">
        <v>165</v>
      </c>
      <c r="C988" s="1">
        <v>44798.885753587965</v>
      </c>
      <c r="D988" s="1">
        <v>44846</v>
      </c>
      <c r="E988" t="s">
        <v>134</v>
      </c>
      <c r="F988" t="s">
        <v>1683</v>
      </c>
      <c r="G988" t="str">
        <f>"53-3032.00"</f>
        <v>53-3032.00</v>
      </c>
      <c r="H988" t="s">
        <v>227</v>
      </c>
      <c r="I988">
        <v>10</v>
      </c>
      <c r="J988">
        <v>10</v>
      </c>
      <c r="K988" s="1">
        <v>44873</v>
      </c>
      <c r="L988" s="1">
        <v>45046</v>
      </c>
      <c r="M988" s="1">
        <v>44873</v>
      </c>
      <c r="N988" s="1">
        <v>45046</v>
      </c>
      <c r="O988" t="s">
        <v>199</v>
      </c>
      <c r="P988" t="s">
        <v>9785</v>
      </c>
      <c r="R988" t="s">
        <v>9786</v>
      </c>
      <c r="T988" t="s">
        <v>1546</v>
      </c>
      <c r="U988" t="s">
        <v>444</v>
      </c>
      <c r="V988" s="4" t="str">
        <f>"93908"</f>
        <v>93908</v>
      </c>
      <c r="W988" t="s">
        <v>120</v>
      </c>
      <c r="Y988" s="5">
        <v>18312614383</v>
      </c>
      <c r="AA988">
        <v>11511</v>
      </c>
      <c r="AB988" t="s">
        <v>2911</v>
      </c>
      <c r="AC988" t="s">
        <v>1616</v>
      </c>
      <c r="AE988" t="s">
        <v>1555</v>
      </c>
      <c r="AF988" t="s">
        <v>9786</v>
      </c>
      <c r="AH988" t="s">
        <v>1546</v>
      </c>
      <c r="AI988" t="s">
        <v>444</v>
      </c>
      <c r="AJ988" s="4" t="str">
        <f>"93908"</f>
        <v>93908</v>
      </c>
      <c r="AK988" t="s">
        <v>120</v>
      </c>
      <c r="AM988" s="5">
        <v>18312614383</v>
      </c>
      <c r="AO988" t="s">
        <v>9787</v>
      </c>
      <c r="AP988" t="s">
        <v>122</v>
      </c>
      <c r="AQ988" t="s">
        <v>1721</v>
      </c>
      <c r="AR988" t="s">
        <v>1722</v>
      </c>
      <c r="AS988" t="s">
        <v>1723</v>
      </c>
      <c r="AT988" t="s">
        <v>1724</v>
      </c>
      <c r="AV988" t="s">
        <v>1725</v>
      </c>
      <c r="AW988" t="s">
        <v>444</v>
      </c>
      <c r="AX988" s="4" t="str">
        <f>"92106"</f>
        <v>92106</v>
      </c>
      <c r="AY988" t="s">
        <v>120</v>
      </c>
      <c r="BA988" s="5">
        <v>16192696164</v>
      </c>
      <c r="BC988" t="s">
        <v>1726</v>
      </c>
      <c r="BD988" t="s">
        <v>1727</v>
      </c>
      <c r="BE988" t="s">
        <v>444</v>
      </c>
      <c r="BF988" t="s">
        <v>510</v>
      </c>
      <c r="BG988" t="s">
        <v>530</v>
      </c>
      <c r="BH988" s="1">
        <v>44797.833333333336</v>
      </c>
      <c r="BI988">
        <v>35</v>
      </c>
      <c r="BJ988">
        <v>0</v>
      </c>
      <c r="BK988">
        <v>7</v>
      </c>
      <c r="BL988">
        <v>7</v>
      </c>
      <c r="BM988">
        <v>7</v>
      </c>
      <c r="BN988">
        <v>7</v>
      </c>
      <c r="BO988">
        <v>7</v>
      </c>
      <c r="BP988">
        <v>0</v>
      </c>
      <c r="BQ988" t="str">
        <f>"5:00 AM"</f>
        <v>5:00 AM</v>
      </c>
      <c r="BR988" t="str">
        <f>"1:00 PM"</f>
        <v>1:00 PM</v>
      </c>
      <c r="BS988" t="s">
        <v>133</v>
      </c>
      <c r="BT988">
        <v>0</v>
      </c>
      <c r="BU988">
        <v>12</v>
      </c>
      <c r="BV988" t="s">
        <v>134</v>
      </c>
      <c r="BX988" s="2" t="s">
        <v>9797</v>
      </c>
      <c r="BY988" t="s">
        <v>9798</v>
      </c>
      <c r="CA988" t="s">
        <v>9790</v>
      </c>
      <c r="CB988" t="s">
        <v>530</v>
      </c>
      <c r="CC988" s="4" t="str">
        <f>"85365"</f>
        <v>85365</v>
      </c>
      <c r="CD988" t="s">
        <v>9791</v>
      </c>
      <c r="CE988" t="s">
        <v>9792</v>
      </c>
      <c r="CF988" s="6">
        <v>19.16</v>
      </c>
      <c r="CG988" s="6">
        <v>19.16</v>
      </c>
      <c r="CH988" s="6">
        <v>28.74</v>
      </c>
      <c r="CI988" s="6">
        <v>28.74</v>
      </c>
      <c r="CJ988" t="s">
        <v>137</v>
      </c>
      <c r="CK988" t="s">
        <v>9793</v>
      </c>
      <c r="CL988" t="s">
        <v>9799</v>
      </c>
      <c r="CO988" t="s">
        <v>138</v>
      </c>
      <c r="CP988" t="s">
        <v>114</v>
      </c>
      <c r="CQ988" t="s">
        <v>114</v>
      </c>
      <c r="CR988" t="s">
        <v>114</v>
      </c>
      <c r="CS988" t="s">
        <v>114</v>
      </c>
      <c r="CT988" t="s">
        <v>114</v>
      </c>
      <c r="CU988" t="s">
        <v>114</v>
      </c>
      <c r="CV988" t="s">
        <v>9800</v>
      </c>
      <c r="CW988" s="5" t="str">
        <f>"+18312614383"</f>
        <v>+18312614383</v>
      </c>
      <c r="CX988" t="s">
        <v>9787</v>
      </c>
      <c r="CY988" t="s">
        <v>138</v>
      </c>
      <c r="CZ988" t="s">
        <v>139</v>
      </c>
      <c r="DA988" t="s">
        <v>134</v>
      </c>
      <c r="DB988" t="s">
        <v>134</v>
      </c>
      <c r="DC988" t="s">
        <v>114</v>
      </c>
      <c r="DD988" t="s">
        <v>134</v>
      </c>
    </row>
    <row r="989" spans="1:108" ht="15" customHeight="1" x14ac:dyDescent="0.25">
      <c r="A989" t="s">
        <v>8680</v>
      </c>
      <c r="B989" t="s">
        <v>165</v>
      </c>
      <c r="C989" s="1">
        <v>44797.771128009263</v>
      </c>
      <c r="D989" s="1">
        <v>44846</v>
      </c>
      <c r="E989" t="s">
        <v>134</v>
      </c>
      <c r="F989" t="s">
        <v>614</v>
      </c>
      <c r="G989" t="str">
        <f>"39-2021.00"</f>
        <v>39-2021.00</v>
      </c>
      <c r="H989" t="s">
        <v>615</v>
      </c>
      <c r="I989">
        <v>10</v>
      </c>
      <c r="J989">
        <v>10</v>
      </c>
      <c r="K989" s="1">
        <v>44875</v>
      </c>
      <c r="L989" s="1">
        <v>45169</v>
      </c>
      <c r="M989" s="1">
        <v>44875</v>
      </c>
      <c r="N989" s="1">
        <v>45169</v>
      </c>
      <c r="O989" t="s">
        <v>199</v>
      </c>
      <c r="P989" t="s">
        <v>8681</v>
      </c>
      <c r="R989" t="s">
        <v>8682</v>
      </c>
      <c r="T989" t="s">
        <v>1101</v>
      </c>
      <c r="U989" t="s">
        <v>339</v>
      </c>
      <c r="V989" s="4" t="str">
        <f>"20707"</f>
        <v>20707</v>
      </c>
      <c r="W989" t="s">
        <v>120</v>
      </c>
      <c r="Y989" s="5">
        <v>19549903780</v>
      </c>
      <c r="AA989">
        <v>711212</v>
      </c>
      <c r="AB989" t="s">
        <v>5959</v>
      </c>
      <c r="AC989" t="s">
        <v>8683</v>
      </c>
      <c r="AE989" t="s">
        <v>622</v>
      </c>
      <c r="AF989" t="s">
        <v>8682</v>
      </c>
      <c r="AH989" t="s">
        <v>1101</v>
      </c>
      <c r="AI989" t="s">
        <v>339</v>
      </c>
      <c r="AJ989" s="4" t="str">
        <f>"20707"</f>
        <v>20707</v>
      </c>
      <c r="AK989" t="s">
        <v>120</v>
      </c>
      <c r="AM989" s="5">
        <v>19549903780</v>
      </c>
      <c r="AO989" t="s">
        <v>8684</v>
      </c>
      <c r="AP989" t="s">
        <v>122</v>
      </c>
      <c r="AQ989" t="s">
        <v>625</v>
      </c>
      <c r="AR989" t="s">
        <v>626</v>
      </c>
      <c r="AS989" t="s">
        <v>627</v>
      </c>
      <c r="AT989" t="s">
        <v>628</v>
      </c>
      <c r="AU989" t="s">
        <v>629</v>
      </c>
      <c r="AV989" t="s">
        <v>630</v>
      </c>
      <c r="AW989" t="s">
        <v>631</v>
      </c>
      <c r="AX989" s="4" t="str">
        <f>"73069"</f>
        <v>73069</v>
      </c>
      <c r="AY989" t="s">
        <v>120</v>
      </c>
      <c r="BA989" s="5">
        <v>14053642525</v>
      </c>
      <c r="BC989" t="s">
        <v>632</v>
      </c>
      <c r="BD989" t="s">
        <v>633</v>
      </c>
      <c r="BE989" t="s">
        <v>631</v>
      </c>
      <c r="BF989" t="s">
        <v>634</v>
      </c>
      <c r="BG989" t="s">
        <v>339</v>
      </c>
      <c r="BH989" s="1">
        <v>44796.833333333336</v>
      </c>
      <c r="BI989">
        <v>56</v>
      </c>
      <c r="BJ989">
        <v>8</v>
      </c>
      <c r="BK989">
        <v>8</v>
      </c>
      <c r="BL989">
        <v>8</v>
      </c>
      <c r="BM989">
        <v>8</v>
      </c>
      <c r="BN989">
        <v>8</v>
      </c>
      <c r="BO989">
        <v>8</v>
      </c>
      <c r="BP989">
        <v>8</v>
      </c>
      <c r="BQ989" t="str">
        <f>"5:00 AM"</f>
        <v>5:00 AM</v>
      </c>
      <c r="BR989" t="str">
        <f>"5:00 PM"</f>
        <v>5:00 PM</v>
      </c>
      <c r="BS989" t="s">
        <v>133</v>
      </c>
      <c r="BT989">
        <v>0</v>
      </c>
      <c r="BU989">
        <v>1</v>
      </c>
      <c r="BV989" t="s">
        <v>134</v>
      </c>
      <c r="BX989" s="2" t="s">
        <v>2930</v>
      </c>
      <c r="BY989" t="s">
        <v>1099</v>
      </c>
      <c r="BZ989" t="s">
        <v>1100</v>
      </c>
      <c r="CA989" t="s">
        <v>1101</v>
      </c>
      <c r="CB989" t="s">
        <v>339</v>
      </c>
      <c r="CC989" s="4" t="str">
        <f>"20724"</f>
        <v>20724</v>
      </c>
      <c r="CD989" t="s">
        <v>1102</v>
      </c>
      <c r="CE989" t="s">
        <v>355</v>
      </c>
      <c r="CF989" s="6">
        <v>15.56</v>
      </c>
      <c r="CG989" s="6">
        <v>15.56</v>
      </c>
      <c r="CH989" s="6">
        <v>23.34</v>
      </c>
      <c r="CI989" s="6">
        <v>23.34</v>
      </c>
      <c r="CJ989" t="s">
        <v>137</v>
      </c>
      <c r="CL989" t="s">
        <v>8685</v>
      </c>
      <c r="CO989" t="s">
        <v>138</v>
      </c>
      <c r="CP989" t="s">
        <v>134</v>
      </c>
      <c r="CQ989" t="s">
        <v>134</v>
      </c>
      <c r="CR989" t="s">
        <v>114</v>
      </c>
      <c r="CS989" t="s">
        <v>134</v>
      </c>
      <c r="CT989" t="s">
        <v>114</v>
      </c>
      <c r="CU989" t="s">
        <v>114</v>
      </c>
      <c r="CV989" t="s">
        <v>2591</v>
      </c>
      <c r="CW989" s="5" t="str">
        <f>"+19549903780"</f>
        <v>+19549903780</v>
      </c>
      <c r="CX989" t="s">
        <v>8684</v>
      </c>
      <c r="CY989" t="s">
        <v>138</v>
      </c>
      <c r="CZ989" t="s">
        <v>139</v>
      </c>
      <c r="DA989" t="s">
        <v>134</v>
      </c>
      <c r="DB989" t="s">
        <v>134</v>
      </c>
      <c r="DC989" t="s">
        <v>114</v>
      </c>
      <c r="DD989" t="s">
        <v>134</v>
      </c>
    </row>
    <row r="990" spans="1:108" ht="15" customHeight="1" x14ac:dyDescent="0.25">
      <c r="A990" t="s">
        <v>3776</v>
      </c>
      <c r="B990" t="s">
        <v>165</v>
      </c>
      <c r="C990" s="1">
        <v>44792.658129629628</v>
      </c>
      <c r="D990" s="1">
        <v>44846</v>
      </c>
      <c r="E990" t="s">
        <v>134</v>
      </c>
      <c r="F990" t="s">
        <v>979</v>
      </c>
      <c r="G990" t="str">
        <f>"37-1011.00"</f>
        <v>37-1011.00</v>
      </c>
      <c r="H990" t="s">
        <v>980</v>
      </c>
      <c r="I990">
        <v>2</v>
      </c>
      <c r="J990">
        <v>2</v>
      </c>
      <c r="K990" s="1">
        <v>44876</v>
      </c>
      <c r="L990" s="1">
        <v>45149</v>
      </c>
      <c r="M990" s="1">
        <v>44876</v>
      </c>
      <c r="N990" s="1">
        <v>45149</v>
      </c>
      <c r="O990" t="s">
        <v>199</v>
      </c>
      <c r="P990" t="s">
        <v>981</v>
      </c>
      <c r="Q990" t="s">
        <v>981</v>
      </c>
      <c r="R990" t="s">
        <v>982</v>
      </c>
      <c r="S990" t="s">
        <v>3777</v>
      </c>
      <c r="T990" t="s">
        <v>984</v>
      </c>
      <c r="U990" t="s">
        <v>154</v>
      </c>
      <c r="V990" s="4" t="str">
        <f>"32408"</f>
        <v>32408</v>
      </c>
      <c r="W990" t="s">
        <v>120</v>
      </c>
      <c r="Y990" s="5">
        <v>17864929774</v>
      </c>
      <c r="AA990">
        <v>561720</v>
      </c>
      <c r="AB990" t="s">
        <v>985</v>
      </c>
      <c r="AC990" t="s">
        <v>986</v>
      </c>
      <c r="AE990" t="s">
        <v>342</v>
      </c>
      <c r="AF990" t="s">
        <v>982</v>
      </c>
      <c r="AH990" t="s">
        <v>984</v>
      </c>
      <c r="AI990" t="s">
        <v>154</v>
      </c>
      <c r="AJ990" s="4" t="str">
        <f>"32408"</f>
        <v>32408</v>
      </c>
      <c r="AK990" t="s">
        <v>120</v>
      </c>
      <c r="AM990" s="5">
        <v>17863285408</v>
      </c>
      <c r="AO990" t="s">
        <v>987</v>
      </c>
      <c r="AX990" s="4" t="str">
        <f>""</f>
        <v/>
      </c>
      <c r="BG990" t="s">
        <v>154</v>
      </c>
      <c r="BH990" s="1">
        <v>44789.833333333336</v>
      </c>
      <c r="BI990">
        <v>49</v>
      </c>
      <c r="BJ990">
        <v>7</v>
      </c>
      <c r="BK990">
        <v>7</v>
      </c>
      <c r="BL990">
        <v>7</v>
      </c>
      <c r="BM990">
        <v>7</v>
      </c>
      <c r="BN990">
        <v>7</v>
      </c>
      <c r="BO990">
        <v>7</v>
      </c>
      <c r="BP990">
        <v>7</v>
      </c>
      <c r="BQ990" t="str">
        <f>"8:00 AM"</f>
        <v>8:00 AM</v>
      </c>
      <c r="BR990" t="str">
        <f>"4:00 PM"</f>
        <v>4:00 PM</v>
      </c>
      <c r="BS990" t="s">
        <v>295</v>
      </c>
      <c r="BT990">
        <v>0</v>
      </c>
      <c r="BU990">
        <v>12</v>
      </c>
      <c r="BV990" t="s">
        <v>114</v>
      </c>
      <c r="BW990">
        <v>160</v>
      </c>
      <c r="BX990" s="2" t="s">
        <v>3778</v>
      </c>
      <c r="BY990" t="s">
        <v>3779</v>
      </c>
      <c r="CA990" t="s">
        <v>3780</v>
      </c>
      <c r="CB990" t="s">
        <v>154</v>
      </c>
      <c r="CC990" s="4" t="str">
        <f>"33767"</f>
        <v>33767</v>
      </c>
      <c r="CD990" t="s">
        <v>2806</v>
      </c>
      <c r="CE990" t="s">
        <v>567</v>
      </c>
      <c r="CF990" s="6">
        <v>20.27</v>
      </c>
      <c r="CG990" s="6">
        <v>20.3</v>
      </c>
      <c r="CH990" s="6">
        <v>30.41</v>
      </c>
      <c r="CI990" s="6">
        <v>30.45</v>
      </c>
      <c r="CJ990" t="s">
        <v>137</v>
      </c>
      <c r="CK990" t="s">
        <v>487</v>
      </c>
      <c r="CL990" t="s">
        <v>3781</v>
      </c>
      <c r="CO990" t="s">
        <v>138</v>
      </c>
      <c r="CP990" t="s">
        <v>134</v>
      </c>
      <c r="CQ990" t="s">
        <v>134</v>
      </c>
      <c r="CR990" t="s">
        <v>114</v>
      </c>
      <c r="CS990" t="s">
        <v>134</v>
      </c>
      <c r="CT990" t="s">
        <v>114</v>
      </c>
      <c r="CU990" t="s">
        <v>114</v>
      </c>
      <c r="CV990" s="2" t="s">
        <v>3782</v>
      </c>
      <c r="CW990" s="5" t="str">
        <f>"+17864929774"</f>
        <v>+17864929774</v>
      </c>
      <c r="CX990" t="s">
        <v>997</v>
      </c>
      <c r="CY990" t="s">
        <v>138</v>
      </c>
      <c r="CZ990" t="s">
        <v>139</v>
      </c>
      <c r="DA990" t="s">
        <v>134</v>
      </c>
      <c r="DB990" t="s">
        <v>134</v>
      </c>
      <c r="DC990" t="s">
        <v>114</v>
      </c>
      <c r="DD990" t="s">
        <v>134</v>
      </c>
    </row>
    <row r="991" spans="1:108" ht="15" customHeight="1" x14ac:dyDescent="0.25">
      <c r="A991" t="s">
        <v>10419</v>
      </c>
      <c r="B991" t="s">
        <v>165</v>
      </c>
      <c r="C991" s="1">
        <v>44791.449875578706</v>
      </c>
      <c r="D991" s="1">
        <v>44846</v>
      </c>
      <c r="E991" t="s">
        <v>134</v>
      </c>
      <c r="F991" t="s">
        <v>10420</v>
      </c>
      <c r="G991" t="str">
        <f>"53-7064.00"</f>
        <v>53-7064.00</v>
      </c>
      <c r="H991" t="s">
        <v>4749</v>
      </c>
      <c r="I991">
        <v>8</v>
      </c>
      <c r="J991">
        <v>8</v>
      </c>
      <c r="K991" s="1">
        <v>44866</v>
      </c>
      <c r="L991" s="1">
        <v>45016</v>
      </c>
      <c r="M991" s="1">
        <v>44866</v>
      </c>
      <c r="N991" s="1">
        <v>45016</v>
      </c>
      <c r="O991" t="s">
        <v>117</v>
      </c>
      <c r="P991" t="s">
        <v>10421</v>
      </c>
      <c r="R991" t="s">
        <v>10422</v>
      </c>
      <c r="T991" t="s">
        <v>2108</v>
      </c>
      <c r="U991" t="s">
        <v>232</v>
      </c>
      <c r="V991" s="4" t="str">
        <f>"78210"</f>
        <v>78210</v>
      </c>
      <c r="W991" t="s">
        <v>120</v>
      </c>
      <c r="Y991" s="5">
        <v>12105339086</v>
      </c>
      <c r="AA991">
        <v>311812</v>
      </c>
      <c r="AB991" t="s">
        <v>10423</v>
      </c>
      <c r="AC991" t="s">
        <v>1125</v>
      </c>
      <c r="AE991" t="s">
        <v>424</v>
      </c>
      <c r="AF991" t="s">
        <v>10424</v>
      </c>
      <c r="AH991" t="s">
        <v>2108</v>
      </c>
      <c r="AI991" t="s">
        <v>232</v>
      </c>
      <c r="AJ991" s="4" t="str">
        <f>"78225"</f>
        <v>78225</v>
      </c>
      <c r="AK991" t="s">
        <v>120</v>
      </c>
      <c r="AM991" s="5">
        <v>12105339086</v>
      </c>
      <c r="AO991" t="s">
        <v>10425</v>
      </c>
      <c r="AP991" t="s">
        <v>122</v>
      </c>
      <c r="AQ991" t="s">
        <v>6997</v>
      </c>
      <c r="AR991" t="s">
        <v>1125</v>
      </c>
      <c r="AS991" t="s">
        <v>3634</v>
      </c>
      <c r="AT991" t="s">
        <v>10426</v>
      </c>
      <c r="AV991" t="s">
        <v>2108</v>
      </c>
      <c r="AW991" t="s">
        <v>232</v>
      </c>
      <c r="AX991" s="4" t="str">
        <f>"78278"</f>
        <v>78278</v>
      </c>
      <c r="AY991" t="s">
        <v>120</v>
      </c>
      <c r="BA991" s="5">
        <v>12102513972</v>
      </c>
      <c r="BC991" t="s">
        <v>6998</v>
      </c>
      <c r="BD991" t="s">
        <v>10427</v>
      </c>
      <c r="BE991" t="s">
        <v>232</v>
      </c>
      <c r="BF991" t="s">
        <v>6917</v>
      </c>
      <c r="BG991" t="s">
        <v>232</v>
      </c>
      <c r="BH991" s="1">
        <v>44790.833333333336</v>
      </c>
      <c r="BI991">
        <v>46</v>
      </c>
      <c r="BJ991">
        <v>10</v>
      </c>
      <c r="BK991">
        <v>0</v>
      </c>
      <c r="BL991">
        <v>5</v>
      </c>
      <c r="BM991">
        <v>5</v>
      </c>
      <c r="BN991">
        <v>8</v>
      </c>
      <c r="BO991">
        <v>8</v>
      </c>
      <c r="BP991">
        <v>10</v>
      </c>
      <c r="BQ991" t="str">
        <f>"5:00 AM"</f>
        <v>5:00 AM</v>
      </c>
      <c r="BR991" t="str">
        <f>"3:00 PM"</f>
        <v>3:00 PM</v>
      </c>
      <c r="BS991" t="s">
        <v>133</v>
      </c>
      <c r="BT991">
        <v>0</v>
      </c>
      <c r="BU991">
        <v>0</v>
      </c>
      <c r="BV991" t="s">
        <v>134</v>
      </c>
      <c r="BX991" t="s">
        <v>138</v>
      </c>
      <c r="BY991" t="s">
        <v>10422</v>
      </c>
      <c r="CA991" t="s">
        <v>2108</v>
      </c>
      <c r="CB991" t="s">
        <v>232</v>
      </c>
      <c r="CC991" s="4" t="str">
        <f>"78210"</f>
        <v>78210</v>
      </c>
      <c r="CD991" t="s">
        <v>2112</v>
      </c>
      <c r="CE991" t="s">
        <v>1342</v>
      </c>
      <c r="CF991" s="6">
        <v>12.59</v>
      </c>
      <c r="CH991" s="6">
        <v>18.89</v>
      </c>
      <c r="CJ991" t="s">
        <v>137</v>
      </c>
      <c r="CL991" t="s">
        <v>10428</v>
      </c>
      <c r="CO991" t="s">
        <v>138</v>
      </c>
      <c r="CP991" t="s">
        <v>134</v>
      </c>
      <c r="CQ991" t="s">
        <v>134</v>
      </c>
      <c r="CR991" t="s">
        <v>114</v>
      </c>
      <c r="CS991" t="s">
        <v>114</v>
      </c>
      <c r="CT991" t="s">
        <v>114</v>
      </c>
      <c r="CU991" t="s">
        <v>134</v>
      </c>
      <c r="CV991" t="s">
        <v>133</v>
      </c>
      <c r="CW991" s="5" t="str">
        <f>"+12105339086"</f>
        <v>+12105339086</v>
      </c>
      <c r="CX991" t="s">
        <v>10425</v>
      </c>
      <c r="CY991" t="s">
        <v>138</v>
      </c>
      <c r="CZ991" t="s">
        <v>139</v>
      </c>
      <c r="DA991" t="s">
        <v>134</v>
      </c>
      <c r="DB991" t="s">
        <v>134</v>
      </c>
      <c r="DC991" t="s">
        <v>114</v>
      </c>
      <c r="DD991" t="s">
        <v>134</v>
      </c>
    </row>
    <row r="992" spans="1:108" ht="15" customHeight="1" x14ac:dyDescent="0.25">
      <c r="A992" t="s">
        <v>6615</v>
      </c>
      <c r="B992" t="s">
        <v>165</v>
      </c>
      <c r="C992" s="1">
        <v>44790.916974652777</v>
      </c>
      <c r="D992" s="1">
        <v>44846</v>
      </c>
      <c r="E992" t="s">
        <v>134</v>
      </c>
      <c r="F992" t="s">
        <v>2320</v>
      </c>
      <c r="G992" t="str">
        <f>"37-3011.00"</f>
        <v>37-3011.00</v>
      </c>
      <c r="H992" t="s">
        <v>335</v>
      </c>
      <c r="I992">
        <v>10</v>
      </c>
      <c r="J992">
        <v>10</v>
      </c>
      <c r="K992" s="1">
        <v>44880</v>
      </c>
      <c r="L992" s="1">
        <v>45000</v>
      </c>
      <c r="M992" s="1">
        <v>44880</v>
      </c>
      <c r="N992" s="1">
        <v>45000</v>
      </c>
      <c r="O992" t="s">
        <v>199</v>
      </c>
      <c r="P992" t="s">
        <v>6616</v>
      </c>
      <c r="Q992" t="s">
        <v>6617</v>
      </c>
      <c r="R992" t="s">
        <v>6618</v>
      </c>
      <c r="T992" t="s">
        <v>6619</v>
      </c>
      <c r="U992" t="s">
        <v>748</v>
      </c>
      <c r="V992" s="4" t="str">
        <f>"18078"</f>
        <v>18078</v>
      </c>
      <c r="W992" t="s">
        <v>120</v>
      </c>
      <c r="Y992" s="5">
        <v>14842393651</v>
      </c>
      <c r="AA992">
        <v>561730</v>
      </c>
      <c r="AB992" t="s">
        <v>6620</v>
      </c>
      <c r="AC992" t="s">
        <v>2686</v>
      </c>
      <c r="AE992" t="s">
        <v>1710</v>
      </c>
      <c r="AF992" t="s">
        <v>6618</v>
      </c>
      <c r="AH992" t="s">
        <v>6619</v>
      </c>
      <c r="AI992" t="s">
        <v>748</v>
      </c>
      <c r="AJ992" s="4" t="str">
        <f>"18078"</f>
        <v>18078</v>
      </c>
      <c r="AK992" t="s">
        <v>120</v>
      </c>
      <c r="AM992" s="5">
        <v>14842393651</v>
      </c>
      <c r="AO992" t="s">
        <v>138</v>
      </c>
      <c r="AP992" t="s">
        <v>122</v>
      </c>
      <c r="AQ992" t="s">
        <v>864</v>
      </c>
      <c r="AR992" t="s">
        <v>865</v>
      </c>
      <c r="AS992" t="s">
        <v>370</v>
      </c>
      <c r="AT992" t="s">
        <v>3908</v>
      </c>
      <c r="AV992" t="s">
        <v>684</v>
      </c>
      <c r="AW992" t="s">
        <v>232</v>
      </c>
      <c r="AX992" s="4" t="str">
        <f>"78705"</f>
        <v>78705</v>
      </c>
      <c r="AY992" t="s">
        <v>120</v>
      </c>
      <c r="BA992" s="5">
        <v>15123470007</v>
      </c>
      <c r="BC992" t="s">
        <v>868</v>
      </c>
      <c r="BD992" t="s">
        <v>2111</v>
      </c>
      <c r="BE992" t="s">
        <v>232</v>
      </c>
      <c r="BF992" t="s">
        <v>870</v>
      </c>
      <c r="BG992" t="s">
        <v>748</v>
      </c>
      <c r="BH992" s="1">
        <v>44789.833333333336</v>
      </c>
      <c r="BI992">
        <v>40</v>
      </c>
      <c r="BJ992">
        <v>0</v>
      </c>
      <c r="BK992">
        <v>8</v>
      </c>
      <c r="BL992">
        <v>8</v>
      </c>
      <c r="BM992">
        <v>8</v>
      </c>
      <c r="BN992">
        <v>8</v>
      </c>
      <c r="BO992">
        <v>8</v>
      </c>
      <c r="BP992">
        <v>0</v>
      </c>
      <c r="BQ992" t="str">
        <f>"8:00 AM"</f>
        <v>8:00 AM</v>
      </c>
      <c r="BR992" t="str">
        <f>"5:00 PM"</f>
        <v>5:00 PM</v>
      </c>
      <c r="BS992" t="s">
        <v>133</v>
      </c>
      <c r="BT992">
        <v>0</v>
      </c>
      <c r="BU992">
        <v>0</v>
      </c>
      <c r="BV992" t="s">
        <v>134</v>
      </c>
      <c r="BX992" s="2" t="s">
        <v>6621</v>
      </c>
      <c r="BY992" t="s">
        <v>6622</v>
      </c>
      <c r="CA992" t="s">
        <v>6623</v>
      </c>
      <c r="CB992" t="s">
        <v>748</v>
      </c>
      <c r="CC992" s="4" t="str">
        <f>"18037"</f>
        <v>18037</v>
      </c>
      <c r="CD992" t="s">
        <v>3906</v>
      </c>
      <c r="CE992" t="s">
        <v>3907</v>
      </c>
      <c r="CF992" s="6">
        <v>16.899999999999999</v>
      </c>
      <c r="CG992" s="6">
        <v>16.899999999999999</v>
      </c>
      <c r="CH992" s="6">
        <v>25.35</v>
      </c>
      <c r="CI992" s="6">
        <v>25.35</v>
      </c>
      <c r="CJ992" t="s">
        <v>137</v>
      </c>
      <c r="CL992" t="s">
        <v>6624</v>
      </c>
      <c r="CO992" t="s">
        <v>138</v>
      </c>
      <c r="CP992" t="s">
        <v>114</v>
      </c>
      <c r="CQ992" t="s">
        <v>114</v>
      </c>
      <c r="CR992" t="s">
        <v>114</v>
      </c>
      <c r="CS992" t="s">
        <v>114</v>
      </c>
      <c r="CT992" t="s">
        <v>114</v>
      </c>
      <c r="CU992" t="s">
        <v>114</v>
      </c>
      <c r="CV992" s="2" t="s">
        <v>6625</v>
      </c>
      <c r="CW992" s="5" t="str">
        <f>"+16109720176"</f>
        <v>+16109720176</v>
      </c>
      <c r="CX992" t="s">
        <v>6626</v>
      </c>
      <c r="CY992" t="s">
        <v>138</v>
      </c>
      <c r="CZ992" t="s">
        <v>139</v>
      </c>
      <c r="DA992" t="s">
        <v>134</v>
      </c>
      <c r="DB992" t="s">
        <v>134</v>
      </c>
      <c r="DC992" t="s">
        <v>114</v>
      </c>
      <c r="DD992" t="s">
        <v>134</v>
      </c>
    </row>
    <row r="993" spans="1:108" ht="15" customHeight="1" x14ac:dyDescent="0.25">
      <c r="A993" t="s">
        <v>12057</v>
      </c>
      <c r="B993" t="s">
        <v>165</v>
      </c>
      <c r="C993" s="1">
        <v>44785.709884722222</v>
      </c>
      <c r="D993" s="1">
        <v>44846</v>
      </c>
      <c r="E993" t="s">
        <v>114</v>
      </c>
      <c r="F993" t="s">
        <v>12058</v>
      </c>
      <c r="G993" t="str">
        <f>"35-2014.00"</f>
        <v>35-2014.00</v>
      </c>
      <c r="H993" t="s">
        <v>915</v>
      </c>
      <c r="I993">
        <v>8</v>
      </c>
      <c r="J993">
        <v>8</v>
      </c>
      <c r="K993" s="1">
        <v>44875</v>
      </c>
      <c r="L993" s="1">
        <v>45077</v>
      </c>
      <c r="M993" s="1">
        <v>44875</v>
      </c>
      <c r="N993" s="1">
        <v>45077</v>
      </c>
      <c r="O993" t="s">
        <v>117</v>
      </c>
      <c r="P993" t="s">
        <v>12059</v>
      </c>
      <c r="Q993" t="s">
        <v>12060</v>
      </c>
      <c r="R993" t="s">
        <v>12061</v>
      </c>
      <c r="S993" t="s">
        <v>138</v>
      </c>
      <c r="T993" t="s">
        <v>180</v>
      </c>
      <c r="U993" t="s">
        <v>181</v>
      </c>
      <c r="V993" s="4" t="str">
        <f>"80202"</f>
        <v>80202</v>
      </c>
      <c r="W993" t="s">
        <v>120</v>
      </c>
      <c r="Y993" s="5">
        <v>12395973232</v>
      </c>
      <c r="AA993">
        <v>721110</v>
      </c>
      <c r="AB993" t="s">
        <v>7078</v>
      </c>
      <c r="AC993" t="s">
        <v>7660</v>
      </c>
      <c r="AE993" t="s">
        <v>1915</v>
      </c>
      <c r="AF993" t="s">
        <v>12062</v>
      </c>
      <c r="AG993" t="s">
        <v>138</v>
      </c>
      <c r="AH993" t="s">
        <v>648</v>
      </c>
      <c r="AI993" t="s">
        <v>154</v>
      </c>
      <c r="AJ993" s="4" t="str">
        <f>"34103"</f>
        <v>34103</v>
      </c>
      <c r="AK993" t="s">
        <v>120</v>
      </c>
      <c r="AM993" s="5">
        <v>12395946034</v>
      </c>
      <c r="AO993" t="s">
        <v>12063</v>
      </c>
      <c r="AP993" t="s">
        <v>122</v>
      </c>
      <c r="AQ993" t="s">
        <v>753</v>
      </c>
      <c r="AR993" t="s">
        <v>754</v>
      </c>
      <c r="AS993" t="s">
        <v>755</v>
      </c>
      <c r="AT993" t="s">
        <v>756</v>
      </c>
      <c r="AU993" t="s">
        <v>757</v>
      </c>
      <c r="AV993" t="s">
        <v>758</v>
      </c>
      <c r="AW993" t="s">
        <v>281</v>
      </c>
      <c r="AX993" s="4" t="str">
        <f>"01701"</f>
        <v>01701</v>
      </c>
      <c r="AY993" t="s">
        <v>120</v>
      </c>
      <c r="BA993" s="5">
        <v>16179399444</v>
      </c>
      <c r="BC993" t="s">
        <v>759</v>
      </c>
      <c r="BD993" t="s">
        <v>760</v>
      </c>
      <c r="BE993" t="s">
        <v>281</v>
      </c>
      <c r="BF993" t="s">
        <v>761</v>
      </c>
      <c r="BG993" t="s">
        <v>154</v>
      </c>
      <c r="BH993" s="1">
        <v>44784.833333333336</v>
      </c>
      <c r="BI993">
        <v>35</v>
      </c>
      <c r="BJ993">
        <v>0</v>
      </c>
      <c r="BK993">
        <v>7</v>
      </c>
      <c r="BL993">
        <v>7</v>
      </c>
      <c r="BM993">
        <v>7</v>
      </c>
      <c r="BN993">
        <v>7</v>
      </c>
      <c r="BO993">
        <v>7</v>
      </c>
      <c r="BP993">
        <v>0</v>
      </c>
      <c r="BQ993" t="str">
        <f>"6:00 AM"</f>
        <v>6:00 AM</v>
      </c>
      <c r="BR993" t="str">
        <f>"1:00 PM"</f>
        <v>1:00 PM</v>
      </c>
      <c r="BS993" t="s">
        <v>133</v>
      </c>
      <c r="BT993">
        <v>0</v>
      </c>
      <c r="BU993">
        <v>6</v>
      </c>
      <c r="BV993" t="s">
        <v>134</v>
      </c>
      <c r="BX993" s="2" t="s">
        <v>12064</v>
      </c>
      <c r="BY993" t="s">
        <v>12062</v>
      </c>
      <c r="CA993" t="s">
        <v>648</v>
      </c>
      <c r="CB993" t="s">
        <v>154</v>
      </c>
      <c r="CC993" s="4" t="str">
        <f>"34103"</f>
        <v>34103</v>
      </c>
      <c r="CD993" t="s">
        <v>1432</v>
      </c>
      <c r="CE993" t="s">
        <v>1433</v>
      </c>
      <c r="CF993" s="6">
        <v>16.75</v>
      </c>
      <c r="CG993" s="6">
        <v>16.75</v>
      </c>
      <c r="CH993" s="6">
        <v>25.13</v>
      </c>
      <c r="CI993" s="6">
        <v>25.13</v>
      </c>
      <c r="CJ993" t="s">
        <v>137</v>
      </c>
      <c r="CK993" t="s">
        <v>12065</v>
      </c>
      <c r="CL993" t="s">
        <v>12066</v>
      </c>
      <c r="CO993" t="s">
        <v>138</v>
      </c>
      <c r="CP993" t="s">
        <v>114</v>
      </c>
      <c r="CQ993" t="s">
        <v>134</v>
      </c>
      <c r="CR993" t="s">
        <v>114</v>
      </c>
      <c r="CS993" t="s">
        <v>114</v>
      </c>
      <c r="CT993" t="s">
        <v>114</v>
      </c>
      <c r="CU993" t="s">
        <v>114</v>
      </c>
      <c r="CV993" s="2" t="s">
        <v>12067</v>
      </c>
      <c r="CW993" s="5" t="str">
        <f>"+12395946034"</f>
        <v>+12395946034</v>
      </c>
      <c r="CX993" t="s">
        <v>12068</v>
      </c>
      <c r="CY993" t="s">
        <v>138</v>
      </c>
      <c r="CZ993" t="s">
        <v>139</v>
      </c>
      <c r="DA993" t="s">
        <v>134</v>
      </c>
      <c r="DB993" t="s">
        <v>114</v>
      </c>
      <c r="DC993" t="s">
        <v>114</v>
      </c>
      <c r="DD993" t="s">
        <v>134</v>
      </c>
    </row>
    <row r="994" spans="1:108" ht="15" customHeight="1" x14ac:dyDescent="0.25">
      <c r="A994" t="s">
        <v>14007</v>
      </c>
      <c r="B994" t="s">
        <v>165</v>
      </c>
      <c r="C994" s="1">
        <v>44775.034575347221</v>
      </c>
      <c r="D994" s="1">
        <v>44846</v>
      </c>
      <c r="E994" t="s">
        <v>134</v>
      </c>
      <c r="F994" t="s">
        <v>2393</v>
      </c>
      <c r="G994" t="str">
        <f>"53-7062.00"</f>
        <v>53-7062.00</v>
      </c>
      <c r="H994" t="s">
        <v>245</v>
      </c>
      <c r="I994">
        <v>4</v>
      </c>
      <c r="J994">
        <v>4</v>
      </c>
      <c r="K994" s="1">
        <v>44850</v>
      </c>
      <c r="L994" s="1">
        <v>45077</v>
      </c>
      <c r="M994" s="1">
        <v>44850</v>
      </c>
      <c r="N994" s="1">
        <v>45077</v>
      </c>
      <c r="O994" t="s">
        <v>117</v>
      </c>
      <c r="P994" t="s">
        <v>14008</v>
      </c>
      <c r="Q994" t="s">
        <v>14009</v>
      </c>
      <c r="R994" t="s">
        <v>14010</v>
      </c>
      <c r="T994" t="s">
        <v>9397</v>
      </c>
      <c r="U994" t="s">
        <v>154</v>
      </c>
      <c r="V994" s="4" t="str">
        <f>"34285"</f>
        <v>34285</v>
      </c>
      <c r="W994" t="s">
        <v>120</v>
      </c>
      <c r="X994" t="s">
        <v>1897</v>
      </c>
      <c r="Y994" s="5">
        <v>19414887708</v>
      </c>
      <c r="Z994">
        <v>112</v>
      </c>
      <c r="AA994">
        <v>713910</v>
      </c>
      <c r="AB994" t="s">
        <v>14011</v>
      </c>
      <c r="AC994" t="s">
        <v>5429</v>
      </c>
      <c r="AE994" t="s">
        <v>1567</v>
      </c>
      <c r="AF994" t="s">
        <v>14010</v>
      </c>
      <c r="AH994" t="s">
        <v>9397</v>
      </c>
      <c r="AI994" t="s">
        <v>154</v>
      </c>
      <c r="AJ994" s="4" t="str">
        <f>"34285"</f>
        <v>34285</v>
      </c>
      <c r="AK994" t="s">
        <v>120</v>
      </c>
      <c r="AM994" s="5">
        <v>19414887708</v>
      </c>
      <c r="AN994">
        <v>112</v>
      </c>
      <c r="AO994" t="s">
        <v>14012</v>
      </c>
      <c r="AP994" t="s">
        <v>256</v>
      </c>
      <c r="AQ994" t="s">
        <v>13222</v>
      </c>
      <c r="AR994" t="s">
        <v>7174</v>
      </c>
      <c r="AT994" t="s">
        <v>3269</v>
      </c>
      <c r="AU994" t="s">
        <v>13223</v>
      </c>
      <c r="AV994" t="s">
        <v>3271</v>
      </c>
      <c r="AW994" t="s">
        <v>154</v>
      </c>
      <c r="AX994" s="4" t="str">
        <f>"33418"</f>
        <v>33418</v>
      </c>
      <c r="AY994" t="s">
        <v>120</v>
      </c>
      <c r="BA994" s="5">
        <v>15615230296</v>
      </c>
      <c r="BC994" t="s">
        <v>13224</v>
      </c>
      <c r="BD994" t="s">
        <v>13225</v>
      </c>
      <c r="BG994" t="s">
        <v>154</v>
      </c>
      <c r="BH994" s="1">
        <v>44772.833333333336</v>
      </c>
      <c r="BI994">
        <v>35</v>
      </c>
      <c r="BJ994">
        <v>6</v>
      </c>
      <c r="BK994">
        <v>0</v>
      </c>
      <c r="BL994">
        <v>4</v>
      </c>
      <c r="BM994">
        <v>5</v>
      </c>
      <c r="BN994">
        <v>6</v>
      </c>
      <c r="BO994">
        <v>6</v>
      </c>
      <c r="BP994">
        <v>8</v>
      </c>
      <c r="BQ994" t="str">
        <f>"9:00 AM"</f>
        <v>9:00 AM</v>
      </c>
      <c r="BR994" t="str">
        <f>"9:00 PM"</f>
        <v>9:00 PM</v>
      </c>
      <c r="BS994" t="s">
        <v>133</v>
      </c>
      <c r="BT994">
        <v>0</v>
      </c>
      <c r="BU994">
        <v>6</v>
      </c>
      <c r="BV994" t="s">
        <v>134</v>
      </c>
      <c r="BX994" t="s">
        <v>14013</v>
      </c>
      <c r="BY994" t="s">
        <v>14010</v>
      </c>
      <c r="CA994" t="s">
        <v>9397</v>
      </c>
      <c r="CB994" t="s">
        <v>154</v>
      </c>
      <c r="CC994" s="4" t="str">
        <f>"34285"</f>
        <v>34285</v>
      </c>
      <c r="CD994" t="s">
        <v>3943</v>
      </c>
      <c r="CE994" t="s">
        <v>3944</v>
      </c>
      <c r="CF994" s="6">
        <v>16</v>
      </c>
      <c r="CG994" s="6">
        <v>18</v>
      </c>
      <c r="CH994" s="6">
        <v>24</v>
      </c>
      <c r="CI994" s="6">
        <v>27</v>
      </c>
      <c r="CJ994" t="s">
        <v>137</v>
      </c>
      <c r="CL994" t="s">
        <v>14014</v>
      </c>
      <c r="CO994" t="s">
        <v>138</v>
      </c>
      <c r="CP994" t="s">
        <v>134</v>
      </c>
      <c r="CQ994" t="s">
        <v>114</v>
      </c>
      <c r="CR994" t="s">
        <v>114</v>
      </c>
      <c r="CS994" t="s">
        <v>114</v>
      </c>
      <c r="CT994" t="s">
        <v>114</v>
      </c>
      <c r="CU994" t="s">
        <v>114</v>
      </c>
      <c r="CV994" t="s">
        <v>14015</v>
      </c>
      <c r="CW994" s="5" t="str">
        <f>"N/A"</f>
        <v>N/A</v>
      </c>
      <c r="CX994" t="s">
        <v>14012</v>
      </c>
      <c r="CY994" t="s">
        <v>14016</v>
      </c>
      <c r="CZ994" t="s">
        <v>139</v>
      </c>
      <c r="DA994" t="s">
        <v>134</v>
      </c>
      <c r="DB994" t="s">
        <v>114</v>
      </c>
      <c r="DC994" t="s">
        <v>114</v>
      </c>
      <c r="DD994" t="s">
        <v>134</v>
      </c>
    </row>
    <row r="995" spans="1:108" ht="15" customHeight="1" x14ac:dyDescent="0.25">
      <c r="A995" t="s">
        <v>6410</v>
      </c>
      <c r="B995" t="s">
        <v>165</v>
      </c>
      <c r="C995" s="1">
        <v>44820.000653356481</v>
      </c>
      <c r="D995" s="1">
        <v>44845</v>
      </c>
      <c r="E995" t="s">
        <v>134</v>
      </c>
      <c r="F995" t="s">
        <v>361</v>
      </c>
      <c r="G995" t="str">
        <f>"39-3091.00"</f>
        <v>39-3091.00</v>
      </c>
      <c r="H995" t="s">
        <v>362</v>
      </c>
      <c r="I995">
        <v>25</v>
      </c>
      <c r="J995">
        <v>25</v>
      </c>
      <c r="K995" s="1">
        <v>44910</v>
      </c>
      <c r="L995" s="1">
        <v>45213</v>
      </c>
      <c r="M995" s="1">
        <v>44910</v>
      </c>
      <c r="N995" s="1">
        <v>45213</v>
      </c>
      <c r="O995" t="s">
        <v>199</v>
      </c>
      <c r="P995" t="s">
        <v>6411</v>
      </c>
      <c r="R995" t="s">
        <v>1359</v>
      </c>
      <c r="T995" t="s">
        <v>1358</v>
      </c>
      <c r="U995" t="s">
        <v>232</v>
      </c>
      <c r="V995" s="4" t="str">
        <f>"78131"</f>
        <v>78131</v>
      </c>
      <c r="W995" t="s">
        <v>120</v>
      </c>
      <c r="Y995" s="5">
        <v>12144030706</v>
      </c>
      <c r="AA995">
        <v>71399</v>
      </c>
      <c r="AB995" t="s">
        <v>6412</v>
      </c>
      <c r="AC995" t="s">
        <v>2936</v>
      </c>
      <c r="AE995" t="s">
        <v>424</v>
      </c>
      <c r="AF995" t="s">
        <v>6413</v>
      </c>
      <c r="AH995" t="s">
        <v>1358</v>
      </c>
      <c r="AI995" t="s">
        <v>232</v>
      </c>
      <c r="AJ995" s="4" t="str">
        <f>"78131"</f>
        <v>78131</v>
      </c>
      <c r="AK995" t="s">
        <v>120</v>
      </c>
      <c r="AM995" s="5">
        <v>12144030706</v>
      </c>
      <c r="AO995" t="s">
        <v>6414</v>
      </c>
      <c r="AP995" t="s">
        <v>256</v>
      </c>
      <c r="AQ995" t="s">
        <v>400</v>
      </c>
      <c r="AR995" t="s">
        <v>401</v>
      </c>
      <c r="AS995" t="s">
        <v>397</v>
      </c>
      <c r="AT995" t="s">
        <v>402</v>
      </c>
      <c r="AU995" t="s">
        <v>152</v>
      </c>
      <c r="AV995" t="s">
        <v>403</v>
      </c>
      <c r="AW995" t="s">
        <v>232</v>
      </c>
      <c r="AX995" s="4" t="str">
        <f>"75033"</f>
        <v>75033</v>
      </c>
      <c r="AY995" t="s">
        <v>120</v>
      </c>
      <c r="BA995" s="5">
        <v>19727789690</v>
      </c>
      <c r="BC995" t="s">
        <v>404</v>
      </c>
      <c r="BD995" t="s">
        <v>405</v>
      </c>
      <c r="BG995" t="s">
        <v>232</v>
      </c>
      <c r="BH995" s="1">
        <v>44819.833333333336</v>
      </c>
      <c r="BI995">
        <v>48</v>
      </c>
      <c r="BJ995">
        <v>8</v>
      </c>
      <c r="BK995">
        <v>0</v>
      </c>
      <c r="BL995">
        <v>8</v>
      </c>
      <c r="BM995">
        <v>8</v>
      </c>
      <c r="BN995">
        <v>8</v>
      </c>
      <c r="BO995">
        <v>8</v>
      </c>
      <c r="BP995">
        <v>8</v>
      </c>
      <c r="BQ995" t="str">
        <f>"10:00 AM"</f>
        <v>10:00 AM</v>
      </c>
      <c r="BR995" t="str">
        <f>"7:00 PM"</f>
        <v>7:00 PM</v>
      </c>
      <c r="BS995" t="s">
        <v>133</v>
      </c>
      <c r="BT995">
        <v>0</v>
      </c>
      <c r="BU995">
        <v>0</v>
      </c>
      <c r="BV995" t="s">
        <v>134</v>
      </c>
      <c r="BX995" s="2" t="s">
        <v>6415</v>
      </c>
      <c r="BY995" t="s">
        <v>1359</v>
      </c>
      <c r="CA995" t="s">
        <v>1358</v>
      </c>
      <c r="CB995" t="s">
        <v>232</v>
      </c>
      <c r="CC995" s="4" t="str">
        <f>"78131"</f>
        <v>78131</v>
      </c>
      <c r="CD995" t="s">
        <v>1341</v>
      </c>
      <c r="CE995" t="s">
        <v>1342</v>
      </c>
      <c r="CF995" s="6">
        <v>10.86</v>
      </c>
      <c r="CG995" s="6">
        <v>15.33</v>
      </c>
      <c r="CH995" s="6">
        <v>20.49</v>
      </c>
      <c r="CI995" s="6">
        <v>30.66</v>
      </c>
      <c r="CJ995" t="s">
        <v>137</v>
      </c>
      <c r="CK995" t="s">
        <v>593</v>
      </c>
      <c r="CL995" t="s">
        <v>6416</v>
      </c>
      <c r="CO995" t="s">
        <v>138</v>
      </c>
      <c r="CP995" t="s">
        <v>114</v>
      </c>
      <c r="CQ995" t="s">
        <v>114</v>
      </c>
      <c r="CR995" t="s">
        <v>114</v>
      </c>
      <c r="CS995" t="s">
        <v>114</v>
      </c>
      <c r="CT995" t="s">
        <v>114</v>
      </c>
      <c r="CU995" t="s">
        <v>114</v>
      </c>
      <c r="CV995" t="s">
        <v>5101</v>
      </c>
      <c r="CW995" s="5" t="str">
        <f>"+12144030706"</f>
        <v>+12144030706</v>
      </c>
      <c r="CX995" t="s">
        <v>138</v>
      </c>
      <c r="CY995" t="s">
        <v>953</v>
      </c>
      <c r="CZ995" t="s">
        <v>139</v>
      </c>
      <c r="DA995" t="s">
        <v>134</v>
      </c>
      <c r="DB995" t="s">
        <v>114</v>
      </c>
      <c r="DC995" t="s">
        <v>114</v>
      </c>
      <c r="DD995" t="s">
        <v>134</v>
      </c>
    </row>
    <row r="996" spans="1:108" ht="15" customHeight="1" x14ac:dyDescent="0.25">
      <c r="A996" t="s">
        <v>5102</v>
      </c>
      <c r="B996" t="s">
        <v>165</v>
      </c>
      <c r="C996" s="1">
        <v>44818.717946180557</v>
      </c>
      <c r="D996" s="1">
        <v>44845</v>
      </c>
      <c r="E996" t="s">
        <v>134</v>
      </c>
      <c r="F996" t="s">
        <v>524</v>
      </c>
      <c r="G996" t="str">
        <f>"49-9098.00"</f>
        <v>49-9098.00</v>
      </c>
      <c r="H996" t="s">
        <v>525</v>
      </c>
      <c r="I996">
        <v>30</v>
      </c>
      <c r="J996">
        <v>30</v>
      </c>
      <c r="K996" s="1">
        <v>44893</v>
      </c>
      <c r="L996" s="1">
        <v>45017</v>
      </c>
      <c r="M996" s="1">
        <v>44893</v>
      </c>
      <c r="N996" s="1">
        <v>45017</v>
      </c>
      <c r="O996" t="s">
        <v>199</v>
      </c>
      <c r="P996" t="s">
        <v>5103</v>
      </c>
      <c r="R996" t="s">
        <v>5104</v>
      </c>
      <c r="T996" t="s">
        <v>5105</v>
      </c>
      <c r="U996" t="s">
        <v>319</v>
      </c>
      <c r="V996" s="4" t="str">
        <f>"55047"</f>
        <v>55047</v>
      </c>
      <c r="W996" t="s">
        <v>120</v>
      </c>
      <c r="Y996" s="5">
        <v>16513386884</v>
      </c>
      <c r="Z996">
        <v>0</v>
      </c>
      <c r="AA996">
        <v>7139</v>
      </c>
      <c r="AB996" t="s">
        <v>5106</v>
      </c>
      <c r="AC996" t="s">
        <v>5107</v>
      </c>
      <c r="AE996" t="s">
        <v>424</v>
      </c>
      <c r="AF996" t="s">
        <v>5104</v>
      </c>
      <c r="AH996" t="s">
        <v>5105</v>
      </c>
      <c r="AI996" t="s">
        <v>319</v>
      </c>
      <c r="AJ996" s="4" t="str">
        <f>"55047"</f>
        <v>55047</v>
      </c>
      <c r="AK996" t="s">
        <v>120</v>
      </c>
      <c r="AM996" s="5">
        <v>16513386884</v>
      </c>
      <c r="AN996">
        <v>0</v>
      </c>
      <c r="AO996" t="s">
        <v>5108</v>
      </c>
      <c r="AP996" t="s">
        <v>256</v>
      </c>
      <c r="AQ996" t="s">
        <v>535</v>
      </c>
      <c r="AR996" t="s">
        <v>536</v>
      </c>
      <c r="AS996" t="s">
        <v>537</v>
      </c>
      <c r="AT996" t="s">
        <v>538</v>
      </c>
      <c r="AU996" t="s">
        <v>539</v>
      </c>
      <c r="AV996" t="s">
        <v>540</v>
      </c>
      <c r="AW996" t="s">
        <v>232</v>
      </c>
      <c r="AX996" s="4" t="str">
        <f>"78550"</f>
        <v>78550</v>
      </c>
      <c r="AY996" t="s">
        <v>120</v>
      </c>
      <c r="AZ996" t="s">
        <v>2835</v>
      </c>
      <c r="BA996" s="5">
        <v>19564408720</v>
      </c>
      <c r="BB996">
        <v>0</v>
      </c>
      <c r="BC996" t="s">
        <v>542</v>
      </c>
      <c r="BD996" t="s">
        <v>543</v>
      </c>
      <c r="BG996" t="s">
        <v>631</v>
      </c>
      <c r="BH996" s="1">
        <v>44817.833333333336</v>
      </c>
      <c r="BI996">
        <v>40</v>
      </c>
      <c r="BJ996">
        <v>0</v>
      </c>
      <c r="BK996">
        <v>8</v>
      </c>
      <c r="BL996">
        <v>8</v>
      </c>
      <c r="BM996">
        <v>8</v>
      </c>
      <c r="BN996">
        <v>8</v>
      </c>
      <c r="BO996">
        <v>8</v>
      </c>
      <c r="BP996">
        <v>0</v>
      </c>
      <c r="BQ996" t="str">
        <f>"8:00 AM"</f>
        <v>8:00 AM</v>
      </c>
      <c r="BR996" t="str">
        <f>"5:00 PM"</f>
        <v>5:00 PM</v>
      </c>
      <c r="BS996" t="s">
        <v>133</v>
      </c>
      <c r="BT996">
        <v>0</v>
      </c>
      <c r="BU996">
        <v>0</v>
      </c>
      <c r="BV996" t="s">
        <v>134</v>
      </c>
      <c r="BX996" t="s">
        <v>5109</v>
      </c>
      <c r="BY996" t="s">
        <v>5110</v>
      </c>
      <c r="CA996" t="s">
        <v>1950</v>
      </c>
      <c r="CB996" t="s">
        <v>631</v>
      </c>
      <c r="CC996" s="4" t="str">
        <f>"74804"</f>
        <v>74804</v>
      </c>
      <c r="CD996" t="s">
        <v>5111</v>
      </c>
      <c r="CE996" t="s">
        <v>892</v>
      </c>
      <c r="CF996" s="6">
        <v>16.55</v>
      </c>
      <c r="CG996" s="6">
        <v>16.55</v>
      </c>
      <c r="CH996" s="6">
        <v>0</v>
      </c>
      <c r="CI996" s="6">
        <v>0</v>
      </c>
      <c r="CJ996" t="s">
        <v>137</v>
      </c>
      <c r="CK996" t="s">
        <v>549</v>
      </c>
      <c r="CL996" t="s">
        <v>5112</v>
      </c>
      <c r="CO996" t="s">
        <v>138</v>
      </c>
      <c r="CP996" t="s">
        <v>134</v>
      </c>
      <c r="CQ996" t="s">
        <v>114</v>
      </c>
      <c r="CR996" t="s">
        <v>134</v>
      </c>
      <c r="CS996" t="s">
        <v>114</v>
      </c>
      <c r="CT996" t="s">
        <v>114</v>
      </c>
      <c r="CU996" t="s">
        <v>114</v>
      </c>
      <c r="CV996" t="s">
        <v>5113</v>
      </c>
      <c r="CW996" s="5" t="str">
        <f>"+16513386884"</f>
        <v>+16513386884</v>
      </c>
      <c r="CX996" t="s">
        <v>5108</v>
      </c>
      <c r="CY996" t="s">
        <v>5114</v>
      </c>
      <c r="CZ996" t="s">
        <v>139</v>
      </c>
      <c r="DA996" t="s">
        <v>134</v>
      </c>
      <c r="DB996" t="s">
        <v>114</v>
      </c>
      <c r="DC996" t="s">
        <v>114</v>
      </c>
      <c r="DD996" t="s">
        <v>134</v>
      </c>
    </row>
    <row r="997" spans="1:108" ht="15" customHeight="1" x14ac:dyDescent="0.25">
      <c r="A997" t="s">
        <v>1088</v>
      </c>
      <c r="B997" t="s">
        <v>165</v>
      </c>
      <c r="C997" s="1">
        <v>44816.704799768515</v>
      </c>
      <c r="D997" s="1">
        <v>44845</v>
      </c>
      <c r="E997" t="s">
        <v>134</v>
      </c>
      <c r="F997" t="s">
        <v>1089</v>
      </c>
      <c r="G997" t="str">
        <f>"39-2021.00"</f>
        <v>39-2021.00</v>
      </c>
      <c r="H997" t="s">
        <v>1090</v>
      </c>
      <c r="I997">
        <v>14</v>
      </c>
      <c r="J997">
        <v>14</v>
      </c>
      <c r="K997" s="1">
        <v>44896</v>
      </c>
      <c r="L997" s="1">
        <v>45199</v>
      </c>
      <c r="M997" s="1">
        <v>44896</v>
      </c>
      <c r="N997" s="1">
        <v>45199</v>
      </c>
      <c r="O997" t="s">
        <v>199</v>
      </c>
      <c r="P997" t="s">
        <v>1091</v>
      </c>
      <c r="R997" t="s">
        <v>1092</v>
      </c>
      <c r="T997" t="s">
        <v>1093</v>
      </c>
      <c r="U997" t="s">
        <v>339</v>
      </c>
      <c r="V997" s="4" t="str">
        <f>"21915"</f>
        <v>21915</v>
      </c>
      <c r="W997" t="s">
        <v>120</v>
      </c>
      <c r="Y997" s="5">
        <v>17276428553</v>
      </c>
      <c r="AA997">
        <v>711212</v>
      </c>
      <c r="AB997" t="s">
        <v>1094</v>
      </c>
      <c r="AC997" t="s">
        <v>1095</v>
      </c>
      <c r="AE997" t="s">
        <v>622</v>
      </c>
      <c r="AF997" t="s">
        <v>1096</v>
      </c>
      <c r="AH997" t="s">
        <v>1097</v>
      </c>
      <c r="AI997" t="s">
        <v>154</v>
      </c>
      <c r="AJ997" s="4" t="str">
        <f>"33556"</f>
        <v>33556</v>
      </c>
      <c r="AK997" t="s">
        <v>120</v>
      </c>
      <c r="AM997" s="5">
        <v>17276428553</v>
      </c>
      <c r="AO997" t="s">
        <v>1098</v>
      </c>
      <c r="AP997" t="s">
        <v>122</v>
      </c>
      <c r="AQ997" t="s">
        <v>625</v>
      </c>
      <c r="AR997" t="s">
        <v>626</v>
      </c>
      <c r="AS997" t="s">
        <v>627</v>
      </c>
      <c r="AT997" t="s">
        <v>628</v>
      </c>
      <c r="AU997" t="s">
        <v>629</v>
      </c>
      <c r="AV997" t="s">
        <v>630</v>
      </c>
      <c r="AW997" t="s">
        <v>631</v>
      </c>
      <c r="AX997" s="4" t="str">
        <f>"73069"</f>
        <v>73069</v>
      </c>
      <c r="AY997" t="s">
        <v>120</v>
      </c>
      <c r="BA997" s="5">
        <v>14053642525</v>
      </c>
      <c r="BC997" t="s">
        <v>632</v>
      </c>
      <c r="BD997" t="s">
        <v>633</v>
      </c>
      <c r="BE997" t="s">
        <v>631</v>
      </c>
      <c r="BF997" t="s">
        <v>634</v>
      </c>
      <c r="BG997" t="s">
        <v>339</v>
      </c>
      <c r="BH997" s="1">
        <v>44815.833333333336</v>
      </c>
      <c r="BI997">
        <v>56</v>
      </c>
      <c r="BJ997">
        <v>8</v>
      </c>
      <c r="BK997">
        <v>8</v>
      </c>
      <c r="BL997">
        <v>8</v>
      </c>
      <c r="BM997">
        <v>8</v>
      </c>
      <c r="BN997">
        <v>8</v>
      </c>
      <c r="BO997">
        <v>8</v>
      </c>
      <c r="BP997">
        <v>8</v>
      </c>
      <c r="BQ997" t="str">
        <f>"5:00 AM"</f>
        <v>5:00 AM</v>
      </c>
      <c r="BR997" t="str">
        <f>"5:00 PM"</f>
        <v>5:00 PM</v>
      </c>
      <c r="BS997" t="s">
        <v>133</v>
      </c>
      <c r="BT997">
        <v>0</v>
      </c>
      <c r="BU997">
        <v>1</v>
      </c>
      <c r="BV997" t="s">
        <v>134</v>
      </c>
      <c r="BX997" s="2" t="s">
        <v>635</v>
      </c>
      <c r="BY997" t="s">
        <v>1099</v>
      </c>
      <c r="BZ997" t="s">
        <v>1100</v>
      </c>
      <c r="CA997" t="s">
        <v>1101</v>
      </c>
      <c r="CB997" t="s">
        <v>339</v>
      </c>
      <c r="CC997" s="4" t="str">
        <f>"20724"</f>
        <v>20724</v>
      </c>
      <c r="CD997" t="s">
        <v>1102</v>
      </c>
      <c r="CE997" t="s">
        <v>355</v>
      </c>
      <c r="CF997" s="6">
        <v>15.41</v>
      </c>
      <c r="CG997" s="6">
        <v>15.41</v>
      </c>
      <c r="CH997" s="6">
        <v>23.12</v>
      </c>
      <c r="CI997" s="6">
        <v>23.12</v>
      </c>
      <c r="CJ997" t="s">
        <v>137</v>
      </c>
      <c r="CL997" t="s">
        <v>1103</v>
      </c>
      <c r="CO997" t="s">
        <v>138</v>
      </c>
      <c r="CP997" t="s">
        <v>134</v>
      </c>
      <c r="CQ997" t="s">
        <v>134</v>
      </c>
      <c r="CR997" t="s">
        <v>114</v>
      </c>
      <c r="CS997" t="s">
        <v>134</v>
      </c>
      <c r="CT997" t="s">
        <v>114</v>
      </c>
      <c r="CU997" t="s">
        <v>114</v>
      </c>
      <c r="CV997" t="s">
        <v>1104</v>
      </c>
      <c r="CW997" s="5" t="str">
        <f>"+17276428553"</f>
        <v>+17276428553</v>
      </c>
      <c r="CX997" t="s">
        <v>1098</v>
      </c>
      <c r="CY997" t="s">
        <v>138</v>
      </c>
      <c r="CZ997" t="s">
        <v>139</v>
      </c>
      <c r="DA997" t="s">
        <v>134</v>
      </c>
      <c r="DB997" t="s">
        <v>134</v>
      </c>
      <c r="DC997" t="s">
        <v>114</v>
      </c>
      <c r="DD997" t="s">
        <v>134</v>
      </c>
    </row>
    <row r="998" spans="1:108" ht="15" customHeight="1" x14ac:dyDescent="0.25">
      <c r="A998" t="s">
        <v>13040</v>
      </c>
      <c r="B998" t="s">
        <v>165</v>
      </c>
      <c r="C998" s="1">
        <v>44812.893706712966</v>
      </c>
      <c r="D998" s="1">
        <v>44845</v>
      </c>
      <c r="E998" t="s">
        <v>114</v>
      </c>
      <c r="F998" t="s">
        <v>614</v>
      </c>
      <c r="G998" t="str">
        <f>"39-2021.00"</f>
        <v>39-2021.00</v>
      </c>
      <c r="H998" t="s">
        <v>615</v>
      </c>
      <c r="I998">
        <v>21</v>
      </c>
      <c r="J998">
        <v>21</v>
      </c>
      <c r="K998" s="1">
        <v>44898</v>
      </c>
      <c r="L998" s="1">
        <v>45018</v>
      </c>
      <c r="M998" s="1">
        <v>44898</v>
      </c>
      <c r="N998" s="1">
        <v>45018</v>
      </c>
      <c r="O998" t="s">
        <v>117</v>
      </c>
      <c r="P998" t="s">
        <v>13041</v>
      </c>
      <c r="R998" t="s">
        <v>13042</v>
      </c>
      <c r="T998" t="s">
        <v>1706</v>
      </c>
      <c r="U998" t="s">
        <v>619</v>
      </c>
      <c r="V998" s="4" t="str">
        <f>"40511"</f>
        <v>40511</v>
      </c>
      <c r="W998" t="s">
        <v>120</v>
      </c>
      <c r="Y998" s="5">
        <v>18592549969</v>
      </c>
      <c r="AA998">
        <v>711212</v>
      </c>
      <c r="AB998" t="s">
        <v>13043</v>
      </c>
      <c r="AC998" t="s">
        <v>13044</v>
      </c>
      <c r="AE998" t="s">
        <v>1710</v>
      </c>
      <c r="AF998" t="s">
        <v>13045</v>
      </c>
      <c r="AH998" t="s">
        <v>1706</v>
      </c>
      <c r="AI998" t="s">
        <v>619</v>
      </c>
      <c r="AJ998" s="4" t="str">
        <f>"40511"</f>
        <v>40511</v>
      </c>
      <c r="AK998" t="s">
        <v>120</v>
      </c>
      <c r="AM998" s="5">
        <v>17577775595</v>
      </c>
      <c r="AO998" t="s">
        <v>13046</v>
      </c>
      <c r="AP998" t="s">
        <v>122</v>
      </c>
      <c r="AQ998" t="s">
        <v>4979</v>
      </c>
      <c r="AR998" t="s">
        <v>2361</v>
      </c>
      <c r="AS998" t="s">
        <v>2211</v>
      </c>
      <c r="AT998" t="s">
        <v>13047</v>
      </c>
      <c r="AU998" t="s">
        <v>1574</v>
      </c>
      <c r="AV998" t="s">
        <v>2748</v>
      </c>
      <c r="AW998" t="s">
        <v>420</v>
      </c>
      <c r="AX998" s="4" t="str">
        <f>"84107"</f>
        <v>84107</v>
      </c>
      <c r="AY998" t="s">
        <v>120</v>
      </c>
      <c r="BA998" s="5">
        <v>18012632314</v>
      </c>
      <c r="BC998" t="s">
        <v>4981</v>
      </c>
      <c r="BD998" t="s">
        <v>4982</v>
      </c>
      <c r="BE998" t="s">
        <v>444</v>
      </c>
      <c r="BF998" t="s">
        <v>322</v>
      </c>
      <c r="BG998" t="s">
        <v>154</v>
      </c>
      <c r="BH998" s="1">
        <v>44814.833333333336</v>
      </c>
      <c r="BI998">
        <v>42</v>
      </c>
      <c r="BJ998">
        <v>0</v>
      </c>
      <c r="BK998">
        <v>7</v>
      </c>
      <c r="BL998">
        <v>7</v>
      </c>
      <c r="BM998">
        <v>7</v>
      </c>
      <c r="BN998">
        <v>7</v>
      </c>
      <c r="BO998">
        <v>7</v>
      </c>
      <c r="BP998">
        <v>7</v>
      </c>
      <c r="BQ998" t="str">
        <f>"5:00 AM"</f>
        <v>5:00 AM</v>
      </c>
      <c r="BR998" t="str">
        <f>"11:00 AM"</f>
        <v>11:00 AM</v>
      </c>
      <c r="BS998" t="s">
        <v>133</v>
      </c>
      <c r="BT998">
        <v>0</v>
      </c>
      <c r="BU998">
        <v>1</v>
      </c>
      <c r="BV998" t="s">
        <v>134</v>
      </c>
      <c r="BX998" t="s">
        <v>13048</v>
      </c>
      <c r="BY998" t="s">
        <v>13049</v>
      </c>
      <c r="BZ998" t="s">
        <v>13050</v>
      </c>
      <c r="CA998" t="s">
        <v>13051</v>
      </c>
      <c r="CB998" t="s">
        <v>154</v>
      </c>
      <c r="CC998" s="4" t="str">
        <f>"33009"</f>
        <v>33009</v>
      </c>
      <c r="CD998" t="s">
        <v>638</v>
      </c>
      <c r="CE998" t="s">
        <v>639</v>
      </c>
      <c r="CF998" s="6">
        <v>12.81</v>
      </c>
      <c r="CG998" s="6">
        <v>12.81</v>
      </c>
      <c r="CH998" s="6">
        <v>19.260000000000002</v>
      </c>
      <c r="CI998" s="6">
        <v>19.260000000000002</v>
      </c>
      <c r="CJ998" t="s">
        <v>137</v>
      </c>
      <c r="CK998" t="s">
        <v>13052</v>
      </c>
      <c r="CL998" t="s">
        <v>13053</v>
      </c>
      <c r="CO998" t="s">
        <v>138</v>
      </c>
      <c r="CP998" t="s">
        <v>134</v>
      </c>
      <c r="CQ998" t="s">
        <v>134</v>
      </c>
      <c r="CR998" t="s">
        <v>114</v>
      </c>
      <c r="CS998" t="s">
        <v>134</v>
      </c>
      <c r="CT998" t="s">
        <v>114</v>
      </c>
      <c r="CU998" t="s">
        <v>114</v>
      </c>
      <c r="CV998" t="s">
        <v>13054</v>
      </c>
      <c r="CW998" s="5" t="str">
        <f>"+18592549969"</f>
        <v>+18592549969</v>
      </c>
      <c r="CX998" t="s">
        <v>13046</v>
      </c>
      <c r="CY998" t="s">
        <v>138</v>
      </c>
      <c r="CZ998" t="s">
        <v>139</v>
      </c>
      <c r="DA998" t="s">
        <v>134</v>
      </c>
      <c r="DB998" t="s">
        <v>134</v>
      </c>
      <c r="DC998" t="s">
        <v>114</v>
      </c>
      <c r="DD998" t="s">
        <v>134</v>
      </c>
    </row>
    <row r="999" spans="1:108" ht="15" customHeight="1" x14ac:dyDescent="0.25">
      <c r="A999" t="s">
        <v>5115</v>
      </c>
      <c r="B999" t="s">
        <v>165</v>
      </c>
      <c r="C999" s="1">
        <v>44812.671949884258</v>
      </c>
      <c r="D999" s="1">
        <v>44845</v>
      </c>
      <c r="E999" t="s">
        <v>134</v>
      </c>
      <c r="F999" t="s">
        <v>5116</v>
      </c>
      <c r="G999" t="str">
        <f>"35-9011.00"</f>
        <v>35-9011.00</v>
      </c>
      <c r="H999" t="s">
        <v>743</v>
      </c>
      <c r="I999">
        <v>10</v>
      </c>
      <c r="J999">
        <v>10</v>
      </c>
      <c r="K999" s="1">
        <v>44897</v>
      </c>
      <c r="L999" s="1">
        <v>45021</v>
      </c>
      <c r="M999" s="1">
        <v>44897</v>
      </c>
      <c r="N999" s="1">
        <v>45021</v>
      </c>
      <c r="O999" t="s">
        <v>117</v>
      </c>
      <c r="P999" t="s">
        <v>5117</v>
      </c>
      <c r="Q999" t="s">
        <v>5118</v>
      </c>
      <c r="R999" t="s">
        <v>5119</v>
      </c>
      <c r="S999" t="s">
        <v>5120</v>
      </c>
      <c r="T999" t="s">
        <v>4534</v>
      </c>
      <c r="U999" t="s">
        <v>181</v>
      </c>
      <c r="V999" s="4" t="str">
        <f>"81620"</f>
        <v>81620</v>
      </c>
      <c r="W999" t="s">
        <v>120</v>
      </c>
      <c r="Y999" s="5">
        <v>19708450555</v>
      </c>
      <c r="AA999">
        <v>722511</v>
      </c>
      <c r="AB999" t="s">
        <v>5121</v>
      </c>
      <c r="AC999" t="s">
        <v>4228</v>
      </c>
      <c r="AE999" t="s">
        <v>252</v>
      </c>
      <c r="AF999" t="s">
        <v>5122</v>
      </c>
      <c r="AG999" t="s">
        <v>5123</v>
      </c>
      <c r="AH999" t="s">
        <v>1606</v>
      </c>
      <c r="AI999" t="s">
        <v>181</v>
      </c>
      <c r="AJ999" s="4" t="str">
        <f>"81657"</f>
        <v>81657</v>
      </c>
      <c r="AK999" t="s">
        <v>120</v>
      </c>
      <c r="AM999" s="5">
        <v>19704770555</v>
      </c>
      <c r="AO999" t="s">
        <v>5124</v>
      </c>
      <c r="AP999" t="s">
        <v>122</v>
      </c>
      <c r="AQ999" t="s">
        <v>1602</v>
      </c>
      <c r="AR999" t="s">
        <v>1603</v>
      </c>
      <c r="AS999" t="s">
        <v>1501</v>
      </c>
      <c r="AT999" t="s">
        <v>5125</v>
      </c>
      <c r="AU999" t="s">
        <v>5126</v>
      </c>
      <c r="AV999" t="s">
        <v>1606</v>
      </c>
      <c r="AW999" t="s">
        <v>181</v>
      </c>
      <c r="AX999" s="4" t="str">
        <f>"81658"</f>
        <v>81658</v>
      </c>
      <c r="AY999" t="s">
        <v>120</v>
      </c>
      <c r="BA999" s="5">
        <v>19703066476</v>
      </c>
      <c r="BC999" t="s">
        <v>1607</v>
      </c>
      <c r="BD999" t="s">
        <v>4040</v>
      </c>
      <c r="BE999" t="s">
        <v>181</v>
      </c>
      <c r="BF999" t="s">
        <v>1609</v>
      </c>
      <c r="BG999" t="s">
        <v>181</v>
      </c>
      <c r="BH999" s="1">
        <v>44806.833333333336</v>
      </c>
      <c r="BI999">
        <v>35</v>
      </c>
      <c r="BJ999">
        <v>7</v>
      </c>
      <c r="BK999">
        <v>7</v>
      </c>
      <c r="BL999">
        <v>7</v>
      </c>
      <c r="BM999">
        <v>7</v>
      </c>
      <c r="BN999">
        <v>7</v>
      </c>
      <c r="BO999">
        <v>0</v>
      </c>
      <c r="BP999">
        <v>0</v>
      </c>
      <c r="BQ999" t="str">
        <f>"8:00 AM"</f>
        <v>8:00 AM</v>
      </c>
      <c r="BR999" t="str">
        <f>"4:00 PM"</f>
        <v>4:00 PM</v>
      </c>
      <c r="BS999" t="s">
        <v>133</v>
      </c>
      <c r="BT999">
        <v>0</v>
      </c>
      <c r="BU999">
        <v>0</v>
      </c>
      <c r="BV999" t="s">
        <v>134</v>
      </c>
      <c r="BX999" t="s">
        <v>5127</v>
      </c>
      <c r="BY999" t="s">
        <v>5128</v>
      </c>
      <c r="CA999" t="s">
        <v>4534</v>
      </c>
      <c r="CB999" t="s">
        <v>181</v>
      </c>
      <c r="CC999" s="4" t="str">
        <f>"81620"</f>
        <v>81620</v>
      </c>
      <c r="CD999" t="s">
        <v>3483</v>
      </c>
      <c r="CE999" t="s">
        <v>1570</v>
      </c>
      <c r="CF999" s="6">
        <v>15.04</v>
      </c>
      <c r="CH999" s="6">
        <v>22.56</v>
      </c>
      <c r="CJ999" t="s">
        <v>137</v>
      </c>
      <c r="CK999" t="s">
        <v>5129</v>
      </c>
      <c r="CL999" t="s">
        <v>5130</v>
      </c>
      <c r="CO999" t="s">
        <v>138</v>
      </c>
      <c r="CP999" t="s">
        <v>134</v>
      </c>
      <c r="CQ999" t="s">
        <v>114</v>
      </c>
      <c r="CR999" t="s">
        <v>114</v>
      </c>
      <c r="CS999" t="s">
        <v>114</v>
      </c>
      <c r="CT999" t="s">
        <v>114</v>
      </c>
      <c r="CU999" t="s">
        <v>134</v>
      </c>
      <c r="CV999" t="s">
        <v>3774</v>
      </c>
      <c r="CW999" s="5" t="str">
        <f>"+19704770555"</f>
        <v>+19704770555</v>
      </c>
      <c r="CX999" t="s">
        <v>5124</v>
      </c>
      <c r="CY999" t="s">
        <v>138</v>
      </c>
      <c r="CZ999" t="s">
        <v>139</v>
      </c>
      <c r="DA999" t="s">
        <v>134</v>
      </c>
      <c r="DB999" t="s">
        <v>134</v>
      </c>
      <c r="DC999" t="s">
        <v>114</v>
      </c>
      <c r="DD999" t="s">
        <v>134</v>
      </c>
    </row>
    <row r="1000" spans="1:108" ht="15" customHeight="1" x14ac:dyDescent="0.25">
      <c r="A1000" t="s">
        <v>9531</v>
      </c>
      <c r="B1000" t="s">
        <v>165</v>
      </c>
      <c r="C1000" s="1">
        <v>44812.591074421296</v>
      </c>
      <c r="D1000" s="1">
        <v>44845</v>
      </c>
      <c r="E1000" t="s">
        <v>134</v>
      </c>
      <c r="F1000" t="s">
        <v>468</v>
      </c>
      <c r="G1000" t="str">
        <f>"37-3013.00"</f>
        <v>37-3013.00</v>
      </c>
      <c r="H1000" t="s">
        <v>468</v>
      </c>
      <c r="I1000">
        <v>13</v>
      </c>
      <c r="J1000">
        <v>13</v>
      </c>
      <c r="K1000" s="1">
        <v>44887</v>
      </c>
      <c r="L1000" s="1">
        <v>44972</v>
      </c>
      <c r="M1000" s="1">
        <v>44887</v>
      </c>
      <c r="N1000" s="1">
        <v>44972</v>
      </c>
      <c r="O1000" t="s">
        <v>117</v>
      </c>
      <c r="P1000" t="s">
        <v>9532</v>
      </c>
      <c r="R1000" t="s">
        <v>9533</v>
      </c>
      <c r="S1000" t="s">
        <v>9534</v>
      </c>
      <c r="T1000" t="s">
        <v>9535</v>
      </c>
      <c r="U1000" t="s">
        <v>154</v>
      </c>
      <c r="V1000" s="4" t="str">
        <f>"33605"</f>
        <v>33605</v>
      </c>
      <c r="W1000" t="s">
        <v>120</v>
      </c>
      <c r="X1000" t="s">
        <v>138</v>
      </c>
      <c r="Y1000" s="5">
        <v>18135306637</v>
      </c>
      <c r="Z1000">
        <v>0</v>
      </c>
      <c r="AA1000">
        <v>5617</v>
      </c>
      <c r="AB1000" t="s">
        <v>9536</v>
      </c>
      <c r="AC1000" t="s">
        <v>9537</v>
      </c>
      <c r="AE1000" t="s">
        <v>2138</v>
      </c>
      <c r="AF1000" t="s">
        <v>9533</v>
      </c>
      <c r="AG1000" t="s">
        <v>9534</v>
      </c>
      <c r="AH1000" t="s">
        <v>974</v>
      </c>
      <c r="AI1000" t="s">
        <v>154</v>
      </c>
      <c r="AJ1000" s="4" t="str">
        <f>"33605"</f>
        <v>33605</v>
      </c>
      <c r="AK1000" t="s">
        <v>120</v>
      </c>
      <c r="AM1000" s="5">
        <v>18132554370</v>
      </c>
      <c r="AN1000">
        <v>0</v>
      </c>
      <c r="AO1000" t="s">
        <v>9538</v>
      </c>
      <c r="AP1000" t="s">
        <v>256</v>
      </c>
      <c r="AQ1000" t="s">
        <v>535</v>
      </c>
      <c r="AR1000" t="s">
        <v>536</v>
      </c>
      <c r="AS1000" t="s">
        <v>537</v>
      </c>
      <c r="AT1000" t="s">
        <v>538</v>
      </c>
      <c r="AU1000" t="s">
        <v>539</v>
      </c>
      <c r="AV1000" t="s">
        <v>540</v>
      </c>
      <c r="AW1000" t="s">
        <v>232</v>
      </c>
      <c r="AX1000" s="4" t="str">
        <f>"78550"</f>
        <v>78550</v>
      </c>
      <c r="AY1000" t="s">
        <v>120</v>
      </c>
      <c r="AZ1000" t="s">
        <v>1215</v>
      </c>
      <c r="BA1000" s="5">
        <v>19564408720</v>
      </c>
      <c r="BB1000">
        <v>0</v>
      </c>
      <c r="BC1000" t="s">
        <v>542</v>
      </c>
      <c r="BD1000" t="s">
        <v>543</v>
      </c>
      <c r="BG1000" t="s">
        <v>154</v>
      </c>
      <c r="BH1000" s="1">
        <v>44811.833333333336</v>
      </c>
      <c r="BI1000">
        <v>40</v>
      </c>
      <c r="BJ1000">
        <v>0</v>
      </c>
      <c r="BK1000">
        <v>8</v>
      </c>
      <c r="BL1000">
        <v>8</v>
      </c>
      <c r="BM1000">
        <v>8</v>
      </c>
      <c r="BN1000">
        <v>8</v>
      </c>
      <c r="BO1000">
        <v>8</v>
      </c>
      <c r="BP1000">
        <v>0</v>
      </c>
      <c r="BQ1000" t="str">
        <f>"7:00 AM"</f>
        <v>7:00 AM</v>
      </c>
      <c r="BR1000" t="str">
        <f>"4:00 PM"</f>
        <v>4:00 PM</v>
      </c>
      <c r="BS1000" t="s">
        <v>133</v>
      </c>
      <c r="BT1000">
        <v>0</v>
      </c>
      <c r="BU1000">
        <v>0</v>
      </c>
      <c r="BV1000" t="s">
        <v>134</v>
      </c>
      <c r="BX1000" t="s">
        <v>9539</v>
      </c>
      <c r="BY1000" t="s">
        <v>9540</v>
      </c>
      <c r="CA1000" t="s">
        <v>974</v>
      </c>
      <c r="CB1000" t="s">
        <v>154</v>
      </c>
      <c r="CC1000" s="4" t="str">
        <f>"33605"</f>
        <v>33605</v>
      </c>
      <c r="CD1000" t="s">
        <v>566</v>
      </c>
      <c r="CE1000" t="s">
        <v>567</v>
      </c>
      <c r="CF1000" s="6">
        <v>20.350000000000001</v>
      </c>
      <c r="CG1000" s="6">
        <v>20.350000000000001</v>
      </c>
      <c r="CH1000" s="6">
        <v>30.52</v>
      </c>
      <c r="CI1000" s="6">
        <v>30.52</v>
      </c>
      <c r="CJ1000" t="s">
        <v>137</v>
      </c>
      <c r="CL1000" t="s">
        <v>9541</v>
      </c>
      <c r="CO1000" t="s">
        <v>138</v>
      </c>
      <c r="CP1000" t="s">
        <v>114</v>
      </c>
      <c r="CQ1000" t="s">
        <v>114</v>
      </c>
      <c r="CR1000" t="s">
        <v>114</v>
      </c>
      <c r="CS1000" t="s">
        <v>114</v>
      </c>
      <c r="CT1000" t="s">
        <v>114</v>
      </c>
      <c r="CU1000" t="s">
        <v>114</v>
      </c>
      <c r="CV1000" s="2" t="s">
        <v>9542</v>
      </c>
      <c r="CW1000" s="5" t="str">
        <f>"+18135306637"</f>
        <v>+18135306637</v>
      </c>
      <c r="CX1000" t="s">
        <v>9538</v>
      </c>
      <c r="CY1000" t="s">
        <v>1574</v>
      </c>
      <c r="CZ1000" t="s">
        <v>139</v>
      </c>
      <c r="DA1000" t="s">
        <v>134</v>
      </c>
      <c r="DB1000" t="s">
        <v>114</v>
      </c>
      <c r="DC1000" t="s">
        <v>114</v>
      </c>
      <c r="DD1000" t="s">
        <v>134</v>
      </c>
    </row>
    <row r="1001" spans="1:108" ht="15" customHeight="1" x14ac:dyDescent="0.25">
      <c r="A1001" t="s">
        <v>7574</v>
      </c>
      <c r="B1001" t="s">
        <v>165</v>
      </c>
      <c r="C1001" s="1">
        <v>44812.577069675928</v>
      </c>
      <c r="D1001" s="1">
        <v>44845</v>
      </c>
      <c r="E1001" t="s">
        <v>114</v>
      </c>
      <c r="F1001" t="s">
        <v>5441</v>
      </c>
      <c r="G1001" t="str">
        <f>"39-3091.00"</f>
        <v>39-3091.00</v>
      </c>
      <c r="H1001" t="s">
        <v>362</v>
      </c>
      <c r="I1001">
        <v>27</v>
      </c>
      <c r="J1001">
        <v>27</v>
      </c>
      <c r="K1001" s="1">
        <v>44896</v>
      </c>
      <c r="L1001" s="1">
        <v>45031</v>
      </c>
      <c r="M1001" s="1">
        <v>44896</v>
      </c>
      <c r="N1001" s="1">
        <v>45031</v>
      </c>
      <c r="O1001" t="s">
        <v>199</v>
      </c>
      <c r="P1001" t="s">
        <v>5442</v>
      </c>
      <c r="Q1001" t="s">
        <v>5443</v>
      </c>
      <c r="R1001" t="s">
        <v>5444</v>
      </c>
      <c r="T1001" t="s">
        <v>5445</v>
      </c>
      <c r="U1001" t="s">
        <v>1846</v>
      </c>
      <c r="V1001" s="4" t="str">
        <f>"05751"</f>
        <v>05751</v>
      </c>
      <c r="W1001" t="s">
        <v>120</v>
      </c>
      <c r="Y1001" s="5">
        <v>18024226100</v>
      </c>
      <c r="AA1001">
        <v>721110</v>
      </c>
      <c r="AB1001" t="s">
        <v>4394</v>
      </c>
      <c r="AC1001" t="s">
        <v>2130</v>
      </c>
      <c r="AE1001" t="s">
        <v>5446</v>
      </c>
      <c r="AF1001" t="s">
        <v>5444</v>
      </c>
      <c r="AH1001" t="s">
        <v>5445</v>
      </c>
      <c r="AI1001" t="s">
        <v>1846</v>
      </c>
      <c r="AJ1001" s="4" t="str">
        <f>"05751"</f>
        <v>05751</v>
      </c>
      <c r="AK1001" t="s">
        <v>120</v>
      </c>
      <c r="AM1001" s="5">
        <v>18024226100</v>
      </c>
      <c r="AO1001" t="s">
        <v>7575</v>
      </c>
      <c r="AP1001" t="s">
        <v>122</v>
      </c>
      <c r="AQ1001" t="s">
        <v>753</v>
      </c>
      <c r="AR1001" t="s">
        <v>754</v>
      </c>
      <c r="AS1001" t="s">
        <v>755</v>
      </c>
      <c r="AT1001" t="s">
        <v>756</v>
      </c>
      <c r="AU1001" t="s">
        <v>757</v>
      </c>
      <c r="AV1001" t="s">
        <v>758</v>
      </c>
      <c r="AW1001" t="s">
        <v>281</v>
      </c>
      <c r="AX1001" s="4" t="str">
        <f>"01701"</f>
        <v>01701</v>
      </c>
      <c r="AY1001" t="s">
        <v>120</v>
      </c>
      <c r="BA1001" s="5">
        <v>16179399444</v>
      </c>
      <c r="BC1001" t="s">
        <v>759</v>
      </c>
      <c r="BD1001" t="s">
        <v>760</v>
      </c>
      <c r="BE1001" t="s">
        <v>281</v>
      </c>
      <c r="BF1001" t="s">
        <v>761</v>
      </c>
      <c r="BG1001" t="s">
        <v>1846</v>
      </c>
      <c r="BH1001" s="1">
        <v>44811.833333333336</v>
      </c>
      <c r="BI1001">
        <v>35</v>
      </c>
      <c r="BJ1001">
        <v>0</v>
      </c>
      <c r="BK1001">
        <v>7</v>
      </c>
      <c r="BL1001">
        <v>7</v>
      </c>
      <c r="BM1001">
        <v>7</v>
      </c>
      <c r="BN1001">
        <v>7</v>
      </c>
      <c r="BO1001">
        <v>7</v>
      </c>
      <c r="BP1001">
        <v>0</v>
      </c>
      <c r="BQ1001" t="str">
        <f>"6:00 AM"</f>
        <v>6:00 AM</v>
      </c>
      <c r="BR1001" t="str">
        <f>"1:00 PM"</f>
        <v>1:00 PM</v>
      </c>
      <c r="BS1001" t="s">
        <v>133</v>
      </c>
      <c r="BT1001">
        <v>0</v>
      </c>
      <c r="BU1001">
        <v>3</v>
      </c>
      <c r="BV1001" t="s">
        <v>134</v>
      </c>
      <c r="BX1001" s="2" t="s">
        <v>5448</v>
      </c>
      <c r="BY1001" t="s">
        <v>7576</v>
      </c>
      <c r="CA1001" t="s">
        <v>5445</v>
      </c>
      <c r="CB1001" t="s">
        <v>1846</v>
      </c>
      <c r="CC1001" s="4" t="str">
        <f>"05751"</f>
        <v>05751</v>
      </c>
      <c r="CD1001" t="s">
        <v>5449</v>
      </c>
      <c r="CE1001" t="s">
        <v>2849</v>
      </c>
      <c r="CF1001" s="6">
        <v>17</v>
      </c>
      <c r="CG1001" s="6">
        <v>32</v>
      </c>
      <c r="CH1001" s="6">
        <v>25.5</v>
      </c>
      <c r="CI1001" s="6">
        <v>48</v>
      </c>
      <c r="CJ1001" t="s">
        <v>137</v>
      </c>
      <c r="CK1001" t="s">
        <v>7577</v>
      </c>
      <c r="CL1001" t="s">
        <v>7578</v>
      </c>
      <c r="CO1001" t="s">
        <v>138</v>
      </c>
      <c r="CP1001" t="s">
        <v>114</v>
      </c>
      <c r="CQ1001" t="s">
        <v>134</v>
      </c>
      <c r="CR1001" t="s">
        <v>114</v>
      </c>
      <c r="CS1001" t="s">
        <v>114</v>
      </c>
      <c r="CT1001" t="s">
        <v>114</v>
      </c>
      <c r="CU1001" t="s">
        <v>114</v>
      </c>
      <c r="CV1001" t="s">
        <v>7579</v>
      </c>
      <c r="CW1001" s="5" t="str">
        <f>"+18024226100"</f>
        <v>+18024226100</v>
      </c>
      <c r="CX1001" t="s">
        <v>5447</v>
      </c>
      <c r="CY1001" t="s">
        <v>138</v>
      </c>
      <c r="CZ1001" t="s">
        <v>139</v>
      </c>
      <c r="DA1001" t="s">
        <v>134</v>
      </c>
      <c r="DB1001" t="s">
        <v>114</v>
      </c>
      <c r="DC1001" t="s">
        <v>114</v>
      </c>
      <c r="DD1001" t="s">
        <v>134</v>
      </c>
    </row>
    <row r="1002" spans="1:108" ht="15" customHeight="1" x14ac:dyDescent="0.25">
      <c r="A1002" t="s">
        <v>3249</v>
      </c>
      <c r="B1002" t="s">
        <v>165</v>
      </c>
      <c r="C1002" s="1">
        <v>44810.676092824076</v>
      </c>
      <c r="D1002" s="1">
        <v>44845</v>
      </c>
      <c r="E1002" t="s">
        <v>134</v>
      </c>
      <c r="F1002" t="s">
        <v>3250</v>
      </c>
      <c r="G1002" t="str">
        <f>"47-3011.00"</f>
        <v>47-3011.00</v>
      </c>
      <c r="H1002" t="s">
        <v>2166</v>
      </c>
      <c r="I1002">
        <v>10</v>
      </c>
      <c r="J1002">
        <v>10</v>
      </c>
      <c r="K1002" s="1">
        <v>44896</v>
      </c>
      <c r="L1002" s="1">
        <v>45169</v>
      </c>
      <c r="M1002" s="1">
        <v>44896</v>
      </c>
      <c r="N1002" s="1">
        <v>45169</v>
      </c>
      <c r="O1002" t="s">
        <v>117</v>
      </c>
      <c r="P1002" t="s">
        <v>3251</v>
      </c>
      <c r="Q1002" t="s">
        <v>3252</v>
      </c>
      <c r="R1002" t="s">
        <v>3253</v>
      </c>
      <c r="S1002" t="s">
        <v>3254</v>
      </c>
      <c r="T1002" t="s">
        <v>3255</v>
      </c>
      <c r="U1002" t="s">
        <v>181</v>
      </c>
      <c r="V1002" s="4" t="str">
        <f>"81655"</f>
        <v>81655</v>
      </c>
      <c r="W1002" t="s">
        <v>120</v>
      </c>
      <c r="Y1002" s="5">
        <v>19709263737</v>
      </c>
      <c r="AA1002">
        <v>238140</v>
      </c>
      <c r="AB1002" t="s">
        <v>3256</v>
      </c>
      <c r="AC1002" t="s">
        <v>3257</v>
      </c>
      <c r="AE1002" t="s">
        <v>845</v>
      </c>
      <c r="AF1002" t="s">
        <v>3253</v>
      </c>
      <c r="AG1002" t="s">
        <v>3254</v>
      </c>
      <c r="AH1002" t="s">
        <v>3255</v>
      </c>
      <c r="AI1002" t="s">
        <v>181</v>
      </c>
      <c r="AJ1002" s="4" t="str">
        <f>"81655"</f>
        <v>81655</v>
      </c>
      <c r="AK1002" t="s">
        <v>120</v>
      </c>
      <c r="AM1002" s="5">
        <v>19709263737</v>
      </c>
      <c r="AO1002" t="s">
        <v>3258</v>
      </c>
      <c r="AP1002" t="s">
        <v>122</v>
      </c>
      <c r="AQ1002" t="s">
        <v>1602</v>
      </c>
      <c r="AR1002" t="s">
        <v>1603</v>
      </c>
      <c r="AS1002" t="s">
        <v>1501</v>
      </c>
      <c r="AT1002" t="s">
        <v>3259</v>
      </c>
      <c r="AU1002" t="s">
        <v>3260</v>
      </c>
      <c r="AV1002" t="s">
        <v>1606</v>
      </c>
      <c r="AW1002" t="s">
        <v>181</v>
      </c>
      <c r="AX1002" s="4" t="str">
        <f>"81657"</f>
        <v>81657</v>
      </c>
      <c r="AY1002" t="s">
        <v>120</v>
      </c>
      <c r="BA1002" s="5">
        <v>19703066476</v>
      </c>
      <c r="BC1002" t="s">
        <v>1607</v>
      </c>
      <c r="BD1002" t="s">
        <v>3261</v>
      </c>
      <c r="BE1002" t="s">
        <v>181</v>
      </c>
      <c r="BF1002" t="s">
        <v>322</v>
      </c>
      <c r="BG1002" t="s">
        <v>181</v>
      </c>
      <c r="BH1002" s="1">
        <v>44805.833333333336</v>
      </c>
      <c r="BI1002">
        <v>37.5</v>
      </c>
      <c r="BJ1002">
        <v>0</v>
      </c>
      <c r="BK1002">
        <v>7.5</v>
      </c>
      <c r="BL1002">
        <v>7.5</v>
      </c>
      <c r="BM1002">
        <v>7.5</v>
      </c>
      <c r="BN1002">
        <v>7.5</v>
      </c>
      <c r="BO1002">
        <v>7.5</v>
      </c>
      <c r="BP1002">
        <v>0</v>
      </c>
      <c r="BQ1002" t="str">
        <f>"7:00 AM"</f>
        <v>7:00 AM</v>
      </c>
      <c r="BR1002" t="str">
        <f>"2:30 PM"</f>
        <v>2:30 PM</v>
      </c>
      <c r="BS1002" t="s">
        <v>133</v>
      </c>
      <c r="BT1002">
        <v>0</v>
      </c>
      <c r="BU1002">
        <v>3</v>
      </c>
      <c r="BV1002" t="s">
        <v>134</v>
      </c>
      <c r="BX1002" s="2" t="s">
        <v>3262</v>
      </c>
      <c r="BY1002" t="s">
        <v>3263</v>
      </c>
      <c r="CA1002" t="s">
        <v>664</v>
      </c>
      <c r="CB1002" t="s">
        <v>661</v>
      </c>
      <c r="CC1002" s="4" t="str">
        <f>"59730"</f>
        <v>59730</v>
      </c>
      <c r="CD1002" t="s">
        <v>665</v>
      </c>
      <c r="CE1002" t="s">
        <v>666</v>
      </c>
      <c r="CF1002" s="6">
        <v>18.95</v>
      </c>
      <c r="CH1002" s="6">
        <v>28.42</v>
      </c>
      <c r="CJ1002" t="s">
        <v>137</v>
      </c>
      <c r="CK1002" t="s">
        <v>3264</v>
      </c>
      <c r="CL1002" t="s">
        <v>3265</v>
      </c>
      <c r="CO1002" t="s">
        <v>138</v>
      </c>
      <c r="CP1002" t="s">
        <v>114</v>
      </c>
      <c r="CQ1002" t="s">
        <v>134</v>
      </c>
      <c r="CR1002" t="s">
        <v>114</v>
      </c>
      <c r="CS1002" t="s">
        <v>114</v>
      </c>
      <c r="CT1002" t="s">
        <v>114</v>
      </c>
      <c r="CU1002" t="s">
        <v>114</v>
      </c>
      <c r="CV1002" t="s">
        <v>3266</v>
      </c>
      <c r="CW1002" s="5" t="str">
        <f>"+19709263737"</f>
        <v>+19709263737</v>
      </c>
      <c r="CX1002" t="s">
        <v>3258</v>
      </c>
      <c r="CY1002" t="s">
        <v>138</v>
      </c>
      <c r="CZ1002" t="s">
        <v>139</v>
      </c>
      <c r="DA1002" t="s">
        <v>134</v>
      </c>
      <c r="DB1002" t="s">
        <v>134</v>
      </c>
      <c r="DC1002" t="s">
        <v>114</v>
      </c>
      <c r="DD1002" t="s">
        <v>134</v>
      </c>
    </row>
    <row r="1003" spans="1:108" ht="15" customHeight="1" x14ac:dyDescent="0.25">
      <c r="A1003" t="s">
        <v>12079</v>
      </c>
      <c r="B1003" t="s">
        <v>165</v>
      </c>
      <c r="C1003" s="1">
        <v>44806.60818761574</v>
      </c>
      <c r="D1003" s="1">
        <v>44845</v>
      </c>
      <c r="E1003" t="s">
        <v>114</v>
      </c>
      <c r="F1003" t="s">
        <v>2393</v>
      </c>
      <c r="G1003" t="str">
        <f>"35-2014.00"</f>
        <v>35-2014.00</v>
      </c>
      <c r="H1003" t="s">
        <v>915</v>
      </c>
      <c r="I1003">
        <v>2</v>
      </c>
      <c r="J1003">
        <v>2</v>
      </c>
      <c r="K1003" s="1">
        <v>44896</v>
      </c>
      <c r="L1003" s="1">
        <v>45016</v>
      </c>
      <c r="M1003" s="1">
        <v>44896</v>
      </c>
      <c r="N1003" s="1">
        <v>45016</v>
      </c>
      <c r="O1003" t="s">
        <v>117</v>
      </c>
      <c r="P1003" t="s">
        <v>12080</v>
      </c>
      <c r="Q1003" t="s">
        <v>12081</v>
      </c>
      <c r="R1003" t="s">
        <v>12082</v>
      </c>
      <c r="T1003" t="s">
        <v>3567</v>
      </c>
      <c r="U1003" t="s">
        <v>1846</v>
      </c>
      <c r="V1003" s="4" t="str">
        <f>"05674"</f>
        <v>05674</v>
      </c>
      <c r="W1003" t="s">
        <v>120</v>
      </c>
      <c r="Y1003" s="5">
        <v>18024963864</v>
      </c>
      <c r="AA1003">
        <v>721110</v>
      </c>
      <c r="AB1003" t="s">
        <v>12083</v>
      </c>
      <c r="AC1003" t="s">
        <v>532</v>
      </c>
      <c r="AE1003" t="s">
        <v>424</v>
      </c>
      <c r="AF1003" t="s">
        <v>12084</v>
      </c>
      <c r="AG1003" t="s">
        <v>12085</v>
      </c>
      <c r="AH1003" t="s">
        <v>12086</v>
      </c>
      <c r="AI1003" t="s">
        <v>154</v>
      </c>
      <c r="AJ1003" s="4" t="str">
        <f>"32963"</f>
        <v>32963</v>
      </c>
      <c r="AK1003" t="s">
        <v>120</v>
      </c>
      <c r="AM1003" s="5">
        <v>18024963864</v>
      </c>
      <c r="AO1003" t="s">
        <v>12087</v>
      </c>
      <c r="AP1003" t="s">
        <v>122</v>
      </c>
      <c r="AQ1003" t="s">
        <v>753</v>
      </c>
      <c r="AR1003" t="s">
        <v>754</v>
      </c>
      <c r="AS1003" t="s">
        <v>755</v>
      </c>
      <c r="AT1003" t="s">
        <v>756</v>
      </c>
      <c r="AU1003" t="s">
        <v>757</v>
      </c>
      <c r="AV1003" t="s">
        <v>758</v>
      </c>
      <c r="AW1003" t="s">
        <v>281</v>
      </c>
      <c r="AX1003" s="4" t="str">
        <f>"01701"</f>
        <v>01701</v>
      </c>
      <c r="AY1003" t="s">
        <v>120</v>
      </c>
      <c r="BA1003" s="5">
        <v>16179399444</v>
      </c>
      <c r="BC1003" t="s">
        <v>759</v>
      </c>
      <c r="BD1003" t="s">
        <v>760</v>
      </c>
      <c r="BE1003" t="s">
        <v>281</v>
      </c>
      <c r="BF1003" t="s">
        <v>761</v>
      </c>
      <c r="BG1003" t="s">
        <v>1846</v>
      </c>
      <c r="BH1003" s="1">
        <v>44805.833333333336</v>
      </c>
      <c r="BI1003">
        <v>40</v>
      </c>
      <c r="BJ1003">
        <v>0</v>
      </c>
      <c r="BK1003">
        <v>8</v>
      </c>
      <c r="BL1003">
        <v>8</v>
      </c>
      <c r="BM1003">
        <v>8</v>
      </c>
      <c r="BN1003">
        <v>8</v>
      </c>
      <c r="BO1003">
        <v>8</v>
      </c>
      <c r="BP1003">
        <v>0</v>
      </c>
      <c r="BQ1003" t="str">
        <f>"6:00 AM"</f>
        <v>6:00 AM</v>
      </c>
      <c r="BR1003" t="str">
        <f>"2:00 PM"</f>
        <v>2:00 PM</v>
      </c>
      <c r="BS1003" t="s">
        <v>133</v>
      </c>
      <c r="BT1003">
        <v>0</v>
      </c>
      <c r="BU1003">
        <v>6</v>
      </c>
      <c r="BV1003" t="s">
        <v>134</v>
      </c>
      <c r="BX1003" s="2" t="s">
        <v>12088</v>
      </c>
      <c r="BY1003" t="s">
        <v>12082</v>
      </c>
      <c r="CA1003" t="s">
        <v>3567</v>
      </c>
      <c r="CB1003" t="s">
        <v>1846</v>
      </c>
      <c r="CC1003" s="4" t="str">
        <f>"05674"</f>
        <v>05674</v>
      </c>
      <c r="CD1003" t="s">
        <v>1535</v>
      </c>
      <c r="CE1003" t="s">
        <v>3569</v>
      </c>
      <c r="CF1003" s="6">
        <v>19</v>
      </c>
      <c r="CG1003" s="6">
        <v>25</v>
      </c>
      <c r="CH1003" s="6">
        <v>28.5</v>
      </c>
      <c r="CI1003" s="6">
        <v>37.5</v>
      </c>
      <c r="CJ1003" t="s">
        <v>137</v>
      </c>
      <c r="CK1003" t="s">
        <v>12089</v>
      </c>
      <c r="CL1003" t="s">
        <v>12090</v>
      </c>
      <c r="CO1003" t="s">
        <v>138</v>
      </c>
      <c r="CP1003" t="s">
        <v>114</v>
      </c>
      <c r="CQ1003" t="s">
        <v>134</v>
      </c>
      <c r="CR1003" t="s">
        <v>114</v>
      </c>
      <c r="CS1003" t="s">
        <v>134</v>
      </c>
      <c r="CT1003" t="s">
        <v>114</v>
      </c>
      <c r="CU1003" t="s">
        <v>114</v>
      </c>
      <c r="CV1003" t="s">
        <v>12091</v>
      </c>
      <c r="CW1003" s="5" t="str">
        <f>"+18024966350"</f>
        <v>+18024966350</v>
      </c>
      <c r="CX1003" t="s">
        <v>12092</v>
      </c>
      <c r="CY1003" t="s">
        <v>138</v>
      </c>
      <c r="CZ1003" t="s">
        <v>139</v>
      </c>
      <c r="DA1003" t="s">
        <v>134</v>
      </c>
      <c r="DB1003" t="s">
        <v>134</v>
      </c>
      <c r="DC1003" t="s">
        <v>114</v>
      </c>
      <c r="DD1003" t="s">
        <v>134</v>
      </c>
    </row>
    <row r="1004" spans="1:108" ht="15" customHeight="1" x14ac:dyDescent="0.25">
      <c r="A1004" t="s">
        <v>15800</v>
      </c>
      <c r="B1004" t="s">
        <v>165</v>
      </c>
      <c r="C1004" s="1">
        <v>44806.00202453704</v>
      </c>
      <c r="D1004" s="1">
        <v>44845</v>
      </c>
      <c r="E1004" t="s">
        <v>134</v>
      </c>
      <c r="F1004" t="s">
        <v>1106</v>
      </c>
      <c r="G1004" t="str">
        <f>"45-4011.00"</f>
        <v>45-4011.00</v>
      </c>
      <c r="H1004" t="s">
        <v>1107</v>
      </c>
      <c r="I1004">
        <v>12</v>
      </c>
      <c r="J1004">
        <v>12</v>
      </c>
      <c r="K1004" s="1">
        <v>44896</v>
      </c>
      <c r="L1004" s="1">
        <v>45199</v>
      </c>
      <c r="M1004" s="1">
        <v>44896</v>
      </c>
      <c r="N1004" s="1">
        <v>45199</v>
      </c>
      <c r="O1004" t="s">
        <v>117</v>
      </c>
      <c r="P1004" t="s">
        <v>15801</v>
      </c>
      <c r="R1004" t="s">
        <v>15802</v>
      </c>
      <c r="T1004" t="s">
        <v>291</v>
      </c>
      <c r="U1004" t="s">
        <v>511</v>
      </c>
      <c r="V1004" s="4" t="str">
        <f>"97477"</f>
        <v>97477</v>
      </c>
      <c r="W1004" t="s">
        <v>120</v>
      </c>
      <c r="Y1004" s="5">
        <v>15417260845</v>
      </c>
      <c r="AA1004">
        <v>11531</v>
      </c>
      <c r="AB1004" t="s">
        <v>5805</v>
      </c>
      <c r="AC1004" t="s">
        <v>1566</v>
      </c>
      <c r="AE1004" t="s">
        <v>342</v>
      </c>
      <c r="AF1004" t="s">
        <v>15802</v>
      </c>
      <c r="AH1004" t="s">
        <v>291</v>
      </c>
      <c r="AI1004" t="s">
        <v>511</v>
      </c>
      <c r="AJ1004" s="4" t="str">
        <f>"97477"</f>
        <v>97477</v>
      </c>
      <c r="AK1004" t="s">
        <v>120</v>
      </c>
      <c r="AM1004" s="5">
        <v>15417260845</v>
      </c>
      <c r="AO1004" t="s">
        <v>15803</v>
      </c>
      <c r="AP1004" t="s">
        <v>256</v>
      </c>
      <c r="AQ1004" t="s">
        <v>2121</v>
      </c>
      <c r="AR1004" t="s">
        <v>2122</v>
      </c>
      <c r="AS1004" t="s">
        <v>138</v>
      </c>
      <c r="AT1004" t="s">
        <v>1422</v>
      </c>
      <c r="AU1004" t="s">
        <v>347</v>
      </c>
      <c r="AV1004" t="s">
        <v>828</v>
      </c>
      <c r="AW1004" t="s">
        <v>349</v>
      </c>
      <c r="AX1004" s="4" t="str">
        <f>"83814"</f>
        <v>83814</v>
      </c>
      <c r="AY1004" t="s">
        <v>120</v>
      </c>
      <c r="BA1004" s="5">
        <v>12087772654</v>
      </c>
      <c r="BC1004" t="s">
        <v>2123</v>
      </c>
      <c r="BD1004" t="s">
        <v>351</v>
      </c>
      <c r="BG1004" t="s">
        <v>511</v>
      </c>
      <c r="BH1004" s="1">
        <v>44776.833333333336</v>
      </c>
      <c r="BI1004">
        <v>40</v>
      </c>
      <c r="BJ1004">
        <v>0</v>
      </c>
      <c r="BK1004">
        <v>8</v>
      </c>
      <c r="BL1004">
        <v>8</v>
      </c>
      <c r="BM1004">
        <v>8</v>
      </c>
      <c r="BN1004">
        <v>8</v>
      </c>
      <c r="BO1004">
        <v>8</v>
      </c>
      <c r="BP1004">
        <v>0</v>
      </c>
      <c r="BQ1004" t="str">
        <f>"6:00 AM"</f>
        <v>6:00 AM</v>
      </c>
      <c r="BR1004" t="str">
        <f>"2:00 PM"</f>
        <v>2:00 PM</v>
      </c>
      <c r="BS1004" t="s">
        <v>133</v>
      </c>
      <c r="BT1004">
        <v>0</v>
      </c>
      <c r="BU1004">
        <v>3</v>
      </c>
      <c r="BV1004" t="s">
        <v>134</v>
      </c>
      <c r="BX1004" s="2" t="s">
        <v>1655</v>
      </c>
      <c r="BY1004" t="s">
        <v>15804</v>
      </c>
      <c r="CA1004" t="s">
        <v>291</v>
      </c>
      <c r="CB1004" t="s">
        <v>511</v>
      </c>
      <c r="CC1004" s="4" t="str">
        <f>"97477"</f>
        <v>97477</v>
      </c>
      <c r="CD1004" t="s">
        <v>11510</v>
      </c>
      <c r="CE1004" t="s">
        <v>11511</v>
      </c>
      <c r="CF1004" s="6">
        <v>17.920000000000002</v>
      </c>
      <c r="CG1004" s="6">
        <v>24</v>
      </c>
      <c r="CH1004" s="6">
        <v>26.88</v>
      </c>
      <c r="CI1004" s="6">
        <v>36</v>
      </c>
      <c r="CJ1004" t="s">
        <v>137</v>
      </c>
      <c r="CK1004" t="s">
        <v>1894</v>
      </c>
      <c r="CL1004" t="s">
        <v>15805</v>
      </c>
      <c r="CO1004" t="s">
        <v>138</v>
      </c>
      <c r="CP1004" t="s">
        <v>114</v>
      </c>
      <c r="CQ1004" t="s">
        <v>114</v>
      </c>
      <c r="CR1004" t="s">
        <v>114</v>
      </c>
      <c r="CS1004" t="s">
        <v>134</v>
      </c>
      <c r="CT1004" t="s">
        <v>114</v>
      </c>
      <c r="CU1004" t="s">
        <v>114</v>
      </c>
      <c r="CV1004" t="s">
        <v>358</v>
      </c>
      <c r="CW1004" s="5" t="str">
        <f>"+15419538212"</f>
        <v>+15419538212</v>
      </c>
      <c r="CX1004" t="s">
        <v>15803</v>
      </c>
      <c r="CY1004" t="s">
        <v>3471</v>
      </c>
      <c r="CZ1004" t="s">
        <v>139</v>
      </c>
      <c r="DA1004" t="s">
        <v>134</v>
      </c>
      <c r="DB1004" t="s">
        <v>114</v>
      </c>
      <c r="DC1004" t="s">
        <v>114</v>
      </c>
      <c r="DD1004" t="s">
        <v>134</v>
      </c>
    </row>
    <row r="1005" spans="1:108" ht="15" customHeight="1" x14ac:dyDescent="0.25">
      <c r="A1005" t="s">
        <v>670</v>
      </c>
      <c r="B1005" t="s">
        <v>165</v>
      </c>
      <c r="C1005" s="1">
        <v>44805.754557060187</v>
      </c>
      <c r="D1005" s="1">
        <v>44845</v>
      </c>
      <c r="E1005" t="s">
        <v>134</v>
      </c>
      <c r="F1005" t="s">
        <v>671</v>
      </c>
      <c r="G1005" t="str">
        <f>"37-2011.00"</f>
        <v>37-2011.00</v>
      </c>
      <c r="H1005" t="s">
        <v>672</v>
      </c>
      <c r="I1005">
        <v>61</v>
      </c>
      <c r="J1005">
        <v>61</v>
      </c>
      <c r="K1005" s="1">
        <v>44880</v>
      </c>
      <c r="L1005" s="1">
        <v>45016</v>
      </c>
      <c r="M1005" s="1">
        <v>44880</v>
      </c>
      <c r="N1005" s="1">
        <v>45016</v>
      </c>
      <c r="O1005" t="s">
        <v>117</v>
      </c>
      <c r="P1005" t="s">
        <v>673</v>
      </c>
      <c r="R1005" t="s">
        <v>674</v>
      </c>
      <c r="T1005" t="s">
        <v>675</v>
      </c>
      <c r="U1005" t="s">
        <v>420</v>
      </c>
      <c r="V1005" s="4" t="str">
        <f>"84047"</f>
        <v>84047</v>
      </c>
      <c r="W1005" t="s">
        <v>120</v>
      </c>
      <c r="Y1005" s="5">
        <v>18015692383</v>
      </c>
      <c r="AA1005">
        <v>561730</v>
      </c>
      <c r="AB1005" t="s">
        <v>676</v>
      </c>
      <c r="AC1005" t="s">
        <v>677</v>
      </c>
      <c r="AE1005" t="s">
        <v>678</v>
      </c>
      <c r="AF1005" t="s">
        <v>674</v>
      </c>
      <c r="AH1005" t="s">
        <v>675</v>
      </c>
      <c r="AI1005" t="s">
        <v>420</v>
      </c>
      <c r="AJ1005" s="4" t="str">
        <f>"84047"</f>
        <v>84047</v>
      </c>
      <c r="AK1005" t="s">
        <v>120</v>
      </c>
      <c r="AM1005" s="5">
        <v>18015692383</v>
      </c>
      <c r="AO1005" t="s">
        <v>679</v>
      </c>
      <c r="AP1005" t="s">
        <v>122</v>
      </c>
      <c r="AQ1005" t="s">
        <v>680</v>
      </c>
      <c r="AR1005" t="s">
        <v>370</v>
      </c>
      <c r="AS1005" t="s">
        <v>681</v>
      </c>
      <c r="AT1005" t="s">
        <v>682</v>
      </c>
      <c r="AU1005" t="s">
        <v>683</v>
      </c>
      <c r="AV1005" t="s">
        <v>684</v>
      </c>
      <c r="AW1005" t="s">
        <v>232</v>
      </c>
      <c r="AX1005" s="4" t="str">
        <f>"78746"</f>
        <v>78746</v>
      </c>
      <c r="AY1005" t="s">
        <v>120</v>
      </c>
      <c r="BA1005" s="5">
        <v>17372040093</v>
      </c>
      <c r="BC1005" t="s">
        <v>685</v>
      </c>
      <c r="BD1005" t="s">
        <v>686</v>
      </c>
      <c r="BE1005" t="s">
        <v>232</v>
      </c>
      <c r="BF1005" t="s">
        <v>687</v>
      </c>
      <c r="BG1005" t="s">
        <v>420</v>
      </c>
      <c r="BH1005" s="1">
        <v>44781.833333333336</v>
      </c>
      <c r="BI1005">
        <v>40</v>
      </c>
      <c r="BJ1005">
        <v>0</v>
      </c>
      <c r="BK1005">
        <v>8</v>
      </c>
      <c r="BL1005">
        <v>8</v>
      </c>
      <c r="BM1005">
        <v>8</v>
      </c>
      <c r="BN1005">
        <v>8</v>
      </c>
      <c r="BO1005">
        <v>8</v>
      </c>
      <c r="BP1005">
        <v>0</v>
      </c>
      <c r="BQ1005" t="str">
        <f>"8:00 AM"</f>
        <v>8:00 AM</v>
      </c>
      <c r="BR1005" t="str">
        <f>"5:00 PM"</f>
        <v>5:00 PM</v>
      </c>
      <c r="BS1005" t="s">
        <v>133</v>
      </c>
      <c r="BT1005">
        <v>0</v>
      </c>
      <c r="BU1005">
        <v>0</v>
      </c>
      <c r="BV1005" t="s">
        <v>134</v>
      </c>
      <c r="BX1005" t="s">
        <v>138</v>
      </c>
      <c r="BY1005" t="s">
        <v>674</v>
      </c>
      <c r="CA1005" t="s">
        <v>675</v>
      </c>
      <c r="CB1005" t="s">
        <v>420</v>
      </c>
      <c r="CC1005" s="4" t="str">
        <f>"84047"</f>
        <v>84047</v>
      </c>
      <c r="CD1005" t="s">
        <v>688</v>
      </c>
      <c r="CE1005" t="s">
        <v>689</v>
      </c>
      <c r="CF1005" s="6">
        <v>13.94</v>
      </c>
      <c r="CG1005" s="6">
        <v>19</v>
      </c>
      <c r="CH1005" s="6">
        <v>20.91</v>
      </c>
      <c r="CI1005" s="6">
        <v>28.5</v>
      </c>
      <c r="CJ1005" t="s">
        <v>137</v>
      </c>
      <c r="CK1005" t="s">
        <v>690</v>
      </c>
      <c r="CL1005" t="s">
        <v>691</v>
      </c>
      <c r="CO1005" t="s">
        <v>138</v>
      </c>
      <c r="CP1005" t="s">
        <v>114</v>
      </c>
      <c r="CQ1005" t="s">
        <v>114</v>
      </c>
      <c r="CR1005" t="s">
        <v>114</v>
      </c>
      <c r="CS1005" t="s">
        <v>114</v>
      </c>
      <c r="CT1005" t="s">
        <v>114</v>
      </c>
      <c r="CU1005" t="s">
        <v>134</v>
      </c>
      <c r="CV1005" t="s">
        <v>133</v>
      </c>
      <c r="CW1005" s="5" t="str">
        <f>"+18015692383"</f>
        <v>+18015692383</v>
      </c>
      <c r="CX1005" t="s">
        <v>679</v>
      </c>
      <c r="CY1005" t="s">
        <v>138</v>
      </c>
      <c r="CZ1005" t="s">
        <v>139</v>
      </c>
      <c r="DA1005" t="s">
        <v>134</v>
      </c>
      <c r="DB1005" t="s">
        <v>134</v>
      </c>
      <c r="DC1005" t="s">
        <v>114</v>
      </c>
      <c r="DD1005" t="s">
        <v>134</v>
      </c>
    </row>
    <row r="1006" spans="1:108" ht="15" customHeight="1" x14ac:dyDescent="0.25">
      <c r="A1006" t="s">
        <v>13055</v>
      </c>
      <c r="B1006" t="s">
        <v>165</v>
      </c>
      <c r="C1006" s="1">
        <v>44805.098676967595</v>
      </c>
      <c r="D1006" s="1">
        <v>44845</v>
      </c>
      <c r="E1006" t="s">
        <v>134</v>
      </c>
      <c r="F1006" t="s">
        <v>979</v>
      </c>
      <c r="G1006" t="str">
        <f>"37-1011.00"</f>
        <v>37-1011.00</v>
      </c>
      <c r="H1006" t="s">
        <v>980</v>
      </c>
      <c r="I1006">
        <v>3</v>
      </c>
      <c r="J1006">
        <v>3</v>
      </c>
      <c r="K1006" s="1">
        <v>44880</v>
      </c>
      <c r="L1006" s="1">
        <v>45149</v>
      </c>
      <c r="M1006" s="1">
        <v>44880</v>
      </c>
      <c r="N1006" s="1">
        <v>45149</v>
      </c>
      <c r="O1006" t="s">
        <v>199</v>
      </c>
      <c r="P1006" t="s">
        <v>981</v>
      </c>
      <c r="Q1006" t="s">
        <v>981</v>
      </c>
      <c r="R1006" t="s">
        <v>982</v>
      </c>
      <c r="S1006" t="s">
        <v>3777</v>
      </c>
      <c r="T1006" t="s">
        <v>984</v>
      </c>
      <c r="U1006" t="s">
        <v>154</v>
      </c>
      <c r="V1006" s="4" t="str">
        <f>"32408"</f>
        <v>32408</v>
      </c>
      <c r="W1006" t="s">
        <v>120</v>
      </c>
      <c r="Y1006" s="5">
        <v>17864929774</v>
      </c>
      <c r="AA1006">
        <v>561720</v>
      </c>
      <c r="AB1006" t="s">
        <v>985</v>
      </c>
      <c r="AC1006" t="s">
        <v>986</v>
      </c>
      <c r="AE1006" t="s">
        <v>342</v>
      </c>
      <c r="AF1006" t="s">
        <v>982</v>
      </c>
      <c r="AH1006" t="s">
        <v>984</v>
      </c>
      <c r="AI1006" t="s">
        <v>154</v>
      </c>
      <c r="AJ1006" s="4" t="str">
        <f>"32408"</f>
        <v>32408</v>
      </c>
      <c r="AK1006" t="s">
        <v>120</v>
      </c>
      <c r="AM1006" s="5">
        <v>17863285408</v>
      </c>
      <c r="AO1006" t="s">
        <v>987</v>
      </c>
      <c r="AX1006" s="4" t="str">
        <f>""</f>
        <v/>
      </c>
      <c r="BG1006" t="s">
        <v>119</v>
      </c>
      <c r="BH1006" s="1">
        <v>44789.833333333336</v>
      </c>
      <c r="BI1006">
        <v>35</v>
      </c>
      <c r="BJ1006">
        <v>5</v>
      </c>
      <c r="BK1006">
        <v>5</v>
      </c>
      <c r="BL1006">
        <v>5</v>
      </c>
      <c r="BM1006">
        <v>5</v>
      </c>
      <c r="BN1006">
        <v>5</v>
      </c>
      <c r="BO1006">
        <v>5</v>
      </c>
      <c r="BP1006">
        <v>5</v>
      </c>
      <c r="BQ1006" t="str">
        <f>"8:00 AM"</f>
        <v>8:00 AM</v>
      </c>
      <c r="BR1006" t="str">
        <f>"4:00 PM"</f>
        <v>4:00 PM</v>
      </c>
      <c r="BS1006" t="s">
        <v>295</v>
      </c>
      <c r="BT1006">
        <v>0</v>
      </c>
      <c r="BU1006">
        <v>12</v>
      </c>
      <c r="BV1006" t="s">
        <v>114</v>
      </c>
      <c r="BW1006">
        <v>100</v>
      </c>
      <c r="BX1006" s="2" t="s">
        <v>13056</v>
      </c>
      <c r="BY1006" t="s">
        <v>13057</v>
      </c>
      <c r="CA1006" t="s">
        <v>4079</v>
      </c>
      <c r="CB1006" t="s">
        <v>119</v>
      </c>
      <c r="CC1006" s="4" t="str">
        <f>"28719"</f>
        <v>28719</v>
      </c>
      <c r="CD1006" t="s">
        <v>4080</v>
      </c>
      <c r="CE1006" t="s">
        <v>4043</v>
      </c>
      <c r="CF1006" s="6">
        <v>19.739999999999998</v>
      </c>
      <c r="CG1006" s="6">
        <v>19.75</v>
      </c>
      <c r="CH1006" s="6">
        <v>29.61</v>
      </c>
      <c r="CI1006" s="6">
        <v>29.63</v>
      </c>
      <c r="CJ1006" t="s">
        <v>137</v>
      </c>
      <c r="CK1006" t="s">
        <v>5936</v>
      </c>
      <c r="CL1006" t="s">
        <v>13058</v>
      </c>
      <c r="CO1006" t="s">
        <v>138</v>
      </c>
      <c r="CP1006" t="s">
        <v>134</v>
      </c>
      <c r="CQ1006" t="s">
        <v>134</v>
      </c>
      <c r="CR1006" t="s">
        <v>114</v>
      </c>
      <c r="CS1006" t="s">
        <v>134</v>
      </c>
      <c r="CT1006" t="s">
        <v>114</v>
      </c>
      <c r="CU1006" t="s">
        <v>114</v>
      </c>
      <c r="CV1006" s="2" t="s">
        <v>13059</v>
      </c>
      <c r="CW1006" s="5" t="str">
        <f>"+17869429774"</f>
        <v>+17869429774</v>
      </c>
      <c r="CX1006" t="s">
        <v>997</v>
      </c>
      <c r="CY1006" t="s">
        <v>138</v>
      </c>
      <c r="CZ1006" t="s">
        <v>139</v>
      </c>
      <c r="DA1006" t="s">
        <v>134</v>
      </c>
      <c r="DB1006" t="s">
        <v>134</v>
      </c>
      <c r="DC1006" t="s">
        <v>114</v>
      </c>
      <c r="DD1006" t="s">
        <v>134</v>
      </c>
    </row>
    <row r="1007" spans="1:108" ht="15" customHeight="1" x14ac:dyDescent="0.25">
      <c r="A1007" t="s">
        <v>15829</v>
      </c>
      <c r="B1007" t="s">
        <v>165</v>
      </c>
      <c r="C1007" s="1">
        <v>44802.967742476852</v>
      </c>
      <c r="D1007" s="1">
        <v>44845</v>
      </c>
      <c r="E1007" t="s">
        <v>134</v>
      </c>
      <c r="F1007" t="s">
        <v>1591</v>
      </c>
      <c r="G1007" t="str">
        <f>"37-2012.00"</f>
        <v>37-2012.00</v>
      </c>
      <c r="H1007" t="s">
        <v>116</v>
      </c>
      <c r="I1007">
        <v>45</v>
      </c>
      <c r="J1007">
        <v>45</v>
      </c>
      <c r="K1007" s="1">
        <v>44878</v>
      </c>
      <c r="L1007" s="1">
        <v>45032</v>
      </c>
      <c r="M1007" s="1">
        <v>44878</v>
      </c>
      <c r="N1007" s="1">
        <v>45032</v>
      </c>
      <c r="O1007" t="s">
        <v>117</v>
      </c>
      <c r="P1007" t="s">
        <v>8770</v>
      </c>
      <c r="Q1007" t="s">
        <v>8771</v>
      </c>
      <c r="R1007" t="s">
        <v>8772</v>
      </c>
      <c r="S1007" t="s">
        <v>7977</v>
      </c>
      <c r="T1007" t="s">
        <v>8773</v>
      </c>
      <c r="U1007" t="s">
        <v>181</v>
      </c>
      <c r="V1007" s="4" t="str">
        <f>"80487"</f>
        <v>80487</v>
      </c>
      <c r="W1007" t="s">
        <v>120</v>
      </c>
      <c r="Y1007" s="5">
        <v>19708752854</v>
      </c>
      <c r="AA1007">
        <v>53131</v>
      </c>
      <c r="AB1007" t="s">
        <v>2515</v>
      </c>
      <c r="AC1007" t="s">
        <v>8159</v>
      </c>
      <c r="AD1007" t="s">
        <v>5033</v>
      </c>
      <c r="AE1007" t="s">
        <v>8774</v>
      </c>
      <c r="AF1007" t="s">
        <v>8775</v>
      </c>
      <c r="AG1007" t="s">
        <v>789</v>
      </c>
      <c r="AH1007" t="s">
        <v>3681</v>
      </c>
      <c r="AI1007" t="s">
        <v>181</v>
      </c>
      <c r="AJ1007" s="4" t="str">
        <f>"80487"</f>
        <v>80487</v>
      </c>
      <c r="AK1007" t="s">
        <v>120</v>
      </c>
      <c r="AM1007" s="5">
        <v>19708752854</v>
      </c>
      <c r="AO1007" t="s">
        <v>8776</v>
      </c>
      <c r="AX1007" s="4" t="str">
        <f>""</f>
        <v/>
      </c>
      <c r="BG1007" t="s">
        <v>181</v>
      </c>
      <c r="BH1007" s="1">
        <v>44801.833333333336</v>
      </c>
      <c r="BI1007">
        <v>36</v>
      </c>
      <c r="BJ1007">
        <v>0</v>
      </c>
      <c r="BK1007">
        <v>6</v>
      </c>
      <c r="BL1007">
        <v>6</v>
      </c>
      <c r="BM1007">
        <v>6</v>
      </c>
      <c r="BN1007">
        <v>6</v>
      </c>
      <c r="BO1007">
        <v>6</v>
      </c>
      <c r="BP1007">
        <v>6</v>
      </c>
      <c r="BQ1007" t="str">
        <f>"8:00 AM"</f>
        <v>8:00 AM</v>
      </c>
      <c r="BR1007" t="str">
        <f>"2:30 PM"</f>
        <v>2:30 PM</v>
      </c>
      <c r="BS1007" t="s">
        <v>133</v>
      </c>
      <c r="BT1007">
        <v>0</v>
      </c>
      <c r="BU1007">
        <v>0</v>
      </c>
      <c r="BV1007" t="s">
        <v>134</v>
      </c>
      <c r="BX1007" s="2" t="s">
        <v>8777</v>
      </c>
      <c r="BY1007" t="s">
        <v>8772</v>
      </c>
      <c r="BZ1007" t="s">
        <v>7977</v>
      </c>
      <c r="CA1007" t="s">
        <v>8773</v>
      </c>
      <c r="CB1007" t="s">
        <v>181</v>
      </c>
      <c r="CC1007" s="4" t="str">
        <f>"80487"</f>
        <v>80487</v>
      </c>
      <c r="CD1007" t="s">
        <v>3692</v>
      </c>
      <c r="CE1007" t="s">
        <v>1570</v>
      </c>
      <c r="CF1007" s="6">
        <v>16.75</v>
      </c>
      <c r="CG1007" s="6">
        <v>16.75</v>
      </c>
      <c r="CH1007" s="6">
        <v>25.13</v>
      </c>
      <c r="CI1007" s="6">
        <v>25.13</v>
      </c>
      <c r="CJ1007" t="s">
        <v>137</v>
      </c>
      <c r="CL1007" t="s">
        <v>8778</v>
      </c>
      <c r="CO1007" t="s">
        <v>138</v>
      </c>
      <c r="CP1007" t="s">
        <v>134</v>
      </c>
      <c r="CQ1007" t="s">
        <v>114</v>
      </c>
      <c r="CR1007" t="s">
        <v>114</v>
      </c>
      <c r="CS1007" t="s">
        <v>114</v>
      </c>
      <c r="CT1007" t="s">
        <v>114</v>
      </c>
      <c r="CU1007" t="s">
        <v>114</v>
      </c>
      <c r="CV1007" t="s">
        <v>15830</v>
      </c>
      <c r="CW1007" s="5" t="str">
        <f>"+19708793075"</f>
        <v>+19708793075</v>
      </c>
      <c r="CX1007" t="s">
        <v>8780</v>
      </c>
      <c r="CY1007" t="s">
        <v>10590</v>
      </c>
      <c r="CZ1007" t="s">
        <v>139</v>
      </c>
      <c r="DA1007" t="s">
        <v>134</v>
      </c>
      <c r="DB1007" t="s">
        <v>134</v>
      </c>
      <c r="DC1007" t="s">
        <v>114</v>
      </c>
      <c r="DD1007" t="s">
        <v>134</v>
      </c>
    </row>
    <row r="1008" spans="1:108" ht="15" customHeight="1" x14ac:dyDescent="0.25">
      <c r="A1008" t="s">
        <v>15200</v>
      </c>
      <c r="B1008" t="s">
        <v>165</v>
      </c>
      <c r="C1008" s="1">
        <v>44802.725004050924</v>
      </c>
      <c r="D1008" s="1">
        <v>44845</v>
      </c>
      <c r="E1008" t="s">
        <v>134</v>
      </c>
      <c r="F1008" t="s">
        <v>979</v>
      </c>
      <c r="G1008" t="str">
        <f>"37-1011.00"</f>
        <v>37-1011.00</v>
      </c>
      <c r="H1008" t="s">
        <v>980</v>
      </c>
      <c r="I1008">
        <v>2</v>
      </c>
      <c r="J1008">
        <v>2</v>
      </c>
      <c r="K1008" s="1">
        <v>44877</v>
      </c>
      <c r="L1008" s="1">
        <v>45149</v>
      </c>
      <c r="M1008" s="1">
        <v>44877</v>
      </c>
      <c r="N1008" s="1">
        <v>45149</v>
      </c>
      <c r="O1008" t="s">
        <v>199</v>
      </c>
      <c r="P1008" t="s">
        <v>981</v>
      </c>
      <c r="Q1008" t="s">
        <v>981</v>
      </c>
      <c r="R1008" t="s">
        <v>982</v>
      </c>
      <c r="S1008" t="s">
        <v>3777</v>
      </c>
      <c r="T1008" t="s">
        <v>984</v>
      </c>
      <c r="U1008" t="s">
        <v>154</v>
      </c>
      <c r="V1008" s="4" t="str">
        <f>"32408"</f>
        <v>32408</v>
      </c>
      <c r="W1008" t="s">
        <v>120</v>
      </c>
      <c r="Y1008" s="5">
        <v>17864929774</v>
      </c>
      <c r="AA1008">
        <v>561720</v>
      </c>
      <c r="AB1008" t="s">
        <v>985</v>
      </c>
      <c r="AC1008" t="s">
        <v>986</v>
      </c>
      <c r="AE1008" t="s">
        <v>342</v>
      </c>
      <c r="AF1008" t="s">
        <v>982</v>
      </c>
      <c r="AH1008" t="s">
        <v>984</v>
      </c>
      <c r="AI1008" t="s">
        <v>154</v>
      </c>
      <c r="AJ1008" s="4" t="str">
        <f>"32408"</f>
        <v>32408</v>
      </c>
      <c r="AK1008" t="s">
        <v>120</v>
      </c>
      <c r="AM1008" s="5">
        <v>17869429774</v>
      </c>
      <c r="AO1008" t="s">
        <v>997</v>
      </c>
      <c r="AX1008" s="4" t="str">
        <f>""</f>
        <v/>
      </c>
      <c r="BG1008" t="s">
        <v>154</v>
      </c>
      <c r="BH1008" s="1">
        <v>44789.833333333336</v>
      </c>
      <c r="BI1008">
        <v>35</v>
      </c>
      <c r="BJ1008">
        <v>5</v>
      </c>
      <c r="BK1008">
        <v>5</v>
      </c>
      <c r="BL1008">
        <v>5</v>
      </c>
      <c r="BM1008">
        <v>5</v>
      </c>
      <c r="BN1008">
        <v>5</v>
      </c>
      <c r="BO1008">
        <v>5</v>
      </c>
      <c r="BP1008">
        <v>5</v>
      </c>
      <c r="BQ1008" t="str">
        <f>"8:00 AM"</f>
        <v>8:00 AM</v>
      </c>
      <c r="BR1008" t="str">
        <f>"4:00 PM"</f>
        <v>4:00 PM</v>
      </c>
      <c r="BS1008" t="s">
        <v>295</v>
      </c>
      <c r="BT1008">
        <v>0</v>
      </c>
      <c r="BU1008">
        <v>12</v>
      </c>
      <c r="BV1008" t="s">
        <v>114</v>
      </c>
      <c r="BW1008">
        <v>55</v>
      </c>
      <c r="BX1008" s="2" t="s">
        <v>15201</v>
      </c>
      <c r="BY1008" t="s">
        <v>15202</v>
      </c>
      <c r="CA1008" t="s">
        <v>2169</v>
      </c>
      <c r="CB1008" t="s">
        <v>154</v>
      </c>
      <c r="CC1008" s="4" t="str">
        <f>"32459"</f>
        <v>32459</v>
      </c>
      <c r="CD1008" t="s">
        <v>2474</v>
      </c>
      <c r="CE1008" t="s">
        <v>2356</v>
      </c>
      <c r="CF1008" s="6">
        <v>20.27</v>
      </c>
      <c r="CG1008" s="6">
        <v>20.3</v>
      </c>
      <c r="CH1008" s="6">
        <v>30.41</v>
      </c>
      <c r="CI1008" s="6">
        <v>30.45</v>
      </c>
      <c r="CJ1008" t="s">
        <v>137</v>
      </c>
      <c r="CK1008" t="s">
        <v>487</v>
      </c>
      <c r="CL1008" t="s">
        <v>3781</v>
      </c>
      <c r="CO1008" t="s">
        <v>138</v>
      </c>
      <c r="CP1008" t="s">
        <v>114</v>
      </c>
      <c r="CQ1008" t="s">
        <v>134</v>
      </c>
      <c r="CR1008" t="s">
        <v>114</v>
      </c>
      <c r="CS1008" t="s">
        <v>134</v>
      </c>
      <c r="CT1008" t="s">
        <v>114</v>
      </c>
      <c r="CU1008" t="s">
        <v>114</v>
      </c>
      <c r="CV1008" s="2" t="s">
        <v>15203</v>
      </c>
      <c r="CW1008" s="5" t="str">
        <f>"+17869429774"</f>
        <v>+17869429774</v>
      </c>
      <c r="CX1008" t="s">
        <v>997</v>
      </c>
      <c r="CY1008" t="s">
        <v>138</v>
      </c>
      <c r="CZ1008" t="s">
        <v>139</v>
      </c>
      <c r="DA1008" t="s">
        <v>134</v>
      </c>
      <c r="DB1008" t="s">
        <v>134</v>
      </c>
      <c r="DC1008" t="s">
        <v>114</v>
      </c>
      <c r="DD1008" t="s">
        <v>134</v>
      </c>
    </row>
    <row r="1009" spans="1:113" ht="15" customHeight="1" x14ac:dyDescent="0.25">
      <c r="A1009" t="s">
        <v>12368</v>
      </c>
      <c r="B1009" t="s">
        <v>165</v>
      </c>
      <c r="C1009" s="1">
        <v>44801.38606597222</v>
      </c>
      <c r="D1009" s="1">
        <v>44845</v>
      </c>
      <c r="E1009" t="s">
        <v>114</v>
      </c>
      <c r="F1009" t="s">
        <v>2243</v>
      </c>
      <c r="G1009" t="str">
        <f>"51-6011.00"</f>
        <v>51-6011.00</v>
      </c>
      <c r="H1009" t="s">
        <v>2244</v>
      </c>
      <c r="I1009">
        <v>12</v>
      </c>
      <c r="J1009">
        <v>12</v>
      </c>
      <c r="K1009" s="1">
        <v>44877</v>
      </c>
      <c r="L1009" s="1">
        <v>45032</v>
      </c>
      <c r="M1009" s="1">
        <v>44877</v>
      </c>
      <c r="N1009" s="1">
        <v>45032</v>
      </c>
      <c r="O1009" t="s">
        <v>117</v>
      </c>
      <c r="P1009" t="s">
        <v>8770</v>
      </c>
      <c r="Q1009" t="s">
        <v>8771</v>
      </c>
      <c r="R1009" t="s">
        <v>8772</v>
      </c>
      <c r="S1009" t="s">
        <v>7977</v>
      </c>
      <c r="T1009" t="s">
        <v>8773</v>
      </c>
      <c r="U1009" t="s">
        <v>181</v>
      </c>
      <c r="V1009" s="4" t="str">
        <f>"80487"</f>
        <v>80487</v>
      </c>
      <c r="W1009" t="s">
        <v>120</v>
      </c>
      <c r="Y1009" s="5">
        <v>19708752854</v>
      </c>
      <c r="AA1009">
        <v>53131</v>
      </c>
      <c r="AB1009" t="s">
        <v>8799</v>
      </c>
      <c r="AC1009" t="s">
        <v>8800</v>
      </c>
      <c r="AD1009" t="s">
        <v>8801</v>
      </c>
      <c r="AE1009" t="s">
        <v>8802</v>
      </c>
      <c r="AF1009" t="s">
        <v>8772</v>
      </c>
      <c r="AG1009" t="s">
        <v>7977</v>
      </c>
      <c r="AH1009" t="s">
        <v>10587</v>
      </c>
      <c r="AI1009" t="s">
        <v>181</v>
      </c>
      <c r="AJ1009" s="4" t="str">
        <f>"80487"</f>
        <v>80487</v>
      </c>
      <c r="AK1009" t="s">
        <v>120</v>
      </c>
      <c r="AM1009" s="5">
        <v>19708752854</v>
      </c>
      <c r="AO1009" t="s">
        <v>8776</v>
      </c>
      <c r="AX1009" s="4" t="str">
        <f>""</f>
        <v/>
      </c>
      <c r="BG1009" t="s">
        <v>181</v>
      </c>
      <c r="BH1009" s="1">
        <v>44800.833333333336</v>
      </c>
      <c r="BI1009">
        <v>36</v>
      </c>
      <c r="BJ1009">
        <v>0</v>
      </c>
      <c r="BK1009">
        <v>7</v>
      </c>
      <c r="BL1009">
        <v>7</v>
      </c>
      <c r="BM1009">
        <v>7</v>
      </c>
      <c r="BN1009">
        <v>7</v>
      </c>
      <c r="BO1009">
        <v>4</v>
      </c>
      <c r="BP1009">
        <v>4</v>
      </c>
      <c r="BQ1009" t="str">
        <f>"7:30 AM"</f>
        <v>7:30 AM</v>
      </c>
      <c r="BR1009" t="str">
        <f>"2:30 PM"</f>
        <v>2:30 PM</v>
      </c>
      <c r="BS1009" t="s">
        <v>133</v>
      </c>
      <c r="BT1009">
        <v>0</v>
      </c>
      <c r="BU1009">
        <v>0</v>
      </c>
      <c r="BV1009" t="s">
        <v>134</v>
      </c>
      <c r="BX1009" s="2" t="s">
        <v>12369</v>
      </c>
      <c r="BY1009" t="s">
        <v>8772</v>
      </c>
      <c r="BZ1009" t="s">
        <v>12370</v>
      </c>
      <c r="CA1009" t="s">
        <v>10587</v>
      </c>
      <c r="CB1009" t="s">
        <v>181</v>
      </c>
      <c r="CC1009" s="4" t="str">
        <f>"80487"</f>
        <v>80487</v>
      </c>
      <c r="CD1009" t="s">
        <v>3692</v>
      </c>
      <c r="CE1009" t="s">
        <v>1570</v>
      </c>
      <c r="CF1009" s="6">
        <v>16.75</v>
      </c>
      <c r="CG1009" s="6">
        <v>16.75</v>
      </c>
      <c r="CH1009" s="6">
        <v>25.13</v>
      </c>
      <c r="CI1009" s="6">
        <v>25.13</v>
      </c>
      <c r="CJ1009" t="s">
        <v>137</v>
      </c>
      <c r="CL1009" t="s">
        <v>12371</v>
      </c>
      <c r="CO1009" t="s">
        <v>138</v>
      </c>
      <c r="CP1009" t="s">
        <v>134</v>
      </c>
      <c r="CQ1009" t="s">
        <v>114</v>
      </c>
      <c r="CR1009" t="s">
        <v>114</v>
      </c>
      <c r="CS1009" t="s">
        <v>114</v>
      </c>
      <c r="CT1009" t="s">
        <v>114</v>
      </c>
      <c r="CU1009" t="s">
        <v>114</v>
      </c>
      <c r="CV1009" t="s">
        <v>12372</v>
      </c>
      <c r="CW1009" s="5" t="str">
        <f>"+19708793075"</f>
        <v>+19708793075</v>
      </c>
      <c r="CX1009" t="s">
        <v>12373</v>
      </c>
      <c r="CY1009" t="s">
        <v>8781</v>
      </c>
      <c r="CZ1009" t="s">
        <v>139</v>
      </c>
      <c r="DA1009" t="s">
        <v>134</v>
      </c>
      <c r="DB1009" t="s">
        <v>134</v>
      </c>
      <c r="DC1009" t="s">
        <v>114</v>
      </c>
      <c r="DD1009" t="s">
        <v>134</v>
      </c>
    </row>
    <row r="1010" spans="1:113" ht="15" customHeight="1" x14ac:dyDescent="0.25">
      <c r="A1010" t="s">
        <v>13766</v>
      </c>
      <c r="B1010" t="s">
        <v>165</v>
      </c>
      <c r="C1010" s="1">
        <v>44788.635680671294</v>
      </c>
      <c r="D1010" s="1">
        <v>44845</v>
      </c>
      <c r="E1010" t="s">
        <v>134</v>
      </c>
      <c r="F1010" t="s">
        <v>13767</v>
      </c>
      <c r="G1010" t="str">
        <f>"31-9096.00"</f>
        <v>31-9096.00</v>
      </c>
      <c r="H1010" t="s">
        <v>13768</v>
      </c>
      <c r="I1010">
        <v>1</v>
      </c>
      <c r="J1010">
        <v>1</v>
      </c>
      <c r="K1010" s="1">
        <v>44866</v>
      </c>
      <c r="L1010" s="1">
        <v>45169</v>
      </c>
      <c r="M1010" s="1">
        <v>44866</v>
      </c>
      <c r="N1010" s="1">
        <v>45169</v>
      </c>
      <c r="O1010" t="s">
        <v>199</v>
      </c>
      <c r="P1010" t="s">
        <v>13769</v>
      </c>
      <c r="R1010" t="s">
        <v>13770</v>
      </c>
      <c r="T1010" t="s">
        <v>1546</v>
      </c>
      <c r="U1010" t="s">
        <v>444</v>
      </c>
      <c r="V1010" s="4" t="str">
        <f>"93908"</f>
        <v>93908</v>
      </c>
      <c r="W1010" t="s">
        <v>120</v>
      </c>
      <c r="Y1010" s="5">
        <v>18314551808</v>
      </c>
      <c r="AA1010">
        <v>54194</v>
      </c>
      <c r="AB1010" t="s">
        <v>4359</v>
      </c>
      <c r="AC1010" t="s">
        <v>2622</v>
      </c>
      <c r="AD1010" t="s">
        <v>138</v>
      </c>
      <c r="AE1010" t="s">
        <v>424</v>
      </c>
      <c r="AF1010" t="s">
        <v>13771</v>
      </c>
      <c r="AH1010" t="s">
        <v>1546</v>
      </c>
      <c r="AI1010" t="s">
        <v>444</v>
      </c>
      <c r="AJ1010" s="4" t="str">
        <f>"93808"</f>
        <v>93808</v>
      </c>
      <c r="AK1010" t="s">
        <v>120</v>
      </c>
      <c r="AM1010" s="5">
        <v>18314551808</v>
      </c>
      <c r="AO1010" t="s">
        <v>138</v>
      </c>
      <c r="AP1010" t="s">
        <v>122</v>
      </c>
      <c r="AQ1010" t="s">
        <v>864</v>
      </c>
      <c r="AR1010" t="s">
        <v>865</v>
      </c>
      <c r="AS1010" t="s">
        <v>370</v>
      </c>
      <c r="AT1010" t="s">
        <v>13772</v>
      </c>
      <c r="AU1010" t="s">
        <v>683</v>
      </c>
      <c r="AV1010" t="s">
        <v>684</v>
      </c>
      <c r="AW1010" t="s">
        <v>232</v>
      </c>
      <c r="AX1010" s="4" t="str">
        <f>"78746"</f>
        <v>78746</v>
      </c>
      <c r="AY1010" t="s">
        <v>120</v>
      </c>
      <c r="BA1010" s="5">
        <v>15123470007</v>
      </c>
      <c r="BC1010" t="s">
        <v>9051</v>
      </c>
      <c r="BD1010" t="s">
        <v>13773</v>
      </c>
      <c r="BE1010" t="s">
        <v>232</v>
      </c>
      <c r="BF1010" t="s">
        <v>687</v>
      </c>
      <c r="BG1010" t="s">
        <v>444</v>
      </c>
      <c r="BH1010" s="1">
        <v>44773.833333333336</v>
      </c>
      <c r="BI1010">
        <v>40</v>
      </c>
      <c r="BJ1010">
        <v>0</v>
      </c>
      <c r="BK1010">
        <v>8</v>
      </c>
      <c r="BL1010">
        <v>8</v>
      </c>
      <c r="BM1010">
        <v>8</v>
      </c>
      <c r="BN1010">
        <v>8</v>
      </c>
      <c r="BO1010">
        <v>8</v>
      </c>
      <c r="BP1010">
        <v>0</v>
      </c>
      <c r="BQ1010" t="str">
        <f>"8:00 AM"</f>
        <v>8:00 AM</v>
      </c>
      <c r="BR1010" t="str">
        <f>"5:00 PM"</f>
        <v>5:00 PM</v>
      </c>
      <c r="BS1010" t="s">
        <v>133</v>
      </c>
      <c r="BT1010">
        <v>0</v>
      </c>
      <c r="BU1010">
        <v>12</v>
      </c>
      <c r="BV1010" t="s">
        <v>134</v>
      </c>
      <c r="BX1010" t="s">
        <v>138</v>
      </c>
      <c r="BY1010" t="s">
        <v>13774</v>
      </c>
      <c r="CA1010" t="s">
        <v>1546</v>
      </c>
      <c r="CB1010" t="s">
        <v>444</v>
      </c>
      <c r="CC1010" s="4" t="str">
        <f>"93908"</f>
        <v>93908</v>
      </c>
      <c r="CD1010" t="s">
        <v>1728</v>
      </c>
      <c r="CE1010" t="s">
        <v>1729</v>
      </c>
      <c r="CF1010" s="6">
        <v>17.34</v>
      </c>
      <c r="CG1010" s="6">
        <v>17.34</v>
      </c>
      <c r="CH1010" s="6">
        <v>26.01</v>
      </c>
      <c r="CI1010" s="6">
        <v>26.01</v>
      </c>
      <c r="CJ1010" t="s">
        <v>137</v>
      </c>
      <c r="CL1010" t="s">
        <v>13775</v>
      </c>
      <c r="CO1010" t="s">
        <v>138</v>
      </c>
      <c r="CP1010" t="s">
        <v>134</v>
      </c>
      <c r="CQ1010" t="s">
        <v>114</v>
      </c>
      <c r="CR1010" t="s">
        <v>114</v>
      </c>
      <c r="CS1010" t="s">
        <v>134</v>
      </c>
      <c r="CT1010" t="s">
        <v>114</v>
      </c>
      <c r="CU1010" t="s">
        <v>114</v>
      </c>
      <c r="CV1010" t="s">
        <v>13776</v>
      </c>
      <c r="CW1010" s="5" t="str">
        <f>"+18314646286"</f>
        <v>+18314646286</v>
      </c>
      <c r="CX1010" t="s">
        <v>11682</v>
      </c>
      <c r="CY1010" t="s">
        <v>138</v>
      </c>
      <c r="CZ1010" t="s">
        <v>139</v>
      </c>
      <c r="DA1010" t="s">
        <v>134</v>
      </c>
      <c r="DB1010" t="s">
        <v>134</v>
      </c>
      <c r="DC1010" t="s">
        <v>114</v>
      </c>
      <c r="DD1010" t="s">
        <v>134</v>
      </c>
    </row>
    <row r="1011" spans="1:113" ht="15" customHeight="1" x14ac:dyDescent="0.25">
      <c r="A1011" t="s">
        <v>12353</v>
      </c>
      <c r="B1011" t="s">
        <v>165</v>
      </c>
      <c r="C1011" s="1">
        <v>44785.546275925924</v>
      </c>
      <c r="D1011" s="1">
        <v>44845</v>
      </c>
      <c r="E1011" t="s">
        <v>134</v>
      </c>
      <c r="F1011" t="s">
        <v>1331</v>
      </c>
      <c r="G1011" t="str">
        <f>"35-2014.00"</f>
        <v>35-2014.00</v>
      </c>
      <c r="H1011" t="s">
        <v>915</v>
      </c>
      <c r="I1011">
        <v>6</v>
      </c>
      <c r="J1011">
        <v>6</v>
      </c>
      <c r="K1011" s="1">
        <v>44875</v>
      </c>
      <c r="L1011" s="1">
        <v>45026</v>
      </c>
      <c r="M1011" s="1">
        <v>44875</v>
      </c>
      <c r="N1011" s="1">
        <v>45026</v>
      </c>
      <c r="O1011" t="s">
        <v>117</v>
      </c>
      <c r="P1011" t="s">
        <v>12354</v>
      </c>
      <c r="Q1011" t="s">
        <v>12355</v>
      </c>
      <c r="R1011" t="s">
        <v>12356</v>
      </c>
      <c r="S1011" t="s">
        <v>12357</v>
      </c>
      <c r="T1011" t="s">
        <v>4534</v>
      </c>
      <c r="U1011" t="s">
        <v>181</v>
      </c>
      <c r="V1011" s="4" t="str">
        <f>"81620"</f>
        <v>81620</v>
      </c>
      <c r="W1011" t="s">
        <v>120</v>
      </c>
      <c r="Y1011" s="5">
        <v>19708458153</v>
      </c>
      <c r="AA1011">
        <v>722511</v>
      </c>
      <c r="AB1011" t="s">
        <v>12358</v>
      </c>
      <c r="AC1011" t="s">
        <v>6920</v>
      </c>
      <c r="AE1011" t="s">
        <v>424</v>
      </c>
      <c r="AF1011" t="s">
        <v>12356</v>
      </c>
      <c r="AG1011" t="s">
        <v>12357</v>
      </c>
      <c r="AH1011" t="s">
        <v>4534</v>
      </c>
      <c r="AI1011" t="s">
        <v>181</v>
      </c>
      <c r="AJ1011" s="4" t="str">
        <f>"81620"</f>
        <v>81620</v>
      </c>
      <c r="AK1011" t="s">
        <v>120</v>
      </c>
      <c r="AM1011" s="5">
        <v>19708458153</v>
      </c>
      <c r="AO1011" t="s">
        <v>12359</v>
      </c>
      <c r="AP1011" t="s">
        <v>122</v>
      </c>
      <c r="AQ1011" t="s">
        <v>1602</v>
      </c>
      <c r="AR1011" t="s">
        <v>1603</v>
      </c>
      <c r="AS1011" t="s">
        <v>1501</v>
      </c>
      <c r="AT1011" t="s">
        <v>1604</v>
      </c>
      <c r="AU1011" t="s">
        <v>1605</v>
      </c>
      <c r="AV1011" t="s">
        <v>1606</v>
      </c>
      <c r="AW1011" t="s">
        <v>181</v>
      </c>
      <c r="AX1011" s="4" t="str">
        <f>"81657"</f>
        <v>81657</v>
      </c>
      <c r="AY1011" t="s">
        <v>120</v>
      </c>
      <c r="BA1011" s="5">
        <v>19703066476</v>
      </c>
      <c r="BC1011" t="s">
        <v>1607</v>
      </c>
      <c r="BD1011" t="s">
        <v>1608</v>
      </c>
      <c r="BE1011" t="s">
        <v>181</v>
      </c>
      <c r="BF1011" t="s">
        <v>1609</v>
      </c>
      <c r="BG1011" t="s">
        <v>181</v>
      </c>
      <c r="BH1011" s="1">
        <v>44784.833333333336</v>
      </c>
      <c r="BI1011">
        <v>40</v>
      </c>
      <c r="BJ1011">
        <v>0</v>
      </c>
      <c r="BK1011">
        <v>8</v>
      </c>
      <c r="BL1011">
        <v>8</v>
      </c>
      <c r="BM1011">
        <v>8</v>
      </c>
      <c r="BN1011">
        <v>8</v>
      </c>
      <c r="BO1011">
        <v>8</v>
      </c>
      <c r="BP1011">
        <v>0</v>
      </c>
      <c r="BQ1011" t="str">
        <f>"2:00 PM"</f>
        <v>2:00 PM</v>
      </c>
      <c r="BR1011" t="str">
        <f>"10:00 PM"</f>
        <v>10:00 PM</v>
      </c>
      <c r="BS1011" t="s">
        <v>133</v>
      </c>
      <c r="BT1011">
        <v>0</v>
      </c>
      <c r="BU1011">
        <v>0</v>
      </c>
      <c r="BV1011" t="s">
        <v>134</v>
      </c>
      <c r="BX1011" s="2" t="s">
        <v>12360</v>
      </c>
      <c r="BY1011" t="s">
        <v>12361</v>
      </c>
      <c r="BZ1011" t="s">
        <v>12362</v>
      </c>
      <c r="CA1011" t="s">
        <v>4534</v>
      </c>
      <c r="CB1011" t="s">
        <v>181</v>
      </c>
      <c r="CC1011" s="4" t="str">
        <f>"81620"</f>
        <v>81620</v>
      </c>
      <c r="CD1011" t="s">
        <v>3483</v>
      </c>
      <c r="CE1011" t="s">
        <v>1570</v>
      </c>
      <c r="CF1011" s="6">
        <v>17.510000000000002</v>
      </c>
      <c r="CH1011" s="6">
        <v>26.27</v>
      </c>
      <c r="CJ1011" t="s">
        <v>137</v>
      </c>
      <c r="CK1011" t="e">
        <f>+DOE</f>
        <v>#NAME?</v>
      </c>
      <c r="CL1011" t="s">
        <v>12363</v>
      </c>
      <c r="CO1011" t="s">
        <v>138</v>
      </c>
      <c r="CP1011" t="s">
        <v>134</v>
      </c>
      <c r="CQ1011" t="s">
        <v>134</v>
      </c>
      <c r="CR1011" t="s">
        <v>114</v>
      </c>
      <c r="CS1011" t="s">
        <v>114</v>
      </c>
      <c r="CT1011" t="s">
        <v>114</v>
      </c>
      <c r="CU1011" t="s">
        <v>134</v>
      </c>
      <c r="CV1011" t="s">
        <v>1611</v>
      </c>
      <c r="CW1011" s="5" t="str">
        <f>"+19708458153"</f>
        <v>+19708458153</v>
      </c>
      <c r="CX1011" t="s">
        <v>12364</v>
      </c>
      <c r="CY1011" t="s">
        <v>138</v>
      </c>
      <c r="CZ1011" t="s">
        <v>139</v>
      </c>
      <c r="DA1011" t="s">
        <v>134</v>
      </c>
      <c r="DB1011" t="s">
        <v>134</v>
      </c>
      <c r="DC1011" t="s">
        <v>114</v>
      </c>
      <c r="DD1011" t="s">
        <v>134</v>
      </c>
    </row>
    <row r="1012" spans="1:113" ht="15" customHeight="1" x14ac:dyDescent="0.25">
      <c r="A1012" t="s">
        <v>14538</v>
      </c>
      <c r="B1012" t="s">
        <v>165</v>
      </c>
      <c r="C1012" s="1">
        <v>44771.767108217595</v>
      </c>
      <c r="D1012" s="1">
        <v>44845</v>
      </c>
      <c r="E1012" t="s">
        <v>134</v>
      </c>
      <c r="F1012" t="s">
        <v>4013</v>
      </c>
      <c r="G1012" t="str">
        <f>"51-9198.00"</f>
        <v>51-9198.00</v>
      </c>
      <c r="H1012" t="s">
        <v>277</v>
      </c>
      <c r="I1012">
        <v>15</v>
      </c>
      <c r="J1012">
        <v>15</v>
      </c>
      <c r="K1012" s="1">
        <v>44846</v>
      </c>
      <c r="L1012" s="1">
        <v>44926</v>
      </c>
      <c r="M1012" s="1">
        <v>44846</v>
      </c>
      <c r="N1012" s="1">
        <v>44926</v>
      </c>
      <c r="O1012" t="s">
        <v>117</v>
      </c>
      <c r="P1012" t="s">
        <v>14539</v>
      </c>
      <c r="Q1012" t="s">
        <v>4218</v>
      </c>
      <c r="R1012" t="s">
        <v>4219</v>
      </c>
      <c r="S1012" t="s">
        <v>152</v>
      </c>
      <c r="T1012" t="s">
        <v>4220</v>
      </c>
      <c r="U1012" t="s">
        <v>319</v>
      </c>
      <c r="V1012" s="4" t="str">
        <f>"55331"</f>
        <v>55331</v>
      </c>
      <c r="W1012" t="s">
        <v>120</v>
      </c>
      <c r="Y1012" s="5">
        <v>17636584000</v>
      </c>
      <c r="AA1012">
        <v>321214</v>
      </c>
      <c r="AB1012" t="s">
        <v>4221</v>
      </c>
      <c r="AC1012" t="s">
        <v>1830</v>
      </c>
      <c r="AE1012" t="s">
        <v>4222</v>
      </c>
      <c r="AF1012" t="s">
        <v>4223</v>
      </c>
      <c r="AG1012" t="s">
        <v>152</v>
      </c>
      <c r="AH1012" t="s">
        <v>4224</v>
      </c>
      <c r="AI1012" t="s">
        <v>319</v>
      </c>
      <c r="AJ1012" s="4" t="str">
        <f>"55331"</f>
        <v>55331</v>
      </c>
      <c r="AK1012" t="s">
        <v>120</v>
      </c>
      <c r="AM1012" s="5">
        <v>17636584000</v>
      </c>
      <c r="AO1012" t="s">
        <v>4225</v>
      </c>
      <c r="AP1012" t="s">
        <v>122</v>
      </c>
      <c r="AQ1012" t="s">
        <v>2175</v>
      </c>
      <c r="AR1012" t="s">
        <v>2176</v>
      </c>
      <c r="AS1012" t="s">
        <v>146</v>
      </c>
      <c r="AT1012" t="s">
        <v>2177</v>
      </c>
      <c r="AU1012" t="s">
        <v>138</v>
      </c>
      <c r="AV1012" t="s">
        <v>2178</v>
      </c>
      <c r="AW1012" t="s">
        <v>2081</v>
      </c>
      <c r="AX1012" s="4" t="str">
        <f>"50010"</f>
        <v>50010</v>
      </c>
      <c r="AY1012" t="s">
        <v>120</v>
      </c>
      <c r="BA1012" s="5">
        <v>15152324444</v>
      </c>
      <c r="BB1012">
        <v>0</v>
      </c>
      <c r="BC1012" t="s">
        <v>2179</v>
      </c>
      <c r="BD1012" t="s">
        <v>2180</v>
      </c>
      <c r="BE1012" t="s">
        <v>2081</v>
      </c>
      <c r="BF1012" t="s">
        <v>322</v>
      </c>
      <c r="BG1012" t="s">
        <v>319</v>
      </c>
      <c r="BH1012" s="1">
        <v>44770.833333333336</v>
      </c>
      <c r="BI1012">
        <v>40</v>
      </c>
      <c r="BJ1012">
        <v>0</v>
      </c>
      <c r="BK1012">
        <v>10</v>
      </c>
      <c r="BL1012">
        <v>10</v>
      </c>
      <c r="BM1012">
        <v>10</v>
      </c>
      <c r="BN1012">
        <v>10</v>
      </c>
      <c r="BO1012">
        <v>0</v>
      </c>
      <c r="BP1012">
        <v>0</v>
      </c>
      <c r="BQ1012" t="str">
        <f>"4:00 PM"</f>
        <v>4:00 PM</v>
      </c>
      <c r="BR1012" t="str">
        <f>"2:30 AM"</f>
        <v>2:30 AM</v>
      </c>
      <c r="BS1012" t="s">
        <v>133</v>
      </c>
      <c r="BT1012">
        <v>0</v>
      </c>
      <c r="BU1012">
        <v>0</v>
      </c>
      <c r="BV1012" t="s">
        <v>134</v>
      </c>
      <c r="BX1012" s="2" t="s">
        <v>14540</v>
      </c>
      <c r="BY1012" t="s">
        <v>4226</v>
      </c>
      <c r="CA1012" t="s">
        <v>4227</v>
      </c>
      <c r="CB1012" t="s">
        <v>319</v>
      </c>
      <c r="CC1012" s="4" t="str">
        <f>"55363"</f>
        <v>55363</v>
      </c>
      <c r="CD1012" t="s">
        <v>1587</v>
      </c>
      <c r="CE1012" t="s">
        <v>1443</v>
      </c>
      <c r="CF1012" s="6">
        <v>16.940000000000001</v>
      </c>
      <c r="CH1012" s="6">
        <v>25.41</v>
      </c>
      <c r="CJ1012" t="s">
        <v>137</v>
      </c>
      <c r="CK1012" t="s">
        <v>14541</v>
      </c>
      <c r="CL1012" t="s">
        <v>14542</v>
      </c>
      <c r="CO1012" t="s">
        <v>138</v>
      </c>
      <c r="CP1012" t="s">
        <v>134</v>
      </c>
      <c r="CQ1012" t="s">
        <v>114</v>
      </c>
      <c r="CR1012" t="s">
        <v>114</v>
      </c>
      <c r="CS1012" t="s">
        <v>114</v>
      </c>
      <c r="CT1012" t="s">
        <v>114</v>
      </c>
      <c r="CU1012" t="s">
        <v>114</v>
      </c>
      <c r="CV1012" s="2" t="s">
        <v>14543</v>
      </c>
      <c r="CW1012" s="5" t="str">
        <f>"+17636584000"</f>
        <v>+17636584000</v>
      </c>
      <c r="CX1012" t="s">
        <v>4225</v>
      </c>
      <c r="CY1012" t="s">
        <v>138</v>
      </c>
      <c r="CZ1012" t="s">
        <v>139</v>
      </c>
      <c r="DA1012" t="s">
        <v>134</v>
      </c>
      <c r="DB1012" t="s">
        <v>114</v>
      </c>
      <c r="DC1012" t="s">
        <v>114</v>
      </c>
      <c r="DD1012" t="s">
        <v>134</v>
      </c>
    </row>
    <row r="1013" spans="1:113" ht="15" customHeight="1" x14ac:dyDescent="0.25">
      <c r="A1013" t="s">
        <v>12007</v>
      </c>
      <c r="B1013" t="s">
        <v>165</v>
      </c>
      <c r="C1013" s="1">
        <v>44747.913198263886</v>
      </c>
      <c r="D1013" s="1">
        <v>44845</v>
      </c>
      <c r="E1013" t="s">
        <v>134</v>
      </c>
      <c r="F1013" t="s">
        <v>4970</v>
      </c>
      <c r="G1013" t="str">
        <f>"31-9091.00"</f>
        <v>31-9091.00</v>
      </c>
      <c r="H1013" t="s">
        <v>4971</v>
      </c>
      <c r="I1013">
        <v>3</v>
      </c>
      <c r="J1013">
        <v>3</v>
      </c>
      <c r="K1013" s="1">
        <v>44835</v>
      </c>
      <c r="L1013" s="1">
        <v>45016</v>
      </c>
      <c r="M1013" s="1">
        <v>44835</v>
      </c>
      <c r="N1013" s="1">
        <v>45016</v>
      </c>
      <c r="O1013" t="s">
        <v>168</v>
      </c>
      <c r="P1013" t="s">
        <v>4972</v>
      </c>
      <c r="R1013" t="s">
        <v>4973</v>
      </c>
      <c r="T1013" t="s">
        <v>4974</v>
      </c>
      <c r="U1013" t="s">
        <v>420</v>
      </c>
      <c r="V1013" s="4" t="str">
        <f>"84121"</f>
        <v>84121</v>
      </c>
      <c r="W1013" t="s">
        <v>120</v>
      </c>
      <c r="Y1013" s="5">
        <v>18454436711</v>
      </c>
      <c r="AA1013">
        <v>339116</v>
      </c>
      <c r="AB1013" t="s">
        <v>4975</v>
      </c>
      <c r="AC1013" t="s">
        <v>4976</v>
      </c>
      <c r="AD1013" t="s">
        <v>1458</v>
      </c>
      <c r="AE1013" t="s">
        <v>2771</v>
      </c>
      <c r="AF1013" t="s">
        <v>4977</v>
      </c>
      <c r="AH1013" t="s">
        <v>4974</v>
      </c>
      <c r="AI1013" t="s">
        <v>420</v>
      </c>
      <c r="AJ1013" s="4" t="str">
        <f>"84121"</f>
        <v>84121</v>
      </c>
      <c r="AK1013" t="s">
        <v>120</v>
      </c>
      <c r="AM1013" s="5">
        <v>18454436711</v>
      </c>
      <c r="AO1013" t="s">
        <v>4978</v>
      </c>
      <c r="AP1013" t="s">
        <v>122</v>
      </c>
      <c r="AQ1013" t="s">
        <v>4979</v>
      </c>
      <c r="AR1013" t="s">
        <v>2361</v>
      </c>
      <c r="AS1013" t="s">
        <v>2211</v>
      </c>
      <c r="AT1013" t="s">
        <v>4980</v>
      </c>
      <c r="AU1013" t="s">
        <v>1574</v>
      </c>
      <c r="AV1013" t="s">
        <v>2748</v>
      </c>
      <c r="AW1013" t="s">
        <v>420</v>
      </c>
      <c r="AX1013" s="4" t="str">
        <f>"84117"</f>
        <v>84117</v>
      </c>
      <c r="AY1013" t="s">
        <v>120</v>
      </c>
      <c r="BA1013" s="5">
        <v>18012632314</v>
      </c>
      <c r="BC1013" t="s">
        <v>4981</v>
      </c>
      <c r="BD1013" t="s">
        <v>4982</v>
      </c>
      <c r="BE1013" t="s">
        <v>444</v>
      </c>
      <c r="BF1013" t="s">
        <v>322</v>
      </c>
      <c r="BG1013" t="s">
        <v>129</v>
      </c>
      <c r="BH1013" s="1">
        <v>44746.833333333336</v>
      </c>
      <c r="BI1013">
        <v>40</v>
      </c>
      <c r="BJ1013">
        <v>0</v>
      </c>
      <c r="BK1013">
        <v>8</v>
      </c>
      <c r="BL1013">
        <v>8</v>
      </c>
      <c r="BM1013">
        <v>8</v>
      </c>
      <c r="BN1013">
        <v>8</v>
      </c>
      <c r="BO1013">
        <v>8</v>
      </c>
      <c r="BP1013">
        <v>0</v>
      </c>
      <c r="BQ1013" t="str">
        <f>"9:00 AM"</f>
        <v>9:00 AM</v>
      </c>
      <c r="BR1013" t="str">
        <f>"5:00 PM"</f>
        <v>5:00 PM</v>
      </c>
      <c r="BS1013" t="s">
        <v>133</v>
      </c>
      <c r="BT1013">
        <v>0</v>
      </c>
      <c r="BU1013">
        <v>0</v>
      </c>
      <c r="BV1013" t="s">
        <v>134</v>
      </c>
      <c r="BX1013" t="s">
        <v>133</v>
      </c>
      <c r="BY1013" t="s">
        <v>12008</v>
      </c>
      <c r="BZ1013" t="s">
        <v>1537</v>
      </c>
      <c r="CA1013" t="s">
        <v>8162</v>
      </c>
      <c r="CB1013" t="s">
        <v>129</v>
      </c>
      <c r="CC1013" s="4" t="str">
        <f>"30066"</f>
        <v>30066</v>
      </c>
      <c r="CD1013" t="s">
        <v>1540</v>
      </c>
      <c r="CE1013" t="s">
        <v>908</v>
      </c>
      <c r="CF1013" s="6">
        <v>20.86</v>
      </c>
      <c r="CG1013" s="6">
        <v>20.86</v>
      </c>
      <c r="CH1013" s="6">
        <v>31.29</v>
      </c>
      <c r="CI1013" s="6">
        <v>31.29</v>
      </c>
      <c r="CJ1013" t="s">
        <v>137</v>
      </c>
      <c r="CL1013" t="s">
        <v>12009</v>
      </c>
      <c r="CO1013" t="s">
        <v>138</v>
      </c>
      <c r="CP1013" t="s">
        <v>134</v>
      </c>
      <c r="CQ1013" t="s">
        <v>134</v>
      </c>
      <c r="CR1013" t="s">
        <v>114</v>
      </c>
      <c r="CS1013" t="s">
        <v>114</v>
      </c>
      <c r="CT1013" t="s">
        <v>114</v>
      </c>
      <c r="CU1013" t="s">
        <v>134</v>
      </c>
      <c r="CV1013" t="s">
        <v>12010</v>
      </c>
      <c r="CW1013" s="5" t="str">
        <f>"+18454436711"</f>
        <v>+18454436711</v>
      </c>
      <c r="CX1013" t="s">
        <v>4978</v>
      </c>
      <c r="CY1013" t="s">
        <v>138</v>
      </c>
      <c r="CZ1013" t="s">
        <v>139</v>
      </c>
      <c r="DA1013" t="s">
        <v>134</v>
      </c>
      <c r="DB1013" t="s">
        <v>134</v>
      </c>
      <c r="DC1013" t="s">
        <v>114</v>
      </c>
      <c r="DD1013" t="s">
        <v>134</v>
      </c>
    </row>
    <row r="1014" spans="1:113" ht="15" customHeight="1" x14ac:dyDescent="0.25">
      <c r="A1014" t="s">
        <v>15910</v>
      </c>
      <c r="B1014" t="s">
        <v>165</v>
      </c>
      <c r="C1014" s="1">
        <v>44747.855636574073</v>
      </c>
      <c r="D1014" s="1">
        <v>44845</v>
      </c>
      <c r="E1014" t="s">
        <v>134</v>
      </c>
      <c r="F1014" t="s">
        <v>4970</v>
      </c>
      <c r="G1014" t="str">
        <f>"31-9091.00"</f>
        <v>31-9091.00</v>
      </c>
      <c r="H1014" t="s">
        <v>4971</v>
      </c>
      <c r="I1014">
        <v>3</v>
      </c>
      <c r="J1014">
        <v>3</v>
      </c>
      <c r="K1014" s="1">
        <v>44836</v>
      </c>
      <c r="L1014" s="1">
        <v>45016</v>
      </c>
      <c r="M1014" s="1">
        <v>44836</v>
      </c>
      <c r="N1014" s="1">
        <v>45016</v>
      </c>
      <c r="O1014" t="s">
        <v>168</v>
      </c>
      <c r="P1014" t="s">
        <v>4972</v>
      </c>
      <c r="R1014" t="s">
        <v>4973</v>
      </c>
      <c r="T1014" t="s">
        <v>4974</v>
      </c>
      <c r="U1014" t="s">
        <v>420</v>
      </c>
      <c r="V1014" s="4" t="str">
        <f>"84121"</f>
        <v>84121</v>
      </c>
      <c r="W1014" t="s">
        <v>120</v>
      </c>
      <c r="Y1014" s="5">
        <v>18454436711</v>
      </c>
      <c r="AA1014">
        <v>339116</v>
      </c>
      <c r="AB1014" t="s">
        <v>4975</v>
      </c>
      <c r="AC1014" t="s">
        <v>4976</v>
      </c>
      <c r="AD1014" t="s">
        <v>1458</v>
      </c>
      <c r="AE1014" t="s">
        <v>2771</v>
      </c>
      <c r="AF1014" t="s">
        <v>4977</v>
      </c>
      <c r="AH1014" t="s">
        <v>4974</v>
      </c>
      <c r="AI1014" t="s">
        <v>420</v>
      </c>
      <c r="AJ1014" s="4" t="str">
        <f>"84121"</f>
        <v>84121</v>
      </c>
      <c r="AK1014" t="s">
        <v>120</v>
      </c>
      <c r="AM1014" s="5">
        <v>18454436711</v>
      </c>
      <c r="AO1014" t="s">
        <v>4978</v>
      </c>
      <c r="AP1014" t="s">
        <v>122</v>
      </c>
      <c r="AQ1014" t="s">
        <v>4979</v>
      </c>
      <c r="AR1014" t="s">
        <v>2361</v>
      </c>
      <c r="AS1014" t="s">
        <v>2211</v>
      </c>
      <c r="AT1014" t="s">
        <v>4980</v>
      </c>
      <c r="AU1014" t="s">
        <v>1574</v>
      </c>
      <c r="AV1014" t="s">
        <v>2748</v>
      </c>
      <c r="AW1014" t="s">
        <v>420</v>
      </c>
      <c r="AX1014" s="4" t="str">
        <f>"84117"</f>
        <v>84117</v>
      </c>
      <c r="AY1014" t="s">
        <v>120</v>
      </c>
      <c r="BA1014" s="5">
        <v>18012632314</v>
      </c>
      <c r="BC1014" t="s">
        <v>4981</v>
      </c>
      <c r="BD1014" t="s">
        <v>4982</v>
      </c>
      <c r="BE1014" t="s">
        <v>444</v>
      </c>
      <c r="BF1014" t="s">
        <v>322</v>
      </c>
      <c r="BG1014" t="s">
        <v>232</v>
      </c>
      <c r="BH1014" s="1">
        <v>44746.833333333336</v>
      </c>
      <c r="BI1014">
        <v>40</v>
      </c>
      <c r="BJ1014">
        <v>0</v>
      </c>
      <c r="BK1014">
        <v>8</v>
      </c>
      <c r="BL1014">
        <v>8</v>
      </c>
      <c r="BM1014">
        <v>8</v>
      </c>
      <c r="BN1014">
        <v>8</v>
      </c>
      <c r="BO1014">
        <v>8</v>
      </c>
      <c r="BP1014">
        <v>0</v>
      </c>
      <c r="BQ1014" t="str">
        <f>"9:00 AM"</f>
        <v>9:00 AM</v>
      </c>
      <c r="BR1014" t="str">
        <f>"5:00 PM"</f>
        <v>5:00 PM</v>
      </c>
      <c r="BS1014" t="s">
        <v>133</v>
      </c>
      <c r="BT1014">
        <v>0</v>
      </c>
      <c r="BU1014">
        <v>0</v>
      </c>
      <c r="BV1014" t="s">
        <v>134</v>
      </c>
      <c r="BX1014" t="s">
        <v>133</v>
      </c>
      <c r="BY1014" t="s">
        <v>15911</v>
      </c>
      <c r="BZ1014" t="s">
        <v>15912</v>
      </c>
      <c r="CA1014" t="s">
        <v>4125</v>
      </c>
      <c r="CB1014" t="s">
        <v>232</v>
      </c>
      <c r="CC1014" s="4" t="str">
        <f>"77494"</f>
        <v>77494</v>
      </c>
      <c r="CD1014" t="s">
        <v>3290</v>
      </c>
      <c r="CE1014" t="s">
        <v>873</v>
      </c>
      <c r="CF1014" s="6">
        <v>18.350000000000001</v>
      </c>
      <c r="CG1014" s="6">
        <v>18.350000000000001</v>
      </c>
      <c r="CH1014" s="6">
        <v>27.53</v>
      </c>
      <c r="CI1014" s="6">
        <v>27.53</v>
      </c>
      <c r="CJ1014" t="s">
        <v>137</v>
      </c>
      <c r="CL1014" t="s">
        <v>15913</v>
      </c>
      <c r="CO1014" t="s">
        <v>138</v>
      </c>
      <c r="CP1014" t="s">
        <v>134</v>
      </c>
      <c r="CQ1014" t="s">
        <v>134</v>
      </c>
      <c r="CR1014" t="s">
        <v>114</v>
      </c>
      <c r="CS1014" t="s">
        <v>114</v>
      </c>
      <c r="CT1014" t="s">
        <v>114</v>
      </c>
      <c r="CU1014" t="s">
        <v>134</v>
      </c>
      <c r="CV1014" t="s">
        <v>10665</v>
      </c>
      <c r="CW1014" s="5" t="str">
        <f>"+18454436711"</f>
        <v>+18454436711</v>
      </c>
      <c r="CX1014" t="s">
        <v>4978</v>
      </c>
      <c r="CY1014" t="s">
        <v>138</v>
      </c>
      <c r="CZ1014" t="s">
        <v>139</v>
      </c>
      <c r="DA1014" t="s">
        <v>134</v>
      </c>
      <c r="DB1014" t="s">
        <v>134</v>
      </c>
      <c r="DC1014" t="s">
        <v>114</v>
      </c>
      <c r="DD1014" t="s">
        <v>134</v>
      </c>
    </row>
    <row r="1015" spans="1:113" ht="15" customHeight="1" x14ac:dyDescent="0.25">
      <c r="A1015" t="s">
        <v>14327</v>
      </c>
      <c r="B1015" t="s">
        <v>165</v>
      </c>
      <c r="C1015" s="1">
        <v>44816.756870717596</v>
      </c>
      <c r="D1015" s="1">
        <v>44841</v>
      </c>
      <c r="E1015" t="s">
        <v>134</v>
      </c>
      <c r="F1015" t="s">
        <v>14328</v>
      </c>
      <c r="G1015" t="str">
        <f>"37-3011.00"</f>
        <v>37-3011.00</v>
      </c>
      <c r="H1015" t="s">
        <v>335</v>
      </c>
      <c r="I1015">
        <v>6</v>
      </c>
      <c r="J1015">
        <v>6</v>
      </c>
      <c r="K1015" s="1">
        <v>44891</v>
      </c>
      <c r="L1015" s="1">
        <v>45061</v>
      </c>
      <c r="M1015" s="1">
        <v>44891</v>
      </c>
      <c r="N1015" s="1">
        <v>45061</v>
      </c>
      <c r="O1015" t="s">
        <v>117</v>
      </c>
      <c r="P1015" t="s">
        <v>14329</v>
      </c>
      <c r="R1015" t="s">
        <v>14330</v>
      </c>
      <c r="T1015" t="s">
        <v>1504</v>
      </c>
      <c r="U1015" t="s">
        <v>154</v>
      </c>
      <c r="V1015" s="4" t="str">
        <f>"33912"</f>
        <v>33912</v>
      </c>
      <c r="W1015" t="s">
        <v>120</v>
      </c>
      <c r="Y1015" s="5">
        <v>12392102776</v>
      </c>
      <c r="AA1015">
        <v>71391</v>
      </c>
      <c r="AB1015" t="s">
        <v>14331</v>
      </c>
      <c r="AC1015" t="s">
        <v>14332</v>
      </c>
      <c r="AE1015" t="s">
        <v>14333</v>
      </c>
      <c r="AF1015" t="s">
        <v>14334</v>
      </c>
      <c r="AH1015" t="s">
        <v>14335</v>
      </c>
      <c r="AI1015" t="s">
        <v>154</v>
      </c>
      <c r="AJ1015" s="4" t="str">
        <f>"33912"</f>
        <v>33912</v>
      </c>
      <c r="AK1015" t="s">
        <v>120</v>
      </c>
      <c r="AM1015" s="5">
        <v>12392102776</v>
      </c>
      <c r="AO1015" t="s">
        <v>14336</v>
      </c>
      <c r="AP1015" t="s">
        <v>256</v>
      </c>
      <c r="AQ1015" t="s">
        <v>400</v>
      </c>
      <c r="AR1015" t="s">
        <v>401</v>
      </c>
      <c r="AS1015" t="s">
        <v>397</v>
      </c>
      <c r="AT1015" t="s">
        <v>402</v>
      </c>
      <c r="AU1015" t="s">
        <v>152</v>
      </c>
      <c r="AV1015" t="s">
        <v>403</v>
      </c>
      <c r="AW1015" t="s">
        <v>232</v>
      </c>
      <c r="AX1015" s="4" t="str">
        <f>"75033"</f>
        <v>75033</v>
      </c>
      <c r="AY1015" t="s">
        <v>120</v>
      </c>
      <c r="BA1015" s="5">
        <v>19727789690</v>
      </c>
      <c r="BC1015" t="s">
        <v>1534</v>
      </c>
      <c r="BD1015" t="s">
        <v>405</v>
      </c>
      <c r="BG1015" t="s">
        <v>154</v>
      </c>
      <c r="BH1015" s="1">
        <v>44815.833333333336</v>
      </c>
      <c r="BI1015">
        <v>40</v>
      </c>
      <c r="BJ1015">
        <v>8</v>
      </c>
      <c r="BK1015">
        <v>8</v>
      </c>
      <c r="BL1015">
        <v>0</v>
      </c>
      <c r="BM1015">
        <v>8</v>
      </c>
      <c r="BN1015">
        <v>0</v>
      </c>
      <c r="BO1015">
        <v>8</v>
      </c>
      <c r="BP1015">
        <v>8</v>
      </c>
      <c r="BQ1015" t="str">
        <f>"5:30 AM"</f>
        <v>5:30 AM</v>
      </c>
      <c r="BR1015" t="str">
        <f>"2:00 PM"</f>
        <v>2:00 PM</v>
      </c>
      <c r="BS1015" t="s">
        <v>133</v>
      </c>
      <c r="BT1015">
        <v>0</v>
      </c>
      <c r="BU1015">
        <v>0</v>
      </c>
      <c r="BV1015" t="s">
        <v>134</v>
      </c>
      <c r="BX1015" s="2" t="s">
        <v>14337</v>
      </c>
      <c r="BY1015" t="s">
        <v>14330</v>
      </c>
      <c r="CA1015" t="s">
        <v>1504</v>
      </c>
      <c r="CB1015" t="s">
        <v>154</v>
      </c>
      <c r="CC1015" s="4" t="str">
        <f>"33912"</f>
        <v>33912</v>
      </c>
      <c r="CD1015" t="s">
        <v>1505</v>
      </c>
      <c r="CE1015" t="s">
        <v>1506</v>
      </c>
      <c r="CF1015" s="6">
        <v>15.64</v>
      </c>
      <c r="CG1015" s="6">
        <v>15.64</v>
      </c>
      <c r="CH1015" s="6">
        <v>23.46</v>
      </c>
      <c r="CI1015" s="6">
        <v>23.46</v>
      </c>
      <c r="CJ1015" t="s">
        <v>137</v>
      </c>
      <c r="CK1015" t="s">
        <v>950</v>
      </c>
      <c r="CL1015" t="s">
        <v>14338</v>
      </c>
      <c r="CO1015" t="s">
        <v>138</v>
      </c>
      <c r="CP1015" t="s">
        <v>134</v>
      </c>
      <c r="CQ1015" t="s">
        <v>134</v>
      </c>
      <c r="CR1015" t="s">
        <v>114</v>
      </c>
      <c r="CS1015" t="s">
        <v>114</v>
      </c>
      <c r="CT1015" t="s">
        <v>114</v>
      </c>
      <c r="CU1015" t="s">
        <v>114</v>
      </c>
      <c r="CV1015" s="2" t="s">
        <v>14339</v>
      </c>
      <c r="CW1015" s="5" t="str">
        <f>"+12392102776"</f>
        <v>+12392102776</v>
      </c>
      <c r="CX1015" t="s">
        <v>138</v>
      </c>
      <c r="CY1015" t="s">
        <v>1274</v>
      </c>
      <c r="CZ1015" t="s">
        <v>139</v>
      </c>
      <c r="DA1015" t="s">
        <v>134</v>
      </c>
      <c r="DB1015" t="s">
        <v>114</v>
      </c>
      <c r="DC1015" t="s">
        <v>114</v>
      </c>
      <c r="DD1015" t="s">
        <v>134</v>
      </c>
    </row>
    <row r="1016" spans="1:113" ht="15" customHeight="1" x14ac:dyDescent="0.25">
      <c r="A1016" t="s">
        <v>7757</v>
      </c>
      <c r="B1016" t="s">
        <v>165</v>
      </c>
      <c r="C1016" s="1">
        <v>44813.803814120372</v>
      </c>
      <c r="D1016" s="1">
        <v>44841</v>
      </c>
      <c r="E1016" t="s">
        <v>114</v>
      </c>
      <c r="F1016" t="s">
        <v>7758</v>
      </c>
      <c r="G1016" t="str">
        <f>"49-9098.00"</f>
        <v>49-9098.00</v>
      </c>
      <c r="H1016" t="s">
        <v>525</v>
      </c>
      <c r="I1016">
        <v>5</v>
      </c>
      <c r="J1016">
        <v>5</v>
      </c>
      <c r="K1016" s="1">
        <v>44888</v>
      </c>
      <c r="L1016" s="1">
        <v>45016</v>
      </c>
      <c r="M1016" s="1">
        <v>44888</v>
      </c>
      <c r="N1016" s="1">
        <v>45016</v>
      </c>
      <c r="O1016" t="s">
        <v>117</v>
      </c>
      <c r="P1016" t="s">
        <v>7759</v>
      </c>
      <c r="R1016" t="s">
        <v>7760</v>
      </c>
      <c r="T1016" t="s">
        <v>7761</v>
      </c>
      <c r="U1016" t="s">
        <v>420</v>
      </c>
      <c r="V1016" s="4" t="str">
        <f>"84032"</f>
        <v>84032</v>
      </c>
      <c r="W1016" t="s">
        <v>120</v>
      </c>
      <c r="Y1016" s="5">
        <v>18019532332</v>
      </c>
      <c r="AA1016">
        <v>5617</v>
      </c>
      <c r="AB1016" t="s">
        <v>7060</v>
      </c>
      <c r="AC1016" t="s">
        <v>3548</v>
      </c>
      <c r="AE1016" t="s">
        <v>1710</v>
      </c>
      <c r="AF1016" t="s">
        <v>7760</v>
      </c>
      <c r="AH1016" t="s">
        <v>7761</v>
      </c>
      <c r="AI1016" t="s">
        <v>420</v>
      </c>
      <c r="AJ1016" s="4" t="str">
        <f>"84032"</f>
        <v>84032</v>
      </c>
      <c r="AK1016" t="s">
        <v>120</v>
      </c>
      <c r="AM1016" s="5">
        <v>18019532332</v>
      </c>
      <c r="AO1016" t="s">
        <v>7762</v>
      </c>
      <c r="AP1016" t="s">
        <v>122</v>
      </c>
      <c r="AQ1016" t="s">
        <v>1898</v>
      </c>
      <c r="AR1016" t="s">
        <v>1486</v>
      </c>
      <c r="AS1016" t="s">
        <v>1458</v>
      </c>
      <c r="AT1016" t="s">
        <v>7061</v>
      </c>
      <c r="AU1016" t="s">
        <v>7062</v>
      </c>
      <c r="AV1016" t="s">
        <v>1788</v>
      </c>
      <c r="AW1016" t="s">
        <v>444</v>
      </c>
      <c r="AX1016" s="4" t="str">
        <f>"90067"</f>
        <v>90067</v>
      </c>
      <c r="AY1016" t="s">
        <v>120</v>
      </c>
      <c r="BA1016" s="5">
        <v>16465048472</v>
      </c>
      <c r="BC1016" t="s">
        <v>7063</v>
      </c>
      <c r="BD1016" t="s">
        <v>7064</v>
      </c>
      <c r="BE1016" t="s">
        <v>281</v>
      </c>
      <c r="BF1016" t="s">
        <v>7763</v>
      </c>
      <c r="BG1016" t="s">
        <v>420</v>
      </c>
      <c r="BH1016" s="1">
        <v>44812.833333333336</v>
      </c>
      <c r="BI1016">
        <v>35</v>
      </c>
      <c r="BJ1016">
        <v>0</v>
      </c>
      <c r="BK1016">
        <v>7</v>
      </c>
      <c r="BL1016">
        <v>7</v>
      </c>
      <c r="BM1016">
        <v>7</v>
      </c>
      <c r="BN1016">
        <v>7</v>
      </c>
      <c r="BO1016">
        <v>7</v>
      </c>
      <c r="BP1016">
        <v>0</v>
      </c>
      <c r="BQ1016" t="str">
        <f>"8:30 AM"</f>
        <v>8:30 AM</v>
      </c>
      <c r="BR1016" t="str">
        <f>"4:00 PM"</f>
        <v>4:00 PM</v>
      </c>
      <c r="BS1016" t="s">
        <v>133</v>
      </c>
      <c r="BT1016">
        <v>0</v>
      </c>
      <c r="BU1016">
        <v>0</v>
      </c>
      <c r="BV1016" t="s">
        <v>134</v>
      </c>
      <c r="BX1016" s="2" t="s">
        <v>7764</v>
      </c>
      <c r="BY1016" t="s">
        <v>7765</v>
      </c>
      <c r="CA1016" t="s">
        <v>4552</v>
      </c>
      <c r="CB1016" t="s">
        <v>420</v>
      </c>
      <c r="CC1016" s="4" t="str">
        <f>"84070"</f>
        <v>84070</v>
      </c>
      <c r="CD1016" t="s">
        <v>688</v>
      </c>
      <c r="CE1016" t="s">
        <v>689</v>
      </c>
      <c r="CF1016" s="6">
        <v>18.420000000000002</v>
      </c>
      <c r="CG1016" s="6">
        <v>18.420000000000002</v>
      </c>
      <c r="CH1016" s="6">
        <v>27.63</v>
      </c>
      <c r="CI1016" s="6">
        <v>27.63</v>
      </c>
      <c r="CJ1016" t="s">
        <v>137</v>
      </c>
      <c r="CK1016" t="s">
        <v>7766</v>
      </c>
      <c r="CL1016" t="s">
        <v>7767</v>
      </c>
      <c r="CO1016" t="s">
        <v>138</v>
      </c>
      <c r="CP1016" t="s">
        <v>134</v>
      </c>
      <c r="CQ1016" t="s">
        <v>134</v>
      </c>
      <c r="CR1016" t="s">
        <v>114</v>
      </c>
      <c r="CS1016" t="s">
        <v>114</v>
      </c>
      <c r="CT1016" t="s">
        <v>114</v>
      </c>
      <c r="CU1016" t="s">
        <v>114</v>
      </c>
      <c r="CV1016" s="2" t="s">
        <v>7768</v>
      </c>
      <c r="CW1016" s="5" t="str">
        <f>"+18019532332"</f>
        <v>+18019532332</v>
      </c>
      <c r="CX1016" t="s">
        <v>7762</v>
      </c>
      <c r="CY1016" t="s">
        <v>138</v>
      </c>
      <c r="CZ1016" t="s">
        <v>139</v>
      </c>
      <c r="DA1016" t="s">
        <v>134</v>
      </c>
      <c r="DB1016" t="s">
        <v>134</v>
      </c>
      <c r="DC1016" t="s">
        <v>114</v>
      </c>
      <c r="DD1016" t="s">
        <v>134</v>
      </c>
    </row>
    <row r="1017" spans="1:113" ht="15" customHeight="1" x14ac:dyDescent="0.25">
      <c r="A1017" t="s">
        <v>14463</v>
      </c>
      <c r="B1017" t="s">
        <v>165</v>
      </c>
      <c r="C1017" s="1">
        <v>44813.539569791668</v>
      </c>
      <c r="D1017" s="1">
        <v>44841</v>
      </c>
      <c r="E1017" t="s">
        <v>134</v>
      </c>
      <c r="F1017" t="s">
        <v>524</v>
      </c>
      <c r="G1017" t="str">
        <f>"49-9098.00"</f>
        <v>49-9098.00</v>
      </c>
      <c r="H1017" t="s">
        <v>525</v>
      </c>
      <c r="I1017">
        <v>20</v>
      </c>
      <c r="J1017">
        <v>20</v>
      </c>
      <c r="K1017" s="1">
        <v>44888</v>
      </c>
      <c r="L1017" s="1">
        <v>45000</v>
      </c>
      <c r="M1017" s="1">
        <v>44888</v>
      </c>
      <c r="N1017" s="1">
        <v>45000</v>
      </c>
      <c r="O1017" t="s">
        <v>199</v>
      </c>
      <c r="P1017" t="s">
        <v>14464</v>
      </c>
      <c r="Q1017" t="s">
        <v>138</v>
      </c>
      <c r="R1017" t="s">
        <v>14465</v>
      </c>
      <c r="S1017" t="s">
        <v>138</v>
      </c>
      <c r="T1017" t="s">
        <v>2108</v>
      </c>
      <c r="U1017" t="s">
        <v>232</v>
      </c>
      <c r="V1017" s="4" t="str">
        <f>"78221"</f>
        <v>78221</v>
      </c>
      <c r="W1017" t="s">
        <v>120</v>
      </c>
      <c r="X1017" t="s">
        <v>138</v>
      </c>
      <c r="Y1017" s="5">
        <v>12102400215</v>
      </c>
      <c r="Z1017">
        <v>0</v>
      </c>
      <c r="AA1017">
        <v>71399</v>
      </c>
      <c r="AB1017" t="s">
        <v>779</v>
      </c>
      <c r="AC1017" t="s">
        <v>844</v>
      </c>
      <c r="AD1017" t="s">
        <v>138</v>
      </c>
      <c r="AE1017" t="s">
        <v>3191</v>
      </c>
      <c r="AF1017" t="s">
        <v>14465</v>
      </c>
      <c r="AG1017" t="s">
        <v>138</v>
      </c>
      <c r="AH1017" t="s">
        <v>2108</v>
      </c>
      <c r="AI1017" t="s">
        <v>232</v>
      </c>
      <c r="AJ1017" s="4" t="str">
        <f>"78221"</f>
        <v>78221</v>
      </c>
      <c r="AK1017" t="s">
        <v>120</v>
      </c>
      <c r="AM1017" s="5">
        <v>12102400215</v>
      </c>
      <c r="AN1017">
        <v>0</v>
      </c>
      <c r="AO1017" t="s">
        <v>14466</v>
      </c>
      <c r="AP1017" t="s">
        <v>256</v>
      </c>
      <c r="AQ1017" t="s">
        <v>535</v>
      </c>
      <c r="AR1017" t="s">
        <v>536</v>
      </c>
      <c r="AS1017" t="s">
        <v>537</v>
      </c>
      <c r="AT1017" t="s">
        <v>538</v>
      </c>
      <c r="AU1017" t="s">
        <v>539</v>
      </c>
      <c r="AV1017" t="s">
        <v>540</v>
      </c>
      <c r="AW1017" t="s">
        <v>232</v>
      </c>
      <c r="AX1017" s="4" t="str">
        <f>"78550"</f>
        <v>78550</v>
      </c>
      <c r="AY1017" t="s">
        <v>120</v>
      </c>
      <c r="BA1017" s="5">
        <v>19564408720</v>
      </c>
      <c r="BB1017">
        <v>0</v>
      </c>
      <c r="BC1017" t="s">
        <v>1022</v>
      </c>
      <c r="BD1017" t="s">
        <v>543</v>
      </c>
      <c r="BG1017" t="s">
        <v>232</v>
      </c>
      <c r="BH1017" s="1">
        <v>44812.833333333336</v>
      </c>
      <c r="BI1017">
        <v>35</v>
      </c>
      <c r="BJ1017">
        <v>0</v>
      </c>
      <c r="BK1017">
        <v>7</v>
      </c>
      <c r="BL1017">
        <v>7</v>
      </c>
      <c r="BM1017">
        <v>7</v>
      </c>
      <c r="BN1017">
        <v>7</v>
      </c>
      <c r="BO1017">
        <v>7</v>
      </c>
      <c r="BP1017">
        <v>0</v>
      </c>
      <c r="BQ1017" t="str">
        <f>"9:00 AM"</f>
        <v>9:00 AM</v>
      </c>
      <c r="BR1017" t="str">
        <f>"5:00 PM"</f>
        <v>5:00 PM</v>
      </c>
      <c r="BS1017" t="s">
        <v>133</v>
      </c>
      <c r="BT1017">
        <v>0</v>
      </c>
      <c r="BU1017">
        <v>0</v>
      </c>
      <c r="BV1017" t="s">
        <v>134</v>
      </c>
      <c r="BX1017" s="2" t="s">
        <v>579</v>
      </c>
      <c r="BY1017" t="s">
        <v>14465</v>
      </c>
      <c r="CA1017" t="s">
        <v>2108</v>
      </c>
      <c r="CB1017" t="s">
        <v>232</v>
      </c>
      <c r="CC1017" s="4" t="str">
        <f>"78221"</f>
        <v>78221</v>
      </c>
      <c r="CD1017" t="s">
        <v>2112</v>
      </c>
      <c r="CE1017" t="s">
        <v>1342</v>
      </c>
      <c r="CF1017" s="6">
        <v>16.25</v>
      </c>
      <c r="CG1017" s="6">
        <v>16.25</v>
      </c>
      <c r="CJ1017" t="s">
        <v>137</v>
      </c>
      <c r="CK1017" t="s">
        <v>549</v>
      </c>
      <c r="CL1017" t="s">
        <v>14467</v>
      </c>
      <c r="CO1017" t="s">
        <v>138</v>
      </c>
      <c r="CP1017" t="s">
        <v>134</v>
      </c>
      <c r="CQ1017" t="s">
        <v>114</v>
      </c>
      <c r="CR1017" t="s">
        <v>134</v>
      </c>
      <c r="CS1017" t="s">
        <v>114</v>
      </c>
      <c r="CT1017" t="s">
        <v>114</v>
      </c>
      <c r="CU1017" t="s">
        <v>114</v>
      </c>
      <c r="CV1017" t="s">
        <v>14468</v>
      </c>
      <c r="CW1017" s="5" t="str">
        <f>"+12102400215"</f>
        <v>+12102400215</v>
      </c>
      <c r="CX1017" t="s">
        <v>14466</v>
      </c>
      <c r="CY1017" t="s">
        <v>138</v>
      </c>
      <c r="CZ1017" t="s">
        <v>139</v>
      </c>
      <c r="DA1017" t="s">
        <v>134</v>
      </c>
      <c r="DB1017" t="s">
        <v>114</v>
      </c>
      <c r="DC1017" t="s">
        <v>114</v>
      </c>
      <c r="DD1017" t="s">
        <v>134</v>
      </c>
    </row>
    <row r="1018" spans="1:113" ht="15" customHeight="1" x14ac:dyDescent="0.25">
      <c r="A1018" t="s">
        <v>15403</v>
      </c>
      <c r="B1018" t="s">
        <v>165</v>
      </c>
      <c r="C1018" s="1">
        <v>44812.9323</v>
      </c>
      <c r="D1018" s="1">
        <v>44841</v>
      </c>
      <c r="E1018" t="s">
        <v>114</v>
      </c>
      <c r="F1018" t="s">
        <v>4214</v>
      </c>
      <c r="G1018" t="str">
        <f>"49-9098.00"</f>
        <v>49-9098.00</v>
      </c>
      <c r="H1018" t="s">
        <v>525</v>
      </c>
      <c r="I1018">
        <v>3</v>
      </c>
      <c r="J1018">
        <v>3</v>
      </c>
      <c r="K1018" s="1">
        <v>44887</v>
      </c>
      <c r="L1018" s="1">
        <v>45016</v>
      </c>
      <c r="M1018" s="1">
        <v>44887</v>
      </c>
      <c r="N1018" s="1">
        <v>45016</v>
      </c>
      <c r="O1018" t="s">
        <v>117</v>
      </c>
      <c r="P1018" t="s">
        <v>14904</v>
      </c>
      <c r="R1018" t="s">
        <v>14905</v>
      </c>
      <c r="T1018" t="s">
        <v>1637</v>
      </c>
      <c r="U1018" t="s">
        <v>420</v>
      </c>
      <c r="V1018" s="4" t="str">
        <f>"84065"</f>
        <v>84065</v>
      </c>
      <c r="W1018" t="s">
        <v>120</v>
      </c>
      <c r="Y1018" s="5">
        <v>18015580604</v>
      </c>
      <c r="AA1018">
        <v>5617</v>
      </c>
      <c r="AB1018" t="s">
        <v>14906</v>
      </c>
      <c r="AC1018" t="s">
        <v>6920</v>
      </c>
      <c r="AD1018" t="s">
        <v>1997</v>
      </c>
      <c r="AE1018" t="s">
        <v>424</v>
      </c>
      <c r="AF1018" t="s">
        <v>14905</v>
      </c>
      <c r="AH1018" t="s">
        <v>1637</v>
      </c>
      <c r="AI1018" t="s">
        <v>420</v>
      </c>
      <c r="AJ1018" s="4" t="str">
        <f>"84065"</f>
        <v>84065</v>
      </c>
      <c r="AK1018" t="s">
        <v>120</v>
      </c>
      <c r="AM1018" s="5">
        <v>18015580604</v>
      </c>
      <c r="AO1018" t="s">
        <v>14907</v>
      </c>
      <c r="AP1018" t="s">
        <v>122</v>
      </c>
      <c r="AQ1018" t="s">
        <v>1898</v>
      </c>
      <c r="AR1018" t="s">
        <v>1486</v>
      </c>
      <c r="AS1018" t="s">
        <v>1458</v>
      </c>
      <c r="AT1018" t="s">
        <v>7061</v>
      </c>
      <c r="AU1018" t="s">
        <v>7062</v>
      </c>
      <c r="AV1018" t="s">
        <v>1788</v>
      </c>
      <c r="AW1018" t="s">
        <v>444</v>
      </c>
      <c r="AX1018" s="4" t="str">
        <f>"90067"</f>
        <v>90067</v>
      </c>
      <c r="AY1018" t="s">
        <v>120</v>
      </c>
      <c r="BA1018" s="5">
        <v>16465048472</v>
      </c>
      <c r="BC1018" t="s">
        <v>7063</v>
      </c>
      <c r="BD1018" t="s">
        <v>7064</v>
      </c>
      <c r="BE1018" t="s">
        <v>281</v>
      </c>
      <c r="BF1018" t="s">
        <v>7763</v>
      </c>
      <c r="BG1018" t="s">
        <v>420</v>
      </c>
      <c r="BH1018" s="1">
        <v>44811.833333333336</v>
      </c>
      <c r="BI1018">
        <v>35</v>
      </c>
      <c r="BJ1018">
        <v>0</v>
      </c>
      <c r="BK1018">
        <v>7</v>
      </c>
      <c r="BL1018">
        <v>7</v>
      </c>
      <c r="BM1018">
        <v>7</v>
      </c>
      <c r="BN1018">
        <v>7</v>
      </c>
      <c r="BO1018">
        <v>7</v>
      </c>
      <c r="BP1018">
        <v>0</v>
      </c>
      <c r="BQ1018" t="str">
        <f>"9:00 AM"</f>
        <v>9:00 AM</v>
      </c>
      <c r="BR1018" t="str">
        <f>"4:30 PM"</f>
        <v>4:30 PM</v>
      </c>
      <c r="BS1018" t="s">
        <v>133</v>
      </c>
      <c r="BT1018">
        <v>0</v>
      </c>
      <c r="BU1018">
        <v>0</v>
      </c>
      <c r="BV1018" t="s">
        <v>134</v>
      </c>
      <c r="BX1018" t="s">
        <v>2154</v>
      </c>
      <c r="BY1018" t="s">
        <v>15404</v>
      </c>
      <c r="CA1018" t="s">
        <v>6001</v>
      </c>
      <c r="CB1018" t="s">
        <v>420</v>
      </c>
      <c r="CC1018" s="4" t="str">
        <f>"84093"</f>
        <v>84093</v>
      </c>
      <c r="CD1018" t="s">
        <v>688</v>
      </c>
      <c r="CE1018" t="s">
        <v>689</v>
      </c>
      <c r="CF1018" s="6">
        <v>18.420000000000002</v>
      </c>
      <c r="CG1018" s="6">
        <v>18.420000000000002</v>
      </c>
      <c r="CH1018" s="6">
        <v>27.63</v>
      </c>
      <c r="CI1018" s="6">
        <v>27.63</v>
      </c>
      <c r="CJ1018" t="s">
        <v>137</v>
      </c>
      <c r="CK1018" t="s">
        <v>15405</v>
      </c>
      <c r="CL1018" t="s">
        <v>15406</v>
      </c>
      <c r="CO1018" t="s">
        <v>138</v>
      </c>
      <c r="CP1018" t="s">
        <v>134</v>
      </c>
      <c r="CQ1018" t="s">
        <v>134</v>
      </c>
      <c r="CR1018" t="s">
        <v>114</v>
      </c>
      <c r="CS1018" t="s">
        <v>114</v>
      </c>
      <c r="CT1018" t="s">
        <v>114</v>
      </c>
      <c r="CU1018" t="s">
        <v>134</v>
      </c>
      <c r="CV1018" s="2" t="s">
        <v>15407</v>
      </c>
      <c r="CW1018" s="5" t="str">
        <f>"+18015580604"</f>
        <v>+18015580604</v>
      </c>
      <c r="CX1018" t="s">
        <v>14907</v>
      </c>
      <c r="CY1018" t="s">
        <v>138</v>
      </c>
      <c r="CZ1018" t="s">
        <v>139</v>
      </c>
      <c r="DA1018" t="s">
        <v>134</v>
      </c>
      <c r="DB1018" t="s">
        <v>134</v>
      </c>
      <c r="DC1018" t="s">
        <v>114</v>
      </c>
      <c r="DD1018" t="s">
        <v>134</v>
      </c>
    </row>
    <row r="1019" spans="1:113" ht="15" customHeight="1" x14ac:dyDescent="0.25">
      <c r="A1019" t="s">
        <v>14469</v>
      </c>
      <c r="B1019" t="s">
        <v>165</v>
      </c>
      <c r="C1019" s="1">
        <v>44812.741192939815</v>
      </c>
      <c r="D1019" s="1">
        <v>44841</v>
      </c>
      <c r="E1019" t="s">
        <v>134</v>
      </c>
      <c r="F1019" t="s">
        <v>14470</v>
      </c>
      <c r="G1019" t="str">
        <f>"37-3011.00"</f>
        <v>37-3011.00</v>
      </c>
      <c r="H1019" t="s">
        <v>335</v>
      </c>
      <c r="I1019">
        <v>33</v>
      </c>
      <c r="J1019">
        <v>33</v>
      </c>
      <c r="K1019" s="1">
        <v>44887</v>
      </c>
      <c r="L1019" s="1">
        <v>45031</v>
      </c>
      <c r="M1019" s="1">
        <v>44887</v>
      </c>
      <c r="N1019" s="1">
        <v>45031</v>
      </c>
      <c r="O1019" t="s">
        <v>199</v>
      </c>
      <c r="P1019" t="s">
        <v>14471</v>
      </c>
      <c r="R1019" t="s">
        <v>14472</v>
      </c>
      <c r="T1019" t="s">
        <v>14473</v>
      </c>
      <c r="U1019" t="s">
        <v>1414</v>
      </c>
      <c r="V1019" s="4" t="str">
        <f>"49418"</f>
        <v>49418</v>
      </c>
      <c r="W1019" t="s">
        <v>120</v>
      </c>
      <c r="X1019" t="s">
        <v>138</v>
      </c>
      <c r="Y1019" s="5">
        <v>16166982700</v>
      </c>
      <c r="Z1019">
        <v>0</v>
      </c>
      <c r="AA1019">
        <v>5617</v>
      </c>
      <c r="AB1019" t="s">
        <v>14474</v>
      </c>
      <c r="AC1019" t="s">
        <v>146</v>
      </c>
      <c r="AD1019" t="s">
        <v>975</v>
      </c>
      <c r="AE1019" t="s">
        <v>342</v>
      </c>
      <c r="AF1019" t="s">
        <v>14475</v>
      </c>
      <c r="AH1019" t="s">
        <v>14473</v>
      </c>
      <c r="AI1019" t="s">
        <v>1414</v>
      </c>
      <c r="AJ1019" s="4" t="str">
        <f>"49418"</f>
        <v>49418</v>
      </c>
      <c r="AK1019" t="s">
        <v>120</v>
      </c>
      <c r="AM1019" s="5">
        <v>16164376219</v>
      </c>
      <c r="AN1019">
        <v>0</v>
      </c>
      <c r="AO1019" t="s">
        <v>14476</v>
      </c>
      <c r="AP1019" t="s">
        <v>256</v>
      </c>
      <c r="AQ1019" t="s">
        <v>535</v>
      </c>
      <c r="AR1019" t="s">
        <v>536</v>
      </c>
      <c r="AS1019" t="s">
        <v>537</v>
      </c>
      <c r="AT1019" t="s">
        <v>538</v>
      </c>
      <c r="AU1019" t="s">
        <v>539</v>
      </c>
      <c r="AV1019" t="s">
        <v>540</v>
      </c>
      <c r="AW1019" t="s">
        <v>232</v>
      </c>
      <c r="AX1019" s="4" t="str">
        <f>"78550"</f>
        <v>78550</v>
      </c>
      <c r="AY1019" t="s">
        <v>120</v>
      </c>
      <c r="AZ1019" t="s">
        <v>541</v>
      </c>
      <c r="BA1019" s="5">
        <v>19564408720</v>
      </c>
      <c r="BB1019">
        <v>0</v>
      </c>
      <c r="BC1019" t="s">
        <v>542</v>
      </c>
      <c r="BD1019" t="s">
        <v>543</v>
      </c>
      <c r="BG1019" t="s">
        <v>1414</v>
      </c>
      <c r="BH1019" s="1">
        <v>44811.833333333336</v>
      </c>
      <c r="BI1019">
        <v>35</v>
      </c>
      <c r="BJ1019">
        <v>0</v>
      </c>
      <c r="BK1019">
        <v>7</v>
      </c>
      <c r="BL1019">
        <v>7</v>
      </c>
      <c r="BM1019">
        <v>7</v>
      </c>
      <c r="BN1019">
        <v>7</v>
      </c>
      <c r="BO1019">
        <v>7</v>
      </c>
      <c r="BP1019">
        <v>0</v>
      </c>
      <c r="BQ1019" t="str">
        <f>"7:30 AM"</f>
        <v>7:30 AM</v>
      </c>
      <c r="BR1019" t="str">
        <f>"5:00 PM"</f>
        <v>5:00 PM</v>
      </c>
      <c r="BS1019" t="s">
        <v>133</v>
      </c>
      <c r="BT1019">
        <v>0</v>
      </c>
      <c r="BU1019">
        <v>0</v>
      </c>
      <c r="BV1019" t="s">
        <v>134</v>
      </c>
      <c r="BX1019" t="s">
        <v>14477</v>
      </c>
      <c r="BY1019" t="s">
        <v>14478</v>
      </c>
      <c r="CA1019" t="s">
        <v>8157</v>
      </c>
      <c r="CB1019" t="s">
        <v>1414</v>
      </c>
      <c r="CC1019" s="4" t="str">
        <f>"48108"</f>
        <v>48108</v>
      </c>
      <c r="CD1019" t="s">
        <v>7893</v>
      </c>
      <c r="CE1019" t="s">
        <v>7894</v>
      </c>
      <c r="CF1019" s="6">
        <v>16.71</v>
      </c>
      <c r="CG1019" s="6">
        <v>16.71</v>
      </c>
      <c r="CH1019" s="6">
        <v>25.06</v>
      </c>
      <c r="CI1019" s="6">
        <v>25.06</v>
      </c>
      <c r="CJ1019" t="s">
        <v>137</v>
      </c>
      <c r="CL1019" t="s">
        <v>14479</v>
      </c>
      <c r="CO1019" t="s">
        <v>138</v>
      </c>
      <c r="CP1019" t="s">
        <v>114</v>
      </c>
      <c r="CQ1019" t="s">
        <v>114</v>
      </c>
      <c r="CR1019" t="s">
        <v>114</v>
      </c>
      <c r="CS1019" t="s">
        <v>114</v>
      </c>
      <c r="CT1019" t="s">
        <v>114</v>
      </c>
      <c r="CU1019" t="s">
        <v>114</v>
      </c>
      <c r="CV1019" s="2" t="s">
        <v>14480</v>
      </c>
      <c r="CW1019" s="5" t="str">
        <f>"+16164376219"</f>
        <v>+16164376219</v>
      </c>
      <c r="CX1019" t="s">
        <v>14481</v>
      </c>
      <c r="CY1019" t="s">
        <v>138</v>
      </c>
      <c r="CZ1019" t="s">
        <v>139</v>
      </c>
      <c r="DA1019" t="s">
        <v>134</v>
      </c>
      <c r="DB1019" t="s">
        <v>134</v>
      </c>
      <c r="DC1019" t="s">
        <v>114</v>
      </c>
      <c r="DD1019" t="s">
        <v>134</v>
      </c>
    </row>
    <row r="1020" spans="1:113" ht="15" customHeight="1" x14ac:dyDescent="0.25">
      <c r="A1020" t="s">
        <v>8475</v>
      </c>
      <c r="B1020" t="s">
        <v>165</v>
      </c>
      <c r="C1020" s="1">
        <v>44812.562344675927</v>
      </c>
      <c r="D1020" s="1">
        <v>44841</v>
      </c>
      <c r="E1020" t="s">
        <v>134</v>
      </c>
      <c r="F1020" t="s">
        <v>8476</v>
      </c>
      <c r="G1020" t="str">
        <f>"35-2014.00"</f>
        <v>35-2014.00</v>
      </c>
      <c r="H1020" t="s">
        <v>915</v>
      </c>
      <c r="I1020">
        <v>4</v>
      </c>
      <c r="J1020">
        <v>4</v>
      </c>
      <c r="K1020" s="1">
        <v>44896</v>
      </c>
      <c r="L1020" s="1">
        <v>44986</v>
      </c>
      <c r="M1020" s="1">
        <v>44896</v>
      </c>
      <c r="N1020" s="1">
        <v>44986</v>
      </c>
      <c r="O1020" t="s">
        <v>199</v>
      </c>
      <c r="P1020" t="s">
        <v>8477</v>
      </c>
      <c r="R1020" t="s">
        <v>8478</v>
      </c>
      <c r="T1020" t="s">
        <v>8479</v>
      </c>
      <c r="U1020" t="s">
        <v>1191</v>
      </c>
      <c r="V1020" s="4" t="str">
        <f>"03242"</f>
        <v>03242</v>
      </c>
      <c r="W1020" t="s">
        <v>120</v>
      </c>
      <c r="Y1020" s="5">
        <v>16034283245</v>
      </c>
      <c r="AA1020">
        <v>713920</v>
      </c>
      <c r="AB1020" t="s">
        <v>8480</v>
      </c>
      <c r="AC1020" t="s">
        <v>2116</v>
      </c>
      <c r="AE1020" t="s">
        <v>8481</v>
      </c>
      <c r="AF1020" t="s">
        <v>8478</v>
      </c>
      <c r="AG1020" t="s">
        <v>8482</v>
      </c>
      <c r="AH1020" t="s">
        <v>8479</v>
      </c>
      <c r="AI1020" t="s">
        <v>1191</v>
      </c>
      <c r="AJ1020" s="4" t="str">
        <f>"03242"</f>
        <v>03242</v>
      </c>
      <c r="AK1020" t="s">
        <v>120</v>
      </c>
      <c r="AM1020" s="5">
        <v>16034283245</v>
      </c>
      <c r="AO1020" t="s">
        <v>8483</v>
      </c>
      <c r="AP1020" t="s">
        <v>122</v>
      </c>
      <c r="AQ1020" t="s">
        <v>753</v>
      </c>
      <c r="AR1020" t="s">
        <v>754</v>
      </c>
      <c r="AS1020" t="s">
        <v>755</v>
      </c>
      <c r="AT1020" t="s">
        <v>756</v>
      </c>
      <c r="AU1020" t="s">
        <v>757</v>
      </c>
      <c r="AV1020" t="s">
        <v>758</v>
      </c>
      <c r="AW1020" t="s">
        <v>281</v>
      </c>
      <c r="AX1020" s="4" t="str">
        <f>"01701"</f>
        <v>01701</v>
      </c>
      <c r="AY1020" t="s">
        <v>120</v>
      </c>
      <c r="BA1020" s="5">
        <v>16179399444</v>
      </c>
      <c r="BC1020" t="s">
        <v>2487</v>
      </c>
      <c r="BD1020" t="s">
        <v>760</v>
      </c>
      <c r="BE1020" t="s">
        <v>281</v>
      </c>
      <c r="BF1020" t="s">
        <v>761</v>
      </c>
      <c r="BG1020" t="s">
        <v>1191</v>
      </c>
      <c r="BH1020" s="1">
        <v>44805.833333333336</v>
      </c>
      <c r="BI1020">
        <v>40</v>
      </c>
      <c r="BJ1020">
        <v>0</v>
      </c>
      <c r="BK1020">
        <v>8</v>
      </c>
      <c r="BL1020">
        <v>8</v>
      </c>
      <c r="BM1020">
        <v>8</v>
      </c>
      <c r="BN1020">
        <v>8</v>
      </c>
      <c r="BO1020">
        <v>8</v>
      </c>
      <c r="BP1020">
        <v>0</v>
      </c>
      <c r="BQ1020" t="str">
        <f>"9:00 AM"</f>
        <v>9:00 AM</v>
      </c>
      <c r="BR1020" t="str">
        <f>"4:00 PM"</f>
        <v>4:00 PM</v>
      </c>
      <c r="BS1020" t="s">
        <v>133</v>
      </c>
      <c r="BT1020">
        <v>0</v>
      </c>
      <c r="BU1020">
        <v>3</v>
      </c>
      <c r="BV1020" t="s">
        <v>134</v>
      </c>
      <c r="BX1020" s="2" t="s">
        <v>8484</v>
      </c>
      <c r="BY1020" t="s">
        <v>8478</v>
      </c>
      <c r="CA1020" t="s">
        <v>8479</v>
      </c>
      <c r="CB1020" t="s">
        <v>1191</v>
      </c>
      <c r="CC1020" s="4" t="str">
        <f>"03242"</f>
        <v>03242</v>
      </c>
      <c r="CD1020" t="s">
        <v>4404</v>
      </c>
      <c r="CE1020" t="s">
        <v>2630</v>
      </c>
      <c r="CF1020" s="6">
        <v>18.010000000000002</v>
      </c>
      <c r="CH1020" s="6">
        <v>27.02</v>
      </c>
      <c r="CJ1020" t="s">
        <v>137</v>
      </c>
      <c r="CK1020" t="s">
        <v>8485</v>
      </c>
      <c r="CL1020" t="s">
        <v>8486</v>
      </c>
      <c r="CO1020" t="s">
        <v>138</v>
      </c>
      <c r="CP1020" t="s">
        <v>134</v>
      </c>
      <c r="CQ1020" t="s">
        <v>134</v>
      </c>
      <c r="CR1020" t="s">
        <v>114</v>
      </c>
      <c r="CS1020" t="s">
        <v>114</v>
      </c>
      <c r="CT1020" t="s">
        <v>114</v>
      </c>
      <c r="CU1020" t="s">
        <v>114</v>
      </c>
      <c r="CV1020" t="s">
        <v>8487</v>
      </c>
      <c r="CW1020" s="5" t="str">
        <f>"+16034283245"</f>
        <v>+16034283245</v>
      </c>
      <c r="CX1020" t="s">
        <v>8483</v>
      </c>
      <c r="CY1020" t="s">
        <v>138</v>
      </c>
      <c r="CZ1020" t="s">
        <v>139</v>
      </c>
      <c r="DA1020" t="s">
        <v>134</v>
      </c>
      <c r="DB1020" t="s">
        <v>134</v>
      </c>
      <c r="DC1020" t="s">
        <v>114</v>
      </c>
      <c r="DD1020" t="s">
        <v>134</v>
      </c>
    </row>
    <row r="1021" spans="1:113" ht="15" customHeight="1" x14ac:dyDescent="0.25">
      <c r="A1021" t="s">
        <v>15873</v>
      </c>
      <c r="B1021" t="s">
        <v>165</v>
      </c>
      <c r="C1021" s="1">
        <v>44811.784361689817</v>
      </c>
      <c r="D1021" s="1">
        <v>44841</v>
      </c>
      <c r="E1021" t="s">
        <v>134</v>
      </c>
      <c r="F1021" t="s">
        <v>1106</v>
      </c>
      <c r="G1021" t="str">
        <f>"45-4011.00"</f>
        <v>45-4011.00</v>
      </c>
      <c r="H1021" t="s">
        <v>1107</v>
      </c>
      <c r="I1021">
        <v>120</v>
      </c>
      <c r="J1021">
        <v>120</v>
      </c>
      <c r="K1021" s="1">
        <v>44886</v>
      </c>
      <c r="L1021" s="1">
        <v>45107</v>
      </c>
      <c r="M1021" s="1">
        <v>44886</v>
      </c>
      <c r="N1021" s="1">
        <v>45107</v>
      </c>
      <c r="O1021" t="s">
        <v>199</v>
      </c>
      <c r="P1021" t="s">
        <v>15874</v>
      </c>
      <c r="R1021" t="s">
        <v>15875</v>
      </c>
      <c r="T1021" t="s">
        <v>15876</v>
      </c>
      <c r="U1021" t="s">
        <v>479</v>
      </c>
      <c r="V1021" s="4" t="str">
        <f>"22960"</f>
        <v>22960</v>
      </c>
      <c r="W1021" t="s">
        <v>120</v>
      </c>
      <c r="Y1021" s="5">
        <v>14349069709</v>
      </c>
      <c r="AA1021">
        <v>11531</v>
      </c>
      <c r="AB1021" t="s">
        <v>1352</v>
      </c>
      <c r="AC1021" t="s">
        <v>422</v>
      </c>
      <c r="AD1021" t="s">
        <v>138</v>
      </c>
      <c r="AE1021" t="s">
        <v>424</v>
      </c>
      <c r="AF1021" t="s">
        <v>15875</v>
      </c>
      <c r="AH1021" t="s">
        <v>15876</v>
      </c>
      <c r="AI1021" t="s">
        <v>479</v>
      </c>
      <c r="AJ1021" s="4" t="str">
        <f>"22960"</f>
        <v>22960</v>
      </c>
      <c r="AK1021" t="s">
        <v>120</v>
      </c>
      <c r="AM1021" s="5">
        <v>14349069709</v>
      </c>
      <c r="AO1021" t="s">
        <v>15877</v>
      </c>
      <c r="AP1021" t="s">
        <v>256</v>
      </c>
      <c r="AQ1021" t="s">
        <v>826</v>
      </c>
      <c r="AR1021" t="s">
        <v>827</v>
      </c>
      <c r="AS1021" t="s">
        <v>138</v>
      </c>
      <c r="AT1021" t="s">
        <v>346</v>
      </c>
      <c r="AU1021" t="s">
        <v>347</v>
      </c>
      <c r="AV1021" t="s">
        <v>828</v>
      </c>
      <c r="AW1021" t="s">
        <v>349</v>
      </c>
      <c r="AX1021" s="4" t="str">
        <f>"83814"</f>
        <v>83814</v>
      </c>
      <c r="AY1021" t="s">
        <v>120</v>
      </c>
      <c r="BA1021" s="5">
        <v>12087772654</v>
      </c>
      <c r="BC1021" t="s">
        <v>829</v>
      </c>
      <c r="BD1021" t="s">
        <v>351</v>
      </c>
      <c r="BG1021" t="s">
        <v>479</v>
      </c>
      <c r="BH1021" s="1">
        <v>44810.833333333336</v>
      </c>
      <c r="BI1021">
        <v>40</v>
      </c>
      <c r="BJ1021">
        <v>0</v>
      </c>
      <c r="BK1021">
        <v>8</v>
      </c>
      <c r="BL1021">
        <v>8</v>
      </c>
      <c r="BM1021">
        <v>8</v>
      </c>
      <c r="BN1021">
        <v>8</v>
      </c>
      <c r="BO1021">
        <v>8</v>
      </c>
      <c r="BP1021">
        <v>0</v>
      </c>
      <c r="BQ1021" t="str">
        <f>"8:00 AM"</f>
        <v>8:00 AM</v>
      </c>
      <c r="BR1021" t="str">
        <f>"5:00 PM"</f>
        <v>5:00 PM</v>
      </c>
      <c r="BS1021" t="s">
        <v>133</v>
      </c>
      <c r="BT1021">
        <v>0</v>
      </c>
      <c r="BU1021">
        <v>3</v>
      </c>
      <c r="BV1021" t="s">
        <v>134</v>
      </c>
      <c r="BX1021" s="2" t="s">
        <v>2124</v>
      </c>
      <c r="BY1021" t="s">
        <v>15878</v>
      </c>
      <c r="CA1021" t="s">
        <v>12619</v>
      </c>
      <c r="CB1021" t="s">
        <v>119</v>
      </c>
      <c r="CC1021" s="4" t="str">
        <f>"27938"</f>
        <v>27938</v>
      </c>
      <c r="CD1021" t="s">
        <v>15879</v>
      </c>
      <c r="CE1021" t="s">
        <v>1687</v>
      </c>
      <c r="CF1021" s="6">
        <v>8.8000000000000007</v>
      </c>
      <c r="CG1021" s="6">
        <v>25.34</v>
      </c>
      <c r="CH1021" s="6">
        <v>13.2</v>
      </c>
      <c r="CI1021" s="6">
        <v>38.01</v>
      </c>
      <c r="CJ1021" t="s">
        <v>137</v>
      </c>
      <c r="CK1021" t="s">
        <v>2125</v>
      </c>
      <c r="CL1021" t="s">
        <v>15880</v>
      </c>
      <c r="CO1021" t="s">
        <v>138</v>
      </c>
      <c r="CP1021" t="s">
        <v>114</v>
      </c>
      <c r="CQ1021" t="s">
        <v>114</v>
      </c>
      <c r="CR1021" t="s">
        <v>114</v>
      </c>
      <c r="CS1021" t="s">
        <v>134</v>
      </c>
      <c r="CT1021" t="s">
        <v>114</v>
      </c>
      <c r="CU1021" t="s">
        <v>114</v>
      </c>
      <c r="CV1021" s="2" t="s">
        <v>15881</v>
      </c>
      <c r="CW1021" s="5" t="str">
        <f>"+14349069709"</f>
        <v>+14349069709</v>
      </c>
      <c r="CX1021" t="s">
        <v>15882</v>
      </c>
      <c r="CY1021" t="s">
        <v>138</v>
      </c>
      <c r="CZ1021" t="s">
        <v>139</v>
      </c>
      <c r="DA1021" t="s">
        <v>134</v>
      </c>
      <c r="DB1021" t="s">
        <v>134</v>
      </c>
      <c r="DC1021" t="s">
        <v>114</v>
      </c>
      <c r="DD1021" t="s">
        <v>134</v>
      </c>
    </row>
    <row r="1022" spans="1:113" ht="15" customHeight="1" x14ac:dyDescent="0.25">
      <c r="A1022" t="s">
        <v>584</v>
      </c>
      <c r="B1022" t="s">
        <v>165</v>
      </c>
      <c r="C1022" s="1">
        <v>44806.001005787039</v>
      </c>
      <c r="D1022" s="1">
        <v>44841</v>
      </c>
      <c r="E1022" t="s">
        <v>134</v>
      </c>
      <c r="F1022" t="s">
        <v>361</v>
      </c>
      <c r="G1022" t="str">
        <f>"35-3023.00"</f>
        <v>35-3023.00</v>
      </c>
      <c r="H1022" t="s">
        <v>555</v>
      </c>
      <c r="I1022">
        <v>30</v>
      </c>
      <c r="J1022">
        <v>30</v>
      </c>
      <c r="K1022" s="1">
        <v>44896</v>
      </c>
      <c r="L1022" s="1">
        <v>45199</v>
      </c>
      <c r="M1022" s="1">
        <v>44896</v>
      </c>
      <c r="N1022" s="1">
        <v>45199</v>
      </c>
      <c r="O1022" t="s">
        <v>199</v>
      </c>
      <c r="P1022" t="s">
        <v>585</v>
      </c>
      <c r="R1022" t="s">
        <v>586</v>
      </c>
      <c r="T1022" t="s">
        <v>587</v>
      </c>
      <c r="U1022" t="s">
        <v>530</v>
      </c>
      <c r="V1022" s="4" t="str">
        <f>"85040"</f>
        <v>85040</v>
      </c>
      <c r="W1022" t="s">
        <v>120</v>
      </c>
      <c r="Y1022" s="5">
        <v>14807483510</v>
      </c>
      <c r="AA1022">
        <v>71399</v>
      </c>
      <c r="AB1022" t="s">
        <v>588</v>
      </c>
      <c r="AC1022" t="s">
        <v>589</v>
      </c>
      <c r="AE1022" t="s">
        <v>424</v>
      </c>
      <c r="AF1022" t="s">
        <v>586</v>
      </c>
      <c r="AH1022" t="s">
        <v>587</v>
      </c>
      <c r="AI1022" t="s">
        <v>530</v>
      </c>
      <c r="AJ1022" s="4" t="str">
        <f>"85040"</f>
        <v>85040</v>
      </c>
      <c r="AK1022" t="s">
        <v>120</v>
      </c>
      <c r="AM1022" s="5">
        <v>14807483510</v>
      </c>
      <c r="AO1022" t="s">
        <v>590</v>
      </c>
      <c r="AP1022" t="s">
        <v>256</v>
      </c>
      <c r="AQ1022" t="s">
        <v>400</v>
      </c>
      <c r="AR1022" t="s">
        <v>401</v>
      </c>
      <c r="AS1022" t="s">
        <v>397</v>
      </c>
      <c r="AT1022" t="s">
        <v>402</v>
      </c>
      <c r="AU1022" t="s">
        <v>152</v>
      </c>
      <c r="AV1022" t="s">
        <v>403</v>
      </c>
      <c r="AW1022" t="s">
        <v>232</v>
      </c>
      <c r="AX1022" s="4" t="str">
        <f>"75033"</f>
        <v>75033</v>
      </c>
      <c r="AY1022" t="s">
        <v>120</v>
      </c>
      <c r="BA1022" s="5">
        <v>19727789690</v>
      </c>
      <c r="BC1022" t="s">
        <v>404</v>
      </c>
      <c r="BD1022" t="s">
        <v>405</v>
      </c>
      <c r="BG1022" t="s">
        <v>530</v>
      </c>
      <c r="BH1022" s="1">
        <v>44805.833333333336</v>
      </c>
      <c r="BI1022">
        <v>48</v>
      </c>
      <c r="BJ1022">
        <v>8</v>
      </c>
      <c r="BK1022">
        <v>0</v>
      </c>
      <c r="BL1022">
        <v>8</v>
      </c>
      <c r="BM1022">
        <v>8</v>
      </c>
      <c r="BN1022">
        <v>8</v>
      </c>
      <c r="BO1022">
        <v>8</v>
      </c>
      <c r="BP1022">
        <v>8</v>
      </c>
      <c r="BQ1022" t="str">
        <f>"10:00 AM"</f>
        <v>10:00 AM</v>
      </c>
      <c r="BR1022" t="str">
        <f>"7:00 PM"</f>
        <v>7:00 PM</v>
      </c>
      <c r="BS1022" t="s">
        <v>133</v>
      </c>
      <c r="BT1022">
        <v>0</v>
      </c>
      <c r="BU1022">
        <v>0</v>
      </c>
      <c r="BV1022" t="s">
        <v>134</v>
      </c>
      <c r="BX1022" s="2" t="s">
        <v>591</v>
      </c>
      <c r="BY1022" t="s">
        <v>586</v>
      </c>
      <c r="CA1022" t="s">
        <v>587</v>
      </c>
      <c r="CB1022" t="s">
        <v>530</v>
      </c>
      <c r="CC1022" s="4" t="str">
        <f>"85040"</f>
        <v>85040</v>
      </c>
      <c r="CD1022" t="s">
        <v>592</v>
      </c>
      <c r="CE1022" t="s">
        <v>548</v>
      </c>
      <c r="CF1022" s="6">
        <v>11.85</v>
      </c>
      <c r="CG1022" s="6">
        <v>16.649999999999999</v>
      </c>
      <c r="CH1022" s="6">
        <v>17.78</v>
      </c>
      <c r="CI1022" s="6">
        <v>31.86</v>
      </c>
      <c r="CJ1022" t="s">
        <v>137</v>
      </c>
      <c r="CK1022" t="s">
        <v>593</v>
      </c>
      <c r="CL1022" t="s">
        <v>594</v>
      </c>
      <c r="CO1022" t="s">
        <v>138</v>
      </c>
      <c r="CP1022" t="s">
        <v>114</v>
      </c>
      <c r="CQ1022" t="s">
        <v>114</v>
      </c>
      <c r="CR1022" t="s">
        <v>114</v>
      </c>
      <c r="CS1022" t="s">
        <v>114</v>
      </c>
      <c r="CT1022" t="s">
        <v>114</v>
      </c>
      <c r="CU1022" t="s">
        <v>114</v>
      </c>
      <c r="CV1022" s="2" t="s">
        <v>595</v>
      </c>
      <c r="CW1022" s="5" t="str">
        <f>"+14807483510"</f>
        <v>+14807483510</v>
      </c>
      <c r="CX1022" t="s">
        <v>138</v>
      </c>
      <c r="CY1022" t="s">
        <v>596</v>
      </c>
      <c r="CZ1022" t="s">
        <v>139</v>
      </c>
      <c r="DA1022" t="s">
        <v>134</v>
      </c>
      <c r="DB1022" t="s">
        <v>114</v>
      </c>
      <c r="DC1022" t="s">
        <v>114</v>
      </c>
      <c r="DD1022" t="s">
        <v>134</v>
      </c>
    </row>
    <row r="1023" spans="1:113" ht="15" customHeight="1" x14ac:dyDescent="0.25">
      <c r="A1023" t="s">
        <v>6724</v>
      </c>
      <c r="B1023" t="s">
        <v>165</v>
      </c>
      <c r="C1023" s="1">
        <v>44799.798258564813</v>
      </c>
      <c r="D1023" s="1">
        <v>44841</v>
      </c>
      <c r="E1023" t="s">
        <v>134</v>
      </c>
      <c r="F1023" t="s">
        <v>6725</v>
      </c>
      <c r="G1023" t="str">
        <f>"49-9081.00"</f>
        <v>49-9081.00</v>
      </c>
      <c r="H1023" t="s">
        <v>6726</v>
      </c>
      <c r="I1023">
        <v>40</v>
      </c>
      <c r="J1023">
        <v>40</v>
      </c>
      <c r="K1023" s="1">
        <v>44874</v>
      </c>
      <c r="L1023" s="1">
        <v>45108</v>
      </c>
      <c r="M1023" s="1">
        <v>44874</v>
      </c>
      <c r="N1023" s="1">
        <v>45108</v>
      </c>
      <c r="O1023" t="s">
        <v>117</v>
      </c>
      <c r="P1023" t="s">
        <v>6727</v>
      </c>
      <c r="R1023" t="s">
        <v>6728</v>
      </c>
      <c r="T1023" t="s">
        <v>6729</v>
      </c>
      <c r="U1023" t="s">
        <v>232</v>
      </c>
      <c r="V1023" s="4" t="str">
        <f>"77040"</f>
        <v>77040</v>
      </c>
      <c r="W1023" t="s">
        <v>120</v>
      </c>
      <c r="Y1023" s="5">
        <v>12815505540</v>
      </c>
      <c r="AA1023">
        <v>541350</v>
      </c>
      <c r="AB1023" t="s">
        <v>6730</v>
      </c>
      <c r="AC1023" t="s">
        <v>6731</v>
      </c>
      <c r="AE1023" t="s">
        <v>285</v>
      </c>
      <c r="AF1023" t="s">
        <v>6728</v>
      </c>
      <c r="AH1023" t="s">
        <v>6729</v>
      </c>
      <c r="AI1023" t="s">
        <v>232</v>
      </c>
      <c r="AJ1023" s="4" t="str">
        <f>"77040"</f>
        <v>77040</v>
      </c>
      <c r="AK1023" t="s">
        <v>120</v>
      </c>
      <c r="AM1023" s="5">
        <v>12815505540</v>
      </c>
      <c r="AO1023" t="s">
        <v>6732</v>
      </c>
      <c r="AP1023" t="s">
        <v>122</v>
      </c>
      <c r="AQ1023" t="s">
        <v>6733</v>
      </c>
      <c r="AR1023" t="s">
        <v>6734</v>
      </c>
      <c r="AS1023" t="s">
        <v>4044</v>
      </c>
      <c r="AT1023" t="s">
        <v>6735</v>
      </c>
      <c r="AU1023" t="s">
        <v>6358</v>
      </c>
      <c r="AV1023" t="s">
        <v>1788</v>
      </c>
      <c r="AW1023" t="s">
        <v>444</v>
      </c>
      <c r="AX1023" s="4" t="str">
        <f>"90067"</f>
        <v>90067</v>
      </c>
      <c r="AY1023" t="s">
        <v>120</v>
      </c>
      <c r="BA1023" s="5">
        <v>13232827770</v>
      </c>
      <c r="BC1023" t="s">
        <v>6736</v>
      </c>
      <c r="BD1023" t="s">
        <v>6737</v>
      </c>
      <c r="BE1023" t="s">
        <v>444</v>
      </c>
      <c r="BF1023" t="s">
        <v>6738</v>
      </c>
      <c r="BG1023" t="s">
        <v>232</v>
      </c>
      <c r="BH1023" s="1">
        <v>44798.833333333336</v>
      </c>
      <c r="BI1023">
        <v>40</v>
      </c>
      <c r="BJ1023">
        <v>0</v>
      </c>
      <c r="BK1023">
        <v>8</v>
      </c>
      <c r="BL1023">
        <v>8</v>
      </c>
      <c r="BM1023">
        <v>8</v>
      </c>
      <c r="BN1023">
        <v>8</v>
      </c>
      <c r="BO1023">
        <v>8</v>
      </c>
      <c r="BP1023">
        <v>0</v>
      </c>
      <c r="BQ1023" t="str">
        <f>"8:00 AM"</f>
        <v>8:00 AM</v>
      </c>
      <c r="BR1023" t="str">
        <f>"5:00 PM"</f>
        <v>5:00 PM</v>
      </c>
      <c r="BS1023" t="s">
        <v>133</v>
      </c>
      <c r="BT1023">
        <v>0</v>
      </c>
      <c r="BU1023">
        <v>12</v>
      </c>
      <c r="BV1023" t="s">
        <v>134</v>
      </c>
      <c r="BX1023" t="s">
        <v>138</v>
      </c>
      <c r="BY1023" t="s">
        <v>6728</v>
      </c>
      <c r="CA1023" t="s">
        <v>6729</v>
      </c>
      <c r="CB1023" t="s">
        <v>232</v>
      </c>
      <c r="CC1023" s="4" t="str">
        <f>"77040"</f>
        <v>77040</v>
      </c>
      <c r="CD1023" t="s">
        <v>3290</v>
      </c>
      <c r="CE1023" t="s">
        <v>873</v>
      </c>
      <c r="CF1023" s="6">
        <v>27.52</v>
      </c>
      <c r="CG1023" s="6">
        <v>27.52</v>
      </c>
      <c r="CH1023" s="6">
        <v>41.28</v>
      </c>
      <c r="CI1023" s="6">
        <v>41.28</v>
      </c>
      <c r="CJ1023" t="s">
        <v>137</v>
      </c>
      <c r="CL1023" t="s">
        <v>6739</v>
      </c>
      <c r="CO1023" t="s">
        <v>138</v>
      </c>
      <c r="CP1023" t="s">
        <v>134</v>
      </c>
      <c r="CQ1023" t="s">
        <v>114</v>
      </c>
      <c r="CR1023" t="s">
        <v>114</v>
      </c>
      <c r="CS1023" t="s">
        <v>114</v>
      </c>
      <c r="CT1023" t="s">
        <v>114</v>
      </c>
      <c r="CU1023" t="s">
        <v>114</v>
      </c>
      <c r="CV1023" t="s">
        <v>6740</v>
      </c>
      <c r="CW1023" s="5" t="str">
        <f>"+12815505540"</f>
        <v>+12815505540</v>
      </c>
      <c r="CX1023" t="s">
        <v>138</v>
      </c>
      <c r="CY1023" t="s">
        <v>6741</v>
      </c>
      <c r="CZ1023" t="s">
        <v>139</v>
      </c>
      <c r="DA1023" t="s">
        <v>134</v>
      </c>
      <c r="DB1023" t="s">
        <v>134</v>
      </c>
      <c r="DC1023" t="s">
        <v>114</v>
      </c>
      <c r="DD1023" t="s">
        <v>134</v>
      </c>
      <c r="DE1023" t="s">
        <v>6733</v>
      </c>
      <c r="DF1023" t="s">
        <v>6734</v>
      </c>
      <c r="DG1023" t="s">
        <v>4044</v>
      </c>
      <c r="DH1023" t="s">
        <v>6737</v>
      </c>
      <c r="DI1023" t="s">
        <v>6742</v>
      </c>
    </row>
    <row r="1024" spans="1:113" ht="15" customHeight="1" x14ac:dyDescent="0.25">
      <c r="A1024" t="s">
        <v>12103</v>
      </c>
      <c r="B1024" t="s">
        <v>165</v>
      </c>
      <c r="C1024" s="1">
        <v>44796.415659027778</v>
      </c>
      <c r="D1024" s="1">
        <v>44841</v>
      </c>
      <c r="E1024" t="s">
        <v>134</v>
      </c>
      <c r="F1024" t="s">
        <v>115</v>
      </c>
      <c r="G1024" t="str">
        <f>"37-2012.00"</f>
        <v>37-2012.00</v>
      </c>
      <c r="H1024" t="s">
        <v>116</v>
      </c>
      <c r="I1024">
        <v>6</v>
      </c>
      <c r="J1024">
        <v>6</v>
      </c>
      <c r="K1024" s="1">
        <v>44886</v>
      </c>
      <c r="L1024" s="1">
        <v>45016</v>
      </c>
      <c r="M1024" s="1">
        <v>44886</v>
      </c>
      <c r="N1024" s="1">
        <v>45016</v>
      </c>
      <c r="O1024" t="s">
        <v>117</v>
      </c>
      <c r="P1024" t="s">
        <v>12104</v>
      </c>
      <c r="Q1024" t="s">
        <v>12105</v>
      </c>
      <c r="R1024" t="s">
        <v>12106</v>
      </c>
      <c r="S1024" t="s">
        <v>12107</v>
      </c>
      <c r="T1024" t="s">
        <v>3681</v>
      </c>
      <c r="U1024" t="s">
        <v>181</v>
      </c>
      <c r="V1024" s="4" t="str">
        <f>"80477"</f>
        <v>80477</v>
      </c>
      <c r="W1024" t="s">
        <v>120</v>
      </c>
      <c r="Y1024" s="5">
        <v>19708792931</v>
      </c>
      <c r="AA1024">
        <v>72111</v>
      </c>
      <c r="AB1024" t="s">
        <v>12108</v>
      </c>
      <c r="AC1024" t="s">
        <v>1440</v>
      </c>
      <c r="AE1024" t="s">
        <v>1555</v>
      </c>
      <c r="AF1024" t="s">
        <v>12106</v>
      </c>
      <c r="AG1024" t="s">
        <v>12107</v>
      </c>
      <c r="AH1024" t="s">
        <v>3681</v>
      </c>
      <c r="AI1024" t="s">
        <v>181</v>
      </c>
      <c r="AJ1024" s="4" t="str">
        <f>"80477"</f>
        <v>80477</v>
      </c>
      <c r="AK1024" t="s">
        <v>120</v>
      </c>
      <c r="AM1024" s="5">
        <v>19708792931</v>
      </c>
      <c r="AO1024" t="s">
        <v>12109</v>
      </c>
      <c r="AP1024" t="s">
        <v>256</v>
      </c>
      <c r="AQ1024" t="s">
        <v>400</v>
      </c>
      <c r="AR1024" t="s">
        <v>401</v>
      </c>
      <c r="AS1024" t="s">
        <v>397</v>
      </c>
      <c r="AT1024" t="s">
        <v>402</v>
      </c>
      <c r="AU1024" t="s">
        <v>152</v>
      </c>
      <c r="AV1024" t="s">
        <v>403</v>
      </c>
      <c r="AW1024" t="s">
        <v>232</v>
      </c>
      <c r="AX1024" s="4" t="str">
        <f>"75033"</f>
        <v>75033</v>
      </c>
      <c r="AY1024" t="s">
        <v>120</v>
      </c>
      <c r="BA1024" s="5">
        <v>19727789690</v>
      </c>
      <c r="BC1024" t="s">
        <v>1503</v>
      </c>
      <c r="BD1024" t="s">
        <v>405</v>
      </c>
      <c r="BG1024" t="s">
        <v>181</v>
      </c>
      <c r="BH1024" s="1">
        <v>44794.833333333336</v>
      </c>
      <c r="BI1024">
        <v>40</v>
      </c>
      <c r="BJ1024">
        <v>8</v>
      </c>
      <c r="BK1024">
        <v>8</v>
      </c>
      <c r="BL1024">
        <v>0</v>
      </c>
      <c r="BM1024">
        <v>0</v>
      </c>
      <c r="BN1024">
        <v>8</v>
      </c>
      <c r="BO1024">
        <v>8</v>
      </c>
      <c r="BP1024">
        <v>8</v>
      </c>
      <c r="BQ1024" t="str">
        <f>"8:30 AM"</f>
        <v>8:30 AM</v>
      </c>
      <c r="BR1024" t="str">
        <f>"5:00 PM"</f>
        <v>5:00 PM</v>
      </c>
      <c r="BS1024" t="s">
        <v>133</v>
      </c>
      <c r="BT1024">
        <v>0</v>
      </c>
      <c r="BU1024">
        <v>0</v>
      </c>
      <c r="BV1024" t="s">
        <v>134</v>
      </c>
      <c r="BX1024" s="2" t="s">
        <v>12110</v>
      </c>
      <c r="BY1024" t="s">
        <v>12106</v>
      </c>
      <c r="CA1024" t="s">
        <v>12111</v>
      </c>
      <c r="CB1024" t="s">
        <v>181</v>
      </c>
      <c r="CC1024" s="4" t="str">
        <f>"80477"</f>
        <v>80477</v>
      </c>
      <c r="CD1024" t="s">
        <v>3692</v>
      </c>
      <c r="CE1024" t="s">
        <v>1570</v>
      </c>
      <c r="CF1024" s="6">
        <v>16.649999999999999</v>
      </c>
      <c r="CH1024" s="6">
        <v>24.98</v>
      </c>
      <c r="CJ1024" t="s">
        <v>137</v>
      </c>
      <c r="CK1024" t="s">
        <v>950</v>
      </c>
      <c r="CL1024" t="s">
        <v>12112</v>
      </c>
      <c r="CO1024" t="s">
        <v>138</v>
      </c>
      <c r="CP1024" t="s">
        <v>134</v>
      </c>
      <c r="CQ1024" t="s">
        <v>134</v>
      </c>
      <c r="CR1024" t="s">
        <v>114</v>
      </c>
      <c r="CS1024" t="s">
        <v>114</v>
      </c>
      <c r="CT1024" t="s">
        <v>114</v>
      </c>
      <c r="CU1024" t="s">
        <v>114</v>
      </c>
      <c r="CV1024" s="2" t="s">
        <v>12113</v>
      </c>
      <c r="CW1024" s="5" t="str">
        <f>"+19708792931"</f>
        <v>+19708792931</v>
      </c>
      <c r="CX1024" t="s">
        <v>138</v>
      </c>
      <c r="CY1024" t="s">
        <v>12114</v>
      </c>
      <c r="CZ1024" t="s">
        <v>139</v>
      </c>
      <c r="DA1024" t="s">
        <v>134</v>
      </c>
      <c r="DB1024" t="s">
        <v>114</v>
      </c>
      <c r="DC1024" t="s">
        <v>114</v>
      </c>
      <c r="DD1024" t="s">
        <v>134</v>
      </c>
    </row>
    <row r="1025" spans="1:113" ht="15" customHeight="1" x14ac:dyDescent="0.25">
      <c r="A1025" t="s">
        <v>16492</v>
      </c>
      <c r="B1025" t="s">
        <v>165</v>
      </c>
      <c r="C1025" s="1">
        <v>44790.677355439817</v>
      </c>
      <c r="D1025" s="1">
        <v>44841</v>
      </c>
      <c r="E1025" t="s">
        <v>134</v>
      </c>
      <c r="F1025" t="s">
        <v>14165</v>
      </c>
      <c r="G1025" t="str">
        <f>"35-2014.00"</f>
        <v>35-2014.00</v>
      </c>
      <c r="H1025" t="s">
        <v>915</v>
      </c>
      <c r="I1025">
        <v>4</v>
      </c>
      <c r="J1025">
        <v>4</v>
      </c>
      <c r="K1025" s="1">
        <v>44866</v>
      </c>
      <c r="L1025" s="1">
        <v>45047</v>
      </c>
      <c r="M1025" s="1">
        <v>44866</v>
      </c>
      <c r="N1025" s="1">
        <v>45047</v>
      </c>
      <c r="O1025" t="s">
        <v>117</v>
      </c>
      <c r="P1025" t="s">
        <v>3518</v>
      </c>
      <c r="Q1025" t="s">
        <v>3519</v>
      </c>
      <c r="R1025" t="s">
        <v>3520</v>
      </c>
      <c r="T1025" t="s">
        <v>3521</v>
      </c>
      <c r="U1025" t="s">
        <v>154</v>
      </c>
      <c r="V1025" s="4" t="str">
        <f>"34972"</f>
        <v>34972</v>
      </c>
      <c r="W1025" t="s">
        <v>120</v>
      </c>
      <c r="Y1025" s="5">
        <v>18633571619</v>
      </c>
      <c r="AA1025">
        <v>722511</v>
      </c>
      <c r="AB1025" t="s">
        <v>10995</v>
      </c>
      <c r="AC1025" t="s">
        <v>345</v>
      </c>
      <c r="AE1025" t="s">
        <v>424</v>
      </c>
      <c r="AF1025" t="s">
        <v>3520</v>
      </c>
      <c r="AH1025" t="s">
        <v>3521</v>
      </c>
      <c r="AI1025" t="s">
        <v>154</v>
      </c>
      <c r="AJ1025" s="4" t="str">
        <f>"34972"</f>
        <v>34972</v>
      </c>
      <c r="AK1025" t="s">
        <v>120</v>
      </c>
      <c r="AM1025" s="5">
        <v>18633571619</v>
      </c>
      <c r="AO1025" t="s">
        <v>3523</v>
      </c>
      <c r="AP1025" t="s">
        <v>122</v>
      </c>
      <c r="AQ1025" t="s">
        <v>3524</v>
      </c>
      <c r="AR1025" t="s">
        <v>2733</v>
      </c>
      <c r="AS1025" t="s">
        <v>3525</v>
      </c>
      <c r="AT1025" t="s">
        <v>3526</v>
      </c>
      <c r="AU1025" t="s">
        <v>3527</v>
      </c>
      <c r="AV1025" t="s">
        <v>3528</v>
      </c>
      <c r="AW1025" t="s">
        <v>281</v>
      </c>
      <c r="AX1025" s="4" t="str">
        <f>"02108"</f>
        <v>02108</v>
      </c>
      <c r="AY1025" t="s">
        <v>120</v>
      </c>
      <c r="BA1025" s="5">
        <v>16172272915</v>
      </c>
      <c r="BC1025" t="s">
        <v>3529</v>
      </c>
      <c r="BD1025" t="s">
        <v>3530</v>
      </c>
      <c r="BE1025" t="s">
        <v>281</v>
      </c>
      <c r="BF1025" t="s">
        <v>3531</v>
      </c>
      <c r="BG1025" t="s">
        <v>154</v>
      </c>
      <c r="BH1025" s="1">
        <v>44789.833333333336</v>
      </c>
      <c r="BI1025">
        <v>40</v>
      </c>
      <c r="BJ1025">
        <v>8</v>
      </c>
      <c r="BK1025">
        <v>0</v>
      </c>
      <c r="BL1025">
        <v>0</v>
      </c>
      <c r="BM1025">
        <v>8</v>
      </c>
      <c r="BN1025">
        <v>8</v>
      </c>
      <c r="BO1025">
        <v>8</v>
      </c>
      <c r="BP1025">
        <v>8</v>
      </c>
      <c r="BQ1025" t="str">
        <f>"10:00 AM"</f>
        <v>10:00 AM</v>
      </c>
      <c r="BR1025" t="str">
        <f>"6:00 PM"</f>
        <v>6:00 PM</v>
      </c>
      <c r="BS1025" t="s">
        <v>133</v>
      </c>
      <c r="BT1025">
        <v>0</v>
      </c>
      <c r="BU1025">
        <v>0</v>
      </c>
      <c r="BV1025" t="s">
        <v>134</v>
      </c>
      <c r="BX1025" t="s">
        <v>16493</v>
      </c>
      <c r="BY1025" t="s">
        <v>16494</v>
      </c>
      <c r="CA1025" t="s">
        <v>16495</v>
      </c>
      <c r="CB1025" t="s">
        <v>154</v>
      </c>
      <c r="CC1025" s="4" t="str">
        <f>"34972"</f>
        <v>34972</v>
      </c>
      <c r="CD1025" t="s">
        <v>3533</v>
      </c>
      <c r="CE1025" t="s">
        <v>766</v>
      </c>
      <c r="CF1025" s="6">
        <v>15.44</v>
      </c>
      <c r="CH1025" s="6">
        <v>23.16</v>
      </c>
      <c r="CJ1025" t="s">
        <v>137</v>
      </c>
      <c r="CK1025" t="s">
        <v>16496</v>
      </c>
      <c r="CL1025" t="s">
        <v>16497</v>
      </c>
      <c r="CO1025" t="s">
        <v>138</v>
      </c>
      <c r="CP1025" t="s">
        <v>134</v>
      </c>
      <c r="CQ1025" t="s">
        <v>134</v>
      </c>
      <c r="CR1025" t="s">
        <v>114</v>
      </c>
      <c r="CS1025" t="s">
        <v>114</v>
      </c>
      <c r="CT1025" t="s">
        <v>114</v>
      </c>
      <c r="CU1025" t="s">
        <v>114</v>
      </c>
      <c r="CV1025" t="s">
        <v>16498</v>
      </c>
      <c r="CW1025" s="5" t="str">
        <f>"+18633571619"</f>
        <v>+18633571619</v>
      </c>
      <c r="CX1025" t="s">
        <v>3537</v>
      </c>
      <c r="CY1025" t="s">
        <v>138</v>
      </c>
      <c r="CZ1025" t="s">
        <v>139</v>
      </c>
      <c r="DA1025" t="s">
        <v>134</v>
      </c>
      <c r="DB1025" t="s">
        <v>134</v>
      </c>
      <c r="DC1025" t="s">
        <v>114</v>
      </c>
      <c r="DD1025" t="s">
        <v>134</v>
      </c>
    </row>
    <row r="1026" spans="1:113" ht="15" customHeight="1" x14ac:dyDescent="0.25">
      <c r="A1026" t="s">
        <v>3516</v>
      </c>
      <c r="B1026" t="s">
        <v>165</v>
      </c>
      <c r="C1026" s="1">
        <v>44790.676905208333</v>
      </c>
      <c r="D1026" s="1">
        <v>44841</v>
      </c>
      <c r="E1026" t="s">
        <v>134</v>
      </c>
      <c r="F1026" t="s">
        <v>3517</v>
      </c>
      <c r="G1026" t="str">
        <f>"35-9021.00"</f>
        <v>35-9021.00</v>
      </c>
      <c r="H1026" t="s">
        <v>1910</v>
      </c>
      <c r="I1026">
        <v>3</v>
      </c>
      <c r="J1026">
        <v>3</v>
      </c>
      <c r="K1026" s="1">
        <v>44866</v>
      </c>
      <c r="L1026" s="1">
        <v>45047</v>
      </c>
      <c r="M1026" s="1">
        <v>44866</v>
      </c>
      <c r="N1026" s="1">
        <v>45047</v>
      </c>
      <c r="O1026" t="s">
        <v>117</v>
      </c>
      <c r="P1026" t="s">
        <v>3518</v>
      </c>
      <c r="Q1026" t="s">
        <v>3519</v>
      </c>
      <c r="R1026" t="s">
        <v>3520</v>
      </c>
      <c r="T1026" t="s">
        <v>3521</v>
      </c>
      <c r="U1026" t="s">
        <v>154</v>
      </c>
      <c r="V1026" s="4" t="str">
        <f>"34972"</f>
        <v>34972</v>
      </c>
      <c r="W1026" t="s">
        <v>120</v>
      </c>
      <c r="Y1026" s="5">
        <v>18633571619</v>
      </c>
      <c r="AA1026">
        <v>722511</v>
      </c>
      <c r="AB1026" t="s">
        <v>3522</v>
      </c>
      <c r="AC1026" t="s">
        <v>345</v>
      </c>
      <c r="AE1026" t="s">
        <v>424</v>
      </c>
      <c r="AF1026" t="s">
        <v>3520</v>
      </c>
      <c r="AH1026" t="s">
        <v>3521</v>
      </c>
      <c r="AI1026" t="s">
        <v>154</v>
      </c>
      <c r="AJ1026" s="4" t="str">
        <f>"34972"</f>
        <v>34972</v>
      </c>
      <c r="AK1026" t="s">
        <v>120</v>
      </c>
      <c r="AM1026" s="5">
        <v>18633571619</v>
      </c>
      <c r="AO1026" t="s">
        <v>3523</v>
      </c>
      <c r="AP1026" t="s">
        <v>122</v>
      </c>
      <c r="AQ1026" t="s">
        <v>3524</v>
      </c>
      <c r="AR1026" t="s">
        <v>2733</v>
      </c>
      <c r="AS1026" t="s">
        <v>3525</v>
      </c>
      <c r="AT1026" t="s">
        <v>3526</v>
      </c>
      <c r="AU1026" t="s">
        <v>3527</v>
      </c>
      <c r="AV1026" t="s">
        <v>3528</v>
      </c>
      <c r="AW1026" t="s">
        <v>281</v>
      </c>
      <c r="AX1026" s="4" t="str">
        <f>"02108"</f>
        <v>02108</v>
      </c>
      <c r="AY1026" t="s">
        <v>120</v>
      </c>
      <c r="BA1026" s="5">
        <v>16172272915</v>
      </c>
      <c r="BC1026" t="s">
        <v>3529</v>
      </c>
      <c r="BD1026" t="s">
        <v>3530</v>
      </c>
      <c r="BE1026" t="s">
        <v>281</v>
      </c>
      <c r="BF1026" t="s">
        <v>3531</v>
      </c>
      <c r="BG1026" t="s">
        <v>154</v>
      </c>
      <c r="BH1026" s="1">
        <v>44789.833333333336</v>
      </c>
      <c r="BI1026">
        <v>40</v>
      </c>
      <c r="BJ1026">
        <v>8</v>
      </c>
      <c r="BK1026">
        <v>0</v>
      </c>
      <c r="BL1026">
        <v>0</v>
      </c>
      <c r="BM1026">
        <v>8</v>
      </c>
      <c r="BN1026">
        <v>8</v>
      </c>
      <c r="BO1026">
        <v>8</v>
      </c>
      <c r="BP1026">
        <v>8</v>
      </c>
      <c r="BQ1026" t="str">
        <f>"10:00 AM"</f>
        <v>10:00 AM</v>
      </c>
      <c r="BR1026" t="str">
        <f>"6:00 PM"</f>
        <v>6:00 PM</v>
      </c>
      <c r="BS1026" t="s">
        <v>133</v>
      </c>
      <c r="BT1026">
        <v>0</v>
      </c>
      <c r="BU1026">
        <v>0</v>
      </c>
      <c r="BV1026" t="s">
        <v>134</v>
      </c>
      <c r="BX1026" t="s">
        <v>3532</v>
      </c>
      <c r="BY1026" t="s">
        <v>3520</v>
      </c>
      <c r="CA1026" t="s">
        <v>3521</v>
      </c>
      <c r="CB1026" t="s">
        <v>154</v>
      </c>
      <c r="CC1026" s="4" t="str">
        <f>"34972"</f>
        <v>34972</v>
      </c>
      <c r="CD1026" t="s">
        <v>3533</v>
      </c>
      <c r="CE1026" t="s">
        <v>766</v>
      </c>
      <c r="CF1026" s="6">
        <v>13.5</v>
      </c>
      <c r="CH1026" s="6">
        <v>20.25</v>
      </c>
      <c r="CJ1026" t="s">
        <v>137</v>
      </c>
      <c r="CK1026" t="s">
        <v>3534</v>
      </c>
      <c r="CL1026" t="s">
        <v>3535</v>
      </c>
      <c r="CO1026" t="s">
        <v>138</v>
      </c>
      <c r="CP1026" t="s">
        <v>134</v>
      </c>
      <c r="CQ1026" t="s">
        <v>134</v>
      </c>
      <c r="CR1026" t="s">
        <v>114</v>
      </c>
      <c r="CS1026" t="s">
        <v>114</v>
      </c>
      <c r="CT1026" t="s">
        <v>114</v>
      </c>
      <c r="CU1026" t="s">
        <v>114</v>
      </c>
      <c r="CV1026" t="s">
        <v>3536</v>
      </c>
      <c r="CW1026" s="5" t="str">
        <f>"+18638012757"</f>
        <v>+18638012757</v>
      </c>
      <c r="CX1026" t="s">
        <v>3537</v>
      </c>
      <c r="CY1026" t="s">
        <v>138</v>
      </c>
      <c r="CZ1026" t="s">
        <v>139</v>
      </c>
      <c r="DA1026" t="s">
        <v>134</v>
      </c>
      <c r="DB1026" t="s">
        <v>134</v>
      </c>
      <c r="DC1026" t="s">
        <v>114</v>
      </c>
      <c r="DD1026" t="s">
        <v>134</v>
      </c>
    </row>
    <row r="1027" spans="1:113" ht="15" customHeight="1" x14ac:dyDescent="0.25">
      <c r="A1027" t="s">
        <v>15234</v>
      </c>
      <c r="B1027" t="s">
        <v>165</v>
      </c>
      <c r="C1027" s="1">
        <v>44774.926764467593</v>
      </c>
      <c r="D1027" s="1">
        <v>44841</v>
      </c>
      <c r="E1027" t="s">
        <v>134</v>
      </c>
      <c r="F1027" t="s">
        <v>15235</v>
      </c>
      <c r="G1027" t="str">
        <f>"35-3031.00"</f>
        <v>35-3031.00</v>
      </c>
      <c r="H1027" t="s">
        <v>389</v>
      </c>
      <c r="I1027">
        <v>4</v>
      </c>
      <c r="J1027">
        <v>4</v>
      </c>
      <c r="K1027" s="1">
        <v>44849</v>
      </c>
      <c r="L1027" s="1">
        <v>45046</v>
      </c>
      <c r="M1027" s="1">
        <v>44849</v>
      </c>
      <c r="N1027" s="1">
        <v>45046</v>
      </c>
      <c r="O1027" t="s">
        <v>117</v>
      </c>
      <c r="P1027" t="s">
        <v>9737</v>
      </c>
      <c r="R1027" t="s">
        <v>9738</v>
      </c>
      <c r="S1027" t="s">
        <v>9739</v>
      </c>
      <c r="T1027" t="s">
        <v>5592</v>
      </c>
      <c r="U1027" t="s">
        <v>181</v>
      </c>
      <c r="V1027" s="4" t="str">
        <f>"80446"</f>
        <v>80446</v>
      </c>
      <c r="W1027" t="s">
        <v>120</v>
      </c>
      <c r="Y1027" s="5">
        <v>19705312102</v>
      </c>
      <c r="AA1027">
        <v>445210</v>
      </c>
      <c r="AB1027" t="s">
        <v>9740</v>
      </c>
      <c r="AC1027" t="s">
        <v>1586</v>
      </c>
      <c r="AE1027" t="s">
        <v>424</v>
      </c>
      <c r="AF1027" t="s">
        <v>9738</v>
      </c>
      <c r="AG1027" t="s">
        <v>9741</v>
      </c>
      <c r="AH1027" t="s">
        <v>5592</v>
      </c>
      <c r="AI1027" t="s">
        <v>181</v>
      </c>
      <c r="AJ1027" s="4" t="str">
        <f>"80446"</f>
        <v>80446</v>
      </c>
      <c r="AK1027" t="s">
        <v>120</v>
      </c>
      <c r="AM1027" s="5">
        <v>19705312102</v>
      </c>
      <c r="AO1027" t="s">
        <v>9742</v>
      </c>
      <c r="AP1027" t="s">
        <v>122</v>
      </c>
      <c r="AQ1027" t="s">
        <v>753</v>
      </c>
      <c r="AR1027" t="s">
        <v>754</v>
      </c>
      <c r="AS1027" t="s">
        <v>755</v>
      </c>
      <c r="AT1027" t="s">
        <v>756</v>
      </c>
      <c r="AU1027" t="s">
        <v>757</v>
      </c>
      <c r="AV1027" t="s">
        <v>758</v>
      </c>
      <c r="AW1027" t="s">
        <v>281</v>
      </c>
      <c r="AX1027" s="4" t="str">
        <f>"01701"</f>
        <v>01701</v>
      </c>
      <c r="AY1027" t="s">
        <v>120</v>
      </c>
      <c r="BA1027" s="5">
        <v>16179399444</v>
      </c>
      <c r="BC1027" t="s">
        <v>2487</v>
      </c>
      <c r="BD1027" t="s">
        <v>760</v>
      </c>
      <c r="BE1027" t="s">
        <v>281</v>
      </c>
      <c r="BF1027" t="s">
        <v>761</v>
      </c>
      <c r="BG1027" t="s">
        <v>181</v>
      </c>
      <c r="BH1027" s="1">
        <v>44773.833333333336</v>
      </c>
      <c r="BI1027">
        <v>40</v>
      </c>
      <c r="BJ1027">
        <v>0</v>
      </c>
      <c r="BK1027">
        <v>8</v>
      </c>
      <c r="BL1027">
        <v>8</v>
      </c>
      <c r="BM1027">
        <v>8</v>
      </c>
      <c r="BN1027">
        <v>8</v>
      </c>
      <c r="BO1027">
        <v>8</v>
      </c>
      <c r="BP1027">
        <v>0</v>
      </c>
      <c r="BQ1027" t="str">
        <f>"7:00 AM"</f>
        <v>7:00 AM</v>
      </c>
      <c r="BR1027" t="str">
        <f>"4:00 PM"</f>
        <v>4:00 PM</v>
      </c>
      <c r="BS1027" t="s">
        <v>133</v>
      </c>
      <c r="BT1027">
        <v>0</v>
      </c>
      <c r="BU1027">
        <v>3</v>
      </c>
      <c r="BV1027" t="s">
        <v>134</v>
      </c>
      <c r="BX1027" s="2" t="s">
        <v>15236</v>
      </c>
      <c r="BY1027" t="s">
        <v>9738</v>
      </c>
      <c r="CA1027" t="s">
        <v>5592</v>
      </c>
      <c r="CB1027" t="s">
        <v>181</v>
      </c>
      <c r="CC1027" s="4" t="str">
        <f>"80446"</f>
        <v>80446</v>
      </c>
      <c r="CD1027" t="s">
        <v>1847</v>
      </c>
      <c r="CE1027" t="s">
        <v>1570</v>
      </c>
      <c r="CF1027" s="6">
        <v>18.16</v>
      </c>
      <c r="CH1027" s="6">
        <v>27.24</v>
      </c>
      <c r="CJ1027" t="s">
        <v>137</v>
      </c>
      <c r="CK1027" t="e">
        <f>+ DOE.</f>
        <v>#NAME?</v>
      </c>
      <c r="CL1027" t="s">
        <v>15237</v>
      </c>
      <c r="CO1027" t="s">
        <v>138</v>
      </c>
      <c r="CP1027" t="s">
        <v>134</v>
      </c>
      <c r="CQ1027" t="s">
        <v>134</v>
      </c>
      <c r="CR1027" t="s">
        <v>114</v>
      </c>
      <c r="CS1027" t="s">
        <v>114</v>
      </c>
      <c r="CT1027" t="s">
        <v>114</v>
      </c>
      <c r="CU1027" t="s">
        <v>114</v>
      </c>
      <c r="CV1027" t="s">
        <v>9745</v>
      </c>
      <c r="CW1027" s="5" t="str">
        <f>"+19705312102"</f>
        <v>+19705312102</v>
      </c>
      <c r="CX1027" t="s">
        <v>9742</v>
      </c>
      <c r="CY1027" t="s">
        <v>138</v>
      </c>
      <c r="CZ1027" t="s">
        <v>139</v>
      </c>
      <c r="DA1027" t="s">
        <v>134</v>
      </c>
      <c r="DB1027" t="s">
        <v>134</v>
      </c>
      <c r="DC1027" t="s">
        <v>114</v>
      </c>
      <c r="DD1027" t="s">
        <v>134</v>
      </c>
    </row>
    <row r="1028" spans="1:113" ht="15" customHeight="1" x14ac:dyDescent="0.25">
      <c r="A1028" t="s">
        <v>9735</v>
      </c>
      <c r="B1028" t="s">
        <v>165</v>
      </c>
      <c r="C1028" s="1">
        <v>44774.918715740743</v>
      </c>
      <c r="D1028" s="1">
        <v>44841</v>
      </c>
      <c r="E1028" t="s">
        <v>134</v>
      </c>
      <c r="F1028" t="s">
        <v>9736</v>
      </c>
      <c r="G1028" t="str">
        <f>"35-9011.00"</f>
        <v>35-9011.00</v>
      </c>
      <c r="H1028" t="s">
        <v>743</v>
      </c>
      <c r="I1028">
        <v>4</v>
      </c>
      <c r="J1028">
        <v>4</v>
      </c>
      <c r="K1028" s="1">
        <v>44849</v>
      </c>
      <c r="L1028" s="1">
        <v>45046</v>
      </c>
      <c r="M1028" s="1">
        <v>44849</v>
      </c>
      <c r="N1028" s="1">
        <v>45046</v>
      </c>
      <c r="O1028" t="s">
        <v>117</v>
      </c>
      <c r="P1028" t="s">
        <v>9737</v>
      </c>
      <c r="R1028" t="s">
        <v>9738</v>
      </c>
      <c r="S1028" t="s">
        <v>9739</v>
      </c>
      <c r="T1028" t="s">
        <v>5592</v>
      </c>
      <c r="U1028" t="s">
        <v>181</v>
      </c>
      <c r="V1028" s="4" t="str">
        <f>"80446"</f>
        <v>80446</v>
      </c>
      <c r="W1028" t="s">
        <v>120</v>
      </c>
      <c r="Y1028" s="5">
        <v>19705312102</v>
      </c>
      <c r="AA1028">
        <v>445210</v>
      </c>
      <c r="AB1028" t="s">
        <v>9740</v>
      </c>
      <c r="AC1028" t="s">
        <v>1586</v>
      </c>
      <c r="AE1028" t="s">
        <v>424</v>
      </c>
      <c r="AF1028" t="s">
        <v>9738</v>
      </c>
      <c r="AG1028" t="s">
        <v>9741</v>
      </c>
      <c r="AH1028" t="s">
        <v>5592</v>
      </c>
      <c r="AI1028" t="s">
        <v>181</v>
      </c>
      <c r="AJ1028" s="4" t="str">
        <f>"80446"</f>
        <v>80446</v>
      </c>
      <c r="AK1028" t="s">
        <v>120</v>
      </c>
      <c r="AM1028" s="5">
        <v>19705312102</v>
      </c>
      <c r="AO1028" t="s">
        <v>9742</v>
      </c>
      <c r="AP1028" t="s">
        <v>122</v>
      </c>
      <c r="AQ1028" t="s">
        <v>753</v>
      </c>
      <c r="AR1028" t="s">
        <v>754</v>
      </c>
      <c r="AS1028" t="s">
        <v>755</v>
      </c>
      <c r="AT1028" t="s">
        <v>756</v>
      </c>
      <c r="AU1028" t="s">
        <v>757</v>
      </c>
      <c r="AV1028" t="s">
        <v>758</v>
      </c>
      <c r="AW1028" t="s">
        <v>281</v>
      </c>
      <c r="AX1028" s="4" t="str">
        <f>"01701"</f>
        <v>01701</v>
      </c>
      <c r="AY1028" t="s">
        <v>120</v>
      </c>
      <c r="BA1028" s="5">
        <v>16179399444</v>
      </c>
      <c r="BC1028" t="s">
        <v>2487</v>
      </c>
      <c r="BD1028" t="s">
        <v>760</v>
      </c>
      <c r="BE1028" t="s">
        <v>281</v>
      </c>
      <c r="BF1028" t="s">
        <v>761</v>
      </c>
      <c r="BG1028" t="s">
        <v>181</v>
      </c>
      <c r="BH1028" s="1">
        <v>44773.833333333336</v>
      </c>
      <c r="BI1028">
        <v>40</v>
      </c>
      <c r="BJ1028">
        <v>0</v>
      </c>
      <c r="BK1028">
        <v>8</v>
      </c>
      <c r="BL1028">
        <v>8</v>
      </c>
      <c r="BM1028">
        <v>8</v>
      </c>
      <c r="BN1028">
        <v>8</v>
      </c>
      <c r="BO1028">
        <v>8</v>
      </c>
      <c r="BP1028">
        <v>0</v>
      </c>
      <c r="BQ1028" t="str">
        <f>"7:00 AM"</f>
        <v>7:00 AM</v>
      </c>
      <c r="BR1028" t="str">
        <f>"4:00 PM"</f>
        <v>4:00 PM</v>
      </c>
      <c r="BS1028" t="s">
        <v>133</v>
      </c>
      <c r="BT1028">
        <v>0</v>
      </c>
      <c r="BU1028">
        <v>3</v>
      </c>
      <c r="BV1028" t="s">
        <v>134</v>
      </c>
      <c r="BX1028" s="2" t="s">
        <v>9743</v>
      </c>
      <c r="BY1028" t="s">
        <v>9738</v>
      </c>
      <c r="CA1028" t="s">
        <v>5592</v>
      </c>
      <c r="CB1028" t="s">
        <v>181</v>
      </c>
      <c r="CC1028" s="4" t="str">
        <f>"80446"</f>
        <v>80446</v>
      </c>
      <c r="CD1028" t="s">
        <v>1847</v>
      </c>
      <c r="CE1028" t="s">
        <v>1570</v>
      </c>
      <c r="CF1028" s="6">
        <v>15.04</v>
      </c>
      <c r="CH1028" s="6">
        <v>22.56</v>
      </c>
      <c r="CJ1028" t="s">
        <v>137</v>
      </c>
      <c r="CK1028" t="e">
        <f>+ DOE.</f>
        <v>#NAME?</v>
      </c>
      <c r="CL1028" t="s">
        <v>9744</v>
      </c>
      <c r="CO1028" t="s">
        <v>138</v>
      </c>
      <c r="CP1028" t="s">
        <v>134</v>
      </c>
      <c r="CQ1028" t="s">
        <v>134</v>
      </c>
      <c r="CR1028" t="s">
        <v>114</v>
      </c>
      <c r="CS1028" t="s">
        <v>114</v>
      </c>
      <c r="CT1028" t="s">
        <v>114</v>
      </c>
      <c r="CU1028" t="s">
        <v>114</v>
      </c>
      <c r="CV1028" t="s">
        <v>9745</v>
      </c>
      <c r="CW1028" s="5" t="str">
        <f>"+19705312102"</f>
        <v>+19705312102</v>
      </c>
      <c r="CX1028" t="s">
        <v>9742</v>
      </c>
      <c r="CY1028" t="s">
        <v>138</v>
      </c>
      <c r="CZ1028" t="s">
        <v>139</v>
      </c>
      <c r="DA1028" t="s">
        <v>134</v>
      </c>
      <c r="DB1028" t="s">
        <v>134</v>
      </c>
      <c r="DC1028" t="s">
        <v>114</v>
      </c>
      <c r="DD1028" t="s">
        <v>134</v>
      </c>
    </row>
    <row r="1029" spans="1:113" ht="15" customHeight="1" x14ac:dyDescent="0.25">
      <c r="A1029" t="s">
        <v>10661</v>
      </c>
      <c r="B1029" t="s">
        <v>165</v>
      </c>
      <c r="C1029" s="1">
        <v>44747.842591203706</v>
      </c>
      <c r="D1029" s="1">
        <v>44841</v>
      </c>
      <c r="E1029" t="s">
        <v>134</v>
      </c>
      <c r="F1029" t="s">
        <v>4970</v>
      </c>
      <c r="G1029" t="str">
        <f>"31-9091.00"</f>
        <v>31-9091.00</v>
      </c>
      <c r="H1029" t="s">
        <v>4971</v>
      </c>
      <c r="I1029">
        <v>3</v>
      </c>
      <c r="J1029">
        <v>3</v>
      </c>
      <c r="K1029" s="1">
        <v>44835</v>
      </c>
      <c r="L1029" s="1">
        <v>45016</v>
      </c>
      <c r="M1029" s="1">
        <v>44835</v>
      </c>
      <c r="N1029" s="1">
        <v>45016</v>
      </c>
      <c r="O1029" t="s">
        <v>168</v>
      </c>
      <c r="P1029" t="s">
        <v>4972</v>
      </c>
      <c r="R1029" t="s">
        <v>4973</v>
      </c>
      <c r="T1029" t="s">
        <v>4974</v>
      </c>
      <c r="U1029" t="s">
        <v>420</v>
      </c>
      <c r="V1029" s="4" t="str">
        <f>"84121"</f>
        <v>84121</v>
      </c>
      <c r="W1029" t="s">
        <v>120</v>
      </c>
      <c r="Y1029" s="5">
        <v>18454436711</v>
      </c>
      <c r="AA1029">
        <v>339116</v>
      </c>
      <c r="AB1029" t="s">
        <v>4975</v>
      </c>
      <c r="AC1029" t="s">
        <v>4976</v>
      </c>
      <c r="AD1029" t="s">
        <v>1458</v>
      </c>
      <c r="AE1029" t="s">
        <v>2771</v>
      </c>
      <c r="AF1029" t="s">
        <v>4977</v>
      </c>
      <c r="AH1029" t="s">
        <v>4974</v>
      </c>
      <c r="AI1029" t="s">
        <v>420</v>
      </c>
      <c r="AJ1029" s="4" t="str">
        <f>"84121"</f>
        <v>84121</v>
      </c>
      <c r="AK1029" t="s">
        <v>120</v>
      </c>
      <c r="AM1029" s="5">
        <v>18454436711</v>
      </c>
      <c r="AO1029" t="s">
        <v>4978</v>
      </c>
      <c r="AP1029" t="s">
        <v>122</v>
      </c>
      <c r="AQ1029" t="s">
        <v>4979</v>
      </c>
      <c r="AR1029" t="s">
        <v>2361</v>
      </c>
      <c r="AS1029" t="s">
        <v>2211</v>
      </c>
      <c r="AT1029" t="s">
        <v>4980</v>
      </c>
      <c r="AU1029" t="s">
        <v>1574</v>
      </c>
      <c r="AV1029" t="s">
        <v>2748</v>
      </c>
      <c r="AW1029" t="s">
        <v>420</v>
      </c>
      <c r="AX1029" s="4" t="str">
        <f>"84117"</f>
        <v>84117</v>
      </c>
      <c r="AY1029" t="s">
        <v>120</v>
      </c>
      <c r="BA1029" s="5">
        <v>18012632314</v>
      </c>
      <c r="BC1029" t="s">
        <v>4981</v>
      </c>
      <c r="BD1029" t="s">
        <v>4982</v>
      </c>
      <c r="BE1029" t="s">
        <v>444</v>
      </c>
      <c r="BF1029" t="s">
        <v>322</v>
      </c>
      <c r="BG1029" t="s">
        <v>232</v>
      </c>
      <c r="BH1029" s="1">
        <v>44746.833333333336</v>
      </c>
      <c r="BI1029">
        <v>40</v>
      </c>
      <c r="BJ1029">
        <v>0</v>
      </c>
      <c r="BK1029">
        <v>8</v>
      </c>
      <c r="BL1029">
        <v>8</v>
      </c>
      <c r="BM1029">
        <v>8</v>
      </c>
      <c r="BN1029">
        <v>8</v>
      </c>
      <c r="BO1029">
        <v>8</v>
      </c>
      <c r="BP1029">
        <v>0</v>
      </c>
      <c r="BQ1029" t="str">
        <f>"9:00 AM"</f>
        <v>9:00 AM</v>
      </c>
      <c r="BR1029" t="str">
        <f>"5:00 PM"</f>
        <v>5:00 PM</v>
      </c>
      <c r="BS1029" t="s">
        <v>133</v>
      </c>
      <c r="BT1029">
        <v>0</v>
      </c>
      <c r="BU1029">
        <v>0</v>
      </c>
      <c r="BV1029" t="s">
        <v>134</v>
      </c>
      <c r="BX1029" t="s">
        <v>133</v>
      </c>
      <c r="BY1029" t="s">
        <v>10662</v>
      </c>
      <c r="BZ1029" t="s">
        <v>10663</v>
      </c>
      <c r="CA1029" t="s">
        <v>2108</v>
      </c>
      <c r="CB1029" t="s">
        <v>232</v>
      </c>
      <c r="CC1029" s="4" t="str">
        <f>"78258"</f>
        <v>78258</v>
      </c>
      <c r="CD1029" t="s">
        <v>2112</v>
      </c>
      <c r="CE1029" t="s">
        <v>1342</v>
      </c>
      <c r="CF1029" s="6">
        <v>18.670000000000002</v>
      </c>
      <c r="CG1029" s="6">
        <v>18.670000000000002</v>
      </c>
      <c r="CH1029" s="6">
        <v>28.01</v>
      </c>
      <c r="CI1029" s="6">
        <v>28.01</v>
      </c>
      <c r="CJ1029" t="s">
        <v>137</v>
      </c>
      <c r="CL1029" t="s">
        <v>10664</v>
      </c>
      <c r="CO1029" t="s">
        <v>138</v>
      </c>
      <c r="CP1029" t="s">
        <v>134</v>
      </c>
      <c r="CQ1029" t="s">
        <v>134</v>
      </c>
      <c r="CR1029" t="s">
        <v>114</v>
      </c>
      <c r="CS1029" t="s">
        <v>114</v>
      </c>
      <c r="CT1029" t="s">
        <v>114</v>
      </c>
      <c r="CU1029" t="s">
        <v>134</v>
      </c>
      <c r="CV1029" t="s">
        <v>10665</v>
      </c>
      <c r="CW1029" s="5" t="str">
        <f>"+18454436711"</f>
        <v>+18454436711</v>
      </c>
      <c r="CX1029" t="s">
        <v>4978</v>
      </c>
      <c r="CY1029" t="s">
        <v>138</v>
      </c>
      <c r="CZ1029" t="s">
        <v>139</v>
      </c>
      <c r="DA1029" t="s">
        <v>134</v>
      </c>
      <c r="DB1029" t="s">
        <v>134</v>
      </c>
      <c r="DC1029" t="s">
        <v>114</v>
      </c>
      <c r="DD1029" t="s">
        <v>134</v>
      </c>
    </row>
    <row r="1030" spans="1:113" ht="15" customHeight="1" x14ac:dyDescent="0.25">
      <c r="A1030" t="s">
        <v>4969</v>
      </c>
      <c r="B1030" t="s">
        <v>165</v>
      </c>
      <c r="C1030" s="1">
        <v>44747.774093981483</v>
      </c>
      <c r="D1030" s="1">
        <v>44841</v>
      </c>
      <c r="E1030" t="s">
        <v>134</v>
      </c>
      <c r="F1030" t="s">
        <v>4970</v>
      </c>
      <c r="G1030" t="str">
        <f>"31-9091.00"</f>
        <v>31-9091.00</v>
      </c>
      <c r="H1030" t="s">
        <v>4971</v>
      </c>
      <c r="I1030">
        <v>3</v>
      </c>
      <c r="J1030">
        <v>3</v>
      </c>
      <c r="K1030" s="1">
        <v>44835</v>
      </c>
      <c r="L1030" s="1">
        <v>45016</v>
      </c>
      <c r="M1030" s="1">
        <v>44835</v>
      </c>
      <c r="N1030" s="1">
        <v>45016</v>
      </c>
      <c r="O1030" t="s">
        <v>168</v>
      </c>
      <c r="P1030" t="s">
        <v>4972</v>
      </c>
      <c r="R1030" t="s">
        <v>4973</v>
      </c>
      <c r="T1030" t="s">
        <v>4974</v>
      </c>
      <c r="U1030" t="s">
        <v>420</v>
      </c>
      <c r="V1030" s="4" t="str">
        <f>"84121"</f>
        <v>84121</v>
      </c>
      <c r="W1030" t="s">
        <v>120</v>
      </c>
      <c r="Y1030" s="5">
        <v>18454436711</v>
      </c>
      <c r="AA1030">
        <v>339116</v>
      </c>
      <c r="AB1030" t="s">
        <v>4975</v>
      </c>
      <c r="AC1030" t="s">
        <v>4976</v>
      </c>
      <c r="AD1030" t="s">
        <v>1458</v>
      </c>
      <c r="AE1030" t="s">
        <v>2771</v>
      </c>
      <c r="AF1030" t="s">
        <v>4977</v>
      </c>
      <c r="AH1030" t="s">
        <v>4974</v>
      </c>
      <c r="AI1030" t="s">
        <v>420</v>
      </c>
      <c r="AJ1030" s="4" t="str">
        <f>"84121"</f>
        <v>84121</v>
      </c>
      <c r="AK1030" t="s">
        <v>120</v>
      </c>
      <c r="AM1030" s="5">
        <v>18454436711</v>
      </c>
      <c r="AO1030" t="s">
        <v>4978</v>
      </c>
      <c r="AP1030" t="s">
        <v>122</v>
      </c>
      <c r="AQ1030" t="s">
        <v>4979</v>
      </c>
      <c r="AR1030" t="s">
        <v>2361</v>
      </c>
      <c r="AS1030" t="s">
        <v>2211</v>
      </c>
      <c r="AT1030" t="s">
        <v>4980</v>
      </c>
      <c r="AU1030" t="s">
        <v>1574</v>
      </c>
      <c r="AV1030" t="s">
        <v>2748</v>
      </c>
      <c r="AW1030" t="s">
        <v>420</v>
      </c>
      <c r="AX1030" s="4" t="str">
        <f>"84117"</f>
        <v>84117</v>
      </c>
      <c r="AY1030" t="s">
        <v>120</v>
      </c>
      <c r="BA1030" s="5">
        <v>18012632314</v>
      </c>
      <c r="BC1030" t="s">
        <v>4981</v>
      </c>
      <c r="BD1030" t="s">
        <v>4982</v>
      </c>
      <c r="BE1030" t="s">
        <v>444</v>
      </c>
      <c r="BF1030" t="s">
        <v>322</v>
      </c>
      <c r="BG1030" t="s">
        <v>420</v>
      </c>
      <c r="BH1030" s="1">
        <v>44746.833333333336</v>
      </c>
      <c r="BI1030">
        <v>40</v>
      </c>
      <c r="BJ1030">
        <v>0</v>
      </c>
      <c r="BK1030">
        <v>8</v>
      </c>
      <c r="BL1030">
        <v>8</v>
      </c>
      <c r="BM1030">
        <v>8</v>
      </c>
      <c r="BN1030">
        <v>8</v>
      </c>
      <c r="BO1030">
        <v>8</v>
      </c>
      <c r="BP1030">
        <v>0</v>
      </c>
      <c r="BQ1030" t="str">
        <f>"9:00 AM"</f>
        <v>9:00 AM</v>
      </c>
      <c r="BR1030" t="str">
        <f>"5:00 PM"</f>
        <v>5:00 PM</v>
      </c>
      <c r="BS1030" t="s">
        <v>133</v>
      </c>
      <c r="BT1030">
        <v>0</v>
      </c>
      <c r="BU1030">
        <v>0</v>
      </c>
      <c r="BV1030" t="s">
        <v>134</v>
      </c>
      <c r="BX1030" t="s">
        <v>133</v>
      </c>
      <c r="BY1030" t="s">
        <v>4983</v>
      </c>
      <c r="CA1030" t="s">
        <v>4974</v>
      </c>
      <c r="CB1030" t="s">
        <v>420</v>
      </c>
      <c r="CC1030" s="4" t="str">
        <f>"84121"</f>
        <v>84121</v>
      </c>
      <c r="CD1030" t="s">
        <v>688</v>
      </c>
      <c r="CE1030" t="s">
        <v>689</v>
      </c>
      <c r="CF1030" s="6">
        <v>18.48</v>
      </c>
      <c r="CG1030" s="6">
        <v>18.48</v>
      </c>
      <c r="CH1030" s="6">
        <v>27.74</v>
      </c>
      <c r="CI1030" s="6">
        <v>27.74</v>
      </c>
      <c r="CJ1030" t="s">
        <v>137</v>
      </c>
      <c r="CL1030" t="s">
        <v>4984</v>
      </c>
      <c r="CO1030" t="s">
        <v>138</v>
      </c>
      <c r="CP1030" t="s">
        <v>134</v>
      </c>
      <c r="CQ1030" t="s">
        <v>134</v>
      </c>
      <c r="CR1030" t="s">
        <v>114</v>
      </c>
      <c r="CS1030" t="s">
        <v>114</v>
      </c>
      <c r="CT1030" t="s">
        <v>114</v>
      </c>
      <c r="CU1030" t="s">
        <v>134</v>
      </c>
      <c r="CV1030" t="s">
        <v>4985</v>
      </c>
      <c r="CW1030" s="5" t="str">
        <f>"+18454436711"</f>
        <v>+18454436711</v>
      </c>
      <c r="CX1030" t="s">
        <v>4978</v>
      </c>
      <c r="CY1030" t="s">
        <v>138</v>
      </c>
      <c r="CZ1030" t="s">
        <v>139</v>
      </c>
      <c r="DA1030" t="s">
        <v>134</v>
      </c>
      <c r="DB1030" t="s">
        <v>134</v>
      </c>
      <c r="DC1030" t="s">
        <v>114</v>
      </c>
      <c r="DD1030" t="s">
        <v>134</v>
      </c>
    </row>
    <row r="1031" spans="1:113" ht="15" customHeight="1" x14ac:dyDescent="0.25">
      <c r="A1031" t="s">
        <v>14495</v>
      </c>
      <c r="B1031" t="s">
        <v>165</v>
      </c>
      <c r="C1031" s="1">
        <v>44817.000448032406</v>
      </c>
      <c r="D1031" s="1">
        <v>44840</v>
      </c>
      <c r="E1031" t="s">
        <v>134</v>
      </c>
      <c r="F1031" t="s">
        <v>361</v>
      </c>
      <c r="G1031" t="str">
        <f>"39-3091.00"</f>
        <v>39-3091.00</v>
      </c>
      <c r="H1031" t="s">
        <v>362</v>
      </c>
      <c r="I1031">
        <v>8</v>
      </c>
      <c r="J1031">
        <v>8</v>
      </c>
      <c r="K1031" s="1">
        <v>44907</v>
      </c>
      <c r="L1031" s="1">
        <v>45025</v>
      </c>
      <c r="M1031" s="1">
        <v>44907</v>
      </c>
      <c r="N1031" s="1">
        <v>45025</v>
      </c>
      <c r="O1031" t="s">
        <v>199</v>
      </c>
      <c r="P1031" t="s">
        <v>14496</v>
      </c>
      <c r="R1031" t="s">
        <v>14497</v>
      </c>
      <c r="T1031" t="s">
        <v>648</v>
      </c>
      <c r="U1031" t="s">
        <v>232</v>
      </c>
      <c r="V1031" s="4" t="str">
        <f>"75568"</f>
        <v>75568</v>
      </c>
      <c r="W1031" t="s">
        <v>120</v>
      </c>
      <c r="Y1031" s="5">
        <v>19036397016</v>
      </c>
      <c r="AA1031">
        <v>71399</v>
      </c>
      <c r="AB1031" t="s">
        <v>2564</v>
      </c>
      <c r="AC1031" t="s">
        <v>14498</v>
      </c>
      <c r="AE1031" t="s">
        <v>424</v>
      </c>
      <c r="AF1031" t="s">
        <v>14497</v>
      </c>
      <c r="AH1031" t="s">
        <v>648</v>
      </c>
      <c r="AI1031" t="s">
        <v>232</v>
      </c>
      <c r="AJ1031" s="4" t="str">
        <f>"75568"</f>
        <v>75568</v>
      </c>
      <c r="AK1031" t="s">
        <v>120</v>
      </c>
      <c r="AM1031" s="5">
        <v>19036397016</v>
      </c>
      <c r="AO1031" t="s">
        <v>14499</v>
      </c>
      <c r="AP1031" t="s">
        <v>256</v>
      </c>
      <c r="AQ1031" t="s">
        <v>400</v>
      </c>
      <c r="AR1031" t="s">
        <v>401</v>
      </c>
      <c r="AS1031" t="s">
        <v>397</v>
      </c>
      <c r="AT1031" t="s">
        <v>402</v>
      </c>
      <c r="AU1031" t="s">
        <v>152</v>
      </c>
      <c r="AV1031" t="s">
        <v>403</v>
      </c>
      <c r="AW1031" t="s">
        <v>232</v>
      </c>
      <c r="AX1031" s="4" t="str">
        <f>"75033"</f>
        <v>75033</v>
      </c>
      <c r="AY1031" t="s">
        <v>120</v>
      </c>
      <c r="BA1031" s="5">
        <v>19727789690</v>
      </c>
      <c r="BC1031" t="s">
        <v>404</v>
      </c>
      <c r="BD1031" t="s">
        <v>405</v>
      </c>
      <c r="BG1031" t="s">
        <v>232</v>
      </c>
      <c r="BH1031" s="1">
        <v>44816.833333333336</v>
      </c>
      <c r="BI1031">
        <v>48</v>
      </c>
      <c r="BJ1031">
        <v>8</v>
      </c>
      <c r="BK1031">
        <v>0</v>
      </c>
      <c r="BL1031">
        <v>8</v>
      </c>
      <c r="BM1031">
        <v>8</v>
      </c>
      <c r="BN1031">
        <v>8</v>
      </c>
      <c r="BO1031">
        <v>8</v>
      </c>
      <c r="BP1031">
        <v>8</v>
      </c>
      <c r="BQ1031" t="str">
        <f>"10:00 AM"</f>
        <v>10:00 AM</v>
      </c>
      <c r="BR1031" t="str">
        <f>"7:00 PM"</f>
        <v>7:00 PM</v>
      </c>
      <c r="BS1031" t="s">
        <v>133</v>
      </c>
      <c r="BT1031">
        <v>0</v>
      </c>
      <c r="BU1031">
        <v>0</v>
      </c>
      <c r="BV1031" t="s">
        <v>134</v>
      </c>
      <c r="BX1031" s="2" t="s">
        <v>14500</v>
      </c>
      <c r="BY1031" t="s">
        <v>14497</v>
      </c>
      <c r="CA1031" t="s">
        <v>648</v>
      </c>
      <c r="CB1031" t="s">
        <v>232</v>
      </c>
      <c r="CC1031" s="4" t="str">
        <f>"75568"</f>
        <v>75568</v>
      </c>
      <c r="CD1031" t="s">
        <v>1084</v>
      </c>
      <c r="CE1031" t="s">
        <v>1085</v>
      </c>
      <c r="CF1031" s="6">
        <v>9.4600000000000009</v>
      </c>
      <c r="CG1031" s="6">
        <v>11.98</v>
      </c>
      <c r="CH1031" s="6">
        <v>0</v>
      </c>
      <c r="CI1031" s="6">
        <v>0</v>
      </c>
      <c r="CJ1031" t="s">
        <v>137</v>
      </c>
      <c r="CK1031" t="s">
        <v>593</v>
      </c>
      <c r="CL1031" t="s">
        <v>14501</v>
      </c>
      <c r="CO1031" t="s">
        <v>138</v>
      </c>
      <c r="CP1031" t="s">
        <v>114</v>
      </c>
      <c r="CQ1031" t="s">
        <v>114</v>
      </c>
      <c r="CR1031" t="s">
        <v>134</v>
      </c>
      <c r="CS1031" t="s">
        <v>114</v>
      </c>
      <c r="CT1031" t="s">
        <v>114</v>
      </c>
      <c r="CU1031" t="s">
        <v>114</v>
      </c>
      <c r="CV1031" t="s">
        <v>5101</v>
      </c>
      <c r="CW1031" s="5" t="str">
        <f>"+19036397016"</f>
        <v>+19036397016</v>
      </c>
      <c r="CX1031" t="s">
        <v>138</v>
      </c>
      <c r="CY1031" t="s">
        <v>6409</v>
      </c>
      <c r="CZ1031" t="s">
        <v>139</v>
      </c>
      <c r="DA1031" t="s">
        <v>134</v>
      </c>
      <c r="DB1031" t="s">
        <v>114</v>
      </c>
      <c r="DC1031" t="s">
        <v>114</v>
      </c>
      <c r="DD1031" t="s">
        <v>134</v>
      </c>
    </row>
    <row r="1032" spans="1:113" ht="15" customHeight="1" x14ac:dyDescent="0.25">
      <c r="A1032" t="s">
        <v>9588</v>
      </c>
      <c r="B1032" t="s">
        <v>165</v>
      </c>
      <c r="C1032" s="1">
        <v>44813.701312152778</v>
      </c>
      <c r="D1032" s="1">
        <v>44840</v>
      </c>
      <c r="E1032" t="s">
        <v>134</v>
      </c>
      <c r="F1032" t="s">
        <v>1865</v>
      </c>
      <c r="G1032" t="str">
        <f>"37-2012.00"</f>
        <v>37-2012.00</v>
      </c>
      <c r="H1032" t="s">
        <v>116</v>
      </c>
      <c r="I1032">
        <v>5</v>
      </c>
      <c r="J1032">
        <v>5</v>
      </c>
      <c r="K1032" s="1">
        <v>44895</v>
      </c>
      <c r="L1032" s="1">
        <v>45028</v>
      </c>
      <c r="M1032" s="1">
        <v>44895</v>
      </c>
      <c r="N1032" s="1">
        <v>45028</v>
      </c>
      <c r="O1032" t="s">
        <v>117</v>
      </c>
      <c r="P1032" t="s">
        <v>9589</v>
      </c>
      <c r="R1032" t="s">
        <v>9590</v>
      </c>
      <c r="S1032" t="s">
        <v>9591</v>
      </c>
      <c r="T1032" t="s">
        <v>7761</v>
      </c>
      <c r="U1032" t="s">
        <v>420</v>
      </c>
      <c r="V1032" s="4" t="str">
        <f>"84032"</f>
        <v>84032</v>
      </c>
      <c r="W1032" t="s">
        <v>120</v>
      </c>
      <c r="Y1032" s="5">
        <v>13077333835</v>
      </c>
      <c r="AA1032">
        <v>72111</v>
      </c>
      <c r="AB1032" t="s">
        <v>9592</v>
      </c>
      <c r="AC1032" t="s">
        <v>501</v>
      </c>
      <c r="AE1032" t="s">
        <v>2771</v>
      </c>
      <c r="AF1032" t="s">
        <v>9590</v>
      </c>
      <c r="AG1032" t="s">
        <v>9593</v>
      </c>
      <c r="AH1032" t="s">
        <v>7761</v>
      </c>
      <c r="AI1032" t="s">
        <v>420</v>
      </c>
      <c r="AJ1032" s="4" t="str">
        <f>"84032"</f>
        <v>84032</v>
      </c>
      <c r="AK1032" t="s">
        <v>120</v>
      </c>
      <c r="AM1032" s="5">
        <v>13077333835</v>
      </c>
      <c r="AO1032" t="s">
        <v>138</v>
      </c>
      <c r="AP1032" t="s">
        <v>256</v>
      </c>
      <c r="AQ1032" t="s">
        <v>475</v>
      </c>
      <c r="AR1032" t="s">
        <v>476</v>
      </c>
      <c r="AT1032" t="s">
        <v>477</v>
      </c>
      <c r="AV1032" t="s">
        <v>478</v>
      </c>
      <c r="AW1032" t="s">
        <v>479</v>
      </c>
      <c r="AX1032" s="4" t="str">
        <f>"22903"</f>
        <v>22903</v>
      </c>
      <c r="AY1032" t="s">
        <v>120</v>
      </c>
      <c r="BA1032" s="5">
        <v>14342634300</v>
      </c>
      <c r="BC1032" t="s">
        <v>480</v>
      </c>
      <c r="BD1032" t="s">
        <v>9594</v>
      </c>
      <c r="BG1032" t="s">
        <v>2164</v>
      </c>
      <c r="BH1032" s="1">
        <v>44812.833333333336</v>
      </c>
      <c r="BI1032">
        <v>35</v>
      </c>
      <c r="BJ1032">
        <v>0</v>
      </c>
      <c r="BK1032">
        <v>7</v>
      </c>
      <c r="BL1032">
        <v>7</v>
      </c>
      <c r="BM1032">
        <v>7</v>
      </c>
      <c r="BN1032">
        <v>7</v>
      </c>
      <c r="BO1032">
        <v>7</v>
      </c>
      <c r="BP1032">
        <v>0</v>
      </c>
      <c r="BQ1032" t="str">
        <f>"8:30 AM"</f>
        <v>8:30 AM</v>
      </c>
      <c r="BR1032" t="str">
        <f>"4:30 PM"</f>
        <v>4:30 PM</v>
      </c>
      <c r="BS1032" t="s">
        <v>133</v>
      </c>
      <c r="BT1032">
        <v>0</v>
      </c>
      <c r="BU1032">
        <v>0</v>
      </c>
      <c r="BV1032" t="s">
        <v>134</v>
      </c>
      <c r="BX1032" s="2" t="s">
        <v>9595</v>
      </c>
      <c r="BY1032" t="s">
        <v>9596</v>
      </c>
      <c r="CA1032" t="s">
        <v>1856</v>
      </c>
      <c r="CB1032" t="s">
        <v>2164</v>
      </c>
      <c r="CC1032" s="4" t="str">
        <f>"83001"</f>
        <v>83001</v>
      </c>
      <c r="CD1032" t="s">
        <v>1428</v>
      </c>
      <c r="CE1032" t="s">
        <v>4445</v>
      </c>
      <c r="CF1032" s="6">
        <v>14.28</v>
      </c>
      <c r="CH1032" s="6">
        <v>21.42</v>
      </c>
      <c r="CJ1032" t="s">
        <v>137</v>
      </c>
      <c r="CK1032" t="s">
        <v>487</v>
      </c>
      <c r="CL1032" t="s">
        <v>9597</v>
      </c>
      <c r="CO1032" t="s">
        <v>138</v>
      </c>
      <c r="CP1032" t="s">
        <v>114</v>
      </c>
      <c r="CQ1032" t="s">
        <v>134</v>
      </c>
      <c r="CR1032" t="s">
        <v>114</v>
      </c>
      <c r="CS1032" t="s">
        <v>114</v>
      </c>
      <c r="CT1032" t="s">
        <v>114</v>
      </c>
      <c r="CU1032" t="s">
        <v>114</v>
      </c>
      <c r="CV1032" t="s">
        <v>9598</v>
      </c>
      <c r="CW1032" s="5" t="str">
        <f>"+13077331620"</f>
        <v>+13077331620</v>
      </c>
      <c r="CX1032" t="s">
        <v>138</v>
      </c>
      <c r="CY1032" t="s">
        <v>7117</v>
      </c>
      <c r="CZ1032" t="s">
        <v>139</v>
      </c>
      <c r="DA1032" t="s">
        <v>134</v>
      </c>
      <c r="DB1032" t="s">
        <v>114</v>
      </c>
      <c r="DC1032" t="s">
        <v>114</v>
      </c>
      <c r="DD1032" t="s">
        <v>134</v>
      </c>
      <c r="DE1032" t="s">
        <v>492</v>
      </c>
      <c r="DF1032" t="s">
        <v>493</v>
      </c>
      <c r="DH1032" t="s">
        <v>481</v>
      </c>
      <c r="DI1032" t="s">
        <v>480</v>
      </c>
    </row>
    <row r="1033" spans="1:113" ht="15" customHeight="1" x14ac:dyDescent="0.25">
      <c r="A1033" t="s">
        <v>1185</v>
      </c>
      <c r="B1033" t="s">
        <v>165</v>
      </c>
      <c r="C1033" s="1">
        <v>44811.71734988426</v>
      </c>
      <c r="D1033" s="1">
        <v>44840</v>
      </c>
      <c r="E1033" t="s">
        <v>114</v>
      </c>
      <c r="F1033" t="s">
        <v>1186</v>
      </c>
      <c r="G1033" t="str">
        <f>"37-2012.00"</f>
        <v>37-2012.00</v>
      </c>
      <c r="H1033" t="s">
        <v>116</v>
      </c>
      <c r="I1033">
        <v>6</v>
      </c>
      <c r="J1033">
        <v>6</v>
      </c>
      <c r="K1033" s="1">
        <v>44886</v>
      </c>
      <c r="L1033" s="1">
        <v>45016</v>
      </c>
      <c r="M1033" s="1">
        <v>44886</v>
      </c>
      <c r="N1033" s="1">
        <v>45016</v>
      </c>
      <c r="O1033" t="s">
        <v>117</v>
      </c>
      <c r="P1033" t="s">
        <v>1187</v>
      </c>
      <c r="Q1033" t="s">
        <v>1188</v>
      </c>
      <c r="R1033" t="s">
        <v>1189</v>
      </c>
      <c r="S1033" t="s">
        <v>138</v>
      </c>
      <c r="T1033" t="s">
        <v>1190</v>
      </c>
      <c r="U1033" t="s">
        <v>1191</v>
      </c>
      <c r="V1033" s="4" t="str">
        <f>"03251"</f>
        <v>03251</v>
      </c>
      <c r="W1033" t="s">
        <v>120</v>
      </c>
      <c r="X1033" t="s">
        <v>138</v>
      </c>
      <c r="Y1033" s="5">
        <v>16037452244</v>
      </c>
      <c r="AA1033">
        <v>721110</v>
      </c>
      <c r="AB1033" t="s">
        <v>1192</v>
      </c>
      <c r="AC1033" t="s">
        <v>1193</v>
      </c>
      <c r="AE1033" t="s">
        <v>1194</v>
      </c>
      <c r="AF1033" t="s">
        <v>1189</v>
      </c>
      <c r="AG1033" t="s">
        <v>138</v>
      </c>
      <c r="AH1033" t="s">
        <v>1190</v>
      </c>
      <c r="AI1033" t="s">
        <v>1191</v>
      </c>
      <c r="AJ1033" s="4" t="str">
        <f>"03251"</f>
        <v>03251</v>
      </c>
      <c r="AK1033" t="s">
        <v>120</v>
      </c>
      <c r="AM1033" s="5">
        <v>16037452244</v>
      </c>
      <c r="AO1033" t="s">
        <v>1195</v>
      </c>
      <c r="AP1033" t="s">
        <v>122</v>
      </c>
      <c r="AQ1033" t="s">
        <v>753</v>
      </c>
      <c r="AR1033" t="s">
        <v>754</v>
      </c>
      <c r="AS1033" t="s">
        <v>755</v>
      </c>
      <c r="AT1033" t="s">
        <v>756</v>
      </c>
      <c r="AU1033" t="s">
        <v>757</v>
      </c>
      <c r="AV1033" t="s">
        <v>758</v>
      </c>
      <c r="AW1033" t="s">
        <v>281</v>
      </c>
      <c r="AX1033" s="4" t="str">
        <f>"01701"</f>
        <v>01701</v>
      </c>
      <c r="AY1033" t="s">
        <v>120</v>
      </c>
      <c r="BA1033" s="5">
        <v>16179399444</v>
      </c>
      <c r="BC1033" t="s">
        <v>759</v>
      </c>
      <c r="BD1033" t="s">
        <v>760</v>
      </c>
      <c r="BE1033" t="s">
        <v>281</v>
      </c>
      <c r="BF1033" t="s">
        <v>761</v>
      </c>
      <c r="BG1033" t="s">
        <v>1191</v>
      </c>
      <c r="BH1033" s="1">
        <v>44810.833333333336</v>
      </c>
      <c r="BI1033">
        <v>35</v>
      </c>
      <c r="BJ1033">
        <v>0</v>
      </c>
      <c r="BK1033">
        <v>7</v>
      </c>
      <c r="BL1033">
        <v>7</v>
      </c>
      <c r="BM1033">
        <v>7</v>
      </c>
      <c r="BN1033">
        <v>7</v>
      </c>
      <c r="BO1033">
        <v>7</v>
      </c>
      <c r="BP1033">
        <v>0</v>
      </c>
      <c r="BQ1033" t="str">
        <f>"7:00 AM"</f>
        <v>7:00 AM</v>
      </c>
      <c r="BR1033" t="str">
        <f>"2:00 PM"</f>
        <v>2:00 PM</v>
      </c>
      <c r="BS1033" t="s">
        <v>133</v>
      </c>
      <c r="BT1033">
        <v>0</v>
      </c>
      <c r="BU1033">
        <v>3</v>
      </c>
      <c r="BV1033" t="s">
        <v>134</v>
      </c>
      <c r="BX1033" s="2" t="s">
        <v>1196</v>
      </c>
      <c r="BY1033" t="s">
        <v>1189</v>
      </c>
      <c r="BZ1033" t="s">
        <v>138</v>
      </c>
      <c r="CA1033" t="s">
        <v>1190</v>
      </c>
      <c r="CB1033" t="s">
        <v>1191</v>
      </c>
      <c r="CC1033" s="4" t="str">
        <f>"03251"</f>
        <v>03251</v>
      </c>
      <c r="CD1033" t="s">
        <v>1197</v>
      </c>
      <c r="CE1033" t="s">
        <v>1198</v>
      </c>
      <c r="CF1033" s="6">
        <v>16.5</v>
      </c>
      <c r="CG1033" s="6">
        <v>19.79</v>
      </c>
      <c r="CH1033" s="6">
        <v>24.75</v>
      </c>
      <c r="CI1033" s="6">
        <v>29.69</v>
      </c>
      <c r="CJ1033" t="s">
        <v>137</v>
      </c>
      <c r="CK1033" t="s">
        <v>1199</v>
      </c>
      <c r="CL1033" t="s">
        <v>1200</v>
      </c>
      <c r="CO1033" t="s">
        <v>138</v>
      </c>
      <c r="CP1033" t="s">
        <v>134</v>
      </c>
      <c r="CQ1033" t="s">
        <v>114</v>
      </c>
      <c r="CR1033" t="s">
        <v>114</v>
      </c>
      <c r="CS1033" t="s">
        <v>114</v>
      </c>
      <c r="CT1033" t="s">
        <v>114</v>
      </c>
      <c r="CU1033" t="s">
        <v>114</v>
      </c>
      <c r="CV1033" t="s">
        <v>1201</v>
      </c>
      <c r="CW1033" s="5" t="str">
        <f>"+16037452244"</f>
        <v>+16037452244</v>
      </c>
      <c r="CX1033" t="s">
        <v>1202</v>
      </c>
      <c r="CY1033" t="s">
        <v>138</v>
      </c>
      <c r="CZ1033" t="s">
        <v>139</v>
      </c>
      <c r="DA1033" t="s">
        <v>134</v>
      </c>
      <c r="DB1033" t="s">
        <v>134</v>
      </c>
      <c r="DC1033" t="s">
        <v>114</v>
      </c>
      <c r="DD1033" t="s">
        <v>134</v>
      </c>
    </row>
    <row r="1034" spans="1:113" ht="15" customHeight="1" x14ac:dyDescent="0.25">
      <c r="A1034" t="s">
        <v>8515</v>
      </c>
      <c r="B1034" t="s">
        <v>165</v>
      </c>
      <c r="C1034" s="1">
        <v>44810.745010069448</v>
      </c>
      <c r="D1034" s="1">
        <v>44840</v>
      </c>
      <c r="E1034" t="s">
        <v>114</v>
      </c>
      <c r="F1034" t="s">
        <v>8516</v>
      </c>
      <c r="G1034" t="str">
        <f>"39-2021.00"</f>
        <v>39-2021.00</v>
      </c>
      <c r="H1034" t="s">
        <v>615</v>
      </c>
      <c r="I1034">
        <v>10</v>
      </c>
      <c r="J1034">
        <v>10</v>
      </c>
      <c r="K1034" s="1">
        <v>44895</v>
      </c>
      <c r="L1034" s="1">
        <v>45017</v>
      </c>
      <c r="M1034" s="1">
        <v>44895</v>
      </c>
      <c r="N1034" s="1">
        <v>45017</v>
      </c>
      <c r="O1034" t="s">
        <v>199</v>
      </c>
      <c r="P1034" t="s">
        <v>8517</v>
      </c>
      <c r="R1034" t="s">
        <v>8518</v>
      </c>
      <c r="T1034" t="s">
        <v>2815</v>
      </c>
      <c r="U1034" t="s">
        <v>154</v>
      </c>
      <c r="V1034" s="4" t="str">
        <f>"33414"</f>
        <v>33414</v>
      </c>
      <c r="W1034" t="s">
        <v>120</v>
      </c>
      <c r="Y1034" s="5">
        <v>15613332321</v>
      </c>
      <c r="AA1034">
        <v>115210</v>
      </c>
      <c r="AB1034" t="s">
        <v>8519</v>
      </c>
      <c r="AC1034" t="s">
        <v>8520</v>
      </c>
      <c r="AE1034" t="s">
        <v>424</v>
      </c>
      <c r="AF1034" t="s">
        <v>8518</v>
      </c>
      <c r="AH1034" t="s">
        <v>2815</v>
      </c>
      <c r="AI1034" t="s">
        <v>154</v>
      </c>
      <c r="AJ1034" s="4" t="str">
        <f>"33414"</f>
        <v>33414</v>
      </c>
      <c r="AK1034" t="s">
        <v>120</v>
      </c>
      <c r="AM1034" s="5">
        <v>15613332321</v>
      </c>
      <c r="AO1034" t="s">
        <v>8521</v>
      </c>
      <c r="AP1034" t="s">
        <v>122</v>
      </c>
      <c r="AQ1034" t="s">
        <v>8522</v>
      </c>
      <c r="AR1034" t="s">
        <v>1081</v>
      </c>
      <c r="AS1034" t="s">
        <v>8523</v>
      </c>
      <c r="AT1034" t="s">
        <v>8524</v>
      </c>
      <c r="AU1034" t="s">
        <v>8525</v>
      </c>
      <c r="AV1034" t="s">
        <v>6971</v>
      </c>
      <c r="AW1034" t="s">
        <v>792</v>
      </c>
      <c r="AX1034" s="4" t="str">
        <f>"98225"</f>
        <v>98225</v>
      </c>
      <c r="AY1034" t="s">
        <v>120</v>
      </c>
      <c r="BA1034" s="5">
        <v>13607885785</v>
      </c>
      <c r="BC1034" t="s">
        <v>8526</v>
      </c>
      <c r="BD1034" t="s">
        <v>8527</v>
      </c>
      <c r="BE1034" t="s">
        <v>792</v>
      </c>
      <c r="BF1034" t="s">
        <v>793</v>
      </c>
      <c r="BG1034" t="s">
        <v>154</v>
      </c>
      <c r="BH1034" s="1">
        <v>44809.833333333336</v>
      </c>
      <c r="BI1034">
        <v>48</v>
      </c>
      <c r="BJ1034">
        <v>8</v>
      </c>
      <c r="BK1034">
        <v>0</v>
      </c>
      <c r="BL1034">
        <v>8</v>
      </c>
      <c r="BM1034">
        <v>8</v>
      </c>
      <c r="BN1034">
        <v>8</v>
      </c>
      <c r="BO1034">
        <v>8</v>
      </c>
      <c r="BP1034">
        <v>8</v>
      </c>
      <c r="BQ1034" t="str">
        <f>"6:00 AM"</f>
        <v>6:00 AM</v>
      </c>
      <c r="BR1034" t="str">
        <f>"6:00 PM"</f>
        <v>6:00 PM</v>
      </c>
      <c r="BS1034" t="s">
        <v>133</v>
      </c>
      <c r="BT1034">
        <v>0</v>
      </c>
      <c r="BU1034">
        <v>3</v>
      </c>
      <c r="BV1034" t="s">
        <v>134</v>
      </c>
      <c r="BX1034" t="s">
        <v>133</v>
      </c>
      <c r="BY1034" t="s">
        <v>8528</v>
      </c>
      <c r="CA1034" t="s">
        <v>2815</v>
      </c>
      <c r="CB1034" t="s">
        <v>154</v>
      </c>
      <c r="CC1034" s="4" t="str">
        <f>"33414"</f>
        <v>33414</v>
      </c>
      <c r="CD1034" t="s">
        <v>3882</v>
      </c>
      <c r="CE1034" t="s">
        <v>1742</v>
      </c>
      <c r="CF1034" s="6">
        <v>14.11</v>
      </c>
      <c r="CH1034" s="6">
        <v>21.17</v>
      </c>
      <c r="CJ1034" t="s">
        <v>137</v>
      </c>
      <c r="CK1034" t="s">
        <v>8529</v>
      </c>
      <c r="CL1034" t="s">
        <v>8530</v>
      </c>
      <c r="CO1034" t="s">
        <v>138</v>
      </c>
      <c r="CP1034" t="s">
        <v>134</v>
      </c>
      <c r="CQ1034" t="s">
        <v>114</v>
      </c>
      <c r="CR1034" t="s">
        <v>114</v>
      </c>
      <c r="CS1034" t="s">
        <v>134</v>
      </c>
      <c r="CT1034" t="s">
        <v>114</v>
      </c>
      <c r="CU1034" t="s">
        <v>114</v>
      </c>
      <c r="CV1034" t="s">
        <v>133</v>
      </c>
      <c r="CW1034" s="5" t="str">
        <f>"+15613332321"</f>
        <v>+15613332321</v>
      </c>
      <c r="CX1034" t="s">
        <v>8521</v>
      </c>
      <c r="CY1034" t="s">
        <v>138</v>
      </c>
      <c r="CZ1034" t="s">
        <v>139</v>
      </c>
      <c r="DA1034" t="s">
        <v>134</v>
      </c>
      <c r="DB1034" t="s">
        <v>134</v>
      </c>
      <c r="DC1034" t="s">
        <v>114</v>
      </c>
      <c r="DD1034" t="s">
        <v>134</v>
      </c>
    </row>
    <row r="1035" spans="1:113" ht="15" customHeight="1" x14ac:dyDescent="0.25">
      <c r="A1035" t="s">
        <v>15204</v>
      </c>
      <c r="B1035" t="s">
        <v>165</v>
      </c>
      <c r="C1035" s="1">
        <v>44806.694902199073</v>
      </c>
      <c r="D1035" s="1">
        <v>44840</v>
      </c>
      <c r="E1035" t="s">
        <v>114</v>
      </c>
      <c r="F1035" t="s">
        <v>334</v>
      </c>
      <c r="G1035" t="str">
        <f>"37-3011.00"</f>
        <v>37-3011.00</v>
      </c>
      <c r="H1035" t="s">
        <v>335</v>
      </c>
      <c r="I1035">
        <v>12</v>
      </c>
      <c r="J1035">
        <v>12</v>
      </c>
      <c r="K1035" s="1">
        <v>44881</v>
      </c>
      <c r="L1035" s="1">
        <v>45047</v>
      </c>
      <c r="M1035" s="1">
        <v>44881</v>
      </c>
      <c r="N1035" s="1">
        <v>45047</v>
      </c>
      <c r="O1035" t="s">
        <v>117</v>
      </c>
      <c r="P1035" t="s">
        <v>11607</v>
      </c>
      <c r="Q1035" t="s">
        <v>11608</v>
      </c>
      <c r="R1035" t="s">
        <v>15205</v>
      </c>
      <c r="T1035" t="s">
        <v>5106</v>
      </c>
      <c r="U1035" t="s">
        <v>232</v>
      </c>
      <c r="V1035" s="4" t="str">
        <f>"77316"</f>
        <v>77316</v>
      </c>
      <c r="W1035" t="s">
        <v>120</v>
      </c>
      <c r="Y1035" s="5">
        <v>14695264013</v>
      </c>
      <c r="AA1035">
        <v>561730</v>
      </c>
      <c r="AB1035" t="s">
        <v>11610</v>
      </c>
      <c r="AC1035" t="s">
        <v>1892</v>
      </c>
      <c r="AD1035" t="s">
        <v>134</v>
      </c>
      <c r="AE1035" t="s">
        <v>285</v>
      </c>
      <c r="AF1035" t="s">
        <v>15205</v>
      </c>
      <c r="AH1035" t="s">
        <v>5106</v>
      </c>
      <c r="AI1035" t="s">
        <v>232</v>
      </c>
      <c r="AJ1035" s="4" t="str">
        <f>"77316"</f>
        <v>77316</v>
      </c>
      <c r="AK1035" t="s">
        <v>120</v>
      </c>
      <c r="AM1035" s="5">
        <v>14695264013</v>
      </c>
      <c r="AO1035" t="s">
        <v>11611</v>
      </c>
      <c r="AP1035" t="s">
        <v>122</v>
      </c>
      <c r="AQ1035" t="s">
        <v>680</v>
      </c>
      <c r="AR1035" t="s">
        <v>370</v>
      </c>
      <c r="AS1035" t="s">
        <v>681</v>
      </c>
      <c r="AT1035" t="s">
        <v>682</v>
      </c>
      <c r="AU1035" t="s">
        <v>683</v>
      </c>
      <c r="AV1035" t="s">
        <v>684</v>
      </c>
      <c r="AW1035" t="s">
        <v>232</v>
      </c>
      <c r="AX1035" s="4" t="str">
        <f>"78746"</f>
        <v>78746</v>
      </c>
      <c r="AY1035" t="s">
        <v>120</v>
      </c>
      <c r="BA1035" s="5">
        <v>17372040093</v>
      </c>
      <c r="BC1035" t="s">
        <v>685</v>
      </c>
      <c r="BD1035" t="s">
        <v>4033</v>
      </c>
      <c r="BE1035" t="s">
        <v>232</v>
      </c>
      <c r="BF1035" t="s">
        <v>687</v>
      </c>
      <c r="BG1035" t="s">
        <v>232</v>
      </c>
      <c r="BH1035" s="1">
        <v>44805.833333333336</v>
      </c>
      <c r="BI1035">
        <v>40</v>
      </c>
      <c r="BJ1035">
        <v>0</v>
      </c>
      <c r="BK1035">
        <v>8</v>
      </c>
      <c r="BL1035">
        <v>8</v>
      </c>
      <c r="BM1035">
        <v>8</v>
      </c>
      <c r="BN1035">
        <v>8</v>
      </c>
      <c r="BO1035">
        <v>8</v>
      </c>
      <c r="BP1035">
        <v>0</v>
      </c>
      <c r="BQ1035" t="str">
        <f>"7:00 AM"</f>
        <v>7:00 AM</v>
      </c>
      <c r="BR1035" t="str">
        <f>"4:00 PM"</f>
        <v>4:00 PM</v>
      </c>
      <c r="BS1035" t="s">
        <v>133</v>
      </c>
      <c r="BT1035">
        <v>0</v>
      </c>
      <c r="BU1035">
        <v>0</v>
      </c>
      <c r="BV1035" t="s">
        <v>134</v>
      </c>
      <c r="BX1035" s="2" t="s">
        <v>15206</v>
      </c>
      <c r="BY1035" t="s">
        <v>15205</v>
      </c>
      <c r="CA1035" t="s">
        <v>5106</v>
      </c>
      <c r="CB1035" t="s">
        <v>232</v>
      </c>
      <c r="CC1035" s="4" t="str">
        <f>"77316"</f>
        <v>77316</v>
      </c>
      <c r="CD1035" t="s">
        <v>2007</v>
      </c>
      <c r="CE1035" t="s">
        <v>873</v>
      </c>
      <c r="CF1035" s="6">
        <v>15.56</v>
      </c>
      <c r="CG1035" s="6">
        <v>22.5</v>
      </c>
      <c r="CH1035" s="6">
        <v>23.34</v>
      </c>
      <c r="CI1035" s="6">
        <v>33.75</v>
      </c>
      <c r="CJ1035" t="s">
        <v>137</v>
      </c>
      <c r="CK1035" t="s">
        <v>15207</v>
      </c>
      <c r="CL1035" t="s">
        <v>15208</v>
      </c>
      <c r="CO1035" t="s">
        <v>138</v>
      </c>
      <c r="CP1035" t="s">
        <v>114</v>
      </c>
      <c r="CQ1035" t="s">
        <v>114</v>
      </c>
      <c r="CR1035" t="s">
        <v>114</v>
      </c>
      <c r="CS1035" t="s">
        <v>114</v>
      </c>
      <c r="CT1035" t="s">
        <v>114</v>
      </c>
      <c r="CU1035" t="s">
        <v>114</v>
      </c>
      <c r="CV1035" t="s">
        <v>15209</v>
      </c>
      <c r="CW1035" s="5" t="str">
        <f>"+14695264013"</f>
        <v>+14695264013</v>
      </c>
      <c r="CX1035" t="s">
        <v>11611</v>
      </c>
      <c r="CY1035" t="s">
        <v>138</v>
      </c>
      <c r="CZ1035" t="s">
        <v>139</v>
      </c>
      <c r="DA1035" t="s">
        <v>134</v>
      </c>
      <c r="DB1035" t="s">
        <v>134</v>
      </c>
      <c r="DC1035" t="s">
        <v>114</v>
      </c>
      <c r="DD1035" t="s">
        <v>134</v>
      </c>
    </row>
    <row r="1036" spans="1:113" ht="15" customHeight="1" x14ac:dyDescent="0.25">
      <c r="A1036" t="s">
        <v>12162</v>
      </c>
      <c r="B1036" t="s">
        <v>165</v>
      </c>
      <c r="C1036" s="1">
        <v>44806.001473958335</v>
      </c>
      <c r="D1036" s="1">
        <v>44840</v>
      </c>
      <c r="E1036" t="s">
        <v>134</v>
      </c>
      <c r="F1036" t="s">
        <v>361</v>
      </c>
      <c r="G1036" t="str">
        <f>"39-3091.00"</f>
        <v>39-3091.00</v>
      </c>
      <c r="H1036" t="s">
        <v>362</v>
      </c>
      <c r="I1036">
        <v>5</v>
      </c>
      <c r="J1036">
        <v>5</v>
      </c>
      <c r="K1036" s="1">
        <v>44896</v>
      </c>
      <c r="L1036" s="1">
        <v>45199</v>
      </c>
      <c r="M1036" s="1">
        <v>44896</v>
      </c>
      <c r="N1036" s="1">
        <v>45199</v>
      </c>
      <c r="O1036" t="s">
        <v>199</v>
      </c>
      <c r="P1036" t="s">
        <v>12163</v>
      </c>
      <c r="Q1036" t="s">
        <v>12164</v>
      </c>
      <c r="R1036" t="s">
        <v>12165</v>
      </c>
      <c r="T1036" t="s">
        <v>7353</v>
      </c>
      <c r="U1036" t="s">
        <v>530</v>
      </c>
      <c r="V1036" s="4" t="str">
        <f>"85831"</f>
        <v>85831</v>
      </c>
      <c r="W1036" t="s">
        <v>120</v>
      </c>
      <c r="Y1036" s="5">
        <v>16233269622</v>
      </c>
      <c r="AA1036">
        <v>71399</v>
      </c>
      <c r="AB1036" t="s">
        <v>4295</v>
      </c>
      <c r="AC1036" t="s">
        <v>4285</v>
      </c>
      <c r="AE1036" t="s">
        <v>424</v>
      </c>
      <c r="AF1036" t="s">
        <v>12165</v>
      </c>
      <c r="AH1036" t="s">
        <v>10104</v>
      </c>
      <c r="AI1036" t="s">
        <v>530</v>
      </c>
      <c r="AJ1036" s="4" t="str">
        <f>"85381"</f>
        <v>85381</v>
      </c>
      <c r="AK1036" t="s">
        <v>120</v>
      </c>
      <c r="AM1036" s="5">
        <v>16233269622</v>
      </c>
      <c r="AO1036" t="s">
        <v>12166</v>
      </c>
      <c r="AP1036" t="s">
        <v>256</v>
      </c>
      <c r="AQ1036" t="s">
        <v>400</v>
      </c>
      <c r="AR1036" t="s">
        <v>401</v>
      </c>
      <c r="AS1036" t="s">
        <v>397</v>
      </c>
      <c r="AT1036" t="s">
        <v>402</v>
      </c>
      <c r="AU1036" t="s">
        <v>152</v>
      </c>
      <c r="AV1036" t="s">
        <v>403</v>
      </c>
      <c r="AW1036" t="s">
        <v>232</v>
      </c>
      <c r="AX1036" s="4" t="str">
        <f>"75033"</f>
        <v>75033</v>
      </c>
      <c r="AY1036" t="s">
        <v>120</v>
      </c>
      <c r="BA1036" s="5">
        <v>19727789690</v>
      </c>
      <c r="BC1036" t="s">
        <v>1239</v>
      </c>
      <c r="BD1036" t="s">
        <v>405</v>
      </c>
      <c r="BG1036" t="s">
        <v>530</v>
      </c>
      <c r="BH1036" s="1">
        <v>44805.833333333336</v>
      </c>
      <c r="BI1036">
        <v>48</v>
      </c>
      <c r="BJ1036">
        <v>8</v>
      </c>
      <c r="BK1036">
        <v>0</v>
      </c>
      <c r="BL1036">
        <v>8</v>
      </c>
      <c r="BM1036">
        <v>8</v>
      </c>
      <c r="BN1036">
        <v>8</v>
      </c>
      <c r="BO1036">
        <v>8</v>
      </c>
      <c r="BP1036">
        <v>8</v>
      </c>
      <c r="BQ1036" t="str">
        <f>"12:00 PM"</f>
        <v>12:00 PM</v>
      </c>
      <c r="BR1036" t="str">
        <f>"9:00 PM"</f>
        <v>9:00 PM</v>
      </c>
      <c r="BS1036" t="s">
        <v>133</v>
      </c>
      <c r="BT1036">
        <v>0</v>
      </c>
      <c r="BU1036">
        <v>0</v>
      </c>
      <c r="BV1036" t="s">
        <v>134</v>
      </c>
      <c r="BX1036" s="2" t="s">
        <v>12167</v>
      </c>
      <c r="BY1036" t="s">
        <v>12168</v>
      </c>
      <c r="CA1036" t="s">
        <v>12169</v>
      </c>
      <c r="CB1036" t="s">
        <v>530</v>
      </c>
      <c r="CC1036" s="4" t="str">
        <f>"85260"</f>
        <v>85260</v>
      </c>
      <c r="CD1036" t="s">
        <v>592</v>
      </c>
      <c r="CE1036" t="s">
        <v>548</v>
      </c>
      <c r="CF1036" s="6">
        <v>12.79</v>
      </c>
      <c r="CG1036" s="6">
        <v>15.05</v>
      </c>
      <c r="CH1036" s="6">
        <v>21.83</v>
      </c>
      <c r="CI1036" s="6">
        <v>30.1</v>
      </c>
      <c r="CJ1036" t="s">
        <v>137</v>
      </c>
      <c r="CK1036" t="s">
        <v>950</v>
      </c>
      <c r="CL1036" t="s">
        <v>12170</v>
      </c>
      <c r="CO1036" t="s">
        <v>138</v>
      </c>
      <c r="CP1036" t="s">
        <v>114</v>
      </c>
      <c r="CQ1036" t="s">
        <v>114</v>
      </c>
      <c r="CR1036" t="s">
        <v>114</v>
      </c>
      <c r="CS1036" t="s">
        <v>114</v>
      </c>
      <c r="CT1036" t="s">
        <v>114</v>
      </c>
      <c r="CU1036" t="s">
        <v>114</v>
      </c>
      <c r="CV1036" t="s">
        <v>12171</v>
      </c>
      <c r="CW1036" s="5" t="str">
        <f>"+16233269622"</f>
        <v>+16233269622</v>
      </c>
      <c r="CX1036" t="s">
        <v>138</v>
      </c>
      <c r="CY1036" t="s">
        <v>12172</v>
      </c>
      <c r="CZ1036" t="s">
        <v>139</v>
      </c>
      <c r="DA1036" t="s">
        <v>134</v>
      </c>
      <c r="DB1036" t="s">
        <v>114</v>
      </c>
      <c r="DC1036" t="s">
        <v>114</v>
      </c>
      <c r="DD1036" t="s">
        <v>134</v>
      </c>
    </row>
    <row r="1037" spans="1:113" ht="15" customHeight="1" x14ac:dyDescent="0.25">
      <c r="A1037" t="s">
        <v>9543</v>
      </c>
      <c r="B1037" t="s">
        <v>165</v>
      </c>
      <c r="C1037" s="1">
        <v>44802.720239467591</v>
      </c>
      <c r="D1037" s="1">
        <v>44840</v>
      </c>
      <c r="E1037" t="s">
        <v>134</v>
      </c>
      <c r="F1037" t="s">
        <v>9544</v>
      </c>
      <c r="G1037" t="str">
        <f>"37-2011.00"</f>
        <v>37-2011.00</v>
      </c>
      <c r="H1037" t="s">
        <v>672</v>
      </c>
      <c r="I1037">
        <v>12</v>
      </c>
      <c r="J1037">
        <v>12</v>
      </c>
      <c r="K1037" s="1">
        <v>44885</v>
      </c>
      <c r="L1037" s="1">
        <v>45017</v>
      </c>
      <c r="M1037" s="1">
        <v>44885</v>
      </c>
      <c r="N1037" s="1">
        <v>45017</v>
      </c>
      <c r="O1037" t="s">
        <v>199</v>
      </c>
      <c r="P1037" t="s">
        <v>9545</v>
      </c>
      <c r="Q1037" t="s">
        <v>9546</v>
      </c>
      <c r="R1037" t="s">
        <v>9547</v>
      </c>
      <c r="T1037" t="s">
        <v>9548</v>
      </c>
      <c r="U1037" t="s">
        <v>1846</v>
      </c>
      <c r="V1037" s="4" t="str">
        <f>"05701"</f>
        <v>05701</v>
      </c>
      <c r="W1037" t="s">
        <v>120</v>
      </c>
      <c r="Y1037" s="5">
        <v>17819106220</v>
      </c>
      <c r="AA1037">
        <v>445299</v>
      </c>
      <c r="AB1037" t="s">
        <v>9549</v>
      </c>
      <c r="AC1037" t="s">
        <v>9550</v>
      </c>
      <c r="AE1037" t="s">
        <v>285</v>
      </c>
      <c r="AF1037" t="s">
        <v>9547</v>
      </c>
      <c r="AH1037" t="s">
        <v>9548</v>
      </c>
      <c r="AI1037" t="s">
        <v>1846</v>
      </c>
      <c r="AJ1037" s="4" t="str">
        <f>"05701"</f>
        <v>05701</v>
      </c>
      <c r="AK1037" t="s">
        <v>120</v>
      </c>
      <c r="AM1037" s="5">
        <v>17819106220</v>
      </c>
      <c r="AO1037" t="s">
        <v>9551</v>
      </c>
      <c r="AP1037" t="s">
        <v>122</v>
      </c>
      <c r="AQ1037" t="s">
        <v>753</v>
      </c>
      <c r="AR1037" t="s">
        <v>754</v>
      </c>
      <c r="AS1037" t="s">
        <v>755</v>
      </c>
      <c r="AT1037" t="s">
        <v>756</v>
      </c>
      <c r="AU1037" t="s">
        <v>757</v>
      </c>
      <c r="AV1037" t="s">
        <v>758</v>
      </c>
      <c r="AW1037" t="s">
        <v>281</v>
      </c>
      <c r="AX1037" s="4" t="str">
        <f>"01701"</f>
        <v>01701</v>
      </c>
      <c r="AY1037" t="s">
        <v>120</v>
      </c>
      <c r="BA1037" s="5">
        <v>16179399444</v>
      </c>
      <c r="BC1037" t="s">
        <v>2487</v>
      </c>
      <c r="BD1037" t="s">
        <v>760</v>
      </c>
      <c r="BE1037" t="s">
        <v>281</v>
      </c>
      <c r="BF1037" t="s">
        <v>761</v>
      </c>
      <c r="BG1037" t="s">
        <v>1846</v>
      </c>
      <c r="BH1037" s="1">
        <v>44794.833333333336</v>
      </c>
      <c r="BI1037">
        <v>40</v>
      </c>
      <c r="BJ1037">
        <v>8</v>
      </c>
      <c r="BK1037">
        <v>8</v>
      </c>
      <c r="BL1037">
        <v>8</v>
      </c>
      <c r="BM1037">
        <v>8</v>
      </c>
      <c r="BN1037">
        <v>8</v>
      </c>
      <c r="BO1037">
        <v>0</v>
      </c>
      <c r="BP1037">
        <v>0</v>
      </c>
      <c r="BQ1037" t="str">
        <f>"8:30 PM"</f>
        <v>8:30 PM</v>
      </c>
      <c r="BR1037" t="str">
        <f>"4:30 PM"</f>
        <v>4:30 PM</v>
      </c>
      <c r="BS1037" t="s">
        <v>133</v>
      </c>
      <c r="BT1037">
        <v>0</v>
      </c>
      <c r="BU1037">
        <v>3</v>
      </c>
      <c r="BV1037" t="s">
        <v>134</v>
      </c>
      <c r="BX1037" s="2" t="s">
        <v>9552</v>
      </c>
      <c r="BY1037" t="s">
        <v>9553</v>
      </c>
      <c r="CA1037" t="s">
        <v>5445</v>
      </c>
      <c r="CB1037" t="s">
        <v>1846</v>
      </c>
      <c r="CC1037" s="4" t="str">
        <f>"05751"</f>
        <v>05751</v>
      </c>
      <c r="CD1037" t="s">
        <v>5449</v>
      </c>
      <c r="CE1037" t="s">
        <v>2849</v>
      </c>
      <c r="CF1037" s="6">
        <v>17.05</v>
      </c>
      <c r="CJ1037" t="s">
        <v>137</v>
      </c>
      <c r="CK1037" t="s">
        <v>9554</v>
      </c>
      <c r="CL1037" t="s">
        <v>9555</v>
      </c>
      <c r="CO1037" t="s">
        <v>138</v>
      </c>
      <c r="CP1037" t="s">
        <v>114</v>
      </c>
      <c r="CQ1037" t="s">
        <v>134</v>
      </c>
      <c r="CR1037" t="s">
        <v>134</v>
      </c>
      <c r="CS1037" t="s">
        <v>114</v>
      </c>
      <c r="CT1037" t="s">
        <v>114</v>
      </c>
      <c r="CU1037" t="s">
        <v>114</v>
      </c>
      <c r="CV1037" s="2" t="s">
        <v>9556</v>
      </c>
      <c r="CW1037" s="5" t="str">
        <f>"+17819106220"</f>
        <v>+17819106220</v>
      </c>
      <c r="CX1037" t="s">
        <v>9551</v>
      </c>
      <c r="CY1037" t="s">
        <v>138</v>
      </c>
      <c r="CZ1037" t="s">
        <v>139</v>
      </c>
      <c r="DA1037" t="s">
        <v>134</v>
      </c>
      <c r="DB1037" t="s">
        <v>134</v>
      </c>
      <c r="DC1037" t="s">
        <v>114</v>
      </c>
      <c r="DD1037" t="s">
        <v>134</v>
      </c>
    </row>
    <row r="1038" spans="1:113" ht="15" customHeight="1" x14ac:dyDescent="0.25">
      <c r="A1038" t="s">
        <v>13156</v>
      </c>
      <c r="B1038" t="s">
        <v>165</v>
      </c>
      <c r="C1038" s="1">
        <v>44800.398903703703</v>
      </c>
      <c r="D1038" s="1">
        <v>44840</v>
      </c>
      <c r="E1038" t="s">
        <v>134</v>
      </c>
      <c r="F1038" t="s">
        <v>4030</v>
      </c>
      <c r="G1038" t="str">
        <f>"37-2012.00"</f>
        <v>37-2012.00</v>
      </c>
      <c r="H1038" t="s">
        <v>116</v>
      </c>
      <c r="I1038">
        <v>30</v>
      </c>
      <c r="J1038">
        <v>30</v>
      </c>
      <c r="K1038" s="1">
        <v>44890</v>
      </c>
      <c r="L1038" s="1">
        <v>45024</v>
      </c>
      <c r="M1038" s="1">
        <v>44890</v>
      </c>
      <c r="N1038" s="1">
        <v>45024</v>
      </c>
      <c r="O1038" t="s">
        <v>199</v>
      </c>
      <c r="P1038" t="s">
        <v>13157</v>
      </c>
      <c r="Q1038" t="s">
        <v>13158</v>
      </c>
      <c r="R1038" t="s">
        <v>13159</v>
      </c>
      <c r="S1038" t="s">
        <v>10994</v>
      </c>
      <c r="T1038" t="s">
        <v>10012</v>
      </c>
      <c r="U1038" t="s">
        <v>2164</v>
      </c>
      <c r="V1038" s="4" t="str">
        <f>"83025"</f>
        <v>83025</v>
      </c>
      <c r="W1038" t="s">
        <v>120</v>
      </c>
      <c r="Y1038" s="5">
        <v>14018450900</v>
      </c>
      <c r="AA1038">
        <v>72111</v>
      </c>
      <c r="AB1038" t="s">
        <v>10995</v>
      </c>
      <c r="AC1038" t="s">
        <v>1907</v>
      </c>
      <c r="AD1038" t="s">
        <v>1730</v>
      </c>
      <c r="AE1038" t="s">
        <v>7175</v>
      </c>
      <c r="AF1038" t="s">
        <v>10996</v>
      </c>
      <c r="AH1038" t="s">
        <v>9224</v>
      </c>
      <c r="AI1038" t="s">
        <v>2214</v>
      </c>
      <c r="AJ1038" s="4" t="str">
        <f>"02842"</f>
        <v>02842</v>
      </c>
      <c r="AK1038" t="s">
        <v>120</v>
      </c>
      <c r="AM1038" s="5">
        <v>14018450900</v>
      </c>
      <c r="AO1038" t="s">
        <v>10997</v>
      </c>
      <c r="AP1038" t="s">
        <v>256</v>
      </c>
      <c r="AQ1038" t="s">
        <v>8225</v>
      </c>
      <c r="AR1038" t="s">
        <v>6816</v>
      </c>
      <c r="AT1038" t="s">
        <v>477</v>
      </c>
      <c r="AV1038" t="s">
        <v>478</v>
      </c>
      <c r="AW1038" t="s">
        <v>479</v>
      </c>
      <c r="AX1038" s="4" t="str">
        <f>"22903"</f>
        <v>22903</v>
      </c>
      <c r="AY1038" t="s">
        <v>120</v>
      </c>
      <c r="BA1038" s="5">
        <v>14342634300</v>
      </c>
      <c r="BC1038" t="s">
        <v>2910</v>
      </c>
      <c r="BD1038" t="s">
        <v>481</v>
      </c>
      <c r="BG1038" t="s">
        <v>2164</v>
      </c>
      <c r="BH1038" s="1">
        <v>44799.833333333336</v>
      </c>
      <c r="BI1038">
        <v>35</v>
      </c>
      <c r="BJ1038">
        <v>0</v>
      </c>
      <c r="BK1038">
        <v>7</v>
      </c>
      <c r="BL1038">
        <v>7</v>
      </c>
      <c r="BM1038">
        <v>7</v>
      </c>
      <c r="BN1038">
        <v>7</v>
      </c>
      <c r="BO1038">
        <v>7</v>
      </c>
      <c r="BP1038">
        <v>0</v>
      </c>
      <c r="BQ1038" t="str">
        <f>"9:00 AM"</f>
        <v>9:00 AM</v>
      </c>
      <c r="BR1038" t="str">
        <f>"4:00 PM"</f>
        <v>4:00 PM</v>
      </c>
      <c r="BS1038" t="s">
        <v>133</v>
      </c>
      <c r="BT1038">
        <v>0</v>
      </c>
      <c r="BU1038">
        <v>0</v>
      </c>
      <c r="BV1038" t="s">
        <v>134</v>
      </c>
      <c r="BX1038" s="2" t="s">
        <v>13160</v>
      </c>
      <c r="BY1038" t="s">
        <v>13161</v>
      </c>
      <c r="CA1038" t="s">
        <v>10012</v>
      </c>
      <c r="CB1038" t="s">
        <v>2164</v>
      </c>
      <c r="CC1038" s="4" t="str">
        <f>"83025"</f>
        <v>83025</v>
      </c>
      <c r="CD1038" t="s">
        <v>1428</v>
      </c>
      <c r="CE1038" t="s">
        <v>4445</v>
      </c>
      <c r="CF1038" s="6">
        <v>25</v>
      </c>
      <c r="CH1038" s="6">
        <v>37.5</v>
      </c>
      <c r="CJ1038" t="s">
        <v>137</v>
      </c>
      <c r="CK1038" t="s">
        <v>487</v>
      </c>
      <c r="CL1038" t="s">
        <v>13162</v>
      </c>
      <c r="CO1038" t="s">
        <v>138</v>
      </c>
      <c r="CP1038" t="s">
        <v>114</v>
      </c>
      <c r="CQ1038" t="s">
        <v>114</v>
      </c>
      <c r="CR1038" t="s">
        <v>114</v>
      </c>
      <c r="CS1038" t="s">
        <v>114</v>
      </c>
      <c r="CT1038" t="s">
        <v>114</v>
      </c>
      <c r="CU1038" t="s">
        <v>114</v>
      </c>
      <c r="CV1038" s="2" t="s">
        <v>13163</v>
      </c>
      <c r="CW1038" s="5" t="str">
        <f>"N/A"</f>
        <v>N/A</v>
      </c>
      <c r="CX1038" t="s">
        <v>10998</v>
      </c>
      <c r="CY1038" t="s">
        <v>4446</v>
      </c>
      <c r="CZ1038" t="s">
        <v>139</v>
      </c>
      <c r="DA1038" t="s">
        <v>134</v>
      </c>
      <c r="DB1038" t="s">
        <v>114</v>
      </c>
      <c r="DC1038" t="s">
        <v>114</v>
      </c>
      <c r="DD1038" t="s">
        <v>134</v>
      </c>
      <c r="DE1038" t="s">
        <v>2773</v>
      </c>
      <c r="DF1038" t="s">
        <v>2140</v>
      </c>
      <c r="DH1038" t="s">
        <v>481</v>
      </c>
      <c r="DI1038" t="s">
        <v>2910</v>
      </c>
    </row>
    <row r="1039" spans="1:113" ht="15" customHeight="1" x14ac:dyDescent="0.25">
      <c r="A1039" t="s">
        <v>6822</v>
      </c>
      <c r="B1039" t="s">
        <v>165</v>
      </c>
      <c r="C1039" s="1">
        <v>44796.454882638885</v>
      </c>
      <c r="D1039" s="1">
        <v>44840</v>
      </c>
      <c r="E1039" t="s">
        <v>134</v>
      </c>
      <c r="F1039" t="s">
        <v>1994</v>
      </c>
      <c r="G1039" t="str">
        <f>"47-2061.00"</f>
        <v>47-2061.00</v>
      </c>
      <c r="H1039" t="s">
        <v>1625</v>
      </c>
      <c r="I1039">
        <v>30</v>
      </c>
      <c r="J1039">
        <v>30</v>
      </c>
      <c r="K1039" s="1">
        <v>44871</v>
      </c>
      <c r="L1039" s="1">
        <v>45017</v>
      </c>
      <c r="M1039" s="1">
        <v>44871</v>
      </c>
      <c r="N1039" s="1">
        <v>45017</v>
      </c>
      <c r="O1039" t="s">
        <v>199</v>
      </c>
      <c r="P1039" t="s">
        <v>6823</v>
      </c>
      <c r="R1039" t="s">
        <v>6824</v>
      </c>
      <c r="T1039" t="s">
        <v>128</v>
      </c>
      <c r="U1039" t="s">
        <v>129</v>
      </c>
      <c r="V1039" s="4" t="str">
        <f>"30305"</f>
        <v>30305</v>
      </c>
      <c r="W1039" t="s">
        <v>120</v>
      </c>
      <c r="Y1039" s="5">
        <v>14044434762</v>
      </c>
      <c r="AA1039">
        <v>2361</v>
      </c>
      <c r="AB1039" t="s">
        <v>6825</v>
      </c>
      <c r="AC1039" t="s">
        <v>1649</v>
      </c>
      <c r="AE1039" t="s">
        <v>3047</v>
      </c>
      <c r="AF1039" t="s">
        <v>6824</v>
      </c>
      <c r="AH1039" t="s">
        <v>128</v>
      </c>
      <c r="AI1039" t="s">
        <v>129</v>
      </c>
      <c r="AJ1039" s="4" t="str">
        <f>"30305"</f>
        <v>30305</v>
      </c>
      <c r="AK1039" t="s">
        <v>120</v>
      </c>
      <c r="AM1039" s="5">
        <v>14044434762</v>
      </c>
      <c r="AO1039" t="s">
        <v>138</v>
      </c>
      <c r="AP1039" t="s">
        <v>256</v>
      </c>
      <c r="AQ1039" t="s">
        <v>475</v>
      </c>
      <c r="AR1039" t="s">
        <v>476</v>
      </c>
      <c r="AT1039" t="s">
        <v>477</v>
      </c>
      <c r="AV1039" t="s">
        <v>478</v>
      </c>
      <c r="AW1039" t="s">
        <v>479</v>
      </c>
      <c r="AX1039" s="4" t="str">
        <f>"22903"</f>
        <v>22903</v>
      </c>
      <c r="AY1039" t="s">
        <v>120</v>
      </c>
      <c r="BA1039" s="5">
        <v>14342634300</v>
      </c>
      <c r="BC1039" t="s">
        <v>1549</v>
      </c>
      <c r="BD1039" t="s">
        <v>481</v>
      </c>
      <c r="BG1039" t="s">
        <v>2164</v>
      </c>
      <c r="BH1039" s="1">
        <v>44795.833333333336</v>
      </c>
      <c r="BI1039">
        <v>40</v>
      </c>
      <c r="BJ1039">
        <v>0</v>
      </c>
      <c r="BK1039">
        <v>8</v>
      </c>
      <c r="BL1039">
        <v>8</v>
      </c>
      <c r="BM1039">
        <v>8</v>
      </c>
      <c r="BN1039">
        <v>8</v>
      </c>
      <c r="BO1039">
        <v>8</v>
      </c>
      <c r="BP1039">
        <v>0</v>
      </c>
      <c r="BQ1039" t="str">
        <f>"6:00 AM"</f>
        <v>6:00 AM</v>
      </c>
      <c r="BR1039" t="str">
        <f>"2:30 PM"</f>
        <v>2:30 PM</v>
      </c>
      <c r="BS1039" t="s">
        <v>133</v>
      </c>
      <c r="BT1039">
        <v>0</v>
      </c>
      <c r="BU1039">
        <v>0</v>
      </c>
      <c r="BV1039" t="s">
        <v>134</v>
      </c>
      <c r="BX1039" s="2" t="s">
        <v>6817</v>
      </c>
      <c r="BY1039" t="s">
        <v>6826</v>
      </c>
      <c r="CA1039" t="s">
        <v>1856</v>
      </c>
      <c r="CB1039" t="s">
        <v>2164</v>
      </c>
      <c r="CC1039" s="4" t="str">
        <f>"83001"</f>
        <v>83001</v>
      </c>
      <c r="CD1039" t="s">
        <v>1428</v>
      </c>
      <c r="CE1039" t="s">
        <v>4445</v>
      </c>
      <c r="CF1039" s="6">
        <v>19.22</v>
      </c>
      <c r="CH1039" s="6">
        <v>28.83</v>
      </c>
      <c r="CJ1039" t="s">
        <v>137</v>
      </c>
      <c r="CK1039" t="s">
        <v>487</v>
      </c>
      <c r="CL1039" t="s">
        <v>6827</v>
      </c>
      <c r="CO1039" t="s">
        <v>138</v>
      </c>
      <c r="CP1039" t="s">
        <v>114</v>
      </c>
      <c r="CQ1039" t="s">
        <v>114</v>
      </c>
      <c r="CR1039" t="s">
        <v>114</v>
      </c>
      <c r="CS1039" t="s">
        <v>114</v>
      </c>
      <c r="CT1039" t="s">
        <v>114</v>
      </c>
      <c r="CU1039" t="s">
        <v>114</v>
      </c>
      <c r="CV1039" t="s">
        <v>6828</v>
      </c>
      <c r="CW1039" s="5" t="str">
        <f>"N/A"</f>
        <v>N/A</v>
      </c>
      <c r="CX1039" t="s">
        <v>6829</v>
      </c>
      <c r="CY1039" t="s">
        <v>4446</v>
      </c>
      <c r="CZ1039" t="s">
        <v>139</v>
      </c>
      <c r="DA1039" t="s">
        <v>134</v>
      </c>
      <c r="DB1039" t="s">
        <v>114</v>
      </c>
      <c r="DC1039" t="s">
        <v>114</v>
      </c>
      <c r="DD1039" t="s">
        <v>134</v>
      </c>
      <c r="DE1039" t="s">
        <v>1551</v>
      </c>
      <c r="DF1039" t="s">
        <v>1377</v>
      </c>
      <c r="DH1039" t="s">
        <v>481</v>
      </c>
      <c r="DI1039" t="s">
        <v>1549</v>
      </c>
    </row>
    <row r="1040" spans="1:113" ht="15" customHeight="1" x14ac:dyDescent="0.25">
      <c r="A1040" t="s">
        <v>9447</v>
      </c>
      <c r="B1040" t="s">
        <v>165</v>
      </c>
      <c r="C1040" s="1">
        <v>44795.64174421296</v>
      </c>
      <c r="D1040" s="1">
        <v>44840</v>
      </c>
      <c r="E1040" t="s">
        <v>134</v>
      </c>
      <c r="F1040" t="s">
        <v>7424</v>
      </c>
      <c r="G1040" t="str">
        <f>"37-2011.00"</f>
        <v>37-2011.00</v>
      </c>
      <c r="H1040" t="s">
        <v>672</v>
      </c>
      <c r="I1040">
        <v>8</v>
      </c>
      <c r="J1040">
        <v>8</v>
      </c>
      <c r="K1040" s="1">
        <v>44870</v>
      </c>
      <c r="L1040" s="1">
        <v>45016</v>
      </c>
      <c r="M1040" s="1">
        <v>44870</v>
      </c>
      <c r="N1040" s="1">
        <v>45016</v>
      </c>
      <c r="O1040" t="s">
        <v>199</v>
      </c>
      <c r="P1040" t="s">
        <v>9448</v>
      </c>
      <c r="Q1040" t="s">
        <v>9449</v>
      </c>
      <c r="R1040" t="s">
        <v>9450</v>
      </c>
      <c r="T1040" t="s">
        <v>6077</v>
      </c>
      <c r="U1040" t="s">
        <v>821</v>
      </c>
      <c r="V1040" s="4" t="str">
        <f>"99518"</f>
        <v>99518</v>
      </c>
      <c r="W1040" t="s">
        <v>120</v>
      </c>
      <c r="Y1040" s="5">
        <v>19072487000</v>
      </c>
      <c r="AA1040">
        <v>23899</v>
      </c>
      <c r="AB1040" t="s">
        <v>1116</v>
      </c>
      <c r="AC1040" t="s">
        <v>9451</v>
      </c>
      <c r="AD1040" t="s">
        <v>9452</v>
      </c>
      <c r="AE1040" t="s">
        <v>9453</v>
      </c>
      <c r="AF1040" t="s">
        <v>9450</v>
      </c>
      <c r="AH1040" t="s">
        <v>6077</v>
      </c>
      <c r="AI1040" t="s">
        <v>821</v>
      </c>
      <c r="AJ1040" s="4" t="str">
        <f>"99518"</f>
        <v>99518</v>
      </c>
      <c r="AK1040" t="s">
        <v>120</v>
      </c>
      <c r="AM1040" s="5">
        <v>19072487000</v>
      </c>
      <c r="AO1040" t="s">
        <v>9454</v>
      </c>
      <c r="AX1040" s="4" t="str">
        <f>""</f>
        <v/>
      </c>
      <c r="BG1040" t="s">
        <v>821</v>
      </c>
      <c r="BH1040" s="1">
        <v>44794.833333333336</v>
      </c>
      <c r="BI1040">
        <v>40</v>
      </c>
      <c r="BJ1040">
        <v>0</v>
      </c>
      <c r="BK1040">
        <v>8</v>
      </c>
      <c r="BL1040">
        <v>8</v>
      </c>
      <c r="BM1040">
        <v>8</v>
      </c>
      <c r="BN1040">
        <v>8</v>
      </c>
      <c r="BO1040">
        <v>8</v>
      </c>
      <c r="BP1040">
        <v>0</v>
      </c>
      <c r="BQ1040" t="str">
        <f>"10:00 PM"</f>
        <v>10:00 PM</v>
      </c>
      <c r="BR1040" t="str">
        <f>"6:00 AM"</f>
        <v>6:00 AM</v>
      </c>
      <c r="BS1040" t="s">
        <v>133</v>
      </c>
      <c r="BT1040">
        <v>0</v>
      </c>
      <c r="BU1040">
        <v>0</v>
      </c>
      <c r="BV1040" t="s">
        <v>134</v>
      </c>
      <c r="BX1040" s="2" t="s">
        <v>9455</v>
      </c>
      <c r="BY1040" t="s">
        <v>9450</v>
      </c>
      <c r="CA1040" t="s">
        <v>6077</v>
      </c>
      <c r="CB1040" t="s">
        <v>821</v>
      </c>
      <c r="CC1040" s="4" t="str">
        <f>"99518"</f>
        <v>99518</v>
      </c>
      <c r="CD1040" t="s">
        <v>6077</v>
      </c>
      <c r="CE1040" t="s">
        <v>6078</v>
      </c>
      <c r="CF1040" s="6">
        <v>16.77</v>
      </c>
      <c r="CG1040" s="6">
        <v>16.77</v>
      </c>
      <c r="CH1040" s="6">
        <v>25.16</v>
      </c>
      <c r="CI1040" s="6">
        <v>25.16</v>
      </c>
      <c r="CJ1040" t="s">
        <v>137</v>
      </c>
      <c r="CL1040" t="s">
        <v>9456</v>
      </c>
      <c r="CO1040" t="s">
        <v>138</v>
      </c>
      <c r="CP1040" t="s">
        <v>114</v>
      </c>
      <c r="CQ1040" t="s">
        <v>114</v>
      </c>
      <c r="CR1040" t="s">
        <v>114</v>
      </c>
      <c r="CS1040" t="s">
        <v>134</v>
      </c>
      <c r="CT1040" t="s">
        <v>114</v>
      </c>
      <c r="CU1040" t="s">
        <v>114</v>
      </c>
      <c r="CV1040" t="s">
        <v>9457</v>
      </c>
      <c r="CW1040" s="5" t="str">
        <f>"+19072487000"</f>
        <v>+19072487000</v>
      </c>
      <c r="CX1040" t="s">
        <v>9458</v>
      </c>
      <c r="CY1040" t="s">
        <v>9459</v>
      </c>
      <c r="CZ1040" t="s">
        <v>139</v>
      </c>
      <c r="DA1040" t="s">
        <v>134</v>
      </c>
      <c r="DB1040" t="s">
        <v>134</v>
      </c>
      <c r="DC1040" t="s">
        <v>114</v>
      </c>
      <c r="DD1040" t="s">
        <v>134</v>
      </c>
    </row>
    <row r="1041" spans="1:108" ht="15" customHeight="1" x14ac:dyDescent="0.25">
      <c r="A1041" t="s">
        <v>12260</v>
      </c>
      <c r="B1041" t="s">
        <v>165</v>
      </c>
      <c r="C1041" s="1">
        <v>44795.622712615739</v>
      </c>
      <c r="D1041" s="1">
        <v>44840</v>
      </c>
      <c r="E1041" t="s">
        <v>134</v>
      </c>
      <c r="F1041" t="s">
        <v>1089</v>
      </c>
      <c r="G1041" t="str">
        <f>"39-2021.00"</f>
        <v>39-2021.00</v>
      </c>
      <c r="H1041" t="s">
        <v>1090</v>
      </c>
      <c r="I1041">
        <v>3</v>
      </c>
      <c r="J1041">
        <v>3</v>
      </c>
      <c r="K1041" s="1">
        <v>44870</v>
      </c>
      <c r="L1041" s="1">
        <v>45107</v>
      </c>
      <c r="M1041" s="1">
        <v>44870</v>
      </c>
      <c r="N1041" s="1">
        <v>45107</v>
      </c>
      <c r="O1041" t="s">
        <v>199</v>
      </c>
      <c r="P1041" t="s">
        <v>12261</v>
      </c>
      <c r="R1041" t="s">
        <v>12262</v>
      </c>
      <c r="T1041" t="s">
        <v>9026</v>
      </c>
      <c r="U1041" t="s">
        <v>1684</v>
      </c>
      <c r="V1041" s="4" t="str">
        <f>"87413"</f>
        <v>87413</v>
      </c>
      <c r="W1041" t="s">
        <v>120</v>
      </c>
      <c r="Y1041" s="5">
        <v>15052529268</v>
      </c>
      <c r="AA1041">
        <v>711212</v>
      </c>
      <c r="AB1041" t="s">
        <v>12263</v>
      </c>
      <c r="AC1041" t="s">
        <v>12264</v>
      </c>
      <c r="AD1041" t="s">
        <v>259</v>
      </c>
      <c r="AE1041" t="s">
        <v>622</v>
      </c>
      <c r="AF1041" t="s">
        <v>12262</v>
      </c>
      <c r="AH1041" t="s">
        <v>9026</v>
      </c>
      <c r="AI1041" t="s">
        <v>1684</v>
      </c>
      <c r="AJ1041" s="4" t="str">
        <f>"87413"</f>
        <v>87413</v>
      </c>
      <c r="AK1041" t="s">
        <v>120</v>
      </c>
      <c r="AM1041" s="5">
        <v>15052529268</v>
      </c>
      <c r="AO1041" t="s">
        <v>12265</v>
      </c>
      <c r="AP1041" t="s">
        <v>122</v>
      </c>
      <c r="AQ1041" t="s">
        <v>625</v>
      </c>
      <c r="AR1041" t="s">
        <v>626</v>
      </c>
      <c r="AS1041" t="s">
        <v>627</v>
      </c>
      <c r="AT1041" t="s">
        <v>628</v>
      </c>
      <c r="AU1041" t="s">
        <v>629</v>
      </c>
      <c r="AV1041" t="s">
        <v>630</v>
      </c>
      <c r="AW1041" t="s">
        <v>631</v>
      </c>
      <c r="AX1041" s="4" t="str">
        <f>"73069"</f>
        <v>73069</v>
      </c>
      <c r="AY1041" t="s">
        <v>120</v>
      </c>
      <c r="BA1041" s="5">
        <v>14053642525</v>
      </c>
      <c r="BC1041" t="s">
        <v>632</v>
      </c>
      <c r="BD1041" t="s">
        <v>633</v>
      </c>
      <c r="BE1041" t="s">
        <v>631</v>
      </c>
      <c r="BF1041" t="s">
        <v>634</v>
      </c>
      <c r="BG1041" t="s">
        <v>530</v>
      </c>
      <c r="BH1041" s="1">
        <v>44794.833333333336</v>
      </c>
      <c r="BI1041">
        <v>56</v>
      </c>
      <c r="BJ1041">
        <v>8</v>
      </c>
      <c r="BK1041">
        <v>8</v>
      </c>
      <c r="BL1041">
        <v>8</v>
      </c>
      <c r="BM1041">
        <v>8</v>
      </c>
      <c r="BN1041">
        <v>8</v>
      </c>
      <c r="BO1041">
        <v>8</v>
      </c>
      <c r="BP1041">
        <v>8</v>
      </c>
      <c r="BQ1041" t="str">
        <f>"5:00 AM"</f>
        <v>5:00 AM</v>
      </c>
      <c r="BR1041" t="str">
        <f>"5:00 PM"</f>
        <v>5:00 PM</v>
      </c>
      <c r="BS1041" t="s">
        <v>133</v>
      </c>
      <c r="BT1041">
        <v>0</v>
      </c>
      <c r="BU1041">
        <v>1</v>
      </c>
      <c r="BV1041" t="s">
        <v>134</v>
      </c>
      <c r="BX1041" s="2" t="s">
        <v>2921</v>
      </c>
      <c r="BY1041" t="s">
        <v>12266</v>
      </c>
      <c r="BZ1041" t="s">
        <v>12267</v>
      </c>
      <c r="CA1041" t="s">
        <v>587</v>
      </c>
      <c r="CB1041" t="s">
        <v>530</v>
      </c>
      <c r="CC1041" s="4" t="str">
        <f>"85023"</f>
        <v>85023</v>
      </c>
      <c r="CD1041" t="s">
        <v>592</v>
      </c>
      <c r="CE1041" t="s">
        <v>548</v>
      </c>
      <c r="CF1041" s="6">
        <v>15.2</v>
      </c>
      <c r="CG1041" s="6">
        <v>15.2</v>
      </c>
      <c r="CH1041" s="6">
        <v>22.8</v>
      </c>
      <c r="CI1041" s="6">
        <v>22.8</v>
      </c>
      <c r="CJ1041" t="s">
        <v>137</v>
      </c>
      <c r="CL1041" t="s">
        <v>12268</v>
      </c>
      <c r="CO1041" t="s">
        <v>138</v>
      </c>
      <c r="CP1041" t="s">
        <v>134</v>
      </c>
      <c r="CQ1041" t="s">
        <v>134</v>
      </c>
      <c r="CR1041" t="s">
        <v>114</v>
      </c>
      <c r="CS1041" t="s">
        <v>134</v>
      </c>
      <c r="CT1041" t="s">
        <v>114</v>
      </c>
      <c r="CU1041" t="s">
        <v>114</v>
      </c>
      <c r="CV1041" t="s">
        <v>641</v>
      </c>
      <c r="CW1041" s="5" t="str">
        <f>"+16023724200"</f>
        <v>+16023724200</v>
      </c>
      <c r="CX1041" t="s">
        <v>12265</v>
      </c>
      <c r="CY1041" t="s">
        <v>138</v>
      </c>
      <c r="CZ1041" t="s">
        <v>139</v>
      </c>
      <c r="DA1041" t="s">
        <v>134</v>
      </c>
      <c r="DB1041" t="s">
        <v>134</v>
      </c>
      <c r="DC1041" t="s">
        <v>114</v>
      </c>
      <c r="DD1041" t="s">
        <v>134</v>
      </c>
    </row>
    <row r="1042" spans="1:108" ht="15" customHeight="1" x14ac:dyDescent="0.25">
      <c r="A1042" t="s">
        <v>6533</v>
      </c>
      <c r="B1042" t="s">
        <v>165</v>
      </c>
      <c r="C1042" s="1">
        <v>44784.908154629629</v>
      </c>
      <c r="D1042" s="1">
        <v>44840</v>
      </c>
      <c r="E1042" t="s">
        <v>134</v>
      </c>
      <c r="F1042" t="s">
        <v>4481</v>
      </c>
      <c r="G1042" t="str">
        <f>"51-3093.00"</f>
        <v>51-3093.00</v>
      </c>
      <c r="H1042" t="s">
        <v>2713</v>
      </c>
      <c r="I1042">
        <v>2</v>
      </c>
      <c r="J1042">
        <v>2</v>
      </c>
      <c r="K1042" s="1">
        <v>44858</v>
      </c>
      <c r="L1042" s="1">
        <v>44926</v>
      </c>
      <c r="M1042" s="1">
        <v>44858</v>
      </c>
      <c r="N1042" s="1">
        <v>44926</v>
      </c>
      <c r="O1042" t="s">
        <v>117</v>
      </c>
      <c r="P1042" t="s">
        <v>4482</v>
      </c>
      <c r="R1042" t="s">
        <v>4483</v>
      </c>
      <c r="S1042" t="s">
        <v>6534</v>
      </c>
      <c r="T1042" t="s">
        <v>4484</v>
      </c>
      <c r="U1042" t="s">
        <v>848</v>
      </c>
      <c r="V1042" s="4" t="str">
        <f>"12136"</f>
        <v>12136</v>
      </c>
      <c r="W1042" t="s">
        <v>120</v>
      </c>
      <c r="Y1042" s="5">
        <v>15187993414</v>
      </c>
      <c r="AA1042">
        <v>311930</v>
      </c>
      <c r="AB1042" t="s">
        <v>4485</v>
      </c>
      <c r="AC1042" t="s">
        <v>4486</v>
      </c>
      <c r="AD1042" t="s">
        <v>423</v>
      </c>
      <c r="AE1042" t="s">
        <v>3191</v>
      </c>
      <c r="AF1042" t="s">
        <v>4483</v>
      </c>
      <c r="AG1042" t="s">
        <v>2366</v>
      </c>
      <c r="AH1042" t="s">
        <v>4484</v>
      </c>
      <c r="AI1042" t="s">
        <v>848</v>
      </c>
      <c r="AJ1042" s="4" t="str">
        <f>"12136"</f>
        <v>12136</v>
      </c>
      <c r="AK1042" t="s">
        <v>120</v>
      </c>
      <c r="AM1042" s="5">
        <v>15187993414</v>
      </c>
      <c r="AO1042" t="s">
        <v>4487</v>
      </c>
      <c r="AP1042" t="s">
        <v>256</v>
      </c>
      <c r="AQ1042" t="s">
        <v>4488</v>
      </c>
      <c r="AR1042" t="s">
        <v>1530</v>
      </c>
      <c r="AS1042" t="s">
        <v>4489</v>
      </c>
      <c r="AT1042" t="s">
        <v>4490</v>
      </c>
      <c r="AV1042" t="s">
        <v>4491</v>
      </c>
      <c r="AW1042" t="s">
        <v>848</v>
      </c>
      <c r="AX1042" s="4" t="str">
        <f>"12534"</f>
        <v>12534</v>
      </c>
      <c r="AY1042" t="s">
        <v>120</v>
      </c>
      <c r="BA1042" s="5">
        <v>15184510109</v>
      </c>
      <c r="BC1042" t="s">
        <v>1583</v>
      </c>
      <c r="BD1042" t="s">
        <v>4492</v>
      </c>
      <c r="BG1042" t="s">
        <v>848</v>
      </c>
      <c r="BH1042" s="1">
        <v>44783.833333333336</v>
      </c>
      <c r="BI1042">
        <v>40</v>
      </c>
      <c r="BJ1042">
        <v>0</v>
      </c>
      <c r="BK1042">
        <v>8</v>
      </c>
      <c r="BL1042">
        <v>8</v>
      </c>
      <c r="BM1042">
        <v>8</v>
      </c>
      <c r="BN1042">
        <v>8</v>
      </c>
      <c r="BO1042">
        <v>8</v>
      </c>
      <c r="BP1042">
        <v>0</v>
      </c>
      <c r="BQ1042" t="str">
        <f>"9:00 AM"</f>
        <v>9:00 AM</v>
      </c>
      <c r="BR1042" t="str">
        <f>"5:00 PM"</f>
        <v>5:00 PM</v>
      </c>
      <c r="BS1042" t="s">
        <v>133</v>
      </c>
      <c r="BT1042">
        <v>0</v>
      </c>
      <c r="BU1042">
        <v>2</v>
      </c>
      <c r="BV1042" t="s">
        <v>134</v>
      </c>
      <c r="BX1042" s="2" t="s">
        <v>4493</v>
      </c>
      <c r="BY1042" t="s">
        <v>4483</v>
      </c>
      <c r="CA1042" t="s">
        <v>4484</v>
      </c>
      <c r="CB1042" t="s">
        <v>848</v>
      </c>
      <c r="CC1042" s="4" t="str">
        <f>"12132"</f>
        <v>12132</v>
      </c>
      <c r="CD1042" t="s">
        <v>3930</v>
      </c>
      <c r="CE1042" t="s">
        <v>3931</v>
      </c>
      <c r="CF1042" s="6">
        <v>16.309999999999999</v>
      </c>
      <c r="CG1042" s="6">
        <v>16.309999999999999</v>
      </c>
      <c r="CJ1042" t="s">
        <v>137</v>
      </c>
      <c r="CL1042" t="s">
        <v>6535</v>
      </c>
      <c r="CO1042" t="s">
        <v>138</v>
      </c>
      <c r="CP1042" t="s">
        <v>134</v>
      </c>
      <c r="CQ1042" t="s">
        <v>114</v>
      </c>
      <c r="CR1042" t="s">
        <v>134</v>
      </c>
      <c r="CS1042" t="s">
        <v>114</v>
      </c>
      <c r="CT1042" t="s">
        <v>114</v>
      </c>
      <c r="CU1042" t="s">
        <v>134</v>
      </c>
      <c r="CV1042" t="s">
        <v>6536</v>
      </c>
      <c r="CW1042" s="5" t="str">
        <f>"+15187993414"</f>
        <v>+15187993414</v>
      </c>
      <c r="CX1042" t="s">
        <v>6537</v>
      </c>
      <c r="CY1042" t="s">
        <v>138</v>
      </c>
      <c r="CZ1042" t="s">
        <v>139</v>
      </c>
      <c r="DA1042" t="s">
        <v>134</v>
      </c>
      <c r="DB1042" t="s">
        <v>134</v>
      </c>
      <c r="DC1042" t="s">
        <v>114</v>
      </c>
      <c r="DD1042" t="s">
        <v>134</v>
      </c>
    </row>
    <row r="1043" spans="1:108" ht="15" customHeight="1" x14ac:dyDescent="0.25">
      <c r="A1043" t="s">
        <v>12255</v>
      </c>
      <c r="B1043" t="s">
        <v>165</v>
      </c>
      <c r="C1043" s="1">
        <v>44816.747976041668</v>
      </c>
      <c r="D1043" s="1">
        <v>44839</v>
      </c>
      <c r="E1043" t="s">
        <v>134</v>
      </c>
      <c r="F1043" t="s">
        <v>1331</v>
      </c>
      <c r="G1043" t="str">
        <f>"35-2014.00"</f>
        <v>35-2014.00</v>
      </c>
      <c r="H1043" t="s">
        <v>915</v>
      </c>
      <c r="I1043">
        <v>2</v>
      </c>
      <c r="J1043">
        <v>2</v>
      </c>
      <c r="K1043" s="1">
        <v>44891</v>
      </c>
      <c r="L1043" s="1">
        <v>44940</v>
      </c>
      <c r="M1043" s="1">
        <v>44891</v>
      </c>
      <c r="N1043" s="1">
        <v>44940</v>
      </c>
      <c r="O1043" t="s">
        <v>117</v>
      </c>
      <c r="P1043" t="s">
        <v>9875</v>
      </c>
      <c r="R1043" t="s">
        <v>8939</v>
      </c>
      <c r="T1043" t="s">
        <v>991</v>
      </c>
      <c r="U1043" t="s">
        <v>988</v>
      </c>
      <c r="V1043" s="4" t="str">
        <f>"89449"</f>
        <v>89449</v>
      </c>
      <c r="W1043" t="s">
        <v>120</v>
      </c>
      <c r="Y1043" s="5">
        <v>17755883553</v>
      </c>
      <c r="AA1043">
        <v>72111</v>
      </c>
      <c r="AB1043" t="s">
        <v>1335</v>
      </c>
      <c r="AC1043" t="s">
        <v>1336</v>
      </c>
      <c r="AE1043" t="s">
        <v>1337</v>
      </c>
      <c r="AF1043" t="s">
        <v>1338</v>
      </c>
      <c r="AH1043" t="s">
        <v>1339</v>
      </c>
      <c r="AI1043" t="s">
        <v>154</v>
      </c>
      <c r="AJ1043" s="4" t="str">
        <f>"32819"</f>
        <v>32819</v>
      </c>
      <c r="AK1043" t="s">
        <v>120</v>
      </c>
      <c r="AM1043" s="5">
        <v>17722161190</v>
      </c>
      <c r="AO1043" t="s">
        <v>12256</v>
      </c>
      <c r="AP1043" t="s">
        <v>256</v>
      </c>
      <c r="AQ1043" t="s">
        <v>400</v>
      </c>
      <c r="AR1043" t="s">
        <v>401</v>
      </c>
      <c r="AS1043" t="s">
        <v>397</v>
      </c>
      <c r="AT1043" t="s">
        <v>402</v>
      </c>
      <c r="AU1043" t="s">
        <v>152</v>
      </c>
      <c r="AV1043" t="s">
        <v>403</v>
      </c>
      <c r="AW1043" t="s">
        <v>232</v>
      </c>
      <c r="AX1043" s="4" t="str">
        <f>"75033"</f>
        <v>75033</v>
      </c>
      <c r="AY1043" t="s">
        <v>120</v>
      </c>
      <c r="BA1043" s="5">
        <v>19727789690</v>
      </c>
      <c r="BC1043" t="s">
        <v>946</v>
      </c>
      <c r="BD1043" t="s">
        <v>405</v>
      </c>
      <c r="BG1043" t="s">
        <v>988</v>
      </c>
      <c r="BH1043" s="1">
        <v>44815.833333333336</v>
      </c>
      <c r="BI1043">
        <v>40</v>
      </c>
      <c r="BJ1043">
        <v>8</v>
      </c>
      <c r="BK1043">
        <v>8</v>
      </c>
      <c r="BL1043">
        <v>8</v>
      </c>
      <c r="BM1043">
        <v>8</v>
      </c>
      <c r="BN1043">
        <v>0</v>
      </c>
      <c r="BO1043">
        <v>8</v>
      </c>
      <c r="BP1043">
        <v>0</v>
      </c>
      <c r="BQ1043" t="str">
        <f>"7:00 AM"</f>
        <v>7:00 AM</v>
      </c>
      <c r="BR1043" t="str">
        <f>"3:30 PM"</f>
        <v>3:30 PM</v>
      </c>
      <c r="BS1043" t="s">
        <v>133</v>
      </c>
      <c r="BT1043">
        <v>0</v>
      </c>
      <c r="BU1043">
        <v>0</v>
      </c>
      <c r="BV1043" t="s">
        <v>134</v>
      </c>
      <c r="BX1043" s="2" t="s">
        <v>12257</v>
      </c>
      <c r="BY1043" t="s">
        <v>8939</v>
      </c>
      <c r="CA1043" t="s">
        <v>991</v>
      </c>
      <c r="CB1043" t="s">
        <v>988</v>
      </c>
      <c r="CC1043" s="4" t="str">
        <f>"89449"</f>
        <v>89449</v>
      </c>
      <c r="CD1043" t="s">
        <v>992</v>
      </c>
      <c r="CE1043" t="s">
        <v>993</v>
      </c>
      <c r="CF1043" s="6">
        <v>17</v>
      </c>
      <c r="CG1043" s="6">
        <v>17</v>
      </c>
      <c r="CH1043" s="6">
        <v>25.5</v>
      </c>
      <c r="CI1043" s="6">
        <v>25.5</v>
      </c>
      <c r="CJ1043" t="s">
        <v>137</v>
      </c>
      <c r="CK1043" t="s">
        <v>950</v>
      </c>
      <c r="CL1043" t="s">
        <v>9876</v>
      </c>
      <c r="CO1043" t="s">
        <v>138</v>
      </c>
      <c r="CP1043" t="s">
        <v>114</v>
      </c>
      <c r="CQ1043" t="s">
        <v>134</v>
      </c>
      <c r="CR1043" t="s">
        <v>114</v>
      </c>
      <c r="CS1043" t="s">
        <v>114</v>
      </c>
      <c r="CT1043" t="s">
        <v>114</v>
      </c>
      <c r="CU1043" t="s">
        <v>114</v>
      </c>
      <c r="CV1043" s="2" t="s">
        <v>12258</v>
      </c>
      <c r="CW1043" s="5" t="str">
        <f>"+17755883553"</f>
        <v>+17755883553</v>
      </c>
      <c r="CX1043" t="s">
        <v>138</v>
      </c>
      <c r="CY1043" t="s">
        <v>12259</v>
      </c>
      <c r="CZ1043" t="s">
        <v>139</v>
      </c>
      <c r="DA1043" t="s">
        <v>134</v>
      </c>
      <c r="DB1043" t="s">
        <v>134</v>
      </c>
      <c r="DC1043" t="s">
        <v>114</v>
      </c>
      <c r="DD1043" t="s">
        <v>134</v>
      </c>
    </row>
    <row r="1044" spans="1:108" ht="15" customHeight="1" x14ac:dyDescent="0.25">
      <c r="A1044" t="s">
        <v>6748</v>
      </c>
      <c r="B1044" t="s">
        <v>165</v>
      </c>
      <c r="C1044" s="1">
        <v>44816.744366319443</v>
      </c>
      <c r="D1044" s="1">
        <v>44839</v>
      </c>
      <c r="E1044" t="s">
        <v>134</v>
      </c>
      <c r="F1044" t="s">
        <v>524</v>
      </c>
      <c r="G1044" t="str">
        <f>"49-9098.00"</f>
        <v>49-9098.00</v>
      </c>
      <c r="H1044" t="s">
        <v>525</v>
      </c>
      <c r="I1044">
        <v>2</v>
      </c>
      <c r="J1044">
        <v>2</v>
      </c>
      <c r="K1044" s="1">
        <v>44892</v>
      </c>
      <c r="L1044" s="1">
        <v>45026</v>
      </c>
      <c r="M1044" s="1">
        <v>44892</v>
      </c>
      <c r="N1044" s="1">
        <v>45026</v>
      </c>
      <c r="O1044" t="s">
        <v>199</v>
      </c>
      <c r="P1044" t="s">
        <v>6749</v>
      </c>
      <c r="R1044" t="s">
        <v>6750</v>
      </c>
      <c r="T1044" t="s">
        <v>6751</v>
      </c>
      <c r="U1044" t="s">
        <v>1003</v>
      </c>
      <c r="V1044" s="4" t="str">
        <f>"07424"</f>
        <v>07424</v>
      </c>
      <c r="W1044" t="s">
        <v>120</v>
      </c>
      <c r="Y1044" s="5">
        <v>19738091370</v>
      </c>
      <c r="AA1044">
        <v>7139</v>
      </c>
      <c r="AB1044" t="s">
        <v>6752</v>
      </c>
      <c r="AC1044" t="s">
        <v>6753</v>
      </c>
      <c r="AE1044" t="s">
        <v>252</v>
      </c>
      <c r="AF1044" t="s">
        <v>6750</v>
      </c>
      <c r="AH1044" t="s">
        <v>6751</v>
      </c>
      <c r="AI1044" t="s">
        <v>1003</v>
      </c>
      <c r="AJ1044" s="4" t="str">
        <f>"07424"</f>
        <v>07424</v>
      </c>
      <c r="AK1044" t="s">
        <v>120</v>
      </c>
      <c r="AM1044" s="5">
        <v>19738091370</v>
      </c>
      <c r="AO1044" t="s">
        <v>6754</v>
      </c>
      <c r="AP1044" t="s">
        <v>256</v>
      </c>
      <c r="AQ1044" t="s">
        <v>535</v>
      </c>
      <c r="AR1044" t="s">
        <v>536</v>
      </c>
      <c r="AS1044" t="s">
        <v>537</v>
      </c>
      <c r="AT1044" t="s">
        <v>538</v>
      </c>
      <c r="AU1044" t="s">
        <v>539</v>
      </c>
      <c r="AV1044" t="s">
        <v>540</v>
      </c>
      <c r="AW1044" t="s">
        <v>232</v>
      </c>
      <c r="AX1044" s="4" t="str">
        <f>"78550"</f>
        <v>78550</v>
      </c>
      <c r="AY1044" t="s">
        <v>120</v>
      </c>
      <c r="BA1044" s="5">
        <v>19564408720</v>
      </c>
      <c r="BB1044">
        <v>0</v>
      </c>
      <c r="BC1044" t="s">
        <v>563</v>
      </c>
      <c r="BD1044" t="s">
        <v>543</v>
      </c>
      <c r="BG1044" t="s">
        <v>1003</v>
      </c>
      <c r="BH1044" s="1">
        <v>44815.833333333336</v>
      </c>
      <c r="BI1044">
        <v>35</v>
      </c>
      <c r="BJ1044">
        <v>0</v>
      </c>
      <c r="BK1044">
        <v>7</v>
      </c>
      <c r="BL1044">
        <v>7</v>
      </c>
      <c r="BM1044">
        <v>7</v>
      </c>
      <c r="BN1044">
        <v>7</v>
      </c>
      <c r="BO1044">
        <v>7</v>
      </c>
      <c r="BP1044">
        <v>0</v>
      </c>
      <c r="BQ1044" t="str">
        <f>"9:00 AM"</f>
        <v>9:00 AM</v>
      </c>
      <c r="BR1044" t="str">
        <f>"5:00 PM"</f>
        <v>5:00 PM</v>
      </c>
      <c r="BS1044" t="s">
        <v>133</v>
      </c>
      <c r="BT1044">
        <v>0</v>
      </c>
      <c r="BU1044">
        <v>0</v>
      </c>
      <c r="BV1044" t="s">
        <v>134</v>
      </c>
      <c r="BX1044" s="2" t="s">
        <v>3113</v>
      </c>
      <c r="BY1044" t="s">
        <v>6750</v>
      </c>
      <c r="CA1044" t="s">
        <v>6751</v>
      </c>
      <c r="CB1044" t="s">
        <v>1003</v>
      </c>
      <c r="CC1044" s="4" t="str">
        <f>"07424"</f>
        <v>07424</v>
      </c>
      <c r="CD1044" t="s">
        <v>1008</v>
      </c>
      <c r="CE1044" t="s">
        <v>1009</v>
      </c>
      <c r="CF1044" s="6">
        <v>20.51</v>
      </c>
      <c r="CG1044" s="6">
        <v>20.51</v>
      </c>
      <c r="CJ1044" t="s">
        <v>137</v>
      </c>
      <c r="CK1044" t="s">
        <v>549</v>
      </c>
      <c r="CL1044" t="s">
        <v>6755</v>
      </c>
      <c r="CO1044" t="s">
        <v>138</v>
      </c>
      <c r="CP1044" t="s">
        <v>134</v>
      </c>
      <c r="CQ1044" t="s">
        <v>114</v>
      </c>
      <c r="CR1044" t="s">
        <v>134</v>
      </c>
      <c r="CS1044" t="s">
        <v>114</v>
      </c>
      <c r="CT1044" t="s">
        <v>114</v>
      </c>
      <c r="CU1044" t="s">
        <v>114</v>
      </c>
      <c r="CV1044" t="s">
        <v>6756</v>
      </c>
      <c r="CW1044" s="5" t="str">
        <f>"+19738091370"</f>
        <v>+19738091370</v>
      </c>
      <c r="CX1044" t="s">
        <v>6754</v>
      </c>
      <c r="CY1044" t="s">
        <v>138</v>
      </c>
      <c r="CZ1044" t="s">
        <v>139</v>
      </c>
      <c r="DA1044" t="s">
        <v>134</v>
      </c>
      <c r="DB1044" t="s">
        <v>114</v>
      </c>
      <c r="DC1044" t="s">
        <v>114</v>
      </c>
      <c r="DD1044" t="s">
        <v>134</v>
      </c>
    </row>
    <row r="1045" spans="1:108" ht="15" customHeight="1" x14ac:dyDescent="0.25">
      <c r="A1045" t="s">
        <v>12177</v>
      </c>
      <c r="B1045" t="s">
        <v>165</v>
      </c>
      <c r="C1045" s="1">
        <v>44816.668920370372</v>
      </c>
      <c r="D1045" s="1">
        <v>44839</v>
      </c>
      <c r="E1045" t="s">
        <v>134</v>
      </c>
      <c r="F1045" t="s">
        <v>12178</v>
      </c>
      <c r="G1045" t="str">
        <f>"49-9098.00"</f>
        <v>49-9098.00</v>
      </c>
      <c r="H1045" t="s">
        <v>525</v>
      </c>
      <c r="I1045">
        <v>2</v>
      </c>
      <c r="J1045">
        <v>2</v>
      </c>
      <c r="K1045" s="1">
        <v>44891</v>
      </c>
      <c r="L1045" s="1">
        <v>45017</v>
      </c>
      <c r="M1045" s="1">
        <v>44891</v>
      </c>
      <c r="N1045" s="1">
        <v>45017</v>
      </c>
      <c r="O1045" t="s">
        <v>199</v>
      </c>
      <c r="P1045" t="s">
        <v>12179</v>
      </c>
      <c r="R1045" t="s">
        <v>11782</v>
      </c>
      <c r="T1045" t="s">
        <v>11783</v>
      </c>
      <c r="U1045" t="s">
        <v>2057</v>
      </c>
      <c r="V1045" s="4" t="str">
        <f>"57385"</f>
        <v>57385</v>
      </c>
      <c r="W1045" t="s">
        <v>120</v>
      </c>
      <c r="Y1045" s="5">
        <v>16055206204</v>
      </c>
      <c r="AA1045">
        <v>71119</v>
      </c>
      <c r="AB1045" t="s">
        <v>11784</v>
      </c>
      <c r="AC1045" t="s">
        <v>2130</v>
      </c>
      <c r="AE1045" t="s">
        <v>1710</v>
      </c>
      <c r="AF1045" t="s">
        <v>11782</v>
      </c>
      <c r="AH1045" t="s">
        <v>11783</v>
      </c>
      <c r="AI1045" t="s">
        <v>2057</v>
      </c>
      <c r="AJ1045" s="4" t="str">
        <f>"57385"</f>
        <v>57385</v>
      </c>
      <c r="AK1045" t="s">
        <v>120</v>
      </c>
      <c r="AM1045" s="5">
        <v>16055206204</v>
      </c>
      <c r="AO1045" t="s">
        <v>11785</v>
      </c>
      <c r="AP1045" t="s">
        <v>256</v>
      </c>
      <c r="AQ1045" t="s">
        <v>4465</v>
      </c>
      <c r="AR1045" t="s">
        <v>1303</v>
      </c>
      <c r="AT1045" t="s">
        <v>1617</v>
      </c>
      <c r="AV1045" t="s">
        <v>1618</v>
      </c>
      <c r="AW1045" t="s">
        <v>444</v>
      </c>
      <c r="AX1045" s="4" t="str">
        <f>"93446"</f>
        <v>93446</v>
      </c>
      <c r="AY1045" t="s">
        <v>120</v>
      </c>
      <c r="AZ1045" t="s">
        <v>1619</v>
      </c>
      <c r="BA1045" s="5">
        <v>13217042589</v>
      </c>
      <c r="BC1045" t="s">
        <v>1620</v>
      </c>
      <c r="BD1045" t="s">
        <v>1621</v>
      </c>
      <c r="BG1045" t="s">
        <v>214</v>
      </c>
      <c r="BH1045" s="1">
        <v>44815.833333333336</v>
      </c>
      <c r="BI1045">
        <v>35</v>
      </c>
      <c r="BJ1045">
        <v>0</v>
      </c>
      <c r="BK1045">
        <v>7</v>
      </c>
      <c r="BL1045">
        <v>7</v>
      </c>
      <c r="BM1045">
        <v>7</v>
      </c>
      <c r="BN1045">
        <v>7</v>
      </c>
      <c r="BO1045">
        <v>7</v>
      </c>
      <c r="BP1045">
        <v>0</v>
      </c>
      <c r="BQ1045" t="str">
        <f>"8:00 AM"</f>
        <v>8:00 AM</v>
      </c>
      <c r="BR1045" t="str">
        <f>"3:00 PM"</f>
        <v>3:00 PM</v>
      </c>
      <c r="BS1045" t="s">
        <v>133</v>
      </c>
      <c r="BT1045">
        <v>0</v>
      </c>
      <c r="BU1045">
        <v>0</v>
      </c>
      <c r="BV1045" t="s">
        <v>134</v>
      </c>
      <c r="BX1045" s="2" t="s">
        <v>12180</v>
      </c>
      <c r="BY1045" t="s">
        <v>12181</v>
      </c>
      <c r="CA1045" t="s">
        <v>1573</v>
      </c>
      <c r="CB1045" t="s">
        <v>214</v>
      </c>
      <c r="CC1045" s="4" t="str">
        <f>"57385"</f>
        <v>57385</v>
      </c>
      <c r="CD1045" t="s">
        <v>10018</v>
      </c>
      <c r="CE1045" t="s">
        <v>5067</v>
      </c>
      <c r="CF1045" s="6">
        <v>15.03</v>
      </c>
      <c r="CG1045" s="6">
        <v>15.03</v>
      </c>
      <c r="CJ1045" t="s">
        <v>137</v>
      </c>
      <c r="CK1045" t="s">
        <v>10519</v>
      </c>
      <c r="CL1045" t="s">
        <v>12182</v>
      </c>
      <c r="CO1045" t="s">
        <v>138</v>
      </c>
      <c r="CP1045" t="s">
        <v>134</v>
      </c>
      <c r="CQ1045" t="s">
        <v>134</v>
      </c>
      <c r="CR1045" t="s">
        <v>134</v>
      </c>
      <c r="CS1045" t="s">
        <v>114</v>
      </c>
      <c r="CT1045" t="s">
        <v>114</v>
      </c>
      <c r="CU1045" t="s">
        <v>114</v>
      </c>
      <c r="CV1045" t="s">
        <v>12183</v>
      </c>
      <c r="CW1045" s="5" t="str">
        <f>"+16054619322"</f>
        <v>+16054619322</v>
      </c>
      <c r="CX1045" t="s">
        <v>11785</v>
      </c>
      <c r="CY1045" t="s">
        <v>138</v>
      </c>
      <c r="CZ1045" t="s">
        <v>139</v>
      </c>
      <c r="DA1045" t="s">
        <v>134</v>
      </c>
      <c r="DB1045" t="s">
        <v>134</v>
      </c>
      <c r="DC1045" t="s">
        <v>114</v>
      </c>
      <c r="DD1045" t="s">
        <v>134</v>
      </c>
    </row>
    <row r="1046" spans="1:108" ht="15" customHeight="1" x14ac:dyDescent="0.25">
      <c r="A1046" t="s">
        <v>799</v>
      </c>
      <c r="B1046" t="s">
        <v>165</v>
      </c>
      <c r="C1046" s="1">
        <v>44806.783826157407</v>
      </c>
      <c r="D1046" s="1">
        <v>44839</v>
      </c>
      <c r="E1046" t="s">
        <v>134</v>
      </c>
      <c r="F1046" t="s">
        <v>800</v>
      </c>
      <c r="G1046" t="str">
        <f>"37-3011.00"</f>
        <v>37-3011.00</v>
      </c>
      <c r="H1046" t="s">
        <v>335</v>
      </c>
      <c r="I1046">
        <v>17</v>
      </c>
      <c r="J1046">
        <v>17</v>
      </c>
      <c r="K1046" s="1">
        <v>44896</v>
      </c>
      <c r="L1046" s="1">
        <v>45077</v>
      </c>
      <c r="M1046" s="1">
        <v>44896</v>
      </c>
      <c r="N1046" s="1">
        <v>45077</v>
      </c>
      <c r="O1046" t="s">
        <v>199</v>
      </c>
      <c r="P1046" t="s">
        <v>801</v>
      </c>
      <c r="R1046" t="s">
        <v>802</v>
      </c>
      <c r="T1046" t="s">
        <v>803</v>
      </c>
      <c r="U1046" t="s">
        <v>181</v>
      </c>
      <c r="V1046" s="4" t="str">
        <f>"80549"</f>
        <v>80549</v>
      </c>
      <c r="W1046" t="s">
        <v>120</v>
      </c>
      <c r="Y1046" s="5">
        <v>19705687633</v>
      </c>
      <c r="AA1046">
        <v>488490</v>
      </c>
      <c r="AB1046" t="s">
        <v>804</v>
      </c>
      <c r="AC1046" t="s">
        <v>805</v>
      </c>
      <c r="AE1046" t="s">
        <v>806</v>
      </c>
      <c r="AF1046" t="s">
        <v>802</v>
      </c>
      <c r="AH1046" t="s">
        <v>803</v>
      </c>
      <c r="AI1046" t="s">
        <v>181</v>
      </c>
      <c r="AJ1046" s="4" t="str">
        <f>"80549"</f>
        <v>80549</v>
      </c>
      <c r="AK1046" t="s">
        <v>120</v>
      </c>
      <c r="AM1046" s="5">
        <v>19705687633</v>
      </c>
      <c r="AO1046" t="s">
        <v>807</v>
      </c>
      <c r="AX1046" s="4" t="str">
        <f>""</f>
        <v/>
      </c>
      <c r="BG1046" t="s">
        <v>181</v>
      </c>
      <c r="BH1046" s="1">
        <v>44805.833333333336</v>
      </c>
      <c r="BI1046">
        <v>40</v>
      </c>
      <c r="BJ1046">
        <v>0</v>
      </c>
      <c r="BK1046">
        <v>8</v>
      </c>
      <c r="BL1046">
        <v>8</v>
      </c>
      <c r="BM1046">
        <v>8</v>
      </c>
      <c r="BN1046">
        <v>8</v>
      </c>
      <c r="BO1046">
        <v>8</v>
      </c>
      <c r="BP1046">
        <v>0</v>
      </c>
      <c r="BQ1046" t="str">
        <f>"7:00 AM"</f>
        <v>7:00 AM</v>
      </c>
      <c r="BR1046" t="str">
        <f>"4:00 PM"</f>
        <v>4:00 PM</v>
      </c>
      <c r="BS1046" t="s">
        <v>133</v>
      </c>
      <c r="BT1046">
        <v>0</v>
      </c>
      <c r="BU1046">
        <v>0</v>
      </c>
      <c r="BV1046" t="s">
        <v>134</v>
      </c>
      <c r="BX1046" s="2" t="s">
        <v>808</v>
      </c>
      <c r="BY1046" t="s">
        <v>809</v>
      </c>
      <c r="CA1046" t="s">
        <v>810</v>
      </c>
      <c r="CB1046" t="s">
        <v>181</v>
      </c>
      <c r="CC1046" s="4" t="str">
        <f>"80524"</f>
        <v>80524</v>
      </c>
      <c r="CD1046" t="s">
        <v>811</v>
      </c>
      <c r="CE1046" t="s">
        <v>812</v>
      </c>
      <c r="CF1046" s="6">
        <v>16.059999999999999</v>
      </c>
      <c r="CG1046" s="6">
        <v>25</v>
      </c>
      <c r="CH1046" s="6">
        <v>24.09</v>
      </c>
      <c r="CI1046" s="6">
        <v>37.5</v>
      </c>
      <c r="CJ1046" t="s">
        <v>137</v>
      </c>
      <c r="CL1046" t="s">
        <v>813</v>
      </c>
      <c r="CO1046" t="s">
        <v>138</v>
      </c>
      <c r="CP1046" t="s">
        <v>134</v>
      </c>
      <c r="CQ1046" t="s">
        <v>114</v>
      </c>
      <c r="CR1046" t="s">
        <v>114</v>
      </c>
      <c r="CS1046" t="s">
        <v>114</v>
      </c>
      <c r="CT1046" t="s">
        <v>114</v>
      </c>
      <c r="CU1046" t="s">
        <v>114</v>
      </c>
      <c r="CV1046" t="s">
        <v>814</v>
      </c>
      <c r="CW1046" s="5" t="str">
        <f>"+19705687633"</f>
        <v>+19705687633</v>
      </c>
      <c r="CX1046" t="s">
        <v>807</v>
      </c>
      <c r="CY1046" t="s">
        <v>138</v>
      </c>
      <c r="CZ1046" t="s">
        <v>139</v>
      </c>
      <c r="DA1046" t="s">
        <v>134</v>
      </c>
      <c r="DB1046" t="s">
        <v>134</v>
      </c>
      <c r="DC1046" t="s">
        <v>114</v>
      </c>
      <c r="DD1046" t="s">
        <v>134</v>
      </c>
    </row>
    <row r="1047" spans="1:108" ht="15" customHeight="1" x14ac:dyDescent="0.25">
      <c r="A1047" t="s">
        <v>13777</v>
      </c>
      <c r="B1047" t="s">
        <v>165</v>
      </c>
      <c r="C1047" s="1">
        <v>44796.568222453701</v>
      </c>
      <c r="D1047" s="1">
        <v>44839</v>
      </c>
      <c r="E1047" t="s">
        <v>134</v>
      </c>
      <c r="F1047" t="s">
        <v>2320</v>
      </c>
      <c r="G1047" t="str">
        <f>"37-3011.00"</f>
        <v>37-3011.00</v>
      </c>
      <c r="H1047" t="s">
        <v>335</v>
      </c>
      <c r="I1047">
        <v>8</v>
      </c>
      <c r="J1047">
        <v>8</v>
      </c>
      <c r="K1047" s="1">
        <v>44871</v>
      </c>
      <c r="L1047" s="1">
        <v>44986</v>
      </c>
      <c r="M1047" s="1">
        <v>44871</v>
      </c>
      <c r="N1047" s="1">
        <v>44986</v>
      </c>
      <c r="O1047" t="s">
        <v>199</v>
      </c>
      <c r="P1047" t="s">
        <v>13778</v>
      </c>
      <c r="R1047" t="s">
        <v>13428</v>
      </c>
      <c r="S1047" t="s">
        <v>13779</v>
      </c>
      <c r="T1047" t="s">
        <v>13429</v>
      </c>
      <c r="U1047" t="s">
        <v>232</v>
      </c>
      <c r="V1047" s="4" t="str">
        <f>"78023"</f>
        <v>78023</v>
      </c>
      <c r="W1047" t="s">
        <v>120</v>
      </c>
      <c r="Y1047" s="5">
        <v>12106817909</v>
      </c>
      <c r="AA1047">
        <v>56173</v>
      </c>
      <c r="AB1047" t="s">
        <v>13780</v>
      </c>
      <c r="AC1047" t="s">
        <v>4206</v>
      </c>
      <c r="AE1047" t="s">
        <v>252</v>
      </c>
      <c r="AF1047" t="s">
        <v>13428</v>
      </c>
      <c r="AG1047" t="s">
        <v>13779</v>
      </c>
      <c r="AH1047" t="s">
        <v>13429</v>
      </c>
      <c r="AI1047" t="s">
        <v>232</v>
      </c>
      <c r="AJ1047" s="4" t="str">
        <f>"78023"</f>
        <v>78023</v>
      </c>
      <c r="AK1047" t="s">
        <v>120</v>
      </c>
      <c r="AM1047" s="5">
        <v>12106817909</v>
      </c>
      <c r="AO1047" t="s">
        <v>138</v>
      </c>
      <c r="AP1047" t="s">
        <v>122</v>
      </c>
      <c r="AQ1047" t="s">
        <v>864</v>
      </c>
      <c r="AR1047" t="s">
        <v>865</v>
      </c>
      <c r="AS1047" t="s">
        <v>370</v>
      </c>
      <c r="AT1047" t="s">
        <v>13361</v>
      </c>
      <c r="AV1047" t="s">
        <v>684</v>
      </c>
      <c r="AW1047" t="s">
        <v>232</v>
      </c>
      <c r="AX1047" s="4" t="str">
        <f>"78705"</f>
        <v>78705</v>
      </c>
      <c r="AY1047" t="s">
        <v>120</v>
      </c>
      <c r="BA1047" s="5">
        <v>15123470007</v>
      </c>
      <c r="BC1047" t="s">
        <v>868</v>
      </c>
      <c r="BD1047" t="s">
        <v>3909</v>
      </c>
      <c r="BE1047" t="s">
        <v>232</v>
      </c>
      <c r="BF1047" t="s">
        <v>870</v>
      </c>
      <c r="BG1047" t="s">
        <v>232</v>
      </c>
      <c r="BH1047" s="1">
        <v>44795.833333333336</v>
      </c>
      <c r="BI1047">
        <v>40</v>
      </c>
      <c r="BJ1047">
        <v>0</v>
      </c>
      <c r="BK1047">
        <v>8</v>
      </c>
      <c r="BL1047">
        <v>8</v>
      </c>
      <c r="BM1047">
        <v>8</v>
      </c>
      <c r="BN1047">
        <v>8</v>
      </c>
      <c r="BO1047">
        <v>8</v>
      </c>
      <c r="BP1047">
        <v>0</v>
      </c>
      <c r="BQ1047" t="str">
        <f>"7:00 AM"</f>
        <v>7:00 AM</v>
      </c>
      <c r="BR1047" t="str">
        <f>"4:00 PM"</f>
        <v>4:00 PM</v>
      </c>
      <c r="BS1047" t="s">
        <v>133</v>
      </c>
      <c r="BT1047">
        <v>0</v>
      </c>
      <c r="BU1047">
        <v>0</v>
      </c>
      <c r="BV1047" t="s">
        <v>134</v>
      </c>
      <c r="BX1047" t="s">
        <v>133</v>
      </c>
      <c r="BY1047" t="s">
        <v>13781</v>
      </c>
      <c r="CA1047" t="s">
        <v>2108</v>
      </c>
      <c r="CB1047" t="s">
        <v>232</v>
      </c>
      <c r="CC1047" s="4" t="str">
        <f>"78238"</f>
        <v>78238</v>
      </c>
      <c r="CD1047" t="s">
        <v>2112</v>
      </c>
      <c r="CE1047" t="s">
        <v>1342</v>
      </c>
      <c r="CF1047" s="6">
        <v>14.36</v>
      </c>
      <c r="CG1047" s="6">
        <v>14.36</v>
      </c>
      <c r="CH1047" s="6">
        <v>21.54</v>
      </c>
      <c r="CI1047" s="6">
        <v>21.54</v>
      </c>
      <c r="CJ1047" t="s">
        <v>137</v>
      </c>
      <c r="CL1047" t="s">
        <v>13782</v>
      </c>
      <c r="CO1047" t="s">
        <v>138</v>
      </c>
      <c r="CP1047" t="s">
        <v>114</v>
      </c>
      <c r="CQ1047" t="s">
        <v>114</v>
      </c>
      <c r="CR1047" t="s">
        <v>114</v>
      </c>
      <c r="CS1047" t="s">
        <v>114</v>
      </c>
      <c r="CT1047" t="s">
        <v>114</v>
      </c>
      <c r="CU1047" t="s">
        <v>134</v>
      </c>
      <c r="CV1047" s="2" t="s">
        <v>13783</v>
      </c>
      <c r="CW1047" s="5" t="str">
        <f>"+12106817909"</f>
        <v>+12106817909</v>
      </c>
      <c r="CX1047" t="s">
        <v>13784</v>
      </c>
      <c r="CY1047" t="s">
        <v>138</v>
      </c>
      <c r="CZ1047" t="s">
        <v>139</v>
      </c>
      <c r="DA1047" t="s">
        <v>134</v>
      </c>
      <c r="DB1047" t="s">
        <v>134</v>
      </c>
      <c r="DC1047" t="s">
        <v>114</v>
      </c>
      <c r="DD1047" t="s">
        <v>134</v>
      </c>
    </row>
    <row r="1048" spans="1:108" ht="15" customHeight="1" x14ac:dyDescent="0.25">
      <c r="A1048" t="s">
        <v>7406</v>
      </c>
      <c r="B1048" t="s">
        <v>165</v>
      </c>
      <c r="C1048" s="1">
        <v>44792.922834490739</v>
      </c>
      <c r="D1048" s="1">
        <v>44839</v>
      </c>
      <c r="E1048" t="s">
        <v>134</v>
      </c>
      <c r="F1048" t="s">
        <v>7407</v>
      </c>
      <c r="G1048" t="str">
        <f>"51-9111.00"</f>
        <v>51-9111.00</v>
      </c>
      <c r="H1048" t="s">
        <v>4327</v>
      </c>
      <c r="I1048">
        <v>20</v>
      </c>
      <c r="J1048">
        <v>20</v>
      </c>
      <c r="K1048" s="1">
        <v>44867</v>
      </c>
      <c r="L1048" s="1">
        <v>45016</v>
      </c>
      <c r="M1048" s="1">
        <v>44867</v>
      </c>
      <c r="N1048" s="1">
        <v>45016</v>
      </c>
      <c r="O1048" t="s">
        <v>117</v>
      </c>
      <c r="P1048" t="s">
        <v>3412</v>
      </c>
      <c r="R1048" t="s">
        <v>3413</v>
      </c>
      <c r="T1048" t="s">
        <v>3414</v>
      </c>
      <c r="U1048" t="s">
        <v>444</v>
      </c>
      <c r="V1048" s="4" t="str">
        <f>"93940"</f>
        <v>93940</v>
      </c>
      <c r="W1048" t="s">
        <v>120</v>
      </c>
      <c r="Y1048" s="5">
        <v>18317543429</v>
      </c>
      <c r="AA1048">
        <v>11121</v>
      </c>
      <c r="AB1048" t="s">
        <v>3415</v>
      </c>
      <c r="AC1048" t="s">
        <v>3416</v>
      </c>
      <c r="AE1048" t="s">
        <v>2368</v>
      </c>
      <c r="AF1048" t="s">
        <v>3413</v>
      </c>
      <c r="AH1048" t="s">
        <v>3414</v>
      </c>
      <c r="AI1048" t="s">
        <v>444</v>
      </c>
      <c r="AJ1048" s="4" t="str">
        <f>"93940"</f>
        <v>93940</v>
      </c>
      <c r="AK1048" t="s">
        <v>120</v>
      </c>
      <c r="AM1048" s="5">
        <v>18317543429</v>
      </c>
      <c r="AO1048" t="s">
        <v>3417</v>
      </c>
      <c r="AP1048" t="s">
        <v>122</v>
      </c>
      <c r="AQ1048" t="s">
        <v>1721</v>
      </c>
      <c r="AR1048" t="s">
        <v>1722</v>
      </c>
      <c r="AS1048" t="s">
        <v>1723</v>
      </c>
      <c r="AT1048" t="s">
        <v>1724</v>
      </c>
      <c r="AV1048" t="s">
        <v>1725</v>
      </c>
      <c r="AW1048" t="s">
        <v>444</v>
      </c>
      <c r="AX1048" s="4" t="str">
        <f>"92106"</f>
        <v>92106</v>
      </c>
      <c r="AY1048" t="s">
        <v>120</v>
      </c>
      <c r="BA1048" s="5">
        <v>16192696164</v>
      </c>
      <c r="BC1048" t="s">
        <v>1726</v>
      </c>
      <c r="BD1048" t="s">
        <v>1727</v>
      </c>
      <c r="BE1048" t="s">
        <v>444</v>
      </c>
      <c r="BF1048" t="s">
        <v>510</v>
      </c>
      <c r="BG1048" t="s">
        <v>1411</v>
      </c>
      <c r="BH1048" s="1">
        <v>44791.833333333336</v>
      </c>
      <c r="BI1048">
        <v>40</v>
      </c>
      <c r="BJ1048">
        <v>0</v>
      </c>
      <c r="BK1048">
        <v>10</v>
      </c>
      <c r="BL1048">
        <v>10</v>
      </c>
      <c r="BM1048">
        <v>10</v>
      </c>
      <c r="BN1048">
        <v>10</v>
      </c>
      <c r="BO1048">
        <v>0</v>
      </c>
      <c r="BP1048">
        <v>0</v>
      </c>
      <c r="BQ1048" t="str">
        <f>"5:00 AM"</f>
        <v>5:00 AM</v>
      </c>
      <c r="BR1048" t="str">
        <f>"4:00 PM"</f>
        <v>4:00 PM</v>
      </c>
      <c r="BS1048" t="s">
        <v>295</v>
      </c>
      <c r="BT1048">
        <v>0</v>
      </c>
      <c r="BU1048">
        <v>12</v>
      </c>
      <c r="BV1048" t="s">
        <v>134</v>
      </c>
      <c r="BX1048" s="2" t="s">
        <v>7408</v>
      </c>
      <c r="BY1048" t="s">
        <v>3419</v>
      </c>
      <c r="CA1048" t="s">
        <v>291</v>
      </c>
      <c r="CB1048" t="s">
        <v>1411</v>
      </c>
      <c r="CC1048" s="4" t="str">
        <f>"45502"</f>
        <v>45502</v>
      </c>
      <c r="CD1048" t="s">
        <v>2493</v>
      </c>
      <c r="CE1048" t="s">
        <v>3420</v>
      </c>
      <c r="CF1048" s="6">
        <v>15.57</v>
      </c>
      <c r="CG1048" s="6">
        <v>15.57</v>
      </c>
      <c r="CH1048" s="6">
        <v>23.36</v>
      </c>
      <c r="CI1048" s="6">
        <v>23.36</v>
      </c>
      <c r="CJ1048" t="s">
        <v>137</v>
      </c>
      <c r="CK1048" t="s">
        <v>3457</v>
      </c>
      <c r="CL1048" t="s">
        <v>7409</v>
      </c>
      <c r="CO1048" t="s">
        <v>138</v>
      </c>
      <c r="CP1048" t="s">
        <v>134</v>
      </c>
      <c r="CQ1048" t="s">
        <v>134</v>
      </c>
      <c r="CR1048" t="s">
        <v>114</v>
      </c>
      <c r="CS1048" t="s">
        <v>114</v>
      </c>
      <c r="CT1048" t="s">
        <v>114</v>
      </c>
      <c r="CU1048" t="s">
        <v>114</v>
      </c>
      <c r="CV1048" s="2" t="s">
        <v>7410</v>
      </c>
      <c r="CW1048" s="5" t="str">
        <f>"+19375254365"</f>
        <v>+19375254365</v>
      </c>
      <c r="CX1048" t="s">
        <v>3424</v>
      </c>
      <c r="CY1048" t="s">
        <v>138</v>
      </c>
      <c r="CZ1048" t="s">
        <v>139</v>
      </c>
      <c r="DA1048" t="s">
        <v>134</v>
      </c>
      <c r="DB1048" t="s">
        <v>134</v>
      </c>
      <c r="DC1048" t="s">
        <v>114</v>
      </c>
      <c r="DD1048" t="s">
        <v>134</v>
      </c>
    </row>
    <row r="1049" spans="1:108" ht="15" customHeight="1" x14ac:dyDescent="0.25">
      <c r="A1049" t="s">
        <v>6393</v>
      </c>
      <c r="B1049" t="s">
        <v>165</v>
      </c>
      <c r="C1049" s="1">
        <v>44792.907886458335</v>
      </c>
      <c r="D1049" s="1">
        <v>44839</v>
      </c>
      <c r="E1049" t="s">
        <v>134</v>
      </c>
      <c r="F1049" t="s">
        <v>3411</v>
      </c>
      <c r="G1049" t="str">
        <f>"53-7051.00"</f>
        <v>53-7051.00</v>
      </c>
      <c r="H1049" t="s">
        <v>2127</v>
      </c>
      <c r="I1049">
        <v>5</v>
      </c>
      <c r="J1049">
        <v>5</v>
      </c>
      <c r="K1049" s="1">
        <v>44867</v>
      </c>
      <c r="L1049" s="1">
        <v>45016</v>
      </c>
      <c r="M1049" s="1">
        <v>44867</v>
      </c>
      <c r="N1049" s="1">
        <v>45016</v>
      </c>
      <c r="O1049" t="s">
        <v>117</v>
      </c>
      <c r="P1049" t="s">
        <v>3412</v>
      </c>
      <c r="R1049" t="s">
        <v>3413</v>
      </c>
      <c r="T1049" t="s">
        <v>3414</v>
      </c>
      <c r="U1049" t="s">
        <v>444</v>
      </c>
      <c r="V1049" s="4" t="str">
        <f>"93940"</f>
        <v>93940</v>
      </c>
      <c r="W1049" t="s">
        <v>120</v>
      </c>
      <c r="Y1049" s="5">
        <v>18317543429</v>
      </c>
      <c r="AA1049">
        <v>11121</v>
      </c>
      <c r="AB1049" t="s">
        <v>3415</v>
      </c>
      <c r="AC1049" t="s">
        <v>3416</v>
      </c>
      <c r="AE1049" t="s">
        <v>2368</v>
      </c>
      <c r="AF1049" t="s">
        <v>3413</v>
      </c>
      <c r="AH1049" t="s">
        <v>3414</v>
      </c>
      <c r="AI1049" t="s">
        <v>444</v>
      </c>
      <c r="AJ1049" s="4" t="str">
        <f>"93940"</f>
        <v>93940</v>
      </c>
      <c r="AK1049" t="s">
        <v>120</v>
      </c>
      <c r="AM1049" s="5">
        <v>18317543429</v>
      </c>
      <c r="AO1049" t="s">
        <v>3417</v>
      </c>
      <c r="AP1049" t="s">
        <v>122</v>
      </c>
      <c r="AQ1049" t="s">
        <v>1721</v>
      </c>
      <c r="AR1049" t="s">
        <v>1722</v>
      </c>
      <c r="AS1049" t="s">
        <v>1723</v>
      </c>
      <c r="AT1049" t="s">
        <v>1724</v>
      </c>
      <c r="AV1049" t="s">
        <v>1725</v>
      </c>
      <c r="AW1049" t="s">
        <v>444</v>
      </c>
      <c r="AX1049" s="4" t="str">
        <f>"92106"</f>
        <v>92106</v>
      </c>
      <c r="AY1049" t="s">
        <v>120</v>
      </c>
      <c r="BA1049" s="5">
        <v>16192696164</v>
      </c>
      <c r="BC1049" t="s">
        <v>1726</v>
      </c>
      <c r="BD1049" t="s">
        <v>1727</v>
      </c>
      <c r="BE1049" t="s">
        <v>444</v>
      </c>
      <c r="BF1049" t="s">
        <v>510</v>
      </c>
      <c r="BG1049" t="s">
        <v>119</v>
      </c>
      <c r="BH1049" s="1">
        <v>44791.833333333336</v>
      </c>
      <c r="BI1049">
        <v>42</v>
      </c>
      <c r="BJ1049">
        <v>0</v>
      </c>
      <c r="BK1049">
        <v>10</v>
      </c>
      <c r="BL1049">
        <v>10</v>
      </c>
      <c r="BM1049">
        <v>10</v>
      </c>
      <c r="BN1049">
        <v>12</v>
      </c>
      <c r="BO1049">
        <v>0</v>
      </c>
      <c r="BP1049">
        <v>0</v>
      </c>
      <c r="BQ1049" t="str">
        <f>"5:30 AM"</f>
        <v>5:30 AM</v>
      </c>
      <c r="BR1049" t="str">
        <f>"4:00 PM"</f>
        <v>4:00 PM</v>
      </c>
      <c r="BS1049" t="s">
        <v>295</v>
      </c>
      <c r="BT1049">
        <v>0</v>
      </c>
      <c r="BU1049">
        <v>12</v>
      </c>
      <c r="BV1049" t="s">
        <v>134</v>
      </c>
      <c r="BX1049" s="2" t="s">
        <v>6394</v>
      </c>
      <c r="BY1049" t="s">
        <v>3454</v>
      </c>
      <c r="CA1049" t="s">
        <v>3455</v>
      </c>
      <c r="CB1049" t="s">
        <v>119</v>
      </c>
      <c r="CC1049" s="4" t="str">
        <f>"28016"</f>
        <v>28016</v>
      </c>
      <c r="CD1049" t="s">
        <v>3456</v>
      </c>
      <c r="CE1049" t="s">
        <v>1404</v>
      </c>
      <c r="CF1049" s="6">
        <v>18.62</v>
      </c>
      <c r="CG1049" s="6">
        <v>18.62</v>
      </c>
      <c r="CH1049" s="6">
        <v>27.93</v>
      </c>
      <c r="CI1049" s="6">
        <v>27.93</v>
      </c>
      <c r="CJ1049" t="s">
        <v>137</v>
      </c>
      <c r="CK1049" t="s">
        <v>3457</v>
      </c>
      <c r="CL1049" t="s">
        <v>6395</v>
      </c>
      <c r="CO1049" t="s">
        <v>138</v>
      </c>
      <c r="CP1049" t="s">
        <v>134</v>
      </c>
      <c r="CQ1049" t="s">
        <v>134</v>
      </c>
      <c r="CR1049" t="s">
        <v>114</v>
      </c>
      <c r="CS1049" t="s">
        <v>114</v>
      </c>
      <c r="CT1049" t="s">
        <v>114</v>
      </c>
      <c r="CU1049" t="s">
        <v>114</v>
      </c>
      <c r="CV1049" t="s">
        <v>3459</v>
      </c>
      <c r="CW1049" s="5" t="str">
        <f>"+17048697451"</f>
        <v>+17048697451</v>
      </c>
      <c r="CX1049" t="s">
        <v>3460</v>
      </c>
      <c r="CY1049" t="s">
        <v>138</v>
      </c>
      <c r="CZ1049" t="s">
        <v>139</v>
      </c>
      <c r="DA1049" t="s">
        <v>134</v>
      </c>
      <c r="DB1049" t="s">
        <v>134</v>
      </c>
      <c r="DC1049" t="s">
        <v>114</v>
      </c>
      <c r="DD1049" t="s">
        <v>134</v>
      </c>
    </row>
    <row r="1050" spans="1:108" ht="15" customHeight="1" x14ac:dyDescent="0.25">
      <c r="A1050" t="s">
        <v>15117</v>
      </c>
      <c r="B1050" t="s">
        <v>165</v>
      </c>
      <c r="C1050" s="1">
        <v>44792.894339699073</v>
      </c>
      <c r="D1050" s="1">
        <v>44839</v>
      </c>
      <c r="E1050" t="s">
        <v>134</v>
      </c>
      <c r="F1050" t="s">
        <v>7407</v>
      </c>
      <c r="G1050" t="str">
        <f>"51-9111.00"</f>
        <v>51-9111.00</v>
      </c>
      <c r="H1050" t="s">
        <v>4327</v>
      </c>
      <c r="I1050">
        <v>20</v>
      </c>
      <c r="J1050">
        <v>20</v>
      </c>
      <c r="K1050" s="1">
        <v>44867</v>
      </c>
      <c r="L1050" s="1">
        <v>45016</v>
      </c>
      <c r="M1050" s="1">
        <v>44867</v>
      </c>
      <c r="N1050" s="1">
        <v>45016</v>
      </c>
      <c r="O1050" t="s">
        <v>117</v>
      </c>
      <c r="P1050" t="s">
        <v>3412</v>
      </c>
      <c r="R1050" t="s">
        <v>3413</v>
      </c>
      <c r="T1050" t="s">
        <v>3414</v>
      </c>
      <c r="U1050" t="s">
        <v>444</v>
      </c>
      <c r="V1050" s="4" t="str">
        <f>"93940"</f>
        <v>93940</v>
      </c>
      <c r="W1050" t="s">
        <v>120</v>
      </c>
      <c r="Y1050" s="5">
        <v>18317543429</v>
      </c>
      <c r="AA1050">
        <v>11121</v>
      </c>
      <c r="AB1050" t="s">
        <v>3415</v>
      </c>
      <c r="AC1050" t="s">
        <v>3416</v>
      </c>
      <c r="AE1050" t="s">
        <v>2368</v>
      </c>
      <c r="AF1050" t="s">
        <v>3413</v>
      </c>
      <c r="AH1050" t="s">
        <v>3414</v>
      </c>
      <c r="AI1050" t="s">
        <v>444</v>
      </c>
      <c r="AJ1050" s="4" t="str">
        <f>"93940"</f>
        <v>93940</v>
      </c>
      <c r="AK1050" t="s">
        <v>120</v>
      </c>
      <c r="AM1050" s="5">
        <v>18317543429</v>
      </c>
      <c r="AO1050" t="s">
        <v>3417</v>
      </c>
      <c r="AP1050" t="s">
        <v>122</v>
      </c>
      <c r="AQ1050" t="s">
        <v>1721</v>
      </c>
      <c r="AR1050" t="s">
        <v>1722</v>
      </c>
      <c r="AS1050" t="s">
        <v>1723</v>
      </c>
      <c r="AT1050" t="s">
        <v>1724</v>
      </c>
      <c r="AV1050" t="s">
        <v>1725</v>
      </c>
      <c r="AW1050" t="s">
        <v>444</v>
      </c>
      <c r="AX1050" s="4" t="str">
        <f>"92106"</f>
        <v>92106</v>
      </c>
      <c r="AY1050" t="s">
        <v>120</v>
      </c>
      <c r="BA1050" s="5">
        <v>16192696164</v>
      </c>
      <c r="BC1050" t="s">
        <v>1726</v>
      </c>
      <c r="BD1050" t="s">
        <v>1727</v>
      </c>
      <c r="BE1050" t="s">
        <v>444</v>
      </c>
      <c r="BF1050" t="s">
        <v>510</v>
      </c>
      <c r="BG1050" t="s">
        <v>119</v>
      </c>
      <c r="BH1050" s="1">
        <v>44791.833333333336</v>
      </c>
      <c r="BI1050">
        <v>42</v>
      </c>
      <c r="BJ1050">
        <v>0</v>
      </c>
      <c r="BK1050">
        <v>12</v>
      </c>
      <c r="BL1050">
        <v>10</v>
      </c>
      <c r="BM1050">
        <v>10</v>
      </c>
      <c r="BN1050">
        <v>10</v>
      </c>
      <c r="BO1050">
        <v>0</v>
      </c>
      <c r="BP1050">
        <v>0</v>
      </c>
      <c r="BQ1050" t="str">
        <f>"4:00 AM"</f>
        <v>4:00 AM</v>
      </c>
      <c r="BR1050" t="str">
        <f>"2:00 PM"</f>
        <v>2:00 PM</v>
      </c>
      <c r="BS1050" t="s">
        <v>295</v>
      </c>
      <c r="BT1050">
        <v>0</v>
      </c>
      <c r="BU1050">
        <v>12</v>
      </c>
      <c r="BV1050" t="s">
        <v>134</v>
      </c>
      <c r="BX1050" s="2" t="s">
        <v>15118</v>
      </c>
      <c r="BY1050" t="s">
        <v>3454</v>
      </c>
      <c r="CA1050" t="s">
        <v>3455</v>
      </c>
      <c r="CB1050" t="s">
        <v>119</v>
      </c>
      <c r="CC1050" s="4" t="str">
        <f>"28016"</f>
        <v>28016</v>
      </c>
      <c r="CD1050" t="s">
        <v>3456</v>
      </c>
      <c r="CE1050" t="s">
        <v>1404</v>
      </c>
      <c r="CF1050" s="6">
        <v>15.86</v>
      </c>
      <c r="CG1050" s="6">
        <v>15.86</v>
      </c>
      <c r="CH1050" s="6">
        <v>23.79</v>
      </c>
      <c r="CI1050" s="6">
        <v>23.79</v>
      </c>
      <c r="CJ1050" t="s">
        <v>137</v>
      </c>
      <c r="CK1050" t="s">
        <v>3457</v>
      </c>
      <c r="CL1050" t="s">
        <v>15119</v>
      </c>
      <c r="CO1050" t="s">
        <v>138</v>
      </c>
      <c r="CP1050" t="s">
        <v>134</v>
      </c>
      <c r="CQ1050" t="s">
        <v>134</v>
      </c>
      <c r="CR1050" t="s">
        <v>114</v>
      </c>
      <c r="CS1050" t="s">
        <v>114</v>
      </c>
      <c r="CT1050" t="s">
        <v>114</v>
      </c>
      <c r="CU1050" t="s">
        <v>114</v>
      </c>
      <c r="CV1050" t="s">
        <v>15120</v>
      </c>
      <c r="CW1050" s="5" t="str">
        <f>"+17048697451"</f>
        <v>+17048697451</v>
      </c>
      <c r="CX1050" t="s">
        <v>3460</v>
      </c>
      <c r="CY1050" t="s">
        <v>138</v>
      </c>
      <c r="CZ1050" t="s">
        <v>139</v>
      </c>
      <c r="DA1050" t="s">
        <v>134</v>
      </c>
      <c r="DB1050" t="s">
        <v>134</v>
      </c>
      <c r="DC1050" t="s">
        <v>114</v>
      </c>
      <c r="DD1050" t="s">
        <v>134</v>
      </c>
    </row>
    <row r="1051" spans="1:108" ht="15" customHeight="1" x14ac:dyDescent="0.25">
      <c r="A1051" t="s">
        <v>643</v>
      </c>
      <c r="B1051" t="s">
        <v>165</v>
      </c>
      <c r="C1051" s="1">
        <v>44790.542383680557</v>
      </c>
      <c r="D1051" s="1">
        <v>44839</v>
      </c>
      <c r="E1051" t="s">
        <v>134</v>
      </c>
      <c r="F1051" t="s">
        <v>644</v>
      </c>
      <c r="G1051" t="str">
        <f>"37-2012.00"</f>
        <v>37-2012.00</v>
      </c>
      <c r="H1051" t="s">
        <v>116</v>
      </c>
      <c r="I1051">
        <v>50</v>
      </c>
      <c r="J1051">
        <v>50</v>
      </c>
      <c r="K1051" s="1">
        <v>44867</v>
      </c>
      <c r="L1051" s="1">
        <v>45169</v>
      </c>
      <c r="M1051" s="1">
        <v>44867</v>
      </c>
      <c r="N1051" s="1">
        <v>45169</v>
      </c>
      <c r="O1051" t="s">
        <v>117</v>
      </c>
      <c r="P1051" t="s">
        <v>645</v>
      </c>
      <c r="R1051" t="s">
        <v>646</v>
      </c>
      <c r="S1051" t="s">
        <v>647</v>
      </c>
      <c r="T1051" t="s">
        <v>648</v>
      </c>
      <c r="U1051" t="s">
        <v>154</v>
      </c>
      <c r="V1051" s="4" t="str">
        <f>"34113"</f>
        <v>34113</v>
      </c>
      <c r="W1051" t="s">
        <v>120</v>
      </c>
      <c r="Y1051" s="5">
        <v>19542283424</v>
      </c>
      <c r="AA1051">
        <v>561720</v>
      </c>
      <c r="AB1051" t="s">
        <v>649</v>
      </c>
      <c r="AC1051" t="s">
        <v>650</v>
      </c>
      <c r="AE1051" t="s">
        <v>342</v>
      </c>
      <c r="AF1051" t="s">
        <v>651</v>
      </c>
      <c r="AG1051" t="s">
        <v>647</v>
      </c>
      <c r="AH1051" t="s">
        <v>648</v>
      </c>
      <c r="AI1051" t="s">
        <v>154</v>
      </c>
      <c r="AJ1051" s="4" t="str">
        <f>"34113"</f>
        <v>34113</v>
      </c>
      <c r="AK1051" t="s">
        <v>120</v>
      </c>
      <c r="AM1051" s="5">
        <v>19543284677</v>
      </c>
      <c r="AO1051" t="s">
        <v>652</v>
      </c>
      <c r="AP1051" t="s">
        <v>122</v>
      </c>
      <c r="AQ1051" t="s">
        <v>653</v>
      </c>
      <c r="AR1051" t="s">
        <v>654</v>
      </c>
      <c r="AT1051" t="s">
        <v>655</v>
      </c>
      <c r="AV1051" t="s">
        <v>656</v>
      </c>
      <c r="AW1051" t="s">
        <v>657</v>
      </c>
      <c r="AX1051" s="4" t="str">
        <f>"37122"</f>
        <v>37122</v>
      </c>
      <c r="AY1051" t="s">
        <v>120</v>
      </c>
      <c r="BA1051" s="5">
        <v>16154227130</v>
      </c>
      <c r="BC1051" t="s">
        <v>658</v>
      </c>
      <c r="BD1051" t="s">
        <v>659</v>
      </c>
      <c r="BE1051" t="s">
        <v>657</v>
      </c>
      <c r="BF1051" t="s">
        <v>660</v>
      </c>
      <c r="BG1051" t="s">
        <v>661</v>
      </c>
      <c r="BH1051" s="1">
        <v>44789.833333333336</v>
      </c>
      <c r="BI1051">
        <v>49</v>
      </c>
      <c r="BJ1051">
        <v>7</v>
      </c>
      <c r="BK1051">
        <v>7</v>
      </c>
      <c r="BL1051">
        <v>7</v>
      </c>
      <c r="BM1051">
        <v>7</v>
      </c>
      <c r="BN1051">
        <v>7</v>
      </c>
      <c r="BO1051">
        <v>7</v>
      </c>
      <c r="BP1051">
        <v>7</v>
      </c>
      <c r="BQ1051" t="str">
        <f>"8:30 AM"</f>
        <v>8:30 AM</v>
      </c>
      <c r="BR1051" t="str">
        <f>"4:30 PM"</f>
        <v>4:30 PM</v>
      </c>
      <c r="BS1051" t="s">
        <v>295</v>
      </c>
      <c r="BT1051">
        <v>0</v>
      </c>
      <c r="BU1051">
        <v>0</v>
      </c>
      <c r="BV1051" t="s">
        <v>134</v>
      </c>
      <c r="BX1051" s="2" t="s">
        <v>662</v>
      </c>
      <c r="BY1051" t="s">
        <v>663</v>
      </c>
      <c r="CA1051" t="s">
        <v>664</v>
      </c>
      <c r="CB1051" t="s">
        <v>661</v>
      </c>
      <c r="CC1051" s="4" t="str">
        <f>"59716"</f>
        <v>59716</v>
      </c>
      <c r="CD1051" t="s">
        <v>665</v>
      </c>
      <c r="CE1051" t="s">
        <v>666</v>
      </c>
      <c r="CF1051" s="6">
        <v>13.69</v>
      </c>
      <c r="CG1051" s="6">
        <v>13.69</v>
      </c>
      <c r="CH1051" s="6">
        <v>20.54</v>
      </c>
      <c r="CI1051" s="6">
        <v>20.54</v>
      </c>
      <c r="CJ1051" t="s">
        <v>137</v>
      </c>
      <c r="CL1051" t="s">
        <v>667</v>
      </c>
      <c r="CO1051" t="s">
        <v>138</v>
      </c>
      <c r="CP1051" t="s">
        <v>114</v>
      </c>
      <c r="CQ1051" t="s">
        <v>134</v>
      </c>
      <c r="CR1051" t="s">
        <v>114</v>
      </c>
      <c r="CS1051" t="s">
        <v>134</v>
      </c>
      <c r="CT1051" t="s">
        <v>114</v>
      </c>
      <c r="CU1051" t="s">
        <v>134</v>
      </c>
      <c r="CV1051" t="s">
        <v>668</v>
      </c>
      <c r="CW1051" s="5" t="str">
        <f>"+19542283424"</f>
        <v>+19542283424</v>
      </c>
      <c r="CX1051" t="s">
        <v>138</v>
      </c>
      <c r="CY1051" t="s">
        <v>669</v>
      </c>
      <c r="CZ1051" t="s">
        <v>139</v>
      </c>
      <c r="DA1051" t="s">
        <v>134</v>
      </c>
      <c r="DB1051" t="s">
        <v>134</v>
      </c>
      <c r="DC1051" t="s">
        <v>114</v>
      </c>
      <c r="DD1051" t="s">
        <v>134</v>
      </c>
    </row>
    <row r="1052" spans="1:108" ht="15" customHeight="1" x14ac:dyDescent="0.25">
      <c r="A1052" t="s">
        <v>5260</v>
      </c>
      <c r="B1052" t="s">
        <v>165</v>
      </c>
      <c r="C1052" s="1">
        <v>44790.533033333333</v>
      </c>
      <c r="D1052" s="1">
        <v>44839</v>
      </c>
      <c r="E1052" t="s">
        <v>134</v>
      </c>
      <c r="F1052" t="s">
        <v>5261</v>
      </c>
      <c r="G1052" t="str">
        <f>"35-9021.00"</f>
        <v>35-9021.00</v>
      </c>
      <c r="H1052" t="s">
        <v>1910</v>
      </c>
      <c r="I1052">
        <v>75</v>
      </c>
      <c r="J1052">
        <v>75</v>
      </c>
      <c r="K1052" s="1">
        <v>44867</v>
      </c>
      <c r="L1052" s="1">
        <v>45169</v>
      </c>
      <c r="M1052" s="1">
        <v>44867</v>
      </c>
      <c r="N1052" s="1">
        <v>45169</v>
      </c>
      <c r="O1052" t="s">
        <v>117</v>
      </c>
      <c r="P1052" t="s">
        <v>645</v>
      </c>
      <c r="R1052" t="s">
        <v>646</v>
      </c>
      <c r="S1052" t="s">
        <v>647</v>
      </c>
      <c r="T1052" t="s">
        <v>648</v>
      </c>
      <c r="U1052" t="s">
        <v>154</v>
      </c>
      <c r="V1052" s="4" t="str">
        <f>"34113"</f>
        <v>34113</v>
      </c>
      <c r="W1052" t="s">
        <v>120</v>
      </c>
      <c r="Y1052" s="5">
        <v>19542283424</v>
      </c>
      <c r="AA1052">
        <v>561720</v>
      </c>
      <c r="AB1052" t="s">
        <v>649</v>
      </c>
      <c r="AC1052" t="s">
        <v>650</v>
      </c>
      <c r="AE1052" t="s">
        <v>342</v>
      </c>
      <c r="AF1052" t="s">
        <v>651</v>
      </c>
      <c r="AG1052" t="s">
        <v>647</v>
      </c>
      <c r="AH1052" t="s">
        <v>648</v>
      </c>
      <c r="AI1052" t="s">
        <v>154</v>
      </c>
      <c r="AJ1052" s="4" t="str">
        <f>"34113"</f>
        <v>34113</v>
      </c>
      <c r="AK1052" t="s">
        <v>120</v>
      </c>
      <c r="AM1052" s="5">
        <v>19543284677</v>
      </c>
      <c r="AO1052" t="s">
        <v>652</v>
      </c>
      <c r="AP1052" t="s">
        <v>122</v>
      </c>
      <c r="AQ1052" t="s">
        <v>653</v>
      </c>
      <c r="AR1052" t="s">
        <v>654</v>
      </c>
      <c r="AT1052" t="s">
        <v>655</v>
      </c>
      <c r="AV1052" t="s">
        <v>656</v>
      </c>
      <c r="AW1052" t="s">
        <v>657</v>
      </c>
      <c r="AX1052" s="4" t="str">
        <f>"37122"</f>
        <v>37122</v>
      </c>
      <c r="AY1052" t="s">
        <v>120</v>
      </c>
      <c r="BA1052" s="5">
        <v>16154227130</v>
      </c>
      <c r="BC1052" t="s">
        <v>658</v>
      </c>
      <c r="BD1052" t="s">
        <v>659</v>
      </c>
      <c r="BE1052" t="s">
        <v>657</v>
      </c>
      <c r="BF1052" t="s">
        <v>660</v>
      </c>
      <c r="BG1052" t="s">
        <v>661</v>
      </c>
      <c r="BH1052" s="1">
        <v>44789.833333333336</v>
      </c>
      <c r="BI1052">
        <v>49</v>
      </c>
      <c r="BJ1052">
        <v>7</v>
      </c>
      <c r="BK1052">
        <v>7</v>
      </c>
      <c r="BL1052">
        <v>7</v>
      </c>
      <c r="BM1052">
        <v>7</v>
      </c>
      <c r="BN1052">
        <v>7</v>
      </c>
      <c r="BO1052">
        <v>7</v>
      </c>
      <c r="BP1052">
        <v>7</v>
      </c>
      <c r="BQ1052" t="str">
        <f>"8:30 AM"</f>
        <v>8:30 AM</v>
      </c>
      <c r="BR1052" t="str">
        <f>"4:30 PM"</f>
        <v>4:30 PM</v>
      </c>
      <c r="BS1052" t="s">
        <v>295</v>
      </c>
      <c r="BT1052">
        <v>0</v>
      </c>
      <c r="BU1052">
        <v>1</v>
      </c>
      <c r="BV1052" t="s">
        <v>134</v>
      </c>
      <c r="BX1052" s="2" t="s">
        <v>5262</v>
      </c>
      <c r="BY1052" t="s">
        <v>663</v>
      </c>
      <c r="CA1052" t="s">
        <v>664</v>
      </c>
      <c r="CB1052" t="s">
        <v>661</v>
      </c>
      <c r="CC1052" s="4" t="str">
        <f>"59716"</f>
        <v>59716</v>
      </c>
      <c r="CD1052" t="s">
        <v>665</v>
      </c>
      <c r="CE1052" t="s">
        <v>666</v>
      </c>
      <c r="CF1052" s="6">
        <v>11.85</v>
      </c>
      <c r="CG1052" s="6">
        <v>11.85</v>
      </c>
      <c r="CH1052" s="6">
        <v>17.78</v>
      </c>
      <c r="CI1052" s="6">
        <v>17.78</v>
      </c>
      <c r="CJ1052" t="s">
        <v>137</v>
      </c>
      <c r="CL1052" t="s">
        <v>5263</v>
      </c>
      <c r="CO1052" t="s">
        <v>138</v>
      </c>
      <c r="CP1052" t="s">
        <v>114</v>
      </c>
      <c r="CQ1052" t="s">
        <v>134</v>
      </c>
      <c r="CR1052" t="s">
        <v>114</v>
      </c>
      <c r="CS1052" t="s">
        <v>134</v>
      </c>
      <c r="CT1052" t="s">
        <v>114</v>
      </c>
      <c r="CU1052" t="s">
        <v>134</v>
      </c>
      <c r="CV1052" t="s">
        <v>5264</v>
      </c>
      <c r="CW1052" s="5" t="str">
        <f>"+19543284677"</f>
        <v>+19543284677</v>
      </c>
      <c r="CX1052" t="s">
        <v>138</v>
      </c>
      <c r="CY1052" t="s">
        <v>669</v>
      </c>
      <c r="CZ1052" t="s">
        <v>139</v>
      </c>
      <c r="DA1052" t="s">
        <v>134</v>
      </c>
      <c r="DB1052" t="s">
        <v>134</v>
      </c>
      <c r="DC1052" t="s">
        <v>114</v>
      </c>
      <c r="DD1052" t="s">
        <v>134</v>
      </c>
    </row>
    <row r="1053" spans="1:108" ht="15" customHeight="1" x14ac:dyDescent="0.25">
      <c r="A1053" t="s">
        <v>14679</v>
      </c>
      <c r="B1053" t="s">
        <v>165</v>
      </c>
      <c r="C1053" s="1">
        <v>44784.385092129633</v>
      </c>
      <c r="D1053" s="1">
        <v>44839</v>
      </c>
      <c r="E1053" t="s">
        <v>134</v>
      </c>
      <c r="F1053" t="s">
        <v>334</v>
      </c>
      <c r="G1053" t="str">
        <f>"37-3011.00"</f>
        <v>37-3011.00</v>
      </c>
      <c r="H1053" t="s">
        <v>335</v>
      </c>
      <c r="I1053">
        <v>12</v>
      </c>
      <c r="J1053">
        <v>12</v>
      </c>
      <c r="K1053" s="1">
        <v>44859</v>
      </c>
      <c r="L1053" s="1">
        <v>44926</v>
      </c>
      <c r="M1053" s="1">
        <v>44859</v>
      </c>
      <c r="N1053" s="1">
        <v>44926</v>
      </c>
      <c r="O1053" t="s">
        <v>117</v>
      </c>
      <c r="P1053" t="s">
        <v>14680</v>
      </c>
      <c r="R1053" t="s">
        <v>14681</v>
      </c>
      <c r="T1053" t="s">
        <v>14682</v>
      </c>
      <c r="U1053" t="s">
        <v>232</v>
      </c>
      <c r="V1053" s="4" t="str">
        <f>"75474"</f>
        <v>75474</v>
      </c>
      <c r="W1053" t="s">
        <v>120</v>
      </c>
      <c r="Y1053" s="5">
        <v>12148862182</v>
      </c>
      <c r="AA1053">
        <v>5617</v>
      </c>
      <c r="AB1053" t="s">
        <v>7791</v>
      </c>
      <c r="AC1053" t="s">
        <v>14683</v>
      </c>
      <c r="AE1053" t="s">
        <v>424</v>
      </c>
      <c r="AF1053" t="s">
        <v>14684</v>
      </c>
      <c r="AH1053" t="s">
        <v>14682</v>
      </c>
      <c r="AI1053" t="s">
        <v>232</v>
      </c>
      <c r="AJ1053" s="4" t="str">
        <f>"75474"</f>
        <v>75474</v>
      </c>
      <c r="AK1053" t="s">
        <v>120</v>
      </c>
      <c r="AM1053" s="5">
        <v>12148862182</v>
      </c>
      <c r="AO1053" t="s">
        <v>138</v>
      </c>
      <c r="AP1053" t="s">
        <v>256</v>
      </c>
      <c r="AQ1053" t="s">
        <v>4076</v>
      </c>
      <c r="AR1053" t="s">
        <v>726</v>
      </c>
      <c r="AT1053" t="s">
        <v>4115</v>
      </c>
      <c r="AV1053" t="s">
        <v>4116</v>
      </c>
      <c r="AW1053" t="s">
        <v>232</v>
      </c>
      <c r="AX1053" s="4" t="str">
        <f>"75442"</f>
        <v>75442</v>
      </c>
      <c r="AY1053" t="s">
        <v>120</v>
      </c>
      <c r="BA1053" s="5">
        <v>14692388392</v>
      </c>
      <c r="BC1053" t="s">
        <v>4117</v>
      </c>
      <c r="BD1053" t="s">
        <v>4118</v>
      </c>
      <c r="BG1053" t="s">
        <v>232</v>
      </c>
      <c r="BH1053" s="1">
        <v>44783.833333333336</v>
      </c>
      <c r="BI1053">
        <v>40</v>
      </c>
      <c r="BJ1053">
        <v>0</v>
      </c>
      <c r="BK1053">
        <v>8</v>
      </c>
      <c r="BL1053">
        <v>8</v>
      </c>
      <c r="BM1053">
        <v>8</v>
      </c>
      <c r="BN1053">
        <v>8</v>
      </c>
      <c r="BO1053">
        <v>8</v>
      </c>
      <c r="BP1053">
        <v>0</v>
      </c>
      <c r="BQ1053" t="str">
        <f>"8:00 AM"</f>
        <v>8:00 AM</v>
      </c>
      <c r="BR1053" t="str">
        <f>"5:00 PM"</f>
        <v>5:00 PM</v>
      </c>
      <c r="BS1053" t="s">
        <v>133</v>
      </c>
      <c r="BT1053">
        <v>0</v>
      </c>
      <c r="BU1053">
        <v>0</v>
      </c>
      <c r="BV1053" t="s">
        <v>134</v>
      </c>
      <c r="BX1053" t="s">
        <v>133</v>
      </c>
      <c r="BY1053" t="s">
        <v>14681</v>
      </c>
      <c r="CA1053" t="s">
        <v>14682</v>
      </c>
      <c r="CB1053" t="s">
        <v>232</v>
      </c>
      <c r="CC1053" s="4" t="str">
        <f>"75474"</f>
        <v>75474</v>
      </c>
      <c r="CD1053" t="s">
        <v>2712</v>
      </c>
      <c r="CE1053" t="s">
        <v>1528</v>
      </c>
      <c r="CF1053" s="6">
        <v>16.489999999999998</v>
      </c>
      <c r="CH1053" s="6">
        <v>24.74</v>
      </c>
      <c r="CJ1053" t="s">
        <v>137</v>
      </c>
      <c r="CL1053" t="s">
        <v>14685</v>
      </c>
      <c r="CO1053" t="s">
        <v>114</v>
      </c>
      <c r="CP1053" t="s">
        <v>114</v>
      </c>
      <c r="CQ1053" t="s">
        <v>114</v>
      </c>
      <c r="CR1053" t="s">
        <v>114</v>
      </c>
      <c r="CS1053" t="s">
        <v>114</v>
      </c>
      <c r="CT1053" t="s">
        <v>114</v>
      </c>
      <c r="CU1053" t="s">
        <v>134</v>
      </c>
      <c r="CV1053" t="s">
        <v>4121</v>
      </c>
      <c r="CW1053" s="5" t="str">
        <f>"+12148862182"</f>
        <v>+12148862182</v>
      </c>
      <c r="CX1053" t="s">
        <v>138</v>
      </c>
      <c r="CY1053" t="s">
        <v>6675</v>
      </c>
      <c r="CZ1053" t="s">
        <v>139</v>
      </c>
      <c r="DA1053" t="s">
        <v>134</v>
      </c>
      <c r="DB1053" t="s">
        <v>134</v>
      </c>
      <c r="DC1053" t="s">
        <v>114</v>
      </c>
      <c r="DD1053" t="s">
        <v>134</v>
      </c>
    </row>
    <row r="1054" spans="1:108" ht="15" customHeight="1" x14ac:dyDescent="0.25">
      <c r="A1054" t="s">
        <v>10708</v>
      </c>
      <c r="B1054" t="s">
        <v>165</v>
      </c>
      <c r="C1054" s="1">
        <v>44782.863306597224</v>
      </c>
      <c r="D1054" s="1">
        <v>44839</v>
      </c>
      <c r="E1054" t="s">
        <v>134</v>
      </c>
      <c r="F1054" t="s">
        <v>5716</v>
      </c>
      <c r="G1054" t="str">
        <f>"45-4011.00"</f>
        <v>45-4011.00</v>
      </c>
      <c r="H1054" t="s">
        <v>1107</v>
      </c>
      <c r="I1054">
        <v>12</v>
      </c>
      <c r="J1054">
        <v>12</v>
      </c>
      <c r="K1054" s="1">
        <v>44857</v>
      </c>
      <c r="L1054" s="1">
        <v>45107</v>
      </c>
      <c r="M1054" s="1">
        <v>44857</v>
      </c>
      <c r="N1054" s="1">
        <v>45107</v>
      </c>
      <c r="O1054" t="s">
        <v>199</v>
      </c>
      <c r="P1054" t="s">
        <v>10709</v>
      </c>
      <c r="Q1054" t="s">
        <v>1897</v>
      </c>
      <c r="R1054" t="s">
        <v>10710</v>
      </c>
      <c r="T1054" t="s">
        <v>10711</v>
      </c>
      <c r="U1054" t="s">
        <v>511</v>
      </c>
      <c r="V1054" s="4" t="str">
        <f>"97470"</f>
        <v>97470</v>
      </c>
      <c r="W1054" t="s">
        <v>120</v>
      </c>
      <c r="Y1054" s="5">
        <v>15414303501</v>
      </c>
      <c r="AA1054">
        <v>115310</v>
      </c>
      <c r="AB1054" t="s">
        <v>10712</v>
      </c>
      <c r="AC1054" t="s">
        <v>10713</v>
      </c>
      <c r="AD1054" t="s">
        <v>1897</v>
      </c>
      <c r="AE1054" t="s">
        <v>700</v>
      </c>
      <c r="AF1054" t="s">
        <v>10714</v>
      </c>
      <c r="AH1054" t="s">
        <v>10711</v>
      </c>
      <c r="AI1054" t="s">
        <v>511</v>
      </c>
      <c r="AJ1054" s="4" t="str">
        <f>"97470"</f>
        <v>97470</v>
      </c>
      <c r="AK1054" t="s">
        <v>120</v>
      </c>
      <c r="AM1054" s="5">
        <v>15414303501</v>
      </c>
      <c r="AO1054" t="s">
        <v>10715</v>
      </c>
      <c r="AP1054" t="s">
        <v>122</v>
      </c>
      <c r="AQ1054" t="s">
        <v>5717</v>
      </c>
      <c r="AR1054" t="s">
        <v>1568</v>
      </c>
      <c r="AS1054" t="s">
        <v>4057</v>
      </c>
      <c r="AT1054" t="s">
        <v>9076</v>
      </c>
      <c r="AV1054" t="s">
        <v>10716</v>
      </c>
      <c r="AW1054" t="s">
        <v>319</v>
      </c>
      <c r="AX1054" s="4" t="str">
        <f>"55126"</f>
        <v>55126</v>
      </c>
      <c r="AY1054" t="s">
        <v>120</v>
      </c>
      <c r="BA1054" s="5">
        <v>16126705068</v>
      </c>
      <c r="BC1054" t="s">
        <v>10717</v>
      </c>
      <c r="BD1054" t="s">
        <v>5718</v>
      </c>
      <c r="BE1054" t="s">
        <v>319</v>
      </c>
      <c r="BF1054" t="s">
        <v>2378</v>
      </c>
      <c r="BG1054" t="s">
        <v>511</v>
      </c>
      <c r="BH1054" s="1">
        <v>44781.833333333336</v>
      </c>
      <c r="BI1054">
        <v>40</v>
      </c>
      <c r="BJ1054">
        <v>0</v>
      </c>
      <c r="BK1054">
        <v>8</v>
      </c>
      <c r="BL1054">
        <v>8</v>
      </c>
      <c r="BM1054">
        <v>8</v>
      </c>
      <c r="BN1054">
        <v>8</v>
      </c>
      <c r="BO1054">
        <v>8</v>
      </c>
      <c r="BP1054">
        <v>0</v>
      </c>
      <c r="BQ1054" t="str">
        <f>"7:00 AM"</f>
        <v>7:00 AM</v>
      </c>
      <c r="BR1054" t="str">
        <f>"3:30 PM"</f>
        <v>3:30 PM</v>
      </c>
      <c r="BS1054" t="s">
        <v>133</v>
      </c>
      <c r="BT1054">
        <v>0</v>
      </c>
      <c r="BU1054">
        <v>0</v>
      </c>
      <c r="BV1054" t="s">
        <v>134</v>
      </c>
      <c r="BX1054" s="2" t="s">
        <v>10718</v>
      </c>
      <c r="BY1054" t="s">
        <v>10714</v>
      </c>
      <c r="CA1054" t="s">
        <v>10711</v>
      </c>
      <c r="CB1054" t="s">
        <v>511</v>
      </c>
      <c r="CC1054" s="4" t="str">
        <f>"97470"</f>
        <v>97470</v>
      </c>
      <c r="CD1054" t="s">
        <v>992</v>
      </c>
      <c r="CE1054" t="s">
        <v>516</v>
      </c>
      <c r="CF1054" s="6">
        <v>16.45</v>
      </c>
      <c r="CG1054" s="6">
        <v>20.07</v>
      </c>
      <c r="CJ1054" t="s">
        <v>137</v>
      </c>
      <c r="CK1054" t="s">
        <v>10719</v>
      </c>
      <c r="CL1054" t="s">
        <v>10720</v>
      </c>
      <c r="CO1054" t="s">
        <v>138</v>
      </c>
      <c r="CP1054" t="s">
        <v>114</v>
      </c>
      <c r="CQ1054" t="s">
        <v>114</v>
      </c>
      <c r="CR1054" t="s">
        <v>134</v>
      </c>
      <c r="CS1054" t="s">
        <v>114</v>
      </c>
      <c r="CT1054" t="s">
        <v>114</v>
      </c>
      <c r="CU1054" t="s">
        <v>114</v>
      </c>
      <c r="CV1054" t="s">
        <v>10721</v>
      </c>
      <c r="CW1054" s="5" t="str">
        <f>"+15414303501"</f>
        <v>+15414303501</v>
      </c>
      <c r="CX1054" t="s">
        <v>10715</v>
      </c>
      <c r="CY1054" t="s">
        <v>138</v>
      </c>
      <c r="CZ1054" t="s">
        <v>139</v>
      </c>
      <c r="DA1054" t="s">
        <v>134</v>
      </c>
      <c r="DB1054" t="s">
        <v>134</v>
      </c>
      <c r="DC1054" t="s">
        <v>114</v>
      </c>
      <c r="DD1054" t="s">
        <v>134</v>
      </c>
    </row>
    <row r="1055" spans="1:108" ht="15" customHeight="1" x14ac:dyDescent="0.25">
      <c r="A1055" t="s">
        <v>3234</v>
      </c>
      <c r="B1055" t="s">
        <v>165</v>
      </c>
      <c r="C1055" s="1">
        <v>44760.523804745368</v>
      </c>
      <c r="D1055" s="1">
        <v>44839</v>
      </c>
      <c r="E1055" t="s">
        <v>134</v>
      </c>
      <c r="F1055" t="s">
        <v>3235</v>
      </c>
      <c r="G1055" t="str">
        <f>"37-3011.00"</f>
        <v>37-3011.00</v>
      </c>
      <c r="H1055" t="s">
        <v>335</v>
      </c>
      <c r="I1055">
        <v>12</v>
      </c>
      <c r="J1055">
        <v>12</v>
      </c>
      <c r="K1055" s="1">
        <v>44835</v>
      </c>
      <c r="L1055" s="1">
        <v>45138</v>
      </c>
      <c r="M1055" s="1">
        <v>44835</v>
      </c>
      <c r="N1055" s="1">
        <v>45138</v>
      </c>
      <c r="O1055" t="s">
        <v>199</v>
      </c>
      <c r="P1055" t="s">
        <v>3236</v>
      </c>
      <c r="R1055" t="s">
        <v>3237</v>
      </c>
      <c r="T1055" t="s">
        <v>3238</v>
      </c>
      <c r="U1055" t="s">
        <v>1414</v>
      </c>
      <c r="V1055" s="4" t="str">
        <f>"48329"</f>
        <v>48329</v>
      </c>
      <c r="W1055" t="s">
        <v>120</v>
      </c>
      <c r="Y1055" s="5">
        <v>12486736092</v>
      </c>
      <c r="AA1055">
        <v>56173</v>
      </c>
      <c r="AB1055" t="s">
        <v>3239</v>
      </c>
      <c r="AC1055" t="s">
        <v>173</v>
      </c>
      <c r="AE1055" t="s">
        <v>1526</v>
      </c>
      <c r="AF1055" t="s">
        <v>3240</v>
      </c>
      <c r="AH1055" t="s">
        <v>3241</v>
      </c>
      <c r="AI1055" t="s">
        <v>1414</v>
      </c>
      <c r="AJ1055" s="4" t="str">
        <f>"48329"</f>
        <v>48329</v>
      </c>
      <c r="AK1055" t="s">
        <v>120</v>
      </c>
      <c r="AM1055" s="5">
        <v>12486736092</v>
      </c>
      <c r="AO1055" t="s">
        <v>3242</v>
      </c>
      <c r="AP1055" t="s">
        <v>256</v>
      </c>
      <c r="AQ1055" t="s">
        <v>2633</v>
      </c>
      <c r="AR1055" t="s">
        <v>975</v>
      </c>
      <c r="AT1055" t="s">
        <v>2735</v>
      </c>
      <c r="AU1055" t="s">
        <v>3243</v>
      </c>
      <c r="AV1055" t="s">
        <v>2736</v>
      </c>
      <c r="AW1055" t="s">
        <v>154</v>
      </c>
      <c r="AX1055" s="4" t="str">
        <f>"33813"</f>
        <v>33813</v>
      </c>
      <c r="AY1055" t="s">
        <v>120</v>
      </c>
      <c r="BA1055" s="5">
        <v>18636444912</v>
      </c>
      <c r="BC1055" t="s">
        <v>2634</v>
      </c>
      <c r="BD1055" t="s">
        <v>3244</v>
      </c>
      <c r="BG1055" t="s">
        <v>1414</v>
      </c>
      <c r="BH1055" s="1">
        <v>44760.833333333336</v>
      </c>
      <c r="BI1055">
        <v>40</v>
      </c>
      <c r="BJ1055">
        <v>0</v>
      </c>
      <c r="BK1055">
        <v>8</v>
      </c>
      <c r="BL1055">
        <v>8</v>
      </c>
      <c r="BM1055">
        <v>8</v>
      </c>
      <c r="BN1055">
        <v>8</v>
      </c>
      <c r="BO1055">
        <v>8</v>
      </c>
      <c r="BP1055">
        <v>0</v>
      </c>
      <c r="BQ1055" t="str">
        <f>"7:00 AM"</f>
        <v>7:00 AM</v>
      </c>
      <c r="BR1055" t="str">
        <f>"6:00 PM"</f>
        <v>6:00 PM</v>
      </c>
      <c r="BS1055" t="s">
        <v>133</v>
      </c>
      <c r="BT1055">
        <v>0</v>
      </c>
      <c r="BU1055">
        <v>3</v>
      </c>
      <c r="BV1055" t="s">
        <v>134</v>
      </c>
      <c r="BX1055" t="s">
        <v>3245</v>
      </c>
      <c r="BY1055" t="s">
        <v>3246</v>
      </c>
      <c r="CA1055" t="s">
        <v>3238</v>
      </c>
      <c r="CB1055" t="s">
        <v>1414</v>
      </c>
      <c r="CC1055" s="4" t="str">
        <f>"48329"</f>
        <v>48329</v>
      </c>
      <c r="CD1055" t="s">
        <v>1813</v>
      </c>
      <c r="CE1055" t="s">
        <v>1814</v>
      </c>
      <c r="CF1055" s="6">
        <v>15.88</v>
      </c>
      <c r="CG1055" s="6">
        <v>15.88</v>
      </c>
      <c r="CH1055" s="6">
        <v>23.82</v>
      </c>
      <c r="CI1055" s="6">
        <v>23.82</v>
      </c>
      <c r="CJ1055" t="s">
        <v>137</v>
      </c>
      <c r="CL1055" t="s">
        <v>3247</v>
      </c>
      <c r="CO1055" t="s">
        <v>138</v>
      </c>
      <c r="CP1055" t="s">
        <v>114</v>
      </c>
      <c r="CQ1055" t="s">
        <v>114</v>
      </c>
      <c r="CR1055" t="s">
        <v>114</v>
      </c>
      <c r="CS1055" t="s">
        <v>134</v>
      </c>
      <c r="CT1055" t="s">
        <v>114</v>
      </c>
      <c r="CU1055" t="s">
        <v>134</v>
      </c>
      <c r="CV1055" t="s">
        <v>3248</v>
      </c>
      <c r="CW1055" s="5" t="str">
        <f>"+12486736092"</f>
        <v>+12486736092</v>
      </c>
      <c r="CX1055" t="s">
        <v>3242</v>
      </c>
      <c r="CY1055" t="s">
        <v>138</v>
      </c>
      <c r="CZ1055" t="s">
        <v>139</v>
      </c>
      <c r="DA1055" t="s">
        <v>134</v>
      </c>
      <c r="DB1055" t="s">
        <v>114</v>
      </c>
      <c r="DC1055" t="s">
        <v>114</v>
      </c>
      <c r="DD1055" t="s">
        <v>134</v>
      </c>
    </row>
    <row r="1056" spans="1:108" ht="15" customHeight="1" x14ac:dyDescent="0.25">
      <c r="A1056" t="s">
        <v>15224</v>
      </c>
      <c r="B1056" t="s">
        <v>165</v>
      </c>
      <c r="C1056" s="1">
        <v>44813.797465162039</v>
      </c>
      <c r="D1056" s="1">
        <v>44838</v>
      </c>
      <c r="E1056" t="s">
        <v>134</v>
      </c>
      <c r="F1056" t="s">
        <v>15225</v>
      </c>
      <c r="G1056" t="str">
        <f>"35-3011.00"</f>
        <v>35-3011.00</v>
      </c>
      <c r="H1056" t="s">
        <v>956</v>
      </c>
      <c r="I1056">
        <v>4</v>
      </c>
      <c r="J1056">
        <v>4</v>
      </c>
      <c r="K1056" s="1">
        <v>44888</v>
      </c>
      <c r="L1056" s="1">
        <v>45138</v>
      </c>
      <c r="M1056" s="1">
        <v>44888</v>
      </c>
      <c r="N1056" s="1">
        <v>45138</v>
      </c>
      <c r="O1056" t="s">
        <v>117</v>
      </c>
      <c r="P1056" t="s">
        <v>15226</v>
      </c>
      <c r="R1056" t="s">
        <v>15227</v>
      </c>
      <c r="T1056" t="s">
        <v>1970</v>
      </c>
      <c r="U1056" t="s">
        <v>1411</v>
      </c>
      <c r="V1056" s="4" t="str">
        <f>"45202"</f>
        <v>45202</v>
      </c>
      <c r="W1056" t="s">
        <v>120</v>
      </c>
      <c r="Y1056" s="5">
        <v>15132503121</v>
      </c>
      <c r="AA1056">
        <v>71321</v>
      </c>
      <c r="AB1056" t="s">
        <v>2685</v>
      </c>
      <c r="AC1056" t="s">
        <v>1586</v>
      </c>
      <c r="AE1056" t="s">
        <v>944</v>
      </c>
      <c r="AF1056" t="s">
        <v>15228</v>
      </c>
      <c r="AH1056" t="s">
        <v>1970</v>
      </c>
      <c r="AI1056" t="s">
        <v>1411</v>
      </c>
      <c r="AJ1056" s="4" t="str">
        <f>"45202"</f>
        <v>45202</v>
      </c>
      <c r="AK1056" t="s">
        <v>120</v>
      </c>
      <c r="AM1056" s="5">
        <v>15132503121</v>
      </c>
      <c r="AO1056" t="s">
        <v>15229</v>
      </c>
      <c r="AP1056" t="s">
        <v>256</v>
      </c>
      <c r="AQ1056" t="s">
        <v>400</v>
      </c>
      <c r="AR1056" t="s">
        <v>401</v>
      </c>
      <c r="AS1056" t="s">
        <v>397</v>
      </c>
      <c r="AT1056" t="s">
        <v>402</v>
      </c>
      <c r="AU1056" t="s">
        <v>152</v>
      </c>
      <c r="AV1056" t="s">
        <v>403</v>
      </c>
      <c r="AW1056" t="s">
        <v>232</v>
      </c>
      <c r="AX1056" s="4" t="str">
        <f>"75033"</f>
        <v>75033</v>
      </c>
      <c r="AY1056" t="s">
        <v>120</v>
      </c>
      <c r="BA1056" s="5">
        <v>19727789690</v>
      </c>
      <c r="BC1056" t="s">
        <v>15230</v>
      </c>
      <c r="BD1056" t="s">
        <v>405</v>
      </c>
      <c r="BG1056" t="s">
        <v>1411</v>
      </c>
      <c r="BH1056" s="1">
        <v>44812.833333333336</v>
      </c>
      <c r="BI1056">
        <v>40</v>
      </c>
      <c r="BJ1056">
        <v>8</v>
      </c>
      <c r="BK1056">
        <v>8</v>
      </c>
      <c r="BL1056">
        <v>8</v>
      </c>
      <c r="BM1056">
        <v>0</v>
      </c>
      <c r="BN1056">
        <v>8</v>
      </c>
      <c r="BO1056">
        <v>8</v>
      </c>
      <c r="BP1056">
        <v>0</v>
      </c>
      <c r="BQ1056" t="str">
        <f>"4:00 PM"</f>
        <v>4:00 PM</v>
      </c>
      <c r="BR1056" t="str">
        <f>"12:00 AM"</f>
        <v>12:00 AM</v>
      </c>
      <c r="BS1056" t="s">
        <v>133</v>
      </c>
      <c r="BT1056">
        <v>0</v>
      </c>
      <c r="BU1056">
        <v>0</v>
      </c>
      <c r="BV1056" t="s">
        <v>134</v>
      </c>
      <c r="BX1056" s="2" t="s">
        <v>15231</v>
      </c>
      <c r="BY1056" t="s">
        <v>15227</v>
      </c>
      <c r="CA1056" t="s">
        <v>1970</v>
      </c>
      <c r="CB1056" t="s">
        <v>1411</v>
      </c>
      <c r="CC1056" s="4" t="str">
        <f>"45202"</f>
        <v>45202</v>
      </c>
      <c r="CD1056" t="s">
        <v>1839</v>
      </c>
      <c r="CE1056" t="s">
        <v>1417</v>
      </c>
      <c r="CF1056" s="6">
        <v>11</v>
      </c>
      <c r="CG1056" s="6">
        <v>11</v>
      </c>
      <c r="CH1056" s="6">
        <v>16.5</v>
      </c>
      <c r="CI1056" s="6">
        <v>16.5</v>
      </c>
      <c r="CJ1056" t="s">
        <v>137</v>
      </c>
      <c r="CK1056" t="s">
        <v>950</v>
      </c>
      <c r="CL1056" t="s">
        <v>15232</v>
      </c>
      <c r="CO1056" t="s">
        <v>138</v>
      </c>
      <c r="CP1056" t="s">
        <v>134</v>
      </c>
      <c r="CQ1056" t="s">
        <v>134</v>
      </c>
      <c r="CR1056" t="s">
        <v>114</v>
      </c>
      <c r="CS1056" t="s">
        <v>114</v>
      </c>
      <c r="CT1056" t="s">
        <v>114</v>
      </c>
      <c r="CU1056" t="s">
        <v>114</v>
      </c>
      <c r="CV1056" s="2" t="s">
        <v>15233</v>
      </c>
      <c r="CW1056" s="5" t="str">
        <f>"+15132503121"</f>
        <v>+15132503121</v>
      </c>
      <c r="CX1056" t="s">
        <v>138</v>
      </c>
      <c r="CY1056" t="s">
        <v>2295</v>
      </c>
      <c r="CZ1056" t="s">
        <v>139</v>
      </c>
      <c r="DA1056" t="s">
        <v>134</v>
      </c>
      <c r="DB1056" t="s">
        <v>114</v>
      </c>
      <c r="DC1056" t="s">
        <v>114</v>
      </c>
      <c r="DD1056" t="s">
        <v>134</v>
      </c>
    </row>
    <row r="1057" spans="1:113" ht="15" customHeight="1" x14ac:dyDescent="0.25">
      <c r="A1057" t="s">
        <v>16456</v>
      </c>
      <c r="B1057" t="s">
        <v>165</v>
      </c>
      <c r="C1057" s="1">
        <v>44813.756800115741</v>
      </c>
      <c r="D1057" s="1">
        <v>44838</v>
      </c>
      <c r="E1057" t="s">
        <v>134</v>
      </c>
      <c r="F1057" t="s">
        <v>4070</v>
      </c>
      <c r="G1057" t="str">
        <f>"37-3011.00"</f>
        <v>37-3011.00</v>
      </c>
      <c r="H1057" t="s">
        <v>335</v>
      </c>
      <c r="I1057">
        <v>3</v>
      </c>
      <c r="J1057">
        <v>3</v>
      </c>
      <c r="K1057" s="1">
        <v>44888</v>
      </c>
      <c r="L1057" s="1">
        <v>45138</v>
      </c>
      <c r="M1057" s="1">
        <v>44888</v>
      </c>
      <c r="N1057" s="1">
        <v>45138</v>
      </c>
      <c r="O1057" t="s">
        <v>117</v>
      </c>
      <c r="P1057" t="s">
        <v>15226</v>
      </c>
      <c r="R1057" t="s">
        <v>15227</v>
      </c>
      <c r="T1057" t="s">
        <v>1970</v>
      </c>
      <c r="U1057" t="s">
        <v>1411</v>
      </c>
      <c r="V1057" s="4" t="str">
        <f>"45202"</f>
        <v>45202</v>
      </c>
      <c r="W1057" t="s">
        <v>120</v>
      </c>
      <c r="Y1057" s="5">
        <v>15132503121</v>
      </c>
      <c r="AA1057">
        <v>71321</v>
      </c>
      <c r="AB1057" t="s">
        <v>2685</v>
      </c>
      <c r="AC1057" t="s">
        <v>1586</v>
      </c>
      <c r="AE1057" t="s">
        <v>944</v>
      </c>
      <c r="AF1057" t="s">
        <v>15227</v>
      </c>
      <c r="AH1057" t="s">
        <v>1970</v>
      </c>
      <c r="AI1057" t="s">
        <v>1411</v>
      </c>
      <c r="AJ1057" s="4" t="str">
        <f>"45202"</f>
        <v>45202</v>
      </c>
      <c r="AK1057" t="s">
        <v>120</v>
      </c>
      <c r="AM1057" s="5">
        <v>15132503121</v>
      </c>
      <c r="AO1057" t="s">
        <v>15966</v>
      </c>
      <c r="AP1057" t="s">
        <v>256</v>
      </c>
      <c r="AQ1057" t="s">
        <v>400</v>
      </c>
      <c r="AR1057" t="s">
        <v>401</v>
      </c>
      <c r="AS1057" t="s">
        <v>397</v>
      </c>
      <c r="AT1057" t="s">
        <v>402</v>
      </c>
      <c r="AU1057" t="s">
        <v>152</v>
      </c>
      <c r="AV1057" t="s">
        <v>403</v>
      </c>
      <c r="AW1057" t="s">
        <v>232</v>
      </c>
      <c r="AX1057" s="4" t="str">
        <f>"75033"</f>
        <v>75033</v>
      </c>
      <c r="AY1057" t="s">
        <v>120</v>
      </c>
      <c r="BA1057" s="5">
        <v>19727789690</v>
      </c>
      <c r="BC1057" t="s">
        <v>15230</v>
      </c>
      <c r="BD1057" t="s">
        <v>405</v>
      </c>
      <c r="BG1057" t="s">
        <v>1411</v>
      </c>
      <c r="BH1057" s="1">
        <v>44812.833333333336</v>
      </c>
      <c r="BI1057">
        <v>40</v>
      </c>
      <c r="BJ1057">
        <v>0</v>
      </c>
      <c r="BK1057">
        <v>8</v>
      </c>
      <c r="BL1057">
        <v>8</v>
      </c>
      <c r="BM1057">
        <v>8</v>
      </c>
      <c r="BN1057">
        <v>0</v>
      </c>
      <c r="BO1057">
        <v>8</v>
      </c>
      <c r="BP1057">
        <v>8</v>
      </c>
      <c r="BQ1057" t="str">
        <f>"7:00 AM"</f>
        <v>7:00 AM</v>
      </c>
      <c r="BR1057" t="str">
        <f>"3:00 PM"</f>
        <v>3:00 PM</v>
      </c>
      <c r="BS1057" t="s">
        <v>133</v>
      </c>
      <c r="BT1057">
        <v>0</v>
      </c>
      <c r="BU1057">
        <v>0</v>
      </c>
      <c r="BV1057" t="s">
        <v>134</v>
      </c>
      <c r="BX1057" s="2" t="s">
        <v>16457</v>
      </c>
      <c r="BY1057" t="s">
        <v>15227</v>
      </c>
      <c r="CA1057" t="s">
        <v>1970</v>
      </c>
      <c r="CB1057" t="s">
        <v>1411</v>
      </c>
      <c r="CC1057" s="4" t="str">
        <f>"45202"</f>
        <v>45202</v>
      </c>
      <c r="CD1057" t="s">
        <v>1839</v>
      </c>
      <c r="CE1057" t="s">
        <v>1417</v>
      </c>
      <c r="CF1057" s="6">
        <v>14</v>
      </c>
      <c r="CG1057" s="6">
        <v>14</v>
      </c>
      <c r="CH1057" s="6">
        <v>21</v>
      </c>
      <c r="CI1057" s="6">
        <v>21</v>
      </c>
      <c r="CJ1057" t="s">
        <v>137</v>
      </c>
      <c r="CK1057" t="s">
        <v>950</v>
      </c>
      <c r="CL1057" t="s">
        <v>16458</v>
      </c>
      <c r="CO1057" t="s">
        <v>138</v>
      </c>
      <c r="CP1057" t="s">
        <v>134</v>
      </c>
      <c r="CQ1057" t="s">
        <v>134</v>
      </c>
      <c r="CR1057" t="s">
        <v>114</v>
      </c>
      <c r="CS1057" t="s">
        <v>114</v>
      </c>
      <c r="CT1057" t="s">
        <v>114</v>
      </c>
      <c r="CU1057" t="s">
        <v>114</v>
      </c>
      <c r="CV1057" s="2" t="s">
        <v>16459</v>
      </c>
      <c r="CW1057" s="5" t="str">
        <f>"+15132503121"</f>
        <v>+15132503121</v>
      </c>
      <c r="CX1057" t="s">
        <v>138</v>
      </c>
      <c r="CY1057" t="s">
        <v>2295</v>
      </c>
      <c r="CZ1057" t="s">
        <v>139</v>
      </c>
      <c r="DA1057" t="s">
        <v>134</v>
      </c>
      <c r="DB1057" t="s">
        <v>114</v>
      </c>
      <c r="DC1057" t="s">
        <v>114</v>
      </c>
      <c r="DD1057" t="s">
        <v>134</v>
      </c>
    </row>
    <row r="1058" spans="1:113" ht="15" customHeight="1" x14ac:dyDescent="0.25">
      <c r="A1058" t="s">
        <v>6803</v>
      </c>
      <c r="B1058" t="s">
        <v>165</v>
      </c>
      <c r="C1058" s="1">
        <v>44813.61642662037</v>
      </c>
      <c r="D1058" s="1">
        <v>44838</v>
      </c>
      <c r="E1058" t="s">
        <v>134</v>
      </c>
      <c r="F1058" t="s">
        <v>6804</v>
      </c>
      <c r="G1058" t="str">
        <f>"53-7062.00"</f>
        <v>53-7062.00</v>
      </c>
      <c r="H1058" t="s">
        <v>245</v>
      </c>
      <c r="I1058">
        <v>10</v>
      </c>
      <c r="J1058">
        <v>10</v>
      </c>
      <c r="K1058" s="1">
        <v>44893</v>
      </c>
      <c r="L1058" s="1">
        <v>45016</v>
      </c>
      <c r="M1058" s="1">
        <v>44893</v>
      </c>
      <c r="N1058" s="1">
        <v>45016</v>
      </c>
      <c r="O1058" t="s">
        <v>117</v>
      </c>
      <c r="P1058" t="s">
        <v>6805</v>
      </c>
      <c r="R1058" t="s">
        <v>6806</v>
      </c>
      <c r="T1058" t="s">
        <v>2688</v>
      </c>
      <c r="U1058" t="s">
        <v>339</v>
      </c>
      <c r="V1058" s="4" t="str">
        <f>"21634"</f>
        <v>21634</v>
      </c>
      <c r="W1058" t="s">
        <v>120</v>
      </c>
      <c r="Y1058" s="5">
        <v>14103973327</v>
      </c>
      <c r="AA1058">
        <v>3117</v>
      </c>
      <c r="AB1058" t="s">
        <v>4301</v>
      </c>
      <c r="AC1058" t="s">
        <v>1301</v>
      </c>
      <c r="AD1058" t="s">
        <v>2296</v>
      </c>
      <c r="AE1058" t="s">
        <v>2384</v>
      </c>
      <c r="AF1058" t="s">
        <v>6806</v>
      </c>
      <c r="AH1058" t="s">
        <v>2688</v>
      </c>
      <c r="AI1058" t="s">
        <v>339</v>
      </c>
      <c r="AJ1058" s="4" t="str">
        <f>"21634"</f>
        <v>21634</v>
      </c>
      <c r="AK1058" t="s">
        <v>120</v>
      </c>
      <c r="AM1058" s="5">
        <v>14103973327</v>
      </c>
      <c r="AO1058" t="s">
        <v>138</v>
      </c>
      <c r="AP1058" t="s">
        <v>256</v>
      </c>
      <c r="AQ1058" t="s">
        <v>1731</v>
      </c>
      <c r="AR1058" t="s">
        <v>1732</v>
      </c>
      <c r="AS1058" t="s">
        <v>1733</v>
      </c>
      <c r="AT1058" t="s">
        <v>1734</v>
      </c>
      <c r="AU1058" t="s">
        <v>1735</v>
      </c>
      <c r="AV1058" t="s">
        <v>1736</v>
      </c>
      <c r="AW1058" t="s">
        <v>479</v>
      </c>
      <c r="AX1058" s="4" t="str">
        <f>"24521"</f>
        <v>24521</v>
      </c>
      <c r="AY1058" t="s">
        <v>120</v>
      </c>
      <c r="BA1058" s="5">
        <v>14349460035</v>
      </c>
      <c r="BB1058">
        <v>11</v>
      </c>
      <c r="BC1058" t="s">
        <v>1737</v>
      </c>
      <c r="BD1058" t="s">
        <v>1738</v>
      </c>
      <c r="BG1058" t="s">
        <v>339</v>
      </c>
      <c r="BH1058" s="1">
        <v>44812.833333333336</v>
      </c>
      <c r="BI1058">
        <v>40</v>
      </c>
      <c r="BJ1058">
        <v>0</v>
      </c>
      <c r="BK1058">
        <v>8</v>
      </c>
      <c r="BL1058">
        <v>8</v>
      </c>
      <c r="BM1058">
        <v>8</v>
      </c>
      <c r="BN1058">
        <v>8</v>
      </c>
      <c r="BO1058">
        <v>8</v>
      </c>
      <c r="BP1058">
        <v>0</v>
      </c>
      <c r="BQ1058" t="str">
        <f>"5:30 AM"</f>
        <v>5:30 AM</v>
      </c>
      <c r="BR1058" t="str">
        <f>"2:00 PM"</f>
        <v>2:00 PM</v>
      </c>
      <c r="BS1058" t="s">
        <v>133</v>
      </c>
      <c r="BT1058">
        <v>0</v>
      </c>
      <c r="BU1058">
        <v>0</v>
      </c>
      <c r="BV1058" t="s">
        <v>134</v>
      </c>
      <c r="BX1058" s="2" t="s">
        <v>6807</v>
      </c>
      <c r="BY1058" t="s">
        <v>6806</v>
      </c>
      <c r="CA1058" t="s">
        <v>2688</v>
      </c>
      <c r="CB1058" t="s">
        <v>339</v>
      </c>
      <c r="CC1058" s="4" t="str">
        <f>"21634"</f>
        <v>21634</v>
      </c>
      <c r="CD1058" t="s">
        <v>2691</v>
      </c>
      <c r="CE1058" t="s">
        <v>1991</v>
      </c>
      <c r="CF1058" s="6">
        <v>15.98</v>
      </c>
      <c r="CG1058" s="6">
        <v>15.98</v>
      </c>
      <c r="CH1058" s="6">
        <v>23.97</v>
      </c>
      <c r="CI1058" s="6">
        <v>23.97</v>
      </c>
      <c r="CJ1058" t="s">
        <v>137</v>
      </c>
      <c r="CK1058" t="s">
        <v>6808</v>
      </c>
      <c r="CL1058" t="s">
        <v>6809</v>
      </c>
      <c r="CO1058" t="s">
        <v>138</v>
      </c>
      <c r="CP1058" t="s">
        <v>134</v>
      </c>
      <c r="CQ1058" t="s">
        <v>134</v>
      </c>
      <c r="CR1058" t="s">
        <v>114</v>
      </c>
      <c r="CS1058" t="s">
        <v>114</v>
      </c>
      <c r="CT1058" t="s">
        <v>114</v>
      </c>
      <c r="CU1058" t="s">
        <v>114</v>
      </c>
      <c r="CV1058" t="s">
        <v>6810</v>
      </c>
      <c r="CW1058" s="5" t="str">
        <f>"+14103973327"</f>
        <v>+14103973327</v>
      </c>
      <c r="CX1058" t="s">
        <v>138</v>
      </c>
      <c r="CY1058" t="s">
        <v>1992</v>
      </c>
      <c r="CZ1058" t="s">
        <v>139</v>
      </c>
      <c r="DA1058" t="s">
        <v>134</v>
      </c>
      <c r="DB1058" t="s">
        <v>134</v>
      </c>
      <c r="DC1058" t="s">
        <v>114</v>
      </c>
      <c r="DD1058" t="s">
        <v>134</v>
      </c>
    </row>
    <row r="1059" spans="1:113" ht="15" customHeight="1" x14ac:dyDescent="0.25">
      <c r="A1059" t="s">
        <v>15932</v>
      </c>
      <c r="B1059" t="s">
        <v>165</v>
      </c>
      <c r="C1059" s="1">
        <v>44812.757451620368</v>
      </c>
      <c r="D1059" s="1">
        <v>44838</v>
      </c>
      <c r="E1059" t="s">
        <v>114</v>
      </c>
      <c r="F1059" t="s">
        <v>2470</v>
      </c>
      <c r="G1059" t="str">
        <f>"37-2012.00"</f>
        <v>37-2012.00</v>
      </c>
      <c r="H1059" t="s">
        <v>116</v>
      </c>
      <c r="I1059">
        <v>8</v>
      </c>
      <c r="J1059">
        <v>8</v>
      </c>
      <c r="K1059" s="1">
        <v>44896</v>
      </c>
      <c r="L1059" s="1">
        <v>45031</v>
      </c>
      <c r="M1059" s="1">
        <v>44896</v>
      </c>
      <c r="N1059" s="1">
        <v>45031</v>
      </c>
      <c r="O1059" t="s">
        <v>117</v>
      </c>
      <c r="P1059" t="s">
        <v>11438</v>
      </c>
      <c r="Q1059" t="s">
        <v>11439</v>
      </c>
      <c r="R1059" t="s">
        <v>840</v>
      </c>
      <c r="S1059" t="s">
        <v>841</v>
      </c>
      <c r="T1059" t="s">
        <v>842</v>
      </c>
      <c r="U1059" t="s">
        <v>232</v>
      </c>
      <c r="V1059" s="4" t="str">
        <f>"75038"</f>
        <v>75038</v>
      </c>
      <c r="W1059" t="s">
        <v>120</v>
      </c>
      <c r="Y1059" s="5">
        <v>18022536483</v>
      </c>
      <c r="AA1059">
        <v>721110</v>
      </c>
      <c r="AB1059" t="s">
        <v>1993</v>
      </c>
      <c r="AC1059" t="s">
        <v>11440</v>
      </c>
      <c r="AE1059" t="s">
        <v>11441</v>
      </c>
      <c r="AF1059" t="s">
        <v>11442</v>
      </c>
      <c r="AH1059" t="s">
        <v>4962</v>
      </c>
      <c r="AI1059" t="s">
        <v>1846</v>
      </c>
      <c r="AJ1059" s="4" t="str">
        <f>"05672"</f>
        <v>05672</v>
      </c>
      <c r="AK1059" t="s">
        <v>120</v>
      </c>
      <c r="AM1059" s="5">
        <v>18022536483</v>
      </c>
      <c r="AO1059" t="s">
        <v>11443</v>
      </c>
      <c r="AP1059" t="s">
        <v>122</v>
      </c>
      <c r="AQ1059" t="s">
        <v>753</v>
      </c>
      <c r="AR1059" t="s">
        <v>754</v>
      </c>
      <c r="AS1059" t="s">
        <v>755</v>
      </c>
      <c r="AT1059" t="s">
        <v>756</v>
      </c>
      <c r="AU1059" t="s">
        <v>757</v>
      </c>
      <c r="AV1059" t="s">
        <v>758</v>
      </c>
      <c r="AW1059" t="s">
        <v>281</v>
      </c>
      <c r="AX1059" s="4" t="str">
        <f>"01701"</f>
        <v>01701</v>
      </c>
      <c r="AY1059" t="s">
        <v>120</v>
      </c>
      <c r="BA1059" s="5">
        <v>16179399444</v>
      </c>
      <c r="BC1059" t="s">
        <v>759</v>
      </c>
      <c r="BD1059" t="s">
        <v>760</v>
      </c>
      <c r="BE1059" t="s">
        <v>281</v>
      </c>
      <c r="BF1059" t="s">
        <v>761</v>
      </c>
      <c r="BG1059" t="s">
        <v>1846</v>
      </c>
      <c r="BH1059" s="1">
        <v>44805.833333333336</v>
      </c>
      <c r="BI1059">
        <v>40</v>
      </c>
      <c r="BJ1059">
        <v>0</v>
      </c>
      <c r="BK1059">
        <v>8</v>
      </c>
      <c r="BL1059">
        <v>8</v>
      </c>
      <c r="BM1059">
        <v>8</v>
      </c>
      <c r="BN1059">
        <v>8</v>
      </c>
      <c r="BO1059">
        <v>8</v>
      </c>
      <c r="BP1059">
        <v>0</v>
      </c>
      <c r="BQ1059" t="str">
        <f>"8:00 AM"</f>
        <v>8:00 AM</v>
      </c>
      <c r="BR1059" t="str">
        <f>"4:00 PM"</f>
        <v>4:00 PM</v>
      </c>
      <c r="BS1059" t="s">
        <v>133</v>
      </c>
      <c r="BT1059">
        <v>0</v>
      </c>
      <c r="BU1059">
        <v>3</v>
      </c>
      <c r="BV1059" t="s">
        <v>134</v>
      </c>
      <c r="BX1059" s="2" t="s">
        <v>15933</v>
      </c>
      <c r="BY1059" t="s">
        <v>11442</v>
      </c>
      <c r="CA1059" t="s">
        <v>4962</v>
      </c>
      <c r="CB1059" t="s">
        <v>1846</v>
      </c>
      <c r="CC1059" s="4" t="str">
        <f>"05672"</f>
        <v>05672</v>
      </c>
      <c r="CD1059" t="s">
        <v>4966</v>
      </c>
      <c r="CE1059" t="s">
        <v>3569</v>
      </c>
      <c r="CF1059" s="6">
        <v>15.57</v>
      </c>
      <c r="CG1059" s="6">
        <v>20.94</v>
      </c>
      <c r="CH1059" s="6">
        <v>23.36</v>
      </c>
      <c r="CI1059" s="6">
        <v>31.41</v>
      </c>
      <c r="CJ1059" t="s">
        <v>137</v>
      </c>
      <c r="CK1059" t="s">
        <v>15934</v>
      </c>
      <c r="CL1059" t="s">
        <v>15935</v>
      </c>
      <c r="CO1059" t="s">
        <v>138</v>
      </c>
      <c r="CP1059" t="s">
        <v>134</v>
      </c>
      <c r="CQ1059" t="s">
        <v>114</v>
      </c>
      <c r="CR1059" t="s">
        <v>114</v>
      </c>
      <c r="CS1059" t="s">
        <v>114</v>
      </c>
      <c r="CT1059" t="s">
        <v>114</v>
      </c>
      <c r="CU1059" t="s">
        <v>114</v>
      </c>
      <c r="CV1059" s="2" t="s">
        <v>11447</v>
      </c>
      <c r="CW1059" s="5" t="str">
        <f>"+18022536483"</f>
        <v>+18022536483</v>
      </c>
      <c r="CX1059" t="s">
        <v>11443</v>
      </c>
      <c r="CY1059" t="s">
        <v>138</v>
      </c>
      <c r="CZ1059" t="s">
        <v>139</v>
      </c>
      <c r="DA1059" t="s">
        <v>134</v>
      </c>
      <c r="DB1059" t="s">
        <v>134</v>
      </c>
      <c r="DC1059" t="s">
        <v>114</v>
      </c>
      <c r="DD1059" t="s">
        <v>134</v>
      </c>
    </row>
    <row r="1060" spans="1:113" ht="15" customHeight="1" x14ac:dyDescent="0.25">
      <c r="A1060" t="s">
        <v>11437</v>
      </c>
      <c r="B1060" t="s">
        <v>165</v>
      </c>
      <c r="C1060" s="1">
        <v>44812.694670023149</v>
      </c>
      <c r="D1060" s="1">
        <v>44838</v>
      </c>
      <c r="E1060" t="s">
        <v>114</v>
      </c>
      <c r="F1060" t="s">
        <v>8090</v>
      </c>
      <c r="G1060" t="str">
        <f>"43-4081.00"</f>
        <v>43-4081.00</v>
      </c>
      <c r="H1060" t="s">
        <v>2463</v>
      </c>
      <c r="I1060">
        <v>2</v>
      </c>
      <c r="J1060">
        <v>2</v>
      </c>
      <c r="K1060" s="1">
        <v>44896</v>
      </c>
      <c r="L1060" s="1">
        <v>45031</v>
      </c>
      <c r="M1060" s="1">
        <v>44896</v>
      </c>
      <c r="N1060" s="1">
        <v>45031</v>
      </c>
      <c r="O1060" t="s">
        <v>117</v>
      </c>
      <c r="P1060" t="s">
        <v>11438</v>
      </c>
      <c r="Q1060" t="s">
        <v>11439</v>
      </c>
      <c r="R1060" t="s">
        <v>840</v>
      </c>
      <c r="S1060" t="s">
        <v>841</v>
      </c>
      <c r="T1060" t="s">
        <v>842</v>
      </c>
      <c r="U1060" t="s">
        <v>232</v>
      </c>
      <c r="V1060" s="4" t="str">
        <f>"75038"</f>
        <v>75038</v>
      </c>
      <c r="W1060" t="s">
        <v>120</v>
      </c>
      <c r="Y1060" s="5">
        <v>18022536483</v>
      </c>
      <c r="AA1060">
        <v>721110</v>
      </c>
      <c r="AB1060" t="s">
        <v>2472</v>
      </c>
      <c r="AC1060" t="s">
        <v>11440</v>
      </c>
      <c r="AE1060" t="s">
        <v>11441</v>
      </c>
      <c r="AF1060" t="s">
        <v>11442</v>
      </c>
      <c r="AH1060" t="s">
        <v>4962</v>
      </c>
      <c r="AI1060" t="s">
        <v>1846</v>
      </c>
      <c r="AJ1060" s="4" t="str">
        <f>"05672"</f>
        <v>05672</v>
      </c>
      <c r="AK1060" t="s">
        <v>120</v>
      </c>
      <c r="AM1060" s="5">
        <v>18022536483</v>
      </c>
      <c r="AO1060" t="s">
        <v>11443</v>
      </c>
      <c r="AP1060" t="s">
        <v>122</v>
      </c>
      <c r="AQ1060" t="s">
        <v>753</v>
      </c>
      <c r="AR1060" t="s">
        <v>754</v>
      </c>
      <c r="AS1060" t="s">
        <v>755</v>
      </c>
      <c r="AT1060" t="s">
        <v>756</v>
      </c>
      <c r="AU1060" t="s">
        <v>757</v>
      </c>
      <c r="AV1060" t="s">
        <v>758</v>
      </c>
      <c r="AW1060" t="s">
        <v>281</v>
      </c>
      <c r="AX1060" s="4" t="str">
        <f>"01701"</f>
        <v>01701</v>
      </c>
      <c r="AY1060" t="s">
        <v>120</v>
      </c>
      <c r="BA1060" s="5">
        <v>16179399444</v>
      </c>
      <c r="BC1060" t="s">
        <v>759</v>
      </c>
      <c r="BD1060" t="s">
        <v>760</v>
      </c>
      <c r="BE1060" t="s">
        <v>281</v>
      </c>
      <c r="BF1060" t="s">
        <v>761</v>
      </c>
      <c r="BG1060" t="s">
        <v>1846</v>
      </c>
      <c r="BH1060" s="1">
        <v>44811.833333333336</v>
      </c>
      <c r="BI1060">
        <v>40</v>
      </c>
      <c r="BJ1060">
        <v>0</v>
      </c>
      <c r="BK1060">
        <v>8</v>
      </c>
      <c r="BL1060">
        <v>8</v>
      </c>
      <c r="BM1060">
        <v>8</v>
      </c>
      <c r="BN1060">
        <v>8</v>
      </c>
      <c r="BO1060">
        <v>8</v>
      </c>
      <c r="BP1060">
        <v>0</v>
      </c>
      <c r="BQ1060" t="str">
        <f>"7:00 AM"</f>
        <v>7:00 AM</v>
      </c>
      <c r="BR1060" t="str">
        <f>"3:00 PM"</f>
        <v>3:00 PM</v>
      </c>
      <c r="BS1060" t="s">
        <v>133</v>
      </c>
      <c r="BT1060">
        <v>0</v>
      </c>
      <c r="BU1060">
        <v>3</v>
      </c>
      <c r="BV1060" t="s">
        <v>134</v>
      </c>
      <c r="BX1060" s="2" t="s">
        <v>11444</v>
      </c>
      <c r="BY1060" t="s">
        <v>11442</v>
      </c>
      <c r="CA1060" t="s">
        <v>4962</v>
      </c>
      <c r="CB1060" t="s">
        <v>1846</v>
      </c>
      <c r="CC1060" s="4" t="str">
        <f>"05672"</f>
        <v>05672</v>
      </c>
      <c r="CD1060" t="s">
        <v>4966</v>
      </c>
      <c r="CE1060" t="s">
        <v>3569</v>
      </c>
      <c r="CF1060" s="6">
        <v>17</v>
      </c>
      <c r="CG1060" s="6">
        <v>22.05</v>
      </c>
      <c r="CH1060" s="6">
        <v>25.5</v>
      </c>
      <c r="CI1060" s="6">
        <v>33.08</v>
      </c>
      <c r="CJ1060" t="s">
        <v>137</v>
      </c>
      <c r="CK1060" t="s">
        <v>11445</v>
      </c>
      <c r="CL1060" t="s">
        <v>11446</v>
      </c>
      <c r="CO1060" t="s">
        <v>138</v>
      </c>
      <c r="CP1060" t="s">
        <v>134</v>
      </c>
      <c r="CQ1060" t="s">
        <v>114</v>
      </c>
      <c r="CR1060" t="s">
        <v>114</v>
      </c>
      <c r="CS1060" t="s">
        <v>114</v>
      </c>
      <c r="CT1060" t="s">
        <v>114</v>
      </c>
      <c r="CU1060" t="s">
        <v>114</v>
      </c>
      <c r="CV1060" s="2" t="s">
        <v>11447</v>
      </c>
      <c r="CW1060" s="5" t="str">
        <f>"+18022536483"</f>
        <v>+18022536483</v>
      </c>
      <c r="CX1060" t="s">
        <v>11443</v>
      </c>
      <c r="CY1060" t="s">
        <v>138</v>
      </c>
      <c r="CZ1060" t="s">
        <v>139</v>
      </c>
      <c r="DA1060" t="s">
        <v>134</v>
      </c>
      <c r="DB1060" t="s">
        <v>134</v>
      </c>
      <c r="DC1060" t="s">
        <v>114</v>
      </c>
      <c r="DD1060" t="s">
        <v>134</v>
      </c>
    </row>
    <row r="1061" spans="1:113" ht="15" customHeight="1" x14ac:dyDescent="0.25">
      <c r="A1061" t="s">
        <v>15408</v>
      </c>
      <c r="B1061" t="s">
        <v>165</v>
      </c>
      <c r="C1061" s="1">
        <v>44812.692994675926</v>
      </c>
      <c r="D1061" s="1">
        <v>44838</v>
      </c>
      <c r="E1061" t="s">
        <v>114</v>
      </c>
      <c r="F1061" t="s">
        <v>1331</v>
      </c>
      <c r="G1061" t="str">
        <f>"35-2014.00"</f>
        <v>35-2014.00</v>
      </c>
      <c r="H1061" t="s">
        <v>915</v>
      </c>
      <c r="I1061">
        <v>3</v>
      </c>
      <c r="J1061">
        <v>3</v>
      </c>
      <c r="K1061" s="1">
        <v>44896</v>
      </c>
      <c r="L1061" s="1">
        <v>45031</v>
      </c>
      <c r="M1061" s="1">
        <v>44896</v>
      </c>
      <c r="N1061" s="1">
        <v>45031</v>
      </c>
      <c r="O1061" t="s">
        <v>117</v>
      </c>
      <c r="P1061" t="s">
        <v>11438</v>
      </c>
      <c r="Q1061" t="s">
        <v>15409</v>
      </c>
      <c r="R1061" t="s">
        <v>840</v>
      </c>
      <c r="S1061" t="s">
        <v>841</v>
      </c>
      <c r="T1061" t="s">
        <v>15410</v>
      </c>
      <c r="U1061" t="s">
        <v>232</v>
      </c>
      <c r="V1061" s="4" t="str">
        <f>"75038"</f>
        <v>75038</v>
      </c>
      <c r="W1061" t="s">
        <v>120</v>
      </c>
      <c r="Y1061" s="5">
        <v>18022536483</v>
      </c>
      <c r="AA1061">
        <v>721110</v>
      </c>
      <c r="AB1061" t="s">
        <v>1993</v>
      </c>
      <c r="AC1061" t="s">
        <v>11440</v>
      </c>
      <c r="AE1061" t="s">
        <v>11441</v>
      </c>
      <c r="AF1061" t="s">
        <v>11442</v>
      </c>
      <c r="AH1061" t="s">
        <v>4962</v>
      </c>
      <c r="AI1061" t="s">
        <v>1846</v>
      </c>
      <c r="AJ1061" s="4" t="str">
        <f>"05672"</f>
        <v>05672</v>
      </c>
      <c r="AK1061" t="s">
        <v>120</v>
      </c>
      <c r="AM1061" s="5">
        <v>18022536483</v>
      </c>
      <c r="AO1061" t="s">
        <v>11443</v>
      </c>
      <c r="AP1061" t="s">
        <v>122</v>
      </c>
      <c r="AQ1061" t="s">
        <v>753</v>
      </c>
      <c r="AR1061" t="s">
        <v>754</v>
      </c>
      <c r="AS1061" t="s">
        <v>755</v>
      </c>
      <c r="AT1061" t="s">
        <v>756</v>
      </c>
      <c r="AU1061" t="s">
        <v>757</v>
      </c>
      <c r="AV1061" t="s">
        <v>758</v>
      </c>
      <c r="AW1061" t="s">
        <v>281</v>
      </c>
      <c r="AX1061" s="4" t="str">
        <f>"01701"</f>
        <v>01701</v>
      </c>
      <c r="AY1061" t="s">
        <v>120</v>
      </c>
      <c r="BA1061" s="5">
        <v>16179399444</v>
      </c>
      <c r="BC1061" t="s">
        <v>759</v>
      </c>
      <c r="BD1061" t="s">
        <v>760</v>
      </c>
      <c r="BE1061" t="s">
        <v>281</v>
      </c>
      <c r="BF1061" t="s">
        <v>761</v>
      </c>
      <c r="BG1061" t="s">
        <v>1846</v>
      </c>
      <c r="BH1061" s="1">
        <v>44811.833333333336</v>
      </c>
      <c r="BI1061">
        <v>40</v>
      </c>
      <c r="BJ1061">
        <v>0</v>
      </c>
      <c r="BK1061">
        <v>8</v>
      </c>
      <c r="BL1061">
        <v>8</v>
      </c>
      <c r="BM1061">
        <v>8</v>
      </c>
      <c r="BN1061">
        <v>8</v>
      </c>
      <c r="BO1061">
        <v>8</v>
      </c>
      <c r="BP1061">
        <v>0</v>
      </c>
      <c r="BQ1061" t="str">
        <f>"6:00 AM"</f>
        <v>6:00 AM</v>
      </c>
      <c r="BR1061" t="str">
        <f>"2:00 PM"</f>
        <v>2:00 PM</v>
      </c>
      <c r="BS1061" t="s">
        <v>133</v>
      </c>
      <c r="BT1061">
        <v>0</v>
      </c>
      <c r="BU1061">
        <v>6</v>
      </c>
      <c r="BV1061" t="s">
        <v>134</v>
      </c>
      <c r="BX1061" s="2" t="s">
        <v>15411</v>
      </c>
      <c r="BY1061" t="s">
        <v>11442</v>
      </c>
      <c r="BZ1061" t="s">
        <v>1479</v>
      </c>
      <c r="CA1061" t="s">
        <v>4962</v>
      </c>
      <c r="CB1061" t="s">
        <v>1846</v>
      </c>
      <c r="CC1061" s="4" t="str">
        <f>"05672"</f>
        <v>05672</v>
      </c>
      <c r="CD1061" t="s">
        <v>4966</v>
      </c>
      <c r="CE1061" t="s">
        <v>3569</v>
      </c>
      <c r="CF1061" s="6">
        <v>18.170000000000002</v>
      </c>
      <c r="CG1061" s="6">
        <v>23</v>
      </c>
      <c r="CH1061" s="6">
        <v>27.26</v>
      </c>
      <c r="CI1061" s="6">
        <v>34.5</v>
      </c>
      <c r="CJ1061" t="s">
        <v>137</v>
      </c>
      <c r="CK1061" t="s">
        <v>15412</v>
      </c>
      <c r="CL1061" t="s">
        <v>15413</v>
      </c>
      <c r="CO1061" t="s">
        <v>138</v>
      </c>
      <c r="CP1061" t="s">
        <v>134</v>
      </c>
      <c r="CQ1061" t="s">
        <v>114</v>
      </c>
      <c r="CR1061" t="s">
        <v>114</v>
      </c>
      <c r="CS1061" t="s">
        <v>114</v>
      </c>
      <c r="CT1061" t="s">
        <v>114</v>
      </c>
      <c r="CU1061" t="s">
        <v>114</v>
      </c>
      <c r="CV1061" s="2" t="s">
        <v>15414</v>
      </c>
      <c r="CW1061" s="5" t="str">
        <f>"+18022536483"</f>
        <v>+18022536483</v>
      </c>
      <c r="CX1061" t="s">
        <v>11443</v>
      </c>
      <c r="CY1061" t="s">
        <v>138</v>
      </c>
      <c r="CZ1061" t="s">
        <v>139</v>
      </c>
      <c r="DA1061" t="s">
        <v>134</v>
      </c>
      <c r="DB1061" t="s">
        <v>134</v>
      </c>
      <c r="DC1061" t="s">
        <v>114</v>
      </c>
      <c r="DD1061" t="s">
        <v>134</v>
      </c>
    </row>
    <row r="1062" spans="1:113" ht="15" customHeight="1" x14ac:dyDescent="0.25">
      <c r="A1062" t="s">
        <v>9460</v>
      </c>
      <c r="B1062" t="s">
        <v>165</v>
      </c>
      <c r="C1062" s="1">
        <v>44812.656356828702</v>
      </c>
      <c r="D1062" s="1">
        <v>44838</v>
      </c>
      <c r="E1062" t="s">
        <v>114</v>
      </c>
      <c r="F1062" t="s">
        <v>9461</v>
      </c>
      <c r="G1062" t="str">
        <f>"37-3011.00"</f>
        <v>37-3011.00</v>
      </c>
      <c r="H1062" t="s">
        <v>335</v>
      </c>
      <c r="I1062">
        <v>6</v>
      </c>
      <c r="J1062">
        <v>6</v>
      </c>
      <c r="K1062" s="1">
        <v>44896</v>
      </c>
      <c r="L1062" s="1">
        <v>45199</v>
      </c>
      <c r="M1062" s="1">
        <v>44896</v>
      </c>
      <c r="N1062" s="1">
        <v>45199</v>
      </c>
      <c r="O1062" t="s">
        <v>117</v>
      </c>
      <c r="P1062" t="s">
        <v>9462</v>
      </c>
      <c r="Q1062" t="s">
        <v>138</v>
      </c>
      <c r="R1062" t="s">
        <v>9463</v>
      </c>
      <c r="S1062" t="s">
        <v>138</v>
      </c>
      <c r="T1062" t="s">
        <v>648</v>
      </c>
      <c r="U1062" t="s">
        <v>154</v>
      </c>
      <c r="V1062" s="4" t="str">
        <f>"34110"</f>
        <v>34110</v>
      </c>
      <c r="W1062" t="s">
        <v>120</v>
      </c>
      <c r="X1062" t="s">
        <v>138</v>
      </c>
      <c r="Y1062" s="5">
        <v>12392543000</v>
      </c>
      <c r="AA1062">
        <v>713910</v>
      </c>
      <c r="AB1062" t="s">
        <v>9464</v>
      </c>
      <c r="AC1062" t="s">
        <v>5784</v>
      </c>
      <c r="AE1062" t="s">
        <v>9465</v>
      </c>
      <c r="AF1062" t="s">
        <v>9463</v>
      </c>
      <c r="AG1062" t="s">
        <v>138</v>
      </c>
      <c r="AH1062" t="s">
        <v>648</v>
      </c>
      <c r="AI1062" t="s">
        <v>154</v>
      </c>
      <c r="AJ1062" s="4" t="str">
        <f>"34110"</f>
        <v>34110</v>
      </c>
      <c r="AK1062" t="s">
        <v>120</v>
      </c>
      <c r="AM1062" s="5">
        <v>12392543000</v>
      </c>
      <c r="AO1062" t="s">
        <v>9466</v>
      </c>
      <c r="AP1062" t="s">
        <v>122</v>
      </c>
      <c r="AQ1062" t="s">
        <v>753</v>
      </c>
      <c r="AR1062" t="s">
        <v>754</v>
      </c>
      <c r="AS1062" t="s">
        <v>755</v>
      </c>
      <c r="AT1062" t="s">
        <v>756</v>
      </c>
      <c r="AU1062" t="s">
        <v>757</v>
      </c>
      <c r="AV1062" t="s">
        <v>758</v>
      </c>
      <c r="AW1062" t="s">
        <v>281</v>
      </c>
      <c r="AX1062" s="4" t="str">
        <f>"01701"</f>
        <v>01701</v>
      </c>
      <c r="AY1062" t="s">
        <v>120</v>
      </c>
      <c r="BA1062" s="5">
        <v>16179399444</v>
      </c>
      <c r="BC1062" t="s">
        <v>759</v>
      </c>
      <c r="BD1062" t="s">
        <v>760</v>
      </c>
      <c r="BE1062" t="s">
        <v>281</v>
      </c>
      <c r="BF1062" t="s">
        <v>761</v>
      </c>
      <c r="BG1062" t="s">
        <v>154</v>
      </c>
      <c r="BH1062" s="1">
        <v>44811.833333333336</v>
      </c>
      <c r="BI1062">
        <v>35</v>
      </c>
      <c r="BJ1062">
        <v>0</v>
      </c>
      <c r="BK1062">
        <v>7</v>
      </c>
      <c r="BL1062">
        <v>7</v>
      </c>
      <c r="BM1062">
        <v>7</v>
      </c>
      <c r="BN1062">
        <v>7</v>
      </c>
      <c r="BO1062">
        <v>7</v>
      </c>
      <c r="BP1062">
        <v>0</v>
      </c>
      <c r="BQ1062" t="str">
        <f>"5:00 AM"</f>
        <v>5:00 AM</v>
      </c>
      <c r="BR1062" t="str">
        <f>"12:00 PM"</f>
        <v>12:00 PM</v>
      </c>
      <c r="BS1062" t="s">
        <v>133</v>
      </c>
      <c r="BT1062">
        <v>0</v>
      </c>
      <c r="BU1062">
        <v>3</v>
      </c>
      <c r="BV1062" t="s">
        <v>134</v>
      </c>
      <c r="BX1062" s="2" t="s">
        <v>9467</v>
      </c>
      <c r="BY1062" t="s">
        <v>9463</v>
      </c>
      <c r="BZ1062" t="s">
        <v>138</v>
      </c>
      <c r="CA1062" t="s">
        <v>648</v>
      </c>
      <c r="CB1062" t="s">
        <v>154</v>
      </c>
      <c r="CC1062" s="4" t="str">
        <f>"34110"</f>
        <v>34110</v>
      </c>
      <c r="CD1062" t="s">
        <v>1432</v>
      </c>
      <c r="CE1062" t="s">
        <v>1433</v>
      </c>
      <c r="CF1062" s="6">
        <v>17.47</v>
      </c>
      <c r="CG1062" s="6">
        <v>18.25</v>
      </c>
      <c r="CH1062" s="6">
        <v>26.21</v>
      </c>
      <c r="CI1062" s="6">
        <v>27.38</v>
      </c>
      <c r="CJ1062" t="s">
        <v>137</v>
      </c>
      <c r="CK1062" t="s">
        <v>9468</v>
      </c>
      <c r="CL1062" t="s">
        <v>9469</v>
      </c>
      <c r="CO1062" t="s">
        <v>138</v>
      </c>
      <c r="CP1062" t="s">
        <v>134</v>
      </c>
      <c r="CQ1062" t="s">
        <v>134</v>
      </c>
      <c r="CR1062" t="s">
        <v>114</v>
      </c>
      <c r="CS1062" t="s">
        <v>114</v>
      </c>
      <c r="CT1062" t="s">
        <v>114</v>
      </c>
      <c r="CU1062" t="s">
        <v>114</v>
      </c>
      <c r="CV1062" t="s">
        <v>9470</v>
      </c>
      <c r="CW1062" s="5" t="str">
        <f>"+12392543002"</f>
        <v>+12392543002</v>
      </c>
      <c r="CX1062" t="s">
        <v>9471</v>
      </c>
      <c r="CY1062" t="s">
        <v>138</v>
      </c>
      <c r="CZ1062" t="s">
        <v>139</v>
      </c>
      <c r="DA1062" t="s">
        <v>134</v>
      </c>
      <c r="DB1062" t="s">
        <v>134</v>
      </c>
      <c r="DC1062" t="s">
        <v>114</v>
      </c>
      <c r="DD1062" t="s">
        <v>134</v>
      </c>
    </row>
    <row r="1063" spans="1:113" ht="15" customHeight="1" x14ac:dyDescent="0.25">
      <c r="A1063" t="s">
        <v>15845</v>
      </c>
      <c r="B1063" t="s">
        <v>165</v>
      </c>
      <c r="C1063" s="1">
        <v>44812.500314583333</v>
      </c>
      <c r="D1063" s="1">
        <v>44838</v>
      </c>
      <c r="E1063" t="s">
        <v>114</v>
      </c>
      <c r="F1063" t="s">
        <v>2182</v>
      </c>
      <c r="G1063" t="str">
        <f>"39-2021.00"</f>
        <v>39-2021.00</v>
      </c>
      <c r="H1063" t="s">
        <v>615</v>
      </c>
      <c r="I1063">
        <v>10</v>
      </c>
      <c r="J1063">
        <v>10</v>
      </c>
      <c r="K1063" s="1">
        <v>44895</v>
      </c>
      <c r="L1063" s="1">
        <v>45017</v>
      </c>
      <c r="M1063" s="1">
        <v>44895</v>
      </c>
      <c r="N1063" s="1">
        <v>45017</v>
      </c>
      <c r="O1063" t="s">
        <v>199</v>
      </c>
      <c r="P1063" t="s">
        <v>15846</v>
      </c>
      <c r="R1063" t="s">
        <v>2183</v>
      </c>
      <c r="T1063" t="s">
        <v>2184</v>
      </c>
      <c r="U1063" t="s">
        <v>848</v>
      </c>
      <c r="V1063" s="4" t="str">
        <f>"12020"</f>
        <v>12020</v>
      </c>
      <c r="W1063" t="s">
        <v>120</v>
      </c>
      <c r="Y1063" s="5">
        <v>15164282608</v>
      </c>
      <c r="AA1063">
        <v>711219</v>
      </c>
      <c r="AB1063" t="s">
        <v>2185</v>
      </c>
      <c r="AC1063" t="s">
        <v>626</v>
      </c>
      <c r="AD1063" t="s">
        <v>8761</v>
      </c>
      <c r="AE1063" t="s">
        <v>342</v>
      </c>
      <c r="AF1063" t="s">
        <v>2183</v>
      </c>
      <c r="AH1063" t="s">
        <v>2184</v>
      </c>
      <c r="AI1063" t="s">
        <v>848</v>
      </c>
      <c r="AJ1063" s="4" t="str">
        <f>"12020"</f>
        <v>12020</v>
      </c>
      <c r="AK1063" t="s">
        <v>120</v>
      </c>
      <c r="AM1063" s="5">
        <v>15164282608</v>
      </c>
      <c r="AO1063" t="s">
        <v>2186</v>
      </c>
      <c r="AP1063" t="s">
        <v>122</v>
      </c>
      <c r="AQ1063" t="s">
        <v>2187</v>
      </c>
      <c r="AR1063" t="s">
        <v>1951</v>
      </c>
      <c r="AT1063" t="s">
        <v>2188</v>
      </c>
      <c r="AU1063" t="s">
        <v>2189</v>
      </c>
      <c r="AV1063" t="s">
        <v>2012</v>
      </c>
      <c r="AW1063" t="s">
        <v>848</v>
      </c>
      <c r="AX1063" s="4" t="str">
        <f>"10165"</f>
        <v>10165</v>
      </c>
      <c r="AY1063" t="s">
        <v>120</v>
      </c>
      <c r="BA1063" s="5">
        <v>12127604400</v>
      </c>
      <c r="BC1063" t="s">
        <v>2190</v>
      </c>
      <c r="BD1063" t="s">
        <v>2191</v>
      </c>
      <c r="BE1063" t="s">
        <v>848</v>
      </c>
      <c r="BF1063" t="s">
        <v>2192</v>
      </c>
      <c r="BG1063" t="s">
        <v>154</v>
      </c>
      <c r="BH1063" s="1">
        <v>44805.833333333336</v>
      </c>
      <c r="BI1063">
        <v>40</v>
      </c>
      <c r="BJ1063">
        <v>8</v>
      </c>
      <c r="BK1063">
        <v>0</v>
      </c>
      <c r="BL1063">
        <v>0</v>
      </c>
      <c r="BM1063">
        <v>8</v>
      </c>
      <c r="BN1063">
        <v>8</v>
      </c>
      <c r="BO1063">
        <v>8</v>
      </c>
      <c r="BP1063">
        <v>8</v>
      </c>
      <c r="BQ1063" t="str">
        <f>"5:00 AM"</f>
        <v>5:00 AM</v>
      </c>
      <c r="BR1063" t="str">
        <f>"11:00 AM"</f>
        <v>11:00 AM</v>
      </c>
      <c r="BS1063" t="s">
        <v>133</v>
      </c>
      <c r="BT1063">
        <v>0</v>
      </c>
      <c r="BU1063">
        <v>1</v>
      </c>
      <c r="BV1063" t="s">
        <v>134</v>
      </c>
      <c r="BX1063" t="s">
        <v>7739</v>
      </c>
      <c r="BY1063" t="s">
        <v>15847</v>
      </c>
      <c r="BZ1063" t="s">
        <v>15848</v>
      </c>
      <c r="CA1063" t="s">
        <v>15849</v>
      </c>
      <c r="CB1063" t="s">
        <v>154</v>
      </c>
      <c r="CC1063" s="4" t="str">
        <f>"33009"</f>
        <v>33009</v>
      </c>
      <c r="CD1063" t="s">
        <v>2313</v>
      </c>
      <c r="CE1063" t="s">
        <v>1742</v>
      </c>
      <c r="CF1063" s="6">
        <v>14.11</v>
      </c>
      <c r="CG1063" s="6">
        <v>14.11</v>
      </c>
      <c r="CH1063" s="6">
        <v>21.17</v>
      </c>
      <c r="CI1063" s="6">
        <v>21.17</v>
      </c>
      <c r="CJ1063" t="s">
        <v>137</v>
      </c>
      <c r="CL1063" t="s">
        <v>15850</v>
      </c>
      <c r="CO1063" t="s">
        <v>138</v>
      </c>
      <c r="CP1063" t="s">
        <v>134</v>
      </c>
      <c r="CQ1063" t="s">
        <v>134</v>
      </c>
      <c r="CR1063" t="s">
        <v>114</v>
      </c>
      <c r="CS1063" t="s">
        <v>134</v>
      </c>
      <c r="CT1063" t="s">
        <v>114</v>
      </c>
      <c r="CU1063" t="s">
        <v>114</v>
      </c>
      <c r="CV1063" t="s">
        <v>2195</v>
      </c>
      <c r="CW1063" s="5" t="str">
        <f>"+15164282608"</f>
        <v>+15164282608</v>
      </c>
      <c r="CX1063" t="s">
        <v>2186</v>
      </c>
      <c r="CY1063" t="s">
        <v>138</v>
      </c>
      <c r="CZ1063" t="s">
        <v>139</v>
      </c>
      <c r="DA1063" t="s">
        <v>134</v>
      </c>
      <c r="DB1063" t="s">
        <v>134</v>
      </c>
      <c r="DC1063" t="s">
        <v>114</v>
      </c>
      <c r="DD1063" t="s">
        <v>134</v>
      </c>
    </row>
    <row r="1064" spans="1:113" ht="15" customHeight="1" x14ac:dyDescent="0.25">
      <c r="A1064" t="s">
        <v>12978</v>
      </c>
      <c r="B1064" t="s">
        <v>165</v>
      </c>
      <c r="C1064" s="1">
        <v>44811.725284837965</v>
      </c>
      <c r="D1064" s="1">
        <v>44838</v>
      </c>
      <c r="E1064" t="s">
        <v>114</v>
      </c>
      <c r="F1064" t="s">
        <v>1331</v>
      </c>
      <c r="G1064" t="str">
        <f>"35-2014.00"</f>
        <v>35-2014.00</v>
      </c>
      <c r="H1064" t="s">
        <v>915</v>
      </c>
      <c r="I1064">
        <v>2</v>
      </c>
      <c r="J1064">
        <v>2</v>
      </c>
      <c r="K1064" s="1">
        <v>44886</v>
      </c>
      <c r="L1064" s="1">
        <v>45016</v>
      </c>
      <c r="M1064" s="1">
        <v>44886</v>
      </c>
      <c r="N1064" s="1">
        <v>45016</v>
      </c>
      <c r="O1064" t="s">
        <v>117</v>
      </c>
      <c r="P1064" t="s">
        <v>1187</v>
      </c>
      <c r="Q1064" t="s">
        <v>1188</v>
      </c>
      <c r="R1064" t="s">
        <v>1189</v>
      </c>
      <c r="S1064" t="s">
        <v>138</v>
      </c>
      <c r="T1064" t="s">
        <v>1190</v>
      </c>
      <c r="U1064" t="s">
        <v>1191</v>
      </c>
      <c r="V1064" s="4" t="str">
        <f>"03251"</f>
        <v>03251</v>
      </c>
      <c r="W1064" t="s">
        <v>120</v>
      </c>
      <c r="X1064" t="s">
        <v>138</v>
      </c>
      <c r="Y1064" s="5">
        <v>16037452244</v>
      </c>
      <c r="AA1064">
        <v>721110</v>
      </c>
      <c r="AB1064" t="s">
        <v>1192</v>
      </c>
      <c r="AC1064" t="s">
        <v>1193</v>
      </c>
      <c r="AE1064" t="s">
        <v>1194</v>
      </c>
      <c r="AF1064" t="s">
        <v>1189</v>
      </c>
      <c r="AG1064" t="s">
        <v>138</v>
      </c>
      <c r="AH1064" t="s">
        <v>1190</v>
      </c>
      <c r="AI1064" t="s">
        <v>1191</v>
      </c>
      <c r="AJ1064" s="4" t="str">
        <f>"03251"</f>
        <v>03251</v>
      </c>
      <c r="AK1064" t="s">
        <v>120</v>
      </c>
      <c r="AM1064" s="5">
        <v>16037452244</v>
      </c>
      <c r="AO1064" t="s">
        <v>1195</v>
      </c>
      <c r="AP1064" t="s">
        <v>122</v>
      </c>
      <c r="AQ1064" t="s">
        <v>753</v>
      </c>
      <c r="AR1064" t="s">
        <v>754</v>
      </c>
      <c r="AS1064" t="s">
        <v>755</v>
      </c>
      <c r="AT1064" t="s">
        <v>756</v>
      </c>
      <c r="AU1064" t="s">
        <v>757</v>
      </c>
      <c r="AV1064" t="s">
        <v>758</v>
      </c>
      <c r="AW1064" t="s">
        <v>281</v>
      </c>
      <c r="AX1064" s="4" t="str">
        <f>"01701"</f>
        <v>01701</v>
      </c>
      <c r="AY1064" t="s">
        <v>120</v>
      </c>
      <c r="BA1064" s="5">
        <v>16179399444</v>
      </c>
      <c r="BC1064" t="s">
        <v>759</v>
      </c>
      <c r="BD1064" t="s">
        <v>760</v>
      </c>
      <c r="BE1064" t="s">
        <v>281</v>
      </c>
      <c r="BF1064" t="s">
        <v>761</v>
      </c>
      <c r="BG1064" t="s">
        <v>1191</v>
      </c>
      <c r="BH1064" s="1">
        <v>44810.833333333336</v>
      </c>
      <c r="BI1064">
        <v>35</v>
      </c>
      <c r="BJ1064">
        <v>0</v>
      </c>
      <c r="BK1064">
        <v>7</v>
      </c>
      <c r="BL1064">
        <v>7</v>
      </c>
      <c r="BM1064">
        <v>7</v>
      </c>
      <c r="BN1064">
        <v>7</v>
      </c>
      <c r="BO1064">
        <v>7</v>
      </c>
      <c r="BP1064">
        <v>0</v>
      </c>
      <c r="BQ1064" t="str">
        <f>"6:00 AM"</f>
        <v>6:00 AM</v>
      </c>
      <c r="BR1064" t="str">
        <f>"1:00 PM"</f>
        <v>1:00 PM</v>
      </c>
      <c r="BS1064" t="s">
        <v>133</v>
      </c>
      <c r="BT1064">
        <v>0</v>
      </c>
      <c r="BU1064">
        <v>12</v>
      </c>
      <c r="BV1064" t="s">
        <v>134</v>
      </c>
      <c r="BX1064" s="2" t="s">
        <v>12979</v>
      </c>
      <c r="BY1064" t="s">
        <v>1189</v>
      </c>
      <c r="BZ1064" t="s">
        <v>138</v>
      </c>
      <c r="CA1064" t="s">
        <v>1190</v>
      </c>
      <c r="CB1064" t="s">
        <v>1191</v>
      </c>
      <c r="CC1064" s="4" t="str">
        <f>"03251"</f>
        <v>03251</v>
      </c>
      <c r="CD1064" t="s">
        <v>1197</v>
      </c>
      <c r="CE1064" t="s">
        <v>1198</v>
      </c>
      <c r="CF1064" s="6">
        <v>16.5</v>
      </c>
      <c r="CG1064" s="6">
        <v>25</v>
      </c>
      <c r="CH1064" s="6">
        <v>24.75</v>
      </c>
      <c r="CI1064" s="6">
        <v>37.5</v>
      </c>
      <c r="CJ1064" t="s">
        <v>137</v>
      </c>
      <c r="CK1064" t="s">
        <v>12980</v>
      </c>
      <c r="CL1064" t="s">
        <v>12981</v>
      </c>
      <c r="CO1064" t="s">
        <v>138</v>
      </c>
      <c r="CP1064" t="s">
        <v>134</v>
      </c>
      <c r="CQ1064" t="s">
        <v>114</v>
      </c>
      <c r="CR1064" t="s">
        <v>114</v>
      </c>
      <c r="CS1064" t="s">
        <v>114</v>
      </c>
      <c r="CT1064" t="s">
        <v>114</v>
      </c>
      <c r="CU1064" t="s">
        <v>114</v>
      </c>
      <c r="CV1064" t="s">
        <v>1201</v>
      </c>
      <c r="CW1064" s="5" t="str">
        <f>"+16037452244"</f>
        <v>+16037452244</v>
      </c>
      <c r="CX1064" t="s">
        <v>1202</v>
      </c>
      <c r="CY1064" t="s">
        <v>138</v>
      </c>
      <c r="CZ1064" t="s">
        <v>139</v>
      </c>
      <c r="DA1064" t="s">
        <v>134</v>
      </c>
      <c r="DB1064" t="s">
        <v>134</v>
      </c>
      <c r="DC1064" t="s">
        <v>114</v>
      </c>
      <c r="DD1064" t="s">
        <v>134</v>
      </c>
    </row>
    <row r="1065" spans="1:113" ht="15" customHeight="1" x14ac:dyDescent="0.25">
      <c r="A1065" t="s">
        <v>13212</v>
      </c>
      <c r="B1065" t="s">
        <v>165</v>
      </c>
      <c r="C1065" s="1">
        <v>44811.719576504627</v>
      </c>
      <c r="D1065" s="1">
        <v>44838</v>
      </c>
      <c r="E1065" t="s">
        <v>114</v>
      </c>
      <c r="F1065" t="s">
        <v>13213</v>
      </c>
      <c r="G1065" t="str">
        <f>"35-3031.00"</f>
        <v>35-3031.00</v>
      </c>
      <c r="H1065" t="s">
        <v>389</v>
      </c>
      <c r="I1065">
        <v>3</v>
      </c>
      <c r="J1065">
        <v>3</v>
      </c>
      <c r="K1065" s="1">
        <v>44886</v>
      </c>
      <c r="L1065" s="1">
        <v>45016</v>
      </c>
      <c r="M1065" s="1">
        <v>44886</v>
      </c>
      <c r="N1065" s="1">
        <v>45016</v>
      </c>
      <c r="O1065" t="s">
        <v>117</v>
      </c>
      <c r="P1065" t="s">
        <v>1187</v>
      </c>
      <c r="Q1065" t="s">
        <v>1188</v>
      </c>
      <c r="R1065" t="s">
        <v>1189</v>
      </c>
      <c r="S1065" t="s">
        <v>138</v>
      </c>
      <c r="T1065" t="s">
        <v>1190</v>
      </c>
      <c r="U1065" t="s">
        <v>1191</v>
      </c>
      <c r="V1065" s="4" t="str">
        <f>"03251"</f>
        <v>03251</v>
      </c>
      <c r="W1065" t="s">
        <v>120</v>
      </c>
      <c r="X1065" t="s">
        <v>138</v>
      </c>
      <c r="Y1065" s="5">
        <v>16037452244</v>
      </c>
      <c r="AA1065">
        <v>721110</v>
      </c>
      <c r="AB1065" t="s">
        <v>1192</v>
      </c>
      <c r="AC1065" t="s">
        <v>1193</v>
      </c>
      <c r="AE1065" t="s">
        <v>1194</v>
      </c>
      <c r="AF1065" t="s">
        <v>1189</v>
      </c>
      <c r="AG1065" t="s">
        <v>138</v>
      </c>
      <c r="AH1065" t="s">
        <v>1190</v>
      </c>
      <c r="AI1065" t="s">
        <v>1191</v>
      </c>
      <c r="AJ1065" s="4" t="str">
        <f>"03251"</f>
        <v>03251</v>
      </c>
      <c r="AK1065" t="s">
        <v>120</v>
      </c>
      <c r="AM1065" s="5">
        <v>16037452244</v>
      </c>
      <c r="AO1065" t="s">
        <v>1195</v>
      </c>
      <c r="AP1065" t="s">
        <v>122</v>
      </c>
      <c r="AQ1065" t="s">
        <v>753</v>
      </c>
      <c r="AR1065" t="s">
        <v>754</v>
      </c>
      <c r="AS1065" t="s">
        <v>755</v>
      </c>
      <c r="AT1065" t="s">
        <v>756</v>
      </c>
      <c r="AU1065" t="s">
        <v>757</v>
      </c>
      <c r="AV1065" t="s">
        <v>758</v>
      </c>
      <c r="AW1065" t="s">
        <v>281</v>
      </c>
      <c r="AX1065" s="4" t="str">
        <f>"01701"</f>
        <v>01701</v>
      </c>
      <c r="AY1065" t="s">
        <v>120</v>
      </c>
      <c r="BA1065" s="5">
        <v>16179399444</v>
      </c>
      <c r="BC1065" t="s">
        <v>759</v>
      </c>
      <c r="BD1065" t="s">
        <v>760</v>
      </c>
      <c r="BE1065" t="s">
        <v>281</v>
      </c>
      <c r="BF1065" t="s">
        <v>761</v>
      </c>
      <c r="BG1065" t="s">
        <v>1191</v>
      </c>
      <c r="BH1065" s="1">
        <v>44810.833333333336</v>
      </c>
      <c r="BI1065">
        <v>35</v>
      </c>
      <c r="BJ1065">
        <v>0</v>
      </c>
      <c r="BK1065">
        <v>7</v>
      </c>
      <c r="BL1065">
        <v>7</v>
      </c>
      <c r="BM1065">
        <v>7</v>
      </c>
      <c r="BN1065">
        <v>7</v>
      </c>
      <c r="BO1065">
        <v>7</v>
      </c>
      <c r="BP1065">
        <v>0</v>
      </c>
      <c r="BQ1065" t="str">
        <f>"6:00 AM"</f>
        <v>6:00 AM</v>
      </c>
      <c r="BR1065" t="str">
        <f>"1:00 PM"</f>
        <v>1:00 PM</v>
      </c>
      <c r="BS1065" t="s">
        <v>133</v>
      </c>
      <c r="BT1065">
        <v>0</v>
      </c>
      <c r="BU1065">
        <v>6</v>
      </c>
      <c r="BV1065" t="s">
        <v>134</v>
      </c>
      <c r="BX1065" s="2" t="s">
        <v>13214</v>
      </c>
      <c r="BY1065" t="s">
        <v>1189</v>
      </c>
      <c r="BZ1065" t="s">
        <v>138</v>
      </c>
      <c r="CA1065" t="s">
        <v>1190</v>
      </c>
      <c r="CB1065" t="s">
        <v>1191</v>
      </c>
      <c r="CC1065" s="4" t="str">
        <f>"03251"</f>
        <v>03251</v>
      </c>
      <c r="CD1065" t="s">
        <v>1197</v>
      </c>
      <c r="CE1065" t="s">
        <v>1198</v>
      </c>
      <c r="CF1065" s="6">
        <v>14.66</v>
      </c>
      <c r="CH1065" s="6">
        <v>21.99</v>
      </c>
      <c r="CJ1065" t="s">
        <v>137</v>
      </c>
      <c r="CK1065" t="s">
        <v>13215</v>
      </c>
      <c r="CL1065" t="s">
        <v>13216</v>
      </c>
      <c r="CO1065" t="s">
        <v>138</v>
      </c>
      <c r="CP1065" t="s">
        <v>134</v>
      </c>
      <c r="CQ1065" t="s">
        <v>114</v>
      </c>
      <c r="CR1065" t="s">
        <v>114</v>
      </c>
      <c r="CS1065" t="s">
        <v>114</v>
      </c>
      <c r="CT1065" t="s">
        <v>114</v>
      </c>
      <c r="CU1065" t="s">
        <v>114</v>
      </c>
      <c r="CV1065" t="s">
        <v>1201</v>
      </c>
      <c r="CW1065" s="5" t="str">
        <f>"+16037452244"</f>
        <v>+16037452244</v>
      </c>
      <c r="CX1065" t="s">
        <v>1202</v>
      </c>
      <c r="CY1065" t="s">
        <v>138</v>
      </c>
      <c r="CZ1065" t="s">
        <v>139</v>
      </c>
      <c r="DA1065" t="s">
        <v>134</v>
      </c>
      <c r="DB1065" t="s">
        <v>134</v>
      </c>
      <c r="DC1065" t="s">
        <v>114</v>
      </c>
      <c r="DD1065" t="s">
        <v>134</v>
      </c>
    </row>
    <row r="1066" spans="1:113" ht="15" customHeight="1" x14ac:dyDescent="0.25">
      <c r="A1066" t="s">
        <v>1105</v>
      </c>
      <c r="B1066" t="s">
        <v>165</v>
      </c>
      <c r="C1066" s="1">
        <v>44811.47864050926</v>
      </c>
      <c r="D1066" s="1">
        <v>44838</v>
      </c>
      <c r="E1066" t="s">
        <v>134</v>
      </c>
      <c r="F1066" t="s">
        <v>1106</v>
      </c>
      <c r="G1066" t="str">
        <f>"45-4011.00"</f>
        <v>45-4011.00</v>
      </c>
      <c r="H1066" t="s">
        <v>1107</v>
      </c>
      <c r="I1066">
        <v>75</v>
      </c>
      <c r="J1066">
        <v>75</v>
      </c>
      <c r="K1066" s="1">
        <v>44901</v>
      </c>
      <c r="L1066" s="1">
        <v>45204</v>
      </c>
      <c r="M1066" s="1">
        <v>44901</v>
      </c>
      <c r="N1066" s="1">
        <v>45204</v>
      </c>
      <c r="O1066" t="s">
        <v>117</v>
      </c>
      <c r="P1066" t="s">
        <v>1108</v>
      </c>
      <c r="R1066" t="s">
        <v>1109</v>
      </c>
      <c r="T1066" t="s">
        <v>1110</v>
      </c>
      <c r="U1066" t="s">
        <v>511</v>
      </c>
      <c r="V1066" s="4" t="str">
        <f>"97504"</f>
        <v>97504</v>
      </c>
      <c r="W1066" t="s">
        <v>120</v>
      </c>
      <c r="Y1066" s="5">
        <v>15416468695</v>
      </c>
      <c r="AA1066">
        <v>11531</v>
      </c>
      <c r="AB1066" t="s">
        <v>1111</v>
      </c>
      <c r="AC1066" t="s">
        <v>1112</v>
      </c>
      <c r="AD1066" t="s">
        <v>138</v>
      </c>
      <c r="AE1066" t="s">
        <v>342</v>
      </c>
      <c r="AF1066" t="s">
        <v>1109</v>
      </c>
      <c r="AH1066" t="s">
        <v>1110</v>
      </c>
      <c r="AI1066" t="s">
        <v>511</v>
      </c>
      <c r="AJ1066" s="4" t="str">
        <f>"97504"</f>
        <v>97504</v>
      </c>
      <c r="AK1066" t="s">
        <v>120</v>
      </c>
      <c r="AM1066" s="5">
        <v>15416468695</v>
      </c>
      <c r="AO1066" t="s">
        <v>1113</v>
      </c>
      <c r="AP1066" t="s">
        <v>256</v>
      </c>
      <c r="AQ1066" t="s">
        <v>826</v>
      </c>
      <c r="AR1066" t="s">
        <v>827</v>
      </c>
      <c r="AS1066" t="s">
        <v>138</v>
      </c>
      <c r="AT1066" t="s">
        <v>346</v>
      </c>
      <c r="AU1066" t="s">
        <v>347</v>
      </c>
      <c r="AV1066" t="s">
        <v>828</v>
      </c>
      <c r="AW1066" t="s">
        <v>349</v>
      </c>
      <c r="AX1066" s="4" t="str">
        <f>"83814"</f>
        <v>83814</v>
      </c>
      <c r="AY1066" t="s">
        <v>120</v>
      </c>
      <c r="BA1066" s="5">
        <v>12087772654</v>
      </c>
      <c r="BC1066" t="s">
        <v>829</v>
      </c>
      <c r="BD1066" t="s">
        <v>351</v>
      </c>
      <c r="BG1066" t="s">
        <v>511</v>
      </c>
      <c r="BH1066" s="1">
        <v>44809.833333333336</v>
      </c>
      <c r="BI1066">
        <v>40</v>
      </c>
      <c r="BJ1066">
        <v>0</v>
      </c>
      <c r="BK1066">
        <v>8</v>
      </c>
      <c r="BL1066">
        <v>8</v>
      </c>
      <c r="BM1066">
        <v>8</v>
      </c>
      <c r="BN1066">
        <v>8</v>
      </c>
      <c r="BO1066">
        <v>8</v>
      </c>
      <c r="BP1066">
        <v>0</v>
      </c>
      <c r="BQ1066" t="str">
        <f>"6:00 AM"</f>
        <v>6:00 AM</v>
      </c>
      <c r="BR1066" t="str">
        <f>"3:00 PM"</f>
        <v>3:00 PM</v>
      </c>
      <c r="BS1066" t="s">
        <v>133</v>
      </c>
      <c r="BT1066">
        <v>0</v>
      </c>
      <c r="BU1066">
        <v>3</v>
      </c>
      <c r="BV1066" t="s">
        <v>134</v>
      </c>
      <c r="BX1066" s="2" t="s">
        <v>1114</v>
      </c>
      <c r="BY1066" t="s">
        <v>1115</v>
      </c>
      <c r="CA1066" t="s">
        <v>1110</v>
      </c>
      <c r="CB1066" t="s">
        <v>511</v>
      </c>
      <c r="CC1066" s="4" t="str">
        <f>"97504"</f>
        <v>97504</v>
      </c>
      <c r="CD1066" t="s">
        <v>1116</v>
      </c>
      <c r="CE1066" t="s">
        <v>1117</v>
      </c>
      <c r="CF1066" s="6">
        <v>15.46</v>
      </c>
      <c r="CG1066" s="6">
        <v>23</v>
      </c>
      <c r="CH1066" s="6">
        <v>23.19</v>
      </c>
      <c r="CI1066" s="6">
        <v>34.5</v>
      </c>
      <c r="CJ1066" t="s">
        <v>137</v>
      </c>
      <c r="CK1066" t="s">
        <v>1118</v>
      </c>
      <c r="CL1066" t="s">
        <v>1119</v>
      </c>
      <c r="CO1066" t="s">
        <v>138</v>
      </c>
      <c r="CP1066" t="s">
        <v>114</v>
      </c>
      <c r="CQ1066" t="s">
        <v>114</v>
      </c>
      <c r="CR1066" t="s">
        <v>114</v>
      </c>
      <c r="CS1066" t="s">
        <v>134</v>
      </c>
      <c r="CT1066" t="s">
        <v>114</v>
      </c>
      <c r="CU1066" t="s">
        <v>114</v>
      </c>
      <c r="CV1066" t="s">
        <v>358</v>
      </c>
      <c r="CW1066" s="5" t="str">
        <f>"+15416468695"</f>
        <v>+15416468695</v>
      </c>
      <c r="CX1066" t="s">
        <v>1113</v>
      </c>
      <c r="CY1066" t="s">
        <v>138</v>
      </c>
      <c r="CZ1066" t="s">
        <v>139</v>
      </c>
      <c r="DA1066" t="s">
        <v>134</v>
      </c>
      <c r="DB1066" t="s">
        <v>134</v>
      </c>
      <c r="DC1066" t="s">
        <v>114</v>
      </c>
      <c r="DD1066" t="s">
        <v>134</v>
      </c>
    </row>
    <row r="1067" spans="1:113" ht="15" customHeight="1" x14ac:dyDescent="0.25">
      <c r="A1067" t="s">
        <v>16385</v>
      </c>
      <c r="B1067" t="s">
        <v>165</v>
      </c>
      <c r="C1067" s="1">
        <v>44810.529432407406</v>
      </c>
      <c r="D1067" s="1">
        <v>44838</v>
      </c>
      <c r="E1067" t="s">
        <v>134</v>
      </c>
      <c r="F1067" t="s">
        <v>10610</v>
      </c>
      <c r="G1067" t="str">
        <f>"51-3022.00"</f>
        <v>51-3022.00</v>
      </c>
      <c r="H1067" t="s">
        <v>817</v>
      </c>
      <c r="I1067">
        <v>90</v>
      </c>
      <c r="J1067">
        <v>90</v>
      </c>
      <c r="K1067" s="1">
        <v>44890</v>
      </c>
      <c r="L1067" s="1">
        <v>45107</v>
      </c>
      <c r="M1067" s="1">
        <v>44890</v>
      </c>
      <c r="N1067" s="1">
        <v>45107</v>
      </c>
      <c r="O1067" t="s">
        <v>199</v>
      </c>
      <c r="P1067" t="s">
        <v>16386</v>
      </c>
      <c r="Q1067" t="s">
        <v>138</v>
      </c>
      <c r="R1067" t="s">
        <v>16387</v>
      </c>
      <c r="T1067" t="s">
        <v>16388</v>
      </c>
      <c r="U1067" t="s">
        <v>214</v>
      </c>
      <c r="V1067" s="4" t="str">
        <f>"71327"</f>
        <v>71327</v>
      </c>
      <c r="W1067" t="s">
        <v>120</v>
      </c>
      <c r="Y1067" s="5">
        <v>13182535853</v>
      </c>
      <c r="AA1067">
        <v>311710</v>
      </c>
      <c r="AB1067" t="s">
        <v>16389</v>
      </c>
      <c r="AC1067" t="s">
        <v>9165</v>
      </c>
      <c r="AE1067" t="s">
        <v>963</v>
      </c>
      <c r="AF1067" t="s">
        <v>16387</v>
      </c>
      <c r="AH1067" t="s">
        <v>16388</v>
      </c>
      <c r="AI1067" t="s">
        <v>214</v>
      </c>
      <c r="AJ1067" s="4" t="str">
        <f>"71327"</f>
        <v>71327</v>
      </c>
      <c r="AK1067" t="s">
        <v>120</v>
      </c>
      <c r="AM1067" s="5">
        <v>13182535853</v>
      </c>
      <c r="AO1067" t="s">
        <v>16390</v>
      </c>
      <c r="AP1067" t="s">
        <v>122</v>
      </c>
      <c r="AQ1067" t="s">
        <v>7153</v>
      </c>
      <c r="AR1067" t="s">
        <v>2317</v>
      </c>
      <c r="AS1067" t="s">
        <v>7154</v>
      </c>
      <c r="AT1067" t="s">
        <v>7565</v>
      </c>
      <c r="AV1067" t="s">
        <v>7155</v>
      </c>
      <c r="AW1067" t="s">
        <v>214</v>
      </c>
      <c r="AX1067" s="4" t="str">
        <f>"70601"</f>
        <v>70601</v>
      </c>
      <c r="AY1067" t="s">
        <v>120</v>
      </c>
      <c r="BA1067" s="5">
        <v>13372140354</v>
      </c>
      <c r="BC1067" t="s">
        <v>7566</v>
      </c>
      <c r="BD1067" t="s">
        <v>7572</v>
      </c>
      <c r="BE1067" t="s">
        <v>214</v>
      </c>
      <c r="BF1067" t="s">
        <v>733</v>
      </c>
      <c r="BG1067" t="s">
        <v>214</v>
      </c>
      <c r="BH1067" s="1">
        <v>44804.833333333336</v>
      </c>
      <c r="BI1067">
        <v>40</v>
      </c>
      <c r="BJ1067">
        <v>0</v>
      </c>
      <c r="BK1067">
        <v>8</v>
      </c>
      <c r="BL1067">
        <v>8</v>
      </c>
      <c r="BM1067">
        <v>8</v>
      </c>
      <c r="BN1067">
        <v>8</v>
      </c>
      <c r="BO1067">
        <v>8</v>
      </c>
      <c r="BP1067">
        <v>0</v>
      </c>
      <c r="BQ1067" t="str">
        <f>"7:00 AM"</f>
        <v>7:00 AM</v>
      </c>
      <c r="BR1067" t="str">
        <f>"4:00 PM"</f>
        <v>4:00 PM</v>
      </c>
      <c r="BS1067" t="s">
        <v>133</v>
      </c>
      <c r="BT1067">
        <v>0</v>
      </c>
      <c r="BU1067">
        <v>1</v>
      </c>
      <c r="BV1067" t="s">
        <v>134</v>
      </c>
      <c r="BX1067" s="2" t="s">
        <v>16391</v>
      </c>
      <c r="BY1067" t="s">
        <v>16387</v>
      </c>
      <c r="CA1067" t="s">
        <v>16388</v>
      </c>
      <c r="CB1067" t="s">
        <v>214</v>
      </c>
      <c r="CC1067" s="4" t="str">
        <f>"71327"</f>
        <v>71327</v>
      </c>
      <c r="CD1067" t="s">
        <v>8091</v>
      </c>
      <c r="CE1067" t="s">
        <v>4154</v>
      </c>
      <c r="CF1067" s="6">
        <v>12.47</v>
      </c>
      <c r="CG1067" s="6">
        <v>12.47</v>
      </c>
      <c r="CH1067" s="6">
        <v>18.71</v>
      </c>
      <c r="CI1067" s="6">
        <v>18.71</v>
      </c>
      <c r="CJ1067" t="s">
        <v>137</v>
      </c>
      <c r="CK1067" t="s">
        <v>16392</v>
      </c>
      <c r="CL1067" t="s">
        <v>16393</v>
      </c>
      <c r="CO1067" t="s">
        <v>138</v>
      </c>
      <c r="CP1067" t="s">
        <v>134</v>
      </c>
      <c r="CQ1067" t="s">
        <v>114</v>
      </c>
      <c r="CR1067" t="s">
        <v>114</v>
      </c>
      <c r="CS1067" t="s">
        <v>134</v>
      </c>
      <c r="CT1067" t="s">
        <v>114</v>
      </c>
      <c r="CU1067" t="s">
        <v>134</v>
      </c>
      <c r="CV1067" t="s">
        <v>16394</v>
      </c>
      <c r="CW1067" s="5" t="str">
        <f>"+13182535853"</f>
        <v>+13182535853</v>
      </c>
      <c r="CX1067" t="s">
        <v>16390</v>
      </c>
      <c r="CY1067" t="s">
        <v>138</v>
      </c>
      <c r="CZ1067" t="s">
        <v>139</v>
      </c>
      <c r="DA1067" t="s">
        <v>134</v>
      </c>
      <c r="DB1067" t="s">
        <v>134</v>
      </c>
      <c r="DC1067" t="s">
        <v>114</v>
      </c>
      <c r="DD1067" t="s">
        <v>134</v>
      </c>
      <c r="DE1067" t="s">
        <v>1509</v>
      </c>
      <c r="DF1067" t="s">
        <v>11824</v>
      </c>
      <c r="DH1067" t="s">
        <v>7572</v>
      </c>
      <c r="DI1067" t="s">
        <v>7573</v>
      </c>
    </row>
    <row r="1068" spans="1:113" ht="15" customHeight="1" x14ac:dyDescent="0.25">
      <c r="A1068" t="s">
        <v>6768</v>
      </c>
      <c r="B1068" t="s">
        <v>165</v>
      </c>
      <c r="C1068" s="1">
        <v>44808.804355092594</v>
      </c>
      <c r="D1068" s="1">
        <v>44838</v>
      </c>
      <c r="E1068" t="s">
        <v>134</v>
      </c>
      <c r="F1068" t="s">
        <v>4369</v>
      </c>
      <c r="G1068" t="str">
        <f>"35-2014.00"</f>
        <v>35-2014.00</v>
      </c>
      <c r="H1068" t="s">
        <v>915</v>
      </c>
      <c r="I1068">
        <v>4</v>
      </c>
      <c r="J1068">
        <v>4</v>
      </c>
      <c r="K1068" s="1">
        <v>44883</v>
      </c>
      <c r="L1068" s="1">
        <v>45046</v>
      </c>
      <c r="M1068" s="1">
        <v>44883</v>
      </c>
      <c r="N1068" s="1">
        <v>45046</v>
      </c>
      <c r="O1068" t="s">
        <v>117</v>
      </c>
      <c r="P1068" t="s">
        <v>6769</v>
      </c>
      <c r="Q1068" t="s">
        <v>6770</v>
      </c>
      <c r="R1068" t="s">
        <v>6771</v>
      </c>
      <c r="S1068" t="s">
        <v>138</v>
      </c>
      <c r="T1068" t="s">
        <v>6772</v>
      </c>
      <c r="U1068" t="s">
        <v>154</v>
      </c>
      <c r="V1068" s="4" t="str">
        <f>"34145"</f>
        <v>34145</v>
      </c>
      <c r="W1068" t="s">
        <v>120</v>
      </c>
      <c r="Y1068" s="5">
        <v>16303736825</v>
      </c>
      <c r="AA1068">
        <v>722511</v>
      </c>
      <c r="AB1068" t="s">
        <v>6773</v>
      </c>
      <c r="AC1068" t="s">
        <v>2020</v>
      </c>
      <c r="AD1068" t="s">
        <v>138</v>
      </c>
      <c r="AE1068" t="s">
        <v>700</v>
      </c>
      <c r="AF1068" t="s">
        <v>6771</v>
      </c>
      <c r="AG1068" t="s">
        <v>138</v>
      </c>
      <c r="AH1068" t="s">
        <v>6772</v>
      </c>
      <c r="AI1068" t="s">
        <v>154</v>
      </c>
      <c r="AJ1068" s="4" t="str">
        <f>"34145"</f>
        <v>34145</v>
      </c>
      <c r="AK1068" t="s">
        <v>120</v>
      </c>
      <c r="AM1068" s="5">
        <v>16303736825</v>
      </c>
      <c r="AO1068" t="s">
        <v>6774</v>
      </c>
      <c r="AP1068" t="s">
        <v>256</v>
      </c>
      <c r="AQ1068" t="s">
        <v>2059</v>
      </c>
      <c r="AR1068" t="s">
        <v>704</v>
      </c>
      <c r="AS1068" t="s">
        <v>138</v>
      </c>
      <c r="AT1068" t="s">
        <v>2060</v>
      </c>
      <c r="AU1068" t="s">
        <v>2061</v>
      </c>
      <c r="AV1068" t="s">
        <v>2062</v>
      </c>
      <c r="AW1068" t="s">
        <v>232</v>
      </c>
      <c r="AX1068" s="4" t="str">
        <f>"78266"</f>
        <v>78266</v>
      </c>
      <c r="AY1068" t="s">
        <v>120</v>
      </c>
      <c r="BA1068" s="5">
        <v>18305844555</v>
      </c>
      <c r="BC1068" t="s">
        <v>2063</v>
      </c>
      <c r="BD1068" t="s">
        <v>2064</v>
      </c>
      <c r="BG1068" t="s">
        <v>154</v>
      </c>
      <c r="BH1068" s="1">
        <v>44807.833333333336</v>
      </c>
      <c r="BI1068">
        <v>40</v>
      </c>
      <c r="BJ1068">
        <v>0</v>
      </c>
      <c r="BK1068">
        <v>8</v>
      </c>
      <c r="BL1068">
        <v>8</v>
      </c>
      <c r="BM1068">
        <v>8</v>
      </c>
      <c r="BN1068">
        <v>8</v>
      </c>
      <c r="BO1068">
        <v>8</v>
      </c>
      <c r="BP1068">
        <v>0</v>
      </c>
      <c r="BQ1068" t="str">
        <f>"10:00 AM"</f>
        <v>10:00 AM</v>
      </c>
      <c r="BR1068" t="str">
        <f>"6:00 PM"</f>
        <v>6:00 PM</v>
      </c>
      <c r="BS1068" t="s">
        <v>133</v>
      </c>
      <c r="BT1068">
        <v>0</v>
      </c>
      <c r="BU1068">
        <v>3</v>
      </c>
      <c r="BV1068" t="s">
        <v>134</v>
      </c>
      <c r="BX1068" t="s">
        <v>138</v>
      </c>
      <c r="BY1068" t="s">
        <v>6771</v>
      </c>
      <c r="BZ1068" t="s">
        <v>138</v>
      </c>
      <c r="CA1068" t="s">
        <v>6772</v>
      </c>
      <c r="CB1068" t="s">
        <v>154</v>
      </c>
      <c r="CC1068" s="4" t="str">
        <f>"34145"</f>
        <v>34145</v>
      </c>
      <c r="CD1068" t="s">
        <v>1432</v>
      </c>
      <c r="CE1068" t="s">
        <v>1433</v>
      </c>
      <c r="CF1068" s="6">
        <v>16.75</v>
      </c>
      <c r="CG1068" s="6">
        <v>16.75</v>
      </c>
      <c r="CH1068" s="6">
        <v>25.13</v>
      </c>
      <c r="CI1068" s="6">
        <v>25.13</v>
      </c>
      <c r="CJ1068" t="s">
        <v>137</v>
      </c>
      <c r="CK1068" t="s">
        <v>2067</v>
      </c>
      <c r="CL1068" t="s">
        <v>6775</v>
      </c>
      <c r="CO1068" t="s">
        <v>138</v>
      </c>
      <c r="CP1068" t="s">
        <v>134</v>
      </c>
      <c r="CQ1068" t="s">
        <v>134</v>
      </c>
      <c r="CR1068" t="s">
        <v>114</v>
      </c>
      <c r="CS1068" t="s">
        <v>114</v>
      </c>
      <c r="CT1068" t="s">
        <v>114</v>
      </c>
      <c r="CU1068" t="s">
        <v>134</v>
      </c>
      <c r="CV1068" t="s">
        <v>2148</v>
      </c>
      <c r="CW1068" s="5" t="str">
        <f>"+16303736825"</f>
        <v>+16303736825</v>
      </c>
      <c r="CX1068" t="s">
        <v>6776</v>
      </c>
      <c r="CY1068" t="s">
        <v>138</v>
      </c>
      <c r="CZ1068" t="s">
        <v>139</v>
      </c>
      <c r="DA1068" t="s">
        <v>134</v>
      </c>
      <c r="DB1068" t="s">
        <v>114</v>
      </c>
      <c r="DC1068" t="s">
        <v>114</v>
      </c>
      <c r="DD1068" t="s">
        <v>134</v>
      </c>
    </row>
    <row r="1069" spans="1:113" ht="15" customHeight="1" x14ac:dyDescent="0.25">
      <c r="A1069" t="s">
        <v>9421</v>
      </c>
      <c r="B1069" t="s">
        <v>165</v>
      </c>
      <c r="C1069" s="1">
        <v>44807.34562847222</v>
      </c>
      <c r="D1069" s="1">
        <v>44838</v>
      </c>
      <c r="E1069" t="s">
        <v>114</v>
      </c>
      <c r="F1069" t="s">
        <v>1331</v>
      </c>
      <c r="G1069" t="str">
        <f>"35-2014.00"</f>
        <v>35-2014.00</v>
      </c>
      <c r="H1069" t="s">
        <v>915</v>
      </c>
      <c r="I1069">
        <v>4</v>
      </c>
      <c r="J1069">
        <v>4</v>
      </c>
      <c r="K1069" s="1">
        <v>44897</v>
      </c>
      <c r="L1069" s="1">
        <v>45017</v>
      </c>
      <c r="M1069" s="1">
        <v>44897</v>
      </c>
      <c r="N1069" s="1">
        <v>45017</v>
      </c>
      <c r="O1069" t="s">
        <v>199</v>
      </c>
      <c r="P1069" t="s">
        <v>9422</v>
      </c>
      <c r="R1069" t="s">
        <v>9423</v>
      </c>
      <c r="T1069" t="s">
        <v>9424</v>
      </c>
      <c r="U1069" t="s">
        <v>2164</v>
      </c>
      <c r="V1069" s="4" t="str">
        <f>"82332"</f>
        <v>82332</v>
      </c>
      <c r="W1069" t="s">
        <v>120</v>
      </c>
      <c r="Y1069" s="5">
        <v>19705837396</v>
      </c>
      <c r="AA1069">
        <v>72111</v>
      </c>
      <c r="AB1069" t="s">
        <v>9425</v>
      </c>
      <c r="AC1069" t="s">
        <v>9405</v>
      </c>
      <c r="AE1069" t="s">
        <v>1212</v>
      </c>
      <c r="AF1069" t="s">
        <v>9426</v>
      </c>
      <c r="AH1069" t="s">
        <v>9424</v>
      </c>
      <c r="AI1069" t="s">
        <v>2164</v>
      </c>
      <c r="AJ1069" s="4" t="str">
        <f>"82332"</f>
        <v>82332</v>
      </c>
      <c r="AK1069" t="s">
        <v>120</v>
      </c>
      <c r="AM1069" s="5">
        <v>19705837396</v>
      </c>
      <c r="AO1069" t="s">
        <v>9427</v>
      </c>
      <c r="AP1069" t="s">
        <v>122</v>
      </c>
      <c r="AQ1069" t="s">
        <v>1152</v>
      </c>
      <c r="AR1069" t="s">
        <v>1153</v>
      </c>
      <c r="AS1069" t="s">
        <v>1154</v>
      </c>
      <c r="AT1069" t="s">
        <v>1155</v>
      </c>
      <c r="AU1069" t="s">
        <v>1156</v>
      </c>
      <c r="AV1069" t="s">
        <v>1157</v>
      </c>
      <c r="AW1069" t="s">
        <v>154</v>
      </c>
      <c r="AX1069" s="4" t="str">
        <f>"33186"</f>
        <v>33186</v>
      </c>
      <c r="AY1069" t="s">
        <v>120</v>
      </c>
      <c r="BA1069" s="5">
        <v>13056706767</v>
      </c>
      <c r="BC1069" t="s">
        <v>1158</v>
      </c>
      <c r="BD1069" t="s">
        <v>1159</v>
      </c>
      <c r="BE1069" t="s">
        <v>154</v>
      </c>
      <c r="BF1069" t="s">
        <v>218</v>
      </c>
      <c r="BG1069" t="s">
        <v>2164</v>
      </c>
      <c r="BH1069" s="1">
        <v>44805.833333333336</v>
      </c>
      <c r="BI1069">
        <v>56</v>
      </c>
      <c r="BJ1069">
        <v>8</v>
      </c>
      <c r="BK1069">
        <v>8</v>
      </c>
      <c r="BL1069">
        <v>8</v>
      </c>
      <c r="BM1069">
        <v>8</v>
      </c>
      <c r="BN1069">
        <v>8</v>
      </c>
      <c r="BO1069">
        <v>8</v>
      </c>
      <c r="BP1069">
        <v>8</v>
      </c>
      <c r="BQ1069" t="str">
        <f>"8:00 AM"</f>
        <v>8:00 AM</v>
      </c>
      <c r="BR1069" t="str">
        <f>"5:00 PM"</f>
        <v>5:00 PM</v>
      </c>
      <c r="BS1069" t="s">
        <v>133</v>
      </c>
      <c r="BT1069">
        <v>0</v>
      </c>
      <c r="BU1069">
        <v>12</v>
      </c>
      <c r="BV1069" t="s">
        <v>134</v>
      </c>
      <c r="BX1069" s="2" t="s">
        <v>9428</v>
      </c>
      <c r="BY1069" t="s">
        <v>9429</v>
      </c>
      <c r="CA1069" t="s">
        <v>9430</v>
      </c>
      <c r="CB1069" t="s">
        <v>2164</v>
      </c>
      <c r="CC1069" s="4" t="str">
        <f>"82332"</f>
        <v>82332</v>
      </c>
      <c r="CD1069" t="s">
        <v>9431</v>
      </c>
      <c r="CE1069" t="s">
        <v>2165</v>
      </c>
      <c r="CF1069" s="6">
        <v>16.16</v>
      </c>
      <c r="CG1069" s="6">
        <v>25</v>
      </c>
      <c r="CH1069" s="6">
        <v>24.24</v>
      </c>
      <c r="CI1069" s="6">
        <v>37.5</v>
      </c>
      <c r="CJ1069" t="s">
        <v>137</v>
      </c>
      <c r="CL1069" t="s">
        <v>9432</v>
      </c>
      <c r="CO1069" t="s">
        <v>138</v>
      </c>
      <c r="CP1069" t="s">
        <v>134</v>
      </c>
      <c r="CQ1069" t="s">
        <v>114</v>
      </c>
      <c r="CR1069" t="s">
        <v>114</v>
      </c>
      <c r="CS1069" t="s">
        <v>114</v>
      </c>
      <c r="CT1069" t="s">
        <v>114</v>
      </c>
      <c r="CU1069" t="s">
        <v>114</v>
      </c>
      <c r="CV1069" s="2" t="s">
        <v>9433</v>
      </c>
      <c r="CW1069" s="5" t="str">
        <f>"+19705837396"</f>
        <v>+19705837396</v>
      </c>
      <c r="CX1069" t="s">
        <v>9427</v>
      </c>
      <c r="CY1069" t="s">
        <v>138</v>
      </c>
      <c r="CZ1069" t="s">
        <v>139</v>
      </c>
      <c r="DA1069" t="s">
        <v>134</v>
      </c>
      <c r="DB1069" t="s">
        <v>114</v>
      </c>
      <c r="DC1069" t="s">
        <v>114</v>
      </c>
      <c r="DD1069" t="s">
        <v>134</v>
      </c>
    </row>
    <row r="1070" spans="1:113" ht="15" customHeight="1" x14ac:dyDescent="0.25">
      <c r="A1070" t="s">
        <v>12210</v>
      </c>
      <c r="B1070" t="s">
        <v>165</v>
      </c>
      <c r="C1070" s="1">
        <v>44807.344104976852</v>
      </c>
      <c r="D1070" s="1">
        <v>44838</v>
      </c>
      <c r="E1070" t="s">
        <v>114</v>
      </c>
      <c r="F1070" t="s">
        <v>388</v>
      </c>
      <c r="G1070" t="str">
        <f>"35-3031.00"</f>
        <v>35-3031.00</v>
      </c>
      <c r="H1070" t="s">
        <v>389</v>
      </c>
      <c r="I1070">
        <v>4</v>
      </c>
      <c r="J1070">
        <v>4</v>
      </c>
      <c r="K1070" s="1">
        <v>44897</v>
      </c>
      <c r="L1070" s="1">
        <v>45017</v>
      </c>
      <c r="M1070" s="1">
        <v>44897</v>
      </c>
      <c r="N1070" s="1">
        <v>45017</v>
      </c>
      <c r="O1070" t="s">
        <v>199</v>
      </c>
      <c r="P1070" t="s">
        <v>9422</v>
      </c>
      <c r="R1070" t="s">
        <v>9423</v>
      </c>
      <c r="T1070" t="s">
        <v>9424</v>
      </c>
      <c r="U1070" t="s">
        <v>2164</v>
      </c>
      <c r="V1070" s="4" t="str">
        <f>"82332"</f>
        <v>82332</v>
      </c>
      <c r="W1070" t="s">
        <v>120</v>
      </c>
      <c r="Y1070" s="5">
        <v>19705837396</v>
      </c>
      <c r="AA1070">
        <v>72111</v>
      </c>
      <c r="AB1070" t="s">
        <v>9425</v>
      </c>
      <c r="AC1070" t="s">
        <v>9405</v>
      </c>
      <c r="AE1070" t="s">
        <v>1212</v>
      </c>
      <c r="AF1070" t="s">
        <v>9426</v>
      </c>
      <c r="AH1070" t="s">
        <v>9424</v>
      </c>
      <c r="AI1070" t="s">
        <v>2164</v>
      </c>
      <c r="AJ1070" s="4" t="str">
        <f>"82332"</f>
        <v>82332</v>
      </c>
      <c r="AK1070" t="s">
        <v>120</v>
      </c>
      <c r="AM1070" s="5">
        <v>19705837396</v>
      </c>
      <c r="AO1070" t="s">
        <v>9427</v>
      </c>
      <c r="AP1070" t="s">
        <v>122</v>
      </c>
      <c r="AQ1070" t="s">
        <v>1152</v>
      </c>
      <c r="AR1070" t="s">
        <v>1153</v>
      </c>
      <c r="AS1070" t="s">
        <v>1154</v>
      </c>
      <c r="AT1070" t="s">
        <v>1155</v>
      </c>
      <c r="AU1070" t="s">
        <v>1156</v>
      </c>
      <c r="AV1070" t="s">
        <v>1157</v>
      </c>
      <c r="AW1070" t="s">
        <v>154</v>
      </c>
      <c r="AX1070" s="4" t="str">
        <f>"33186"</f>
        <v>33186</v>
      </c>
      <c r="AY1070" t="s">
        <v>120</v>
      </c>
      <c r="BA1070" s="5">
        <v>13056706767</v>
      </c>
      <c r="BC1070" t="s">
        <v>1158</v>
      </c>
      <c r="BD1070" t="s">
        <v>1159</v>
      </c>
      <c r="BE1070" t="s">
        <v>154</v>
      </c>
      <c r="BF1070" t="s">
        <v>218</v>
      </c>
      <c r="BG1070" t="s">
        <v>2164</v>
      </c>
      <c r="BH1070" s="1">
        <v>44805.833333333336</v>
      </c>
      <c r="BI1070">
        <v>49</v>
      </c>
      <c r="BJ1070">
        <v>7</v>
      </c>
      <c r="BK1070">
        <v>7</v>
      </c>
      <c r="BL1070">
        <v>7</v>
      </c>
      <c r="BM1070">
        <v>7</v>
      </c>
      <c r="BN1070">
        <v>7</v>
      </c>
      <c r="BO1070">
        <v>7</v>
      </c>
      <c r="BP1070">
        <v>7</v>
      </c>
      <c r="BQ1070" t="str">
        <f>"4:00 PM"</f>
        <v>4:00 PM</v>
      </c>
      <c r="BR1070" t="str">
        <f>"11:00 PM"</f>
        <v>11:00 PM</v>
      </c>
      <c r="BS1070" t="s">
        <v>133</v>
      </c>
      <c r="BT1070">
        <v>0</v>
      </c>
      <c r="BU1070">
        <v>6</v>
      </c>
      <c r="BV1070" t="s">
        <v>134</v>
      </c>
      <c r="BX1070" s="2" t="s">
        <v>12211</v>
      </c>
      <c r="BY1070" t="s">
        <v>9429</v>
      </c>
      <c r="CA1070" t="s">
        <v>9430</v>
      </c>
      <c r="CB1070" t="s">
        <v>2164</v>
      </c>
      <c r="CC1070" s="4" t="str">
        <f>"82332"</f>
        <v>82332</v>
      </c>
      <c r="CD1070" t="s">
        <v>9431</v>
      </c>
      <c r="CE1070" t="s">
        <v>2165</v>
      </c>
      <c r="CF1070" s="6">
        <v>12.51</v>
      </c>
      <c r="CG1070" s="6">
        <v>20</v>
      </c>
      <c r="CH1070" s="6">
        <v>18.77</v>
      </c>
      <c r="CI1070" s="6">
        <v>30</v>
      </c>
      <c r="CJ1070" t="s">
        <v>137</v>
      </c>
      <c r="CL1070" t="s">
        <v>12212</v>
      </c>
      <c r="CO1070" t="s">
        <v>138</v>
      </c>
      <c r="CP1070" t="s">
        <v>134</v>
      </c>
      <c r="CQ1070" t="s">
        <v>114</v>
      </c>
      <c r="CR1070" t="s">
        <v>114</v>
      </c>
      <c r="CS1070" t="s">
        <v>114</v>
      </c>
      <c r="CT1070" t="s">
        <v>114</v>
      </c>
      <c r="CU1070" t="s">
        <v>114</v>
      </c>
      <c r="CV1070" t="s">
        <v>12213</v>
      </c>
      <c r="CW1070" s="5" t="str">
        <f>"+19705837396"</f>
        <v>+19705837396</v>
      </c>
      <c r="CX1070" t="s">
        <v>9427</v>
      </c>
      <c r="CY1070" t="s">
        <v>138</v>
      </c>
      <c r="CZ1070" t="s">
        <v>139</v>
      </c>
      <c r="DA1070" t="s">
        <v>134</v>
      </c>
      <c r="DB1070" t="s">
        <v>114</v>
      </c>
      <c r="DC1070" t="s">
        <v>114</v>
      </c>
      <c r="DD1070" t="s">
        <v>134</v>
      </c>
    </row>
    <row r="1071" spans="1:113" ht="15" customHeight="1" x14ac:dyDescent="0.25">
      <c r="A1071" t="s">
        <v>12207</v>
      </c>
      <c r="B1071" t="s">
        <v>165</v>
      </c>
      <c r="C1071" s="1">
        <v>44806.733257175925</v>
      </c>
      <c r="D1071" s="1">
        <v>44838</v>
      </c>
      <c r="E1071" t="s">
        <v>134</v>
      </c>
      <c r="F1071" t="s">
        <v>2774</v>
      </c>
      <c r="G1071" t="str">
        <f>"35-2014.00"</f>
        <v>35-2014.00</v>
      </c>
      <c r="H1071" t="s">
        <v>915</v>
      </c>
      <c r="I1071">
        <v>6</v>
      </c>
      <c r="J1071">
        <v>6</v>
      </c>
      <c r="K1071" s="1">
        <v>44896</v>
      </c>
      <c r="L1071" s="1">
        <v>45033</v>
      </c>
      <c r="M1071" s="1">
        <v>44896</v>
      </c>
      <c r="N1071" s="1">
        <v>45033</v>
      </c>
      <c r="O1071" t="s">
        <v>117</v>
      </c>
      <c r="P1071" t="s">
        <v>8602</v>
      </c>
      <c r="Q1071" t="s">
        <v>8603</v>
      </c>
      <c r="R1071" t="s">
        <v>8604</v>
      </c>
      <c r="S1071" t="s">
        <v>8605</v>
      </c>
      <c r="T1071" t="s">
        <v>4534</v>
      </c>
      <c r="U1071" t="s">
        <v>181</v>
      </c>
      <c r="V1071" s="4" t="str">
        <f>"81620"</f>
        <v>81620</v>
      </c>
      <c r="W1071" t="s">
        <v>120</v>
      </c>
      <c r="Y1071" s="5">
        <v>19707903145</v>
      </c>
      <c r="AA1071">
        <v>531311</v>
      </c>
      <c r="AB1071" t="s">
        <v>8606</v>
      </c>
      <c r="AC1071" t="s">
        <v>5606</v>
      </c>
      <c r="AE1071" t="s">
        <v>8607</v>
      </c>
      <c r="AF1071" t="s">
        <v>8604</v>
      </c>
      <c r="AG1071" t="s">
        <v>8605</v>
      </c>
      <c r="AH1071" t="s">
        <v>4534</v>
      </c>
      <c r="AI1071" t="s">
        <v>181</v>
      </c>
      <c r="AJ1071" s="4" t="str">
        <f>"81620"</f>
        <v>81620</v>
      </c>
      <c r="AK1071" t="s">
        <v>120</v>
      </c>
      <c r="AM1071" s="5">
        <v>19707903147</v>
      </c>
      <c r="AO1071" t="s">
        <v>8608</v>
      </c>
      <c r="AP1071" t="s">
        <v>122</v>
      </c>
      <c r="AQ1071" t="s">
        <v>6893</v>
      </c>
      <c r="AR1071" t="s">
        <v>1412</v>
      </c>
      <c r="AS1071" t="s">
        <v>1378</v>
      </c>
      <c r="AT1071" t="s">
        <v>12208</v>
      </c>
      <c r="AU1071" t="s">
        <v>6895</v>
      </c>
      <c r="AV1071" t="s">
        <v>1788</v>
      </c>
      <c r="AW1071" t="s">
        <v>444</v>
      </c>
      <c r="AX1071" s="4" t="str">
        <f>"90071"</f>
        <v>90071</v>
      </c>
      <c r="AY1071" t="s">
        <v>120</v>
      </c>
      <c r="BA1071" s="5">
        <v>13108203322</v>
      </c>
      <c r="BC1071" t="s">
        <v>6896</v>
      </c>
      <c r="BD1071" t="s">
        <v>2337</v>
      </c>
      <c r="BE1071" t="s">
        <v>181</v>
      </c>
      <c r="BF1071" t="s">
        <v>322</v>
      </c>
      <c r="BG1071" t="s">
        <v>181</v>
      </c>
      <c r="BH1071" s="1">
        <v>44805.833333333336</v>
      </c>
      <c r="BI1071">
        <v>35</v>
      </c>
      <c r="BJ1071">
        <v>5</v>
      </c>
      <c r="BK1071">
        <v>5</v>
      </c>
      <c r="BL1071">
        <v>5</v>
      </c>
      <c r="BM1071">
        <v>5</v>
      </c>
      <c r="BN1071">
        <v>5</v>
      </c>
      <c r="BO1071">
        <v>5</v>
      </c>
      <c r="BP1071">
        <v>5</v>
      </c>
      <c r="BQ1071" t="str">
        <f>"7:00 AM"</f>
        <v>7:00 AM</v>
      </c>
      <c r="BR1071" t="str">
        <f>"10:00 PM"</f>
        <v>10:00 PM</v>
      </c>
      <c r="BS1071" t="s">
        <v>133</v>
      </c>
      <c r="BT1071">
        <v>0</v>
      </c>
      <c r="BU1071">
        <v>0</v>
      </c>
      <c r="BV1071" t="s">
        <v>134</v>
      </c>
      <c r="BX1071" s="2" t="s">
        <v>12174</v>
      </c>
      <c r="BY1071" t="s">
        <v>8610</v>
      </c>
      <c r="BZ1071" t="s">
        <v>8611</v>
      </c>
      <c r="CA1071" t="s">
        <v>4534</v>
      </c>
      <c r="CB1071" t="s">
        <v>181</v>
      </c>
      <c r="CC1071" s="4" t="str">
        <f>"81620"</f>
        <v>81620</v>
      </c>
      <c r="CD1071" t="s">
        <v>3483</v>
      </c>
      <c r="CE1071" t="s">
        <v>1570</v>
      </c>
      <c r="CF1071" s="6">
        <v>17.510000000000002</v>
      </c>
      <c r="CH1071" s="6">
        <v>26.27</v>
      </c>
      <c r="CJ1071" t="s">
        <v>137</v>
      </c>
      <c r="CK1071" t="s">
        <v>6897</v>
      </c>
      <c r="CL1071" t="s">
        <v>12209</v>
      </c>
      <c r="CO1071" t="s">
        <v>138</v>
      </c>
      <c r="CP1071" t="s">
        <v>114</v>
      </c>
      <c r="CQ1071" t="s">
        <v>134</v>
      </c>
      <c r="CR1071" t="s">
        <v>114</v>
      </c>
      <c r="CS1071" t="s">
        <v>114</v>
      </c>
      <c r="CT1071" t="s">
        <v>114</v>
      </c>
      <c r="CU1071" t="s">
        <v>114</v>
      </c>
      <c r="CV1071" t="s">
        <v>2154</v>
      </c>
      <c r="CW1071" s="5" t="str">
        <f>"+19707903145"</f>
        <v>+19707903145</v>
      </c>
      <c r="CX1071" t="s">
        <v>8608</v>
      </c>
      <c r="CY1071" t="s">
        <v>138</v>
      </c>
      <c r="CZ1071" t="s">
        <v>139</v>
      </c>
      <c r="DA1071" t="s">
        <v>134</v>
      </c>
      <c r="DB1071" t="s">
        <v>134</v>
      </c>
      <c r="DC1071" t="s">
        <v>114</v>
      </c>
      <c r="DD1071" t="s">
        <v>134</v>
      </c>
      <c r="DE1071" t="s">
        <v>6898</v>
      </c>
      <c r="DF1071" t="s">
        <v>2325</v>
      </c>
      <c r="DG1071" t="s">
        <v>4044</v>
      </c>
      <c r="DH1071" t="s">
        <v>2337</v>
      </c>
      <c r="DI1071" t="s">
        <v>6899</v>
      </c>
    </row>
    <row r="1072" spans="1:113" ht="15" customHeight="1" x14ac:dyDescent="0.25">
      <c r="A1072" t="s">
        <v>8601</v>
      </c>
      <c r="B1072" t="s">
        <v>165</v>
      </c>
      <c r="C1072" s="1">
        <v>44806.721901620367</v>
      </c>
      <c r="D1072" s="1">
        <v>44838</v>
      </c>
      <c r="E1072" t="s">
        <v>134</v>
      </c>
      <c r="F1072" t="s">
        <v>115</v>
      </c>
      <c r="G1072" t="str">
        <f>"37-2012.00"</f>
        <v>37-2012.00</v>
      </c>
      <c r="H1072" t="s">
        <v>116</v>
      </c>
      <c r="I1072">
        <v>77</v>
      </c>
      <c r="J1072">
        <v>77</v>
      </c>
      <c r="K1072" s="1">
        <v>44896</v>
      </c>
      <c r="L1072" s="1">
        <v>45033</v>
      </c>
      <c r="M1072" s="1">
        <v>44896</v>
      </c>
      <c r="N1072" s="1">
        <v>45033</v>
      </c>
      <c r="O1072" t="s">
        <v>117</v>
      </c>
      <c r="P1072" t="s">
        <v>8602</v>
      </c>
      <c r="Q1072" t="s">
        <v>8603</v>
      </c>
      <c r="R1072" t="s">
        <v>8604</v>
      </c>
      <c r="S1072" t="s">
        <v>8605</v>
      </c>
      <c r="T1072" t="s">
        <v>4534</v>
      </c>
      <c r="U1072" t="s">
        <v>181</v>
      </c>
      <c r="V1072" s="4" t="str">
        <f>"81620"</f>
        <v>81620</v>
      </c>
      <c r="W1072" t="s">
        <v>120</v>
      </c>
      <c r="Y1072" s="5">
        <v>19707903145</v>
      </c>
      <c r="AA1072">
        <v>531311</v>
      </c>
      <c r="AB1072" t="s">
        <v>8606</v>
      </c>
      <c r="AC1072" t="s">
        <v>5606</v>
      </c>
      <c r="AE1072" t="s">
        <v>8607</v>
      </c>
      <c r="AF1072" t="s">
        <v>8604</v>
      </c>
      <c r="AG1072" t="s">
        <v>8605</v>
      </c>
      <c r="AH1072" t="s">
        <v>4534</v>
      </c>
      <c r="AI1072" t="s">
        <v>181</v>
      </c>
      <c r="AJ1072" s="4" t="str">
        <f>"81620"</f>
        <v>81620</v>
      </c>
      <c r="AK1072" t="s">
        <v>120</v>
      </c>
      <c r="AM1072" s="5">
        <v>19707903147</v>
      </c>
      <c r="AO1072" t="s">
        <v>8608</v>
      </c>
      <c r="AP1072" t="s">
        <v>122</v>
      </c>
      <c r="AQ1072" t="s">
        <v>6893</v>
      </c>
      <c r="AR1072" t="s">
        <v>1412</v>
      </c>
      <c r="AS1072" t="s">
        <v>1378</v>
      </c>
      <c r="AT1072" t="s">
        <v>6894</v>
      </c>
      <c r="AU1072" t="s">
        <v>6895</v>
      </c>
      <c r="AV1072" t="s">
        <v>1788</v>
      </c>
      <c r="AW1072" t="s">
        <v>444</v>
      </c>
      <c r="AX1072" s="4" t="str">
        <f>"90071"</f>
        <v>90071</v>
      </c>
      <c r="AY1072" t="s">
        <v>120</v>
      </c>
      <c r="BA1072" s="5">
        <v>13108203322</v>
      </c>
      <c r="BC1072" t="s">
        <v>6896</v>
      </c>
      <c r="BD1072" t="s">
        <v>2337</v>
      </c>
      <c r="BE1072" t="s">
        <v>181</v>
      </c>
      <c r="BF1072" t="s">
        <v>322</v>
      </c>
      <c r="BG1072" t="s">
        <v>181</v>
      </c>
      <c r="BH1072" s="1">
        <v>44805.833333333336</v>
      </c>
      <c r="BI1072">
        <v>35</v>
      </c>
      <c r="BJ1072">
        <v>5</v>
      </c>
      <c r="BK1072">
        <v>5</v>
      </c>
      <c r="BL1072">
        <v>5</v>
      </c>
      <c r="BM1072">
        <v>5</v>
      </c>
      <c r="BN1072">
        <v>5</v>
      </c>
      <c r="BO1072">
        <v>5</v>
      </c>
      <c r="BP1072">
        <v>5</v>
      </c>
      <c r="BQ1072" t="str">
        <f>"8:00 AM"</f>
        <v>8:00 AM</v>
      </c>
      <c r="BR1072" t="str">
        <f>"5:00 PM"</f>
        <v>5:00 PM</v>
      </c>
      <c r="BS1072" t="s">
        <v>133</v>
      </c>
      <c r="BT1072">
        <v>0</v>
      </c>
      <c r="BU1072">
        <v>0</v>
      </c>
      <c r="BV1072" t="s">
        <v>134</v>
      </c>
      <c r="BX1072" s="2" t="s">
        <v>8609</v>
      </c>
      <c r="BY1072" t="s">
        <v>8610</v>
      </c>
      <c r="BZ1072" t="s">
        <v>8611</v>
      </c>
      <c r="CA1072" t="s">
        <v>4534</v>
      </c>
      <c r="CB1072" t="s">
        <v>181</v>
      </c>
      <c r="CC1072" s="4" t="str">
        <f>"81620"</f>
        <v>81620</v>
      </c>
      <c r="CD1072" t="s">
        <v>3483</v>
      </c>
      <c r="CE1072" t="s">
        <v>1570</v>
      </c>
      <c r="CF1072" s="6">
        <v>16.649999999999999</v>
      </c>
      <c r="CH1072" s="6">
        <v>24.98</v>
      </c>
      <c r="CJ1072" t="s">
        <v>137</v>
      </c>
      <c r="CK1072" t="s">
        <v>6897</v>
      </c>
      <c r="CL1072" t="s">
        <v>8612</v>
      </c>
      <c r="CO1072" t="s">
        <v>138</v>
      </c>
      <c r="CP1072" t="s">
        <v>114</v>
      </c>
      <c r="CQ1072" t="s">
        <v>134</v>
      </c>
      <c r="CR1072" t="s">
        <v>114</v>
      </c>
      <c r="CS1072" t="s">
        <v>114</v>
      </c>
      <c r="CT1072" t="s">
        <v>114</v>
      </c>
      <c r="CU1072" t="s">
        <v>114</v>
      </c>
      <c r="CV1072" t="s">
        <v>2154</v>
      </c>
      <c r="CW1072" s="5" t="str">
        <f>"+19707903147"</f>
        <v>+19707903147</v>
      </c>
      <c r="CX1072" t="s">
        <v>8608</v>
      </c>
      <c r="CY1072" t="s">
        <v>138</v>
      </c>
      <c r="CZ1072" t="s">
        <v>139</v>
      </c>
      <c r="DA1072" t="s">
        <v>134</v>
      </c>
      <c r="DB1072" t="s">
        <v>134</v>
      </c>
      <c r="DC1072" t="s">
        <v>114</v>
      </c>
      <c r="DD1072" t="s">
        <v>134</v>
      </c>
      <c r="DE1072" t="s">
        <v>6898</v>
      </c>
      <c r="DF1072" t="s">
        <v>2325</v>
      </c>
      <c r="DG1072" t="s">
        <v>4044</v>
      </c>
      <c r="DH1072" t="s">
        <v>2337</v>
      </c>
      <c r="DI1072" t="s">
        <v>6899</v>
      </c>
    </row>
    <row r="1073" spans="1:113" ht="15" customHeight="1" x14ac:dyDescent="0.25">
      <c r="A1073" t="s">
        <v>12173</v>
      </c>
      <c r="B1073" t="s">
        <v>165</v>
      </c>
      <c r="C1073" s="1">
        <v>44806.718340624997</v>
      </c>
      <c r="D1073" s="1">
        <v>44838</v>
      </c>
      <c r="E1073" t="s">
        <v>134</v>
      </c>
      <c r="F1073" t="s">
        <v>2144</v>
      </c>
      <c r="G1073" t="str">
        <f>"35-2021.00"</f>
        <v>35-2021.00</v>
      </c>
      <c r="H1073" t="s">
        <v>718</v>
      </c>
      <c r="I1073">
        <v>5</v>
      </c>
      <c r="J1073">
        <v>5</v>
      </c>
      <c r="K1073" s="1">
        <v>44896</v>
      </c>
      <c r="L1073" s="1">
        <v>45033</v>
      </c>
      <c r="M1073" s="1">
        <v>44896</v>
      </c>
      <c r="N1073" s="1">
        <v>45033</v>
      </c>
      <c r="O1073" t="s">
        <v>117</v>
      </c>
      <c r="P1073" t="s">
        <v>8602</v>
      </c>
      <c r="Q1073" t="s">
        <v>8603</v>
      </c>
      <c r="R1073" t="s">
        <v>8604</v>
      </c>
      <c r="S1073" t="s">
        <v>8605</v>
      </c>
      <c r="T1073" t="s">
        <v>4534</v>
      </c>
      <c r="U1073" t="s">
        <v>181</v>
      </c>
      <c r="V1073" s="4" t="str">
        <f>"81620"</f>
        <v>81620</v>
      </c>
      <c r="W1073" t="s">
        <v>120</v>
      </c>
      <c r="Y1073" s="5">
        <v>19707903145</v>
      </c>
      <c r="AA1073">
        <v>531311</v>
      </c>
      <c r="AB1073" t="s">
        <v>8606</v>
      </c>
      <c r="AC1073" t="s">
        <v>5606</v>
      </c>
      <c r="AE1073" t="s">
        <v>8607</v>
      </c>
      <c r="AF1073" t="s">
        <v>8604</v>
      </c>
      <c r="AG1073" t="s">
        <v>8605</v>
      </c>
      <c r="AH1073" t="s">
        <v>4534</v>
      </c>
      <c r="AI1073" t="s">
        <v>181</v>
      </c>
      <c r="AJ1073" s="4" t="str">
        <f>"81620"</f>
        <v>81620</v>
      </c>
      <c r="AK1073" t="s">
        <v>120</v>
      </c>
      <c r="AM1073" s="5">
        <v>19707903147</v>
      </c>
      <c r="AO1073" t="s">
        <v>8608</v>
      </c>
      <c r="AP1073" t="s">
        <v>122</v>
      </c>
      <c r="AQ1073" t="s">
        <v>6893</v>
      </c>
      <c r="AR1073" t="s">
        <v>1412</v>
      </c>
      <c r="AS1073" t="s">
        <v>1378</v>
      </c>
      <c r="AT1073" t="s">
        <v>6894</v>
      </c>
      <c r="AU1073" t="s">
        <v>6895</v>
      </c>
      <c r="AV1073" t="s">
        <v>1788</v>
      </c>
      <c r="AW1073" t="s">
        <v>444</v>
      </c>
      <c r="AX1073" s="4" t="str">
        <f>"90071"</f>
        <v>90071</v>
      </c>
      <c r="AY1073" t="s">
        <v>120</v>
      </c>
      <c r="BA1073" s="5">
        <v>13108203322</v>
      </c>
      <c r="BC1073" t="s">
        <v>6896</v>
      </c>
      <c r="BD1073" t="s">
        <v>2337</v>
      </c>
      <c r="BE1073" t="s">
        <v>181</v>
      </c>
      <c r="BF1073" t="s">
        <v>322</v>
      </c>
      <c r="BG1073" t="s">
        <v>181</v>
      </c>
      <c r="BH1073" s="1">
        <v>44805.833333333336</v>
      </c>
      <c r="BI1073">
        <v>35</v>
      </c>
      <c r="BJ1073">
        <v>5</v>
      </c>
      <c r="BK1073">
        <v>5</v>
      </c>
      <c r="BL1073">
        <v>5</v>
      </c>
      <c r="BM1073">
        <v>5</v>
      </c>
      <c r="BN1073">
        <v>5</v>
      </c>
      <c r="BO1073">
        <v>5</v>
      </c>
      <c r="BP1073">
        <v>5</v>
      </c>
      <c r="BQ1073" t="str">
        <f>"7:00 AM"</f>
        <v>7:00 AM</v>
      </c>
      <c r="BR1073" t="str">
        <f>"10:00 PM"</f>
        <v>10:00 PM</v>
      </c>
      <c r="BS1073" t="s">
        <v>133</v>
      </c>
      <c r="BT1073">
        <v>0</v>
      </c>
      <c r="BU1073">
        <v>0</v>
      </c>
      <c r="BV1073" t="s">
        <v>134</v>
      </c>
      <c r="BX1073" s="2" t="s">
        <v>12174</v>
      </c>
      <c r="BY1073" t="s">
        <v>8610</v>
      </c>
      <c r="BZ1073" t="s">
        <v>8611</v>
      </c>
      <c r="CA1073" t="s">
        <v>4534</v>
      </c>
      <c r="CB1073" t="s">
        <v>181</v>
      </c>
      <c r="CC1073" s="4" t="str">
        <f>"81620"</f>
        <v>81620</v>
      </c>
      <c r="CD1073" t="s">
        <v>3483</v>
      </c>
      <c r="CE1073" t="s">
        <v>1570</v>
      </c>
      <c r="CF1073" s="6">
        <v>17.21</v>
      </c>
      <c r="CH1073" s="6">
        <v>25.82</v>
      </c>
      <c r="CJ1073" t="s">
        <v>137</v>
      </c>
      <c r="CK1073" t="s">
        <v>12175</v>
      </c>
      <c r="CL1073" t="s">
        <v>12176</v>
      </c>
      <c r="CO1073" t="s">
        <v>138</v>
      </c>
      <c r="CP1073" t="s">
        <v>114</v>
      </c>
      <c r="CQ1073" t="s">
        <v>134</v>
      </c>
      <c r="CR1073" t="s">
        <v>114</v>
      </c>
      <c r="CS1073" t="s">
        <v>114</v>
      </c>
      <c r="CT1073" t="s">
        <v>114</v>
      </c>
      <c r="CU1073" t="s">
        <v>114</v>
      </c>
      <c r="CV1073" t="s">
        <v>2154</v>
      </c>
      <c r="CW1073" s="5" t="str">
        <f>"+19707903145"</f>
        <v>+19707903145</v>
      </c>
      <c r="CX1073" t="s">
        <v>8608</v>
      </c>
      <c r="CY1073" t="s">
        <v>138</v>
      </c>
      <c r="CZ1073" t="s">
        <v>139</v>
      </c>
      <c r="DA1073" t="s">
        <v>134</v>
      </c>
      <c r="DB1073" t="s">
        <v>134</v>
      </c>
      <c r="DC1073" t="s">
        <v>114</v>
      </c>
      <c r="DD1073" t="s">
        <v>134</v>
      </c>
      <c r="DE1073" t="s">
        <v>6898</v>
      </c>
      <c r="DF1073" t="s">
        <v>2325</v>
      </c>
      <c r="DG1073" t="s">
        <v>4044</v>
      </c>
      <c r="DH1073" t="s">
        <v>2337</v>
      </c>
      <c r="DI1073" t="s">
        <v>6899</v>
      </c>
    </row>
    <row r="1074" spans="1:113" ht="15" customHeight="1" x14ac:dyDescent="0.25">
      <c r="A1074" t="s">
        <v>16596</v>
      </c>
      <c r="B1074" t="s">
        <v>165</v>
      </c>
      <c r="C1074" s="1">
        <v>44805.822279745371</v>
      </c>
      <c r="D1074" s="1">
        <v>44838</v>
      </c>
      <c r="E1074" t="s">
        <v>114</v>
      </c>
      <c r="F1074" t="s">
        <v>12215</v>
      </c>
      <c r="G1074" t="str">
        <f>"39-2021.00"</f>
        <v>39-2021.00</v>
      </c>
      <c r="H1074" t="s">
        <v>615</v>
      </c>
      <c r="I1074">
        <v>13</v>
      </c>
      <c r="J1074">
        <v>13</v>
      </c>
      <c r="K1074" s="1">
        <v>44895</v>
      </c>
      <c r="L1074" s="1">
        <v>45017</v>
      </c>
      <c r="M1074" s="1">
        <v>44895</v>
      </c>
      <c r="N1074" s="1">
        <v>45017</v>
      </c>
      <c r="O1074" t="s">
        <v>199</v>
      </c>
      <c r="P1074" t="s">
        <v>16597</v>
      </c>
      <c r="R1074" t="s">
        <v>16598</v>
      </c>
      <c r="T1074" t="s">
        <v>2815</v>
      </c>
      <c r="U1074" t="s">
        <v>154</v>
      </c>
      <c r="V1074" s="4" t="str">
        <f>"33414"</f>
        <v>33414</v>
      </c>
      <c r="W1074" t="s">
        <v>120</v>
      </c>
      <c r="Y1074" s="5">
        <v>15612049416</v>
      </c>
      <c r="AA1074">
        <v>115210</v>
      </c>
      <c r="AB1074" t="s">
        <v>16599</v>
      </c>
      <c r="AC1074" t="s">
        <v>16600</v>
      </c>
      <c r="AE1074" t="s">
        <v>252</v>
      </c>
      <c r="AF1074" t="s">
        <v>16598</v>
      </c>
      <c r="AH1074" t="s">
        <v>2815</v>
      </c>
      <c r="AI1074" t="s">
        <v>154</v>
      </c>
      <c r="AJ1074" s="4" t="str">
        <f>"33414"</f>
        <v>33414</v>
      </c>
      <c r="AK1074" t="s">
        <v>120</v>
      </c>
      <c r="AM1074" s="5">
        <v>15612049416</v>
      </c>
      <c r="AO1074" t="s">
        <v>16601</v>
      </c>
      <c r="AP1074" t="s">
        <v>122</v>
      </c>
      <c r="AQ1074" t="s">
        <v>8522</v>
      </c>
      <c r="AR1074" t="s">
        <v>1081</v>
      </c>
      <c r="AS1074" t="s">
        <v>8523</v>
      </c>
      <c r="AT1074" t="s">
        <v>16602</v>
      </c>
      <c r="AU1074" t="s">
        <v>8525</v>
      </c>
      <c r="AV1074" t="s">
        <v>6971</v>
      </c>
      <c r="AW1074" t="s">
        <v>792</v>
      </c>
      <c r="AX1074" s="4" t="str">
        <f>"98225"</f>
        <v>98225</v>
      </c>
      <c r="AY1074" t="s">
        <v>120</v>
      </c>
      <c r="BA1074" s="5">
        <v>13607885785</v>
      </c>
      <c r="BC1074" t="s">
        <v>8526</v>
      </c>
      <c r="BD1074" t="s">
        <v>8527</v>
      </c>
      <c r="BE1074" t="s">
        <v>792</v>
      </c>
      <c r="BF1074" t="s">
        <v>16603</v>
      </c>
      <c r="BG1074" t="s">
        <v>154</v>
      </c>
      <c r="BH1074" s="1">
        <v>44804.833333333336</v>
      </c>
      <c r="BI1074">
        <v>48</v>
      </c>
      <c r="BJ1074">
        <v>8</v>
      </c>
      <c r="BK1074">
        <v>0</v>
      </c>
      <c r="BL1074">
        <v>8</v>
      </c>
      <c r="BM1074">
        <v>8</v>
      </c>
      <c r="BN1074">
        <v>8</v>
      </c>
      <c r="BO1074">
        <v>8</v>
      </c>
      <c r="BP1074">
        <v>8</v>
      </c>
      <c r="BQ1074" t="str">
        <f>"8:00 AM"</f>
        <v>8:00 AM</v>
      </c>
      <c r="BR1074" t="str">
        <f>"4:30 PM"</f>
        <v>4:30 PM</v>
      </c>
      <c r="BS1074" t="s">
        <v>133</v>
      </c>
      <c r="BT1074">
        <v>0</v>
      </c>
      <c r="BU1074">
        <v>3</v>
      </c>
      <c r="BV1074" t="s">
        <v>134</v>
      </c>
      <c r="BX1074" t="s">
        <v>133</v>
      </c>
      <c r="BY1074" t="s">
        <v>16604</v>
      </c>
      <c r="CA1074" t="s">
        <v>2815</v>
      </c>
      <c r="CB1074" t="s">
        <v>154</v>
      </c>
      <c r="CC1074" s="4" t="str">
        <f>"33414"</f>
        <v>33414</v>
      </c>
      <c r="CD1074" t="s">
        <v>3882</v>
      </c>
      <c r="CE1074" t="s">
        <v>1742</v>
      </c>
      <c r="CF1074" s="6">
        <v>14.11</v>
      </c>
      <c r="CH1074" s="6">
        <v>21.17</v>
      </c>
      <c r="CJ1074" t="s">
        <v>137</v>
      </c>
      <c r="CK1074" t="s">
        <v>8529</v>
      </c>
      <c r="CL1074" t="s">
        <v>16605</v>
      </c>
      <c r="CO1074" t="s">
        <v>138</v>
      </c>
      <c r="CP1074" t="s">
        <v>134</v>
      </c>
      <c r="CQ1074" t="s">
        <v>114</v>
      </c>
      <c r="CR1074" t="s">
        <v>114</v>
      </c>
      <c r="CS1074" t="s">
        <v>134</v>
      </c>
      <c r="CT1074" t="s">
        <v>114</v>
      </c>
      <c r="CU1074" t="s">
        <v>114</v>
      </c>
      <c r="CV1074" t="s">
        <v>133</v>
      </c>
      <c r="CW1074" s="5" t="str">
        <f>"+15612049416"</f>
        <v>+15612049416</v>
      </c>
      <c r="CX1074" t="s">
        <v>16601</v>
      </c>
      <c r="CY1074" t="s">
        <v>138</v>
      </c>
      <c r="CZ1074" t="s">
        <v>139</v>
      </c>
      <c r="DA1074" t="s">
        <v>134</v>
      </c>
      <c r="DB1074" t="s">
        <v>134</v>
      </c>
      <c r="DC1074" t="s">
        <v>114</v>
      </c>
      <c r="DD1074" t="s">
        <v>134</v>
      </c>
    </row>
    <row r="1075" spans="1:113" ht="15" customHeight="1" x14ac:dyDescent="0.25">
      <c r="A1075" t="s">
        <v>16566</v>
      </c>
      <c r="B1075" t="s">
        <v>165</v>
      </c>
      <c r="C1075" s="1">
        <v>44805.620401967593</v>
      </c>
      <c r="D1075" s="1">
        <v>44838</v>
      </c>
      <c r="E1075" t="s">
        <v>134</v>
      </c>
      <c r="F1075" t="s">
        <v>1106</v>
      </c>
      <c r="G1075" t="str">
        <f>"45-4011.00"</f>
        <v>45-4011.00</v>
      </c>
      <c r="H1075" t="s">
        <v>1107</v>
      </c>
      <c r="I1075">
        <v>38</v>
      </c>
      <c r="J1075">
        <v>38</v>
      </c>
      <c r="K1075" s="1">
        <v>44899</v>
      </c>
      <c r="L1075" s="1">
        <v>45198</v>
      </c>
      <c r="M1075" s="1">
        <v>44899</v>
      </c>
      <c r="N1075" s="1">
        <v>45198</v>
      </c>
      <c r="O1075" t="s">
        <v>117</v>
      </c>
      <c r="P1075" t="s">
        <v>16567</v>
      </c>
      <c r="R1075" t="s">
        <v>16568</v>
      </c>
      <c r="T1075" t="s">
        <v>2119</v>
      </c>
      <c r="U1075" t="s">
        <v>511</v>
      </c>
      <c r="V1075" s="4" t="str">
        <f>"97502"</f>
        <v>97502</v>
      </c>
      <c r="W1075" t="s">
        <v>120</v>
      </c>
      <c r="Y1075" s="5">
        <v>15419447735</v>
      </c>
      <c r="AA1075">
        <v>115310</v>
      </c>
      <c r="AB1075" t="s">
        <v>1989</v>
      </c>
      <c r="AC1075" t="s">
        <v>16569</v>
      </c>
      <c r="AD1075" t="s">
        <v>138</v>
      </c>
      <c r="AE1075" t="s">
        <v>342</v>
      </c>
      <c r="AF1075" t="s">
        <v>16568</v>
      </c>
      <c r="AH1075" t="s">
        <v>2119</v>
      </c>
      <c r="AI1075" t="s">
        <v>511</v>
      </c>
      <c r="AJ1075" s="4" t="str">
        <f>"97502"</f>
        <v>97502</v>
      </c>
      <c r="AK1075" t="s">
        <v>120</v>
      </c>
      <c r="AM1075" s="5">
        <v>15419447735</v>
      </c>
      <c r="AO1075" t="s">
        <v>16570</v>
      </c>
      <c r="AP1075" t="s">
        <v>256</v>
      </c>
      <c r="AQ1075" t="s">
        <v>1698</v>
      </c>
      <c r="AR1075" t="s">
        <v>1699</v>
      </c>
      <c r="AS1075" t="s">
        <v>138</v>
      </c>
      <c r="AT1075" t="s">
        <v>1422</v>
      </c>
      <c r="AU1075" t="s">
        <v>347</v>
      </c>
      <c r="AV1075" t="s">
        <v>1441</v>
      </c>
      <c r="AW1075" t="s">
        <v>349</v>
      </c>
      <c r="AX1075" s="4" t="str">
        <f>"83814"</f>
        <v>83814</v>
      </c>
      <c r="AY1075" t="s">
        <v>120</v>
      </c>
      <c r="BA1075" s="5">
        <v>12087772654</v>
      </c>
      <c r="BC1075" t="s">
        <v>1700</v>
      </c>
      <c r="BD1075" t="s">
        <v>351</v>
      </c>
      <c r="BG1075" t="s">
        <v>511</v>
      </c>
      <c r="BH1075" s="1">
        <v>44804.833333333336</v>
      </c>
      <c r="BI1075">
        <v>40</v>
      </c>
      <c r="BJ1075">
        <v>0</v>
      </c>
      <c r="BK1075">
        <v>8</v>
      </c>
      <c r="BL1075">
        <v>8</v>
      </c>
      <c r="BM1075">
        <v>8</v>
      </c>
      <c r="BN1075">
        <v>8</v>
      </c>
      <c r="BO1075">
        <v>8</v>
      </c>
      <c r="BP1075">
        <v>0</v>
      </c>
      <c r="BQ1075" t="str">
        <f>"7:00 AM"</f>
        <v>7:00 AM</v>
      </c>
      <c r="BR1075" t="str">
        <f>"3:30 PM"</f>
        <v>3:30 PM</v>
      </c>
      <c r="BS1075" t="s">
        <v>133</v>
      </c>
      <c r="BT1075">
        <v>0</v>
      </c>
      <c r="BU1075">
        <v>3</v>
      </c>
      <c r="BV1075" t="s">
        <v>134</v>
      </c>
      <c r="BX1075" s="2" t="s">
        <v>8066</v>
      </c>
      <c r="BY1075" t="s">
        <v>16571</v>
      </c>
      <c r="CA1075" t="s">
        <v>2119</v>
      </c>
      <c r="CB1075" t="s">
        <v>511</v>
      </c>
      <c r="CC1075" s="4" t="str">
        <f>"97502"</f>
        <v>97502</v>
      </c>
      <c r="CD1075" t="s">
        <v>1116</v>
      </c>
      <c r="CE1075" t="s">
        <v>1117</v>
      </c>
      <c r="CF1075" s="6">
        <v>14.21</v>
      </c>
      <c r="CG1075" s="6">
        <v>28</v>
      </c>
      <c r="CH1075" s="6">
        <v>21.32</v>
      </c>
      <c r="CI1075" s="6">
        <v>42</v>
      </c>
      <c r="CJ1075" t="s">
        <v>137</v>
      </c>
      <c r="CK1075" t="s">
        <v>2125</v>
      </c>
      <c r="CL1075" t="s">
        <v>16572</v>
      </c>
      <c r="CO1075" t="s">
        <v>138</v>
      </c>
      <c r="CP1075" t="s">
        <v>114</v>
      </c>
      <c r="CQ1075" t="s">
        <v>114</v>
      </c>
      <c r="CR1075" t="s">
        <v>114</v>
      </c>
      <c r="CS1075" t="s">
        <v>134</v>
      </c>
      <c r="CT1075" t="s">
        <v>114</v>
      </c>
      <c r="CU1075" t="s">
        <v>114</v>
      </c>
      <c r="CV1075" t="s">
        <v>358</v>
      </c>
      <c r="CW1075" s="5" t="str">
        <f>"+15419447735"</f>
        <v>+15419447735</v>
      </c>
      <c r="CX1075" t="s">
        <v>16570</v>
      </c>
      <c r="CY1075" t="s">
        <v>3471</v>
      </c>
      <c r="CZ1075" t="s">
        <v>139</v>
      </c>
      <c r="DA1075" t="s">
        <v>134</v>
      </c>
      <c r="DB1075" t="s">
        <v>134</v>
      </c>
      <c r="DC1075" t="s">
        <v>114</v>
      </c>
      <c r="DD1075" t="s">
        <v>134</v>
      </c>
    </row>
    <row r="1076" spans="1:113" ht="15" customHeight="1" x14ac:dyDescent="0.25">
      <c r="A1076" t="s">
        <v>6512</v>
      </c>
      <c r="B1076" t="s">
        <v>165</v>
      </c>
      <c r="C1076" s="1">
        <v>44792.93398321759</v>
      </c>
      <c r="D1076" s="1">
        <v>44838</v>
      </c>
      <c r="E1076" t="s">
        <v>134</v>
      </c>
      <c r="F1076" t="s">
        <v>6513</v>
      </c>
      <c r="G1076" t="str">
        <f>"53-7051.00"</f>
        <v>53-7051.00</v>
      </c>
      <c r="H1076" t="s">
        <v>2127</v>
      </c>
      <c r="I1076">
        <v>5</v>
      </c>
      <c r="J1076">
        <v>5</v>
      </c>
      <c r="K1076" s="1">
        <v>44867</v>
      </c>
      <c r="L1076" s="1">
        <v>45016</v>
      </c>
      <c r="M1076" s="1">
        <v>44867</v>
      </c>
      <c r="N1076" s="1">
        <v>45016</v>
      </c>
      <c r="O1076" t="s">
        <v>117</v>
      </c>
      <c r="P1076" t="s">
        <v>3412</v>
      </c>
      <c r="R1076" t="s">
        <v>3413</v>
      </c>
      <c r="T1076" t="s">
        <v>3414</v>
      </c>
      <c r="U1076" t="s">
        <v>444</v>
      </c>
      <c r="V1076" s="4" t="str">
        <f>"93940"</f>
        <v>93940</v>
      </c>
      <c r="W1076" t="s">
        <v>120</v>
      </c>
      <c r="Y1076" s="5">
        <v>18317543429</v>
      </c>
      <c r="AA1076">
        <v>11121</v>
      </c>
      <c r="AB1076" t="s">
        <v>3415</v>
      </c>
      <c r="AC1076" t="s">
        <v>3416</v>
      </c>
      <c r="AE1076" t="s">
        <v>2368</v>
      </c>
      <c r="AF1076" t="s">
        <v>3413</v>
      </c>
      <c r="AH1076" t="s">
        <v>3414</v>
      </c>
      <c r="AI1076" t="s">
        <v>444</v>
      </c>
      <c r="AJ1076" s="4" t="str">
        <f>"93940"</f>
        <v>93940</v>
      </c>
      <c r="AK1076" t="s">
        <v>120</v>
      </c>
      <c r="AM1076" s="5">
        <v>18317543429</v>
      </c>
      <c r="AO1076" t="s">
        <v>3417</v>
      </c>
      <c r="AP1076" t="s">
        <v>122</v>
      </c>
      <c r="AQ1076" t="s">
        <v>1721</v>
      </c>
      <c r="AR1076" t="s">
        <v>1722</v>
      </c>
      <c r="AS1076" t="s">
        <v>1723</v>
      </c>
      <c r="AT1076" t="s">
        <v>1724</v>
      </c>
      <c r="AV1076" t="s">
        <v>1725</v>
      </c>
      <c r="AW1076" t="s">
        <v>444</v>
      </c>
      <c r="AX1076" s="4" t="str">
        <f>"92106"</f>
        <v>92106</v>
      </c>
      <c r="AY1076" t="s">
        <v>120</v>
      </c>
      <c r="BA1076" s="5">
        <v>16192696164</v>
      </c>
      <c r="BC1076" t="s">
        <v>1726</v>
      </c>
      <c r="BD1076" t="s">
        <v>1727</v>
      </c>
      <c r="BE1076" t="s">
        <v>444</v>
      </c>
      <c r="BF1076" t="s">
        <v>510</v>
      </c>
      <c r="BG1076" t="s">
        <v>1411</v>
      </c>
      <c r="BH1076" s="1">
        <v>44791.833333333336</v>
      </c>
      <c r="BI1076">
        <v>40</v>
      </c>
      <c r="BJ1076">
        <v>0</v>
      </c>
      <c r="BK1076">
        <v>10</v>
      </c>
      <c r="BL1076">
        <v>10</v>
      </c>
      <c r="BM1076">
        <v>10</v>
      </c>
      <c r="BN1076">
        <v>10</v>
      </c>
      <c r="BO1076">
        <v>0</v>
      </c>
      <c r="BP1076">
        <v>0</v>
      </c>
      <c r="BQ1076" t="str">
        <f>"5:30 AM"</f>
        <v>5:30 AM</v>
      </c>
      <c r="BR1076" t="str">
        <f>"3:30 PM"</f>
        <v>3:30 PM</v>
      </c>
      <c r="BS1076" t="s">
        <v>295</v>
      </c>
      <c r="BT1076">
        <v>0</v>
      </c>
      <c r="BU1076">
        <v>12</v>
      </c>
      <c r="BV1076" t="s">
        <v>134</v>
      </c>
      <c r="BX1076" s="2" t="s">
        <v>6514</v>
      </c>
      <c r="BY1076" t="s">
        <v>3419</v>
      </c>
      <c r="CA1076" t="s">
        <v>291</v>
      </c>
      <c r="CB1076" t="s">
        <v>1411</v>
      </c>
      <c r="CC1076" s="4" t="str">
        <f>"45502"</f>
        <v>45502</v>
      </c>
      <c r="CD1076" t="s">
        <v>2493</v>
      </c>
      <c r="CE1076" t="s">
        <v>3420</v>
      </c>
      <c r="CF1076" s="6">
        <v>17.829999999999998</v>
      </c>
      <c r="CG1076" s="6">
        <v>17.829999999999998</v>
      </c>
      <c r="CH1076" s="6">
        <v>26.75</v>
      </c>
      <c r="CI1076" s="6">
        <v>26.75</v>
      </c>
      <c r="CJ1076" t="s">
        <v>137</v>
      </c>
      <c r="CK1076" t="s">
        <v>3457</v>
      </c>
      <c r="CL1076" t="s">
        <v>6515</v>
      </c>
      <c r="CO1076" t="s">
        <v>138</v>
      </c>
      <c r="CP1076" t="s">
        <v>134</v>
      </c>
      <c r="CQ1076" t="s">
        <v>134</v>
      </c>
      <c r="CR1076" t="s">
        <v>114</v>
      </c>
      <c r="CS1076" t="s">
        <v>114</v>
      </c>
      <c r="CT1076" t="s">
        <v>114</v>
      </c>
      <c r="CU1076" t="s">
        <v>114</v>
      </c>
      <c r="CV1076" s="2" t="s">
        <v>6516</v>
      </c>
      <c r="CW1076" s="5" t="str">
        <f>"+19375254365"</f>
        <v>+19375254365</v>
      </c>
      <c r="CX1076" t="s">
        <v>3424</v>
      </c>
      <c r="CY1076" t="s">
        <v>138</v>
      </c>
      <c r="CZ1076" t="s">
        <v>139</v>
      </c>
      <c r="DA1076" t="s">
        <v>134</v>
      </c>
      <c r="DB1076" t="s">
        <v>134</v>
      </c>
      <c r="DC1076" t="s">
        <v>114</v>
      </c>
      <c r="DD1076" t="s">
        <v>134</v>
      </c>
    </row>
    <row r="1077" spans="1:113" ht="15" customHeight="1" x14ac:dyDescent="0.25">
      <c r="A1077" t="s">
        <v>3410</v>
      </c>
      <c r="B1077" t="s">
        <v>165</v>
      </c>
      <c r="C1077" s="1">
        <v>44792.927368634257</v>
      </c>
      <c r="D1077" s="1">
        <v>44838</v>
      </c>
      <c r="E1077" t="s">
        <v>134</v>
      </c>
      <c r="F1077" t="s">
        <v>3411</v>
      </c>
      <c r="G1077" t="str">
        <f>"53-7051.00"</f>
        <v>53-7051.00</v>
      </c>
      <c r="H1077" t="s">
        <v>2127</v>
      </c>
      <c r="I1077">
        <v>5</v>
      </c>
      <c r="J1077">
        <v>5</v>
      </c>
      <c r="K1077" s="1">
        <v>44867</v>
      </c>
      <c r="L1077" s="1">
        <v>45016</v>
      </c>
      <c r="M1077" s="1">
        <v>44867</v>
      </c>
      <c r="N1077" s="1">
        <v>45016</v>
      </c>
      <c r="O1077" t="s">
        <v>117</v>
      </c>
      <c r="P1077" t="s">
        <v>3412</v>
      </c>
      <c r="R1077" t="s">
        <v>3413</v>
      </c>
      <c r="T1077" t="s">
        <v>3414</v>
      </c>
      <c r="U1077" t="s">
        <v>444</v>
      </c>
      <c r="V1077" s="4" t="str">
        <f>"93940"</f>
        <v>93940</v>
      </c>
      <c r="W1077" t="s">
        <v>120</v>
      </c>
      <c r="Y1077" s="5">
        <v>18317543429</v>
      </c>
      <c r="AA1077">
        <v>11121</v>
      </c>
      <c r="AB1077" t="s">
        <v>3415</v>
      </c>
      <c r="AC1077" t="s">
        <v>3416</v>
      </c>
      <c r="AE1077" t="s">
        <v>2368</v>
      </c>
      <c r="AF1077" t="s">
        <v>3413</v>
      </c>
      <c r="AH1077" t="s">
        <v>3414</v>
      </c>
      <c r="AI1077" t="s">
        <v>444</v>
      </c>
      <c r="AJ1077" s="4" t="str">
        <f>"93940"</f>
        <v>93940</v>
      </c>
      <c r="AK1077" t="s">
        <v>120</v>
      </c>
      <c r="AM1077" s="5">
        <v>18317543429</v>
      </c>
      <c r="AO1077" t="s">
        <v>3417</v>
      </c>
      <c r="AP1077" t="s">
        <v>122</v>
      </c>
      <c r="AQ1077" t="s">
        <v>1721</v>
      </c>
      <c r="AR1077" t="s">
        <v>1722</v>
      </c>
      <c r="AS1077" t="s">
        <v>1723</v>
      </c>
      <c r="AT1077" t="s">
        <v>1724</v>
      </c>
      <c r="AV1077" t="s">
        <v>1725</v>
      </c>
      <c r="AW1077" t="s">
        <v>444</v>
      </c>
      <c r="AX1077" s="4" t="str">
        <f>"92106"</f>
        <v>92106</v>
      </c>
      <c r="AY1077" t="s">
        <v>120</v>
      </c>
      <c r="BA1077" s="5">
        <v>16192696164</v>
      </c>
      <c r="BC1077" t="s">
        <v>1726</v>
      </c>
      <c r="BD1077" t="s">
        <v>1727</v>
      </c>
      <c r="BE1077" t="s">
        <v>444</v>
      </c>
      <c r="BF1077" t="s">
        <v>510</v>
      </c>
      <c r="BG1077" t="s">
        <v>1411</v>
      </c>
      <c r="BH1077" s="1">
        <v>44791.833333333336</v>
      </c>
      <c r="BI1077">
        <v>40</v>
      </c>
      <c r="BJ1077">
        <v>0</v>
      </c>
      <c r="BK1077">
        <v>10</v>
      </c>
      <c r="BL1077">
        <v>10</v>
      </c>
      <c r="BM1077">
        <v>10</v>
      </c>
      <c r="BN1077">
        <v>10</v>
      </c>
      <c r="BO1077">
        <v>0</v>
      </c>
      <c r="BP1077">
        <v>0</v>
      </c>
      <c r="BQ1077" t="str">
        <f>"5:30 AM"</f>
        <v>5:30 AM</v>
      </c>
      <c r="BR1077" t="str">
        <f>"4:00 PM"</f>
        <v>4:00 PM</v>
      </c>
      <c r="BS1077" t="s">
        <v>295</v>
      </c>
      <c r="BT1077">
        <v>0</v>
      </c>
      <c r="BU1077">
        <v>12</v>
      </c>
      <c r="BV1077" t="s">
        <v>134</v>
      </c>
      <c r="BX1077" s="2" t="s">
        <v>3418</v>
      </c>
      <c r="BY1077" t="s">
        <v>3419</v>
      </c>
      <c r="CA1077" t="s">
        <v>291</v>
      </c>
      <c r="CB1077" t="s">
        <v>1411</v>
      </c>
      <c r="CC1077" s="4" t="str">
        <f>"45502"</f>
        <v>45502</v>
      </c>
      <c r="CD1077" t="s">
        <v>2493</v>
      </c>
      <c r="CE1077" t="s">
        <v>3420</v>
      </c>
      <c r="CF1077" s="6">
        <v>17.829999999999998</v>
      </c>
      <c r="CG1077" s="6">
        <v>17.829999999999998</v>
      </c>
      <c r="CH1077" s="6">
        <v>26.75</v>
      </c>
      <c r="CI1077" s="6">
        <v>26.75</v>
      </c>
      <c r="CJ1077" t="s">
        <v>137</v>
      </c>
      <c r="CK1077" t="s">
        <v>3421</v>
      </c>
      <c r="CL1077" t="s">
        <v>3422</v>
      </c>
      <c r="CO1077" t="s">
        <v>138</v>
      </c>
      <c r="CP1077" t="s">
        <v>134</v>
      </c>
      <c r="CQ1077" t="s">
        <v>134</v>
      </c>
      <c r="CR1077" t="s">
        <v>114</v>
      </c>
      <c r="CS1077" t="s">
        <v>114</v>
      </c>
      <c r="CT1077" t="s">
        <v>114</v>
      </c>
      <c r="CU1077" t="s">
        <v>114</v>
      </c>
      <c r="CV1077" t="s">
        <v>3423</v>
      </c>
      <c r="CW1077" s="5" t="str">
        <f>"+19375254365"</f>
        <v>+19375254365</v>
      </c>
      <c r="CX1077" t="s">
        <v>3424</v>
      </c>
      <c r="CY1077" t="s">
        <v>138</v>
      </c>
      <c r="CZ1077" t="s">
        <v>139</v>
      </c>
      <c r="DA1077" t="s">
        <v>134</v>
      </c>
      <c r="DB1077" t="s">
        <v>134</v>
      </c>
      <c r="DC1077" t="s">
        <v>114</v>
      </c>
      <c r="DD1077" t="s">
        <v>134</v>
      </c>
    </row>
    <row r="1078" spans="1:113" ht="15" customHeight="1" x14ac:dyDescent="0.25">
      <c r="A1078" t="s">
        <v>3451</v>
      </c>
      <c r="B1078" t="s">
        <v>165</v>
      </c>
      <c r="C1078" s="1">
        <v>44792.913164351849</v>
      </c>
      <c r="D1078" s="1">
        <v>44838</v>
      </c>
      <c r="E1078" t="s">
        <v>134</v>
      </c>
      <c r="F1078" t="s">
        <v>3452</v>
      </c>
      <c r="G1078" t="str">
        <f>"53-7051.00"</f>
        <v>53-7051.00</v>
      </c>
      <c r="H1078" t="s">
        <v>2127</v>
      </c>
      <c r="I1078">
        <v>5</v>
      </c>
      <c r="J1078">
        <v>5</v>
      </c>
      <c r="K1078" s="1">
        <v>44867</v>
      </c>
      <c r="L1078" s="1">
        <v>45016</v>
      </c>
      <c r="M1078" s="1">
        <v>44867</v>
      </c>
      <c r="N1078" s="1">
        <v>45016</v>
      </c>
      <c r="O1078" t="s">
        <v>117</v>
      </c>
      <c r="P1078" t="s">
        <v>3412</v>
      </c>
      <c r="R1078" t="s">
        <v>3413</v>
      </c>
      <c r="T1078" t="s">
        <v>3414</v>
      </c>
      <c r="U1078" t="s">
        <v>444</v>
      </c>
      <c r="V1078" s="4" t="str">
        <f>"93940"</f>
        <v>93940</v>
      </c>
      <c r="W1078" t="s">
        <v>120</v>
      </c>
      <c r="Y1078" s="5">
        <v>18317543429</v>
      </c>
      <c r="AA1078">
        <v>11121</v>
      </c>
      <c r="AB1078" t="s">
        <v>3415</v>
      </c>
      <c r="AC1078" t="s">
        <v>3416</v>
      </c>
      <c r="AE1078" t="s">
        <v>2368</v>
      </c>
      <c r="AF1078" t="s">
        <v>3413</v>
      </c>
      <c r="AH1078" t="s">
        <v>3414</v>
      </c>
      <c r="AI1078" t="s">
        <v>444</v>
      </c>
      <c r="AJ1078" s="4" t="str">
        <f>"93940"</f>
        <v>93940</v>
      </c>
      <c r="AK1078" t="s">
        <v>120</v>
      </c>
      <c r="AM1078" s="5">
        <v>18317543429</v>
      </c>
      <c r="AO1078" t="s">
        <v>3417</v>
      </c>
      <c r="AP1078" t="s">
        <v>122</v>
      </c>
      <c r="AQ1078" t="s">
        <v>1721</v>
      </c>
      <c r="AR1078" t="s">
        <v>1722</v>
      </c>
      <c r="AS1078" t="s">
        <v>1723</v>
      </c>
      <c r="AT1078" t="s">
        <v>1724</v>
      </c>
      <c r="AV1078" t="s">
        <v>1725</v>
      </c>
      <c r="AW1078" t="s">
        <v>444</v>
      </c>
      <c r="AX1078" s="4" t="str">
        <f>"92106"</f>
        <v>92106</v>
      </c>
      <c r="AY1078" t="s">
        <v>120</v>
      </c>
      <c r="BA1078" s="5">
        <v>16192696164</v>
      </c>
      <c r="BC1078" t="s">
        <v>1726</v>
      </c>
      <c r="BD1078" t="s">
        <v>1727</v>
      </c>
      <c r="BE1078" t="s">
        <v>444</v>
      </c>
      <c r="BF1078" t="s">
        <v>510</v>
      </c>
      <c r="BG1078" t="s">
        <v>119</v>
      </c>
      <c r="BH1078" s="1">
        <v>44791.833333333336</v>
      </c>
      <c r="BI1078">
        <v>42</v>
      </c>
      <c r="BJ1078">
        <v>0</v>
      </c>
      <c r="BK1078">
        <v>10</v>
      </c>
      <c r="BL1078">
        <v>10</v>
      </c>
      <c r="BM1078">
        <v>10</v>
      </c>
      <c r="BN1078">
        <v>12</v>
      </c>
      <c r="BO1078">
        <v>0</v>
      </c>
      <c r="BP1078">
        <v>0</v>
      </c>
      <c r="BQ1078" t="str">
        <f>"6:00 AM"</f>
        <v>6:00 AM</v>
      </c>
      <c r="BR1078" t="str">
        <f>"6:00 PM"</f>
        <v>6:00 PM</v>
      </c>
      <c r="BS1078" t="s">
        <v>295</v>
      </c>
      <c r="BT1078">
        <v>0</v>
      </c>
      <c r="BU1078">
        <v>12</v>
      </c>
      <c r="BV1078" t="s">
        <v>134</v>
      </c>
      <c r="BX1078" s="2" t="s">
        <v>3453</v>
      </c>
      <c r="BY1078" t="s">
        <v>3454</v>
      </c>
      <c r="CA1078" t="s">
        <v>3455</v>
      </c>
      <c r="CB1078" t="s">
        <v>119</v>
      </c>
      <c r="CC1078" s="4" t="str">
        <f>"28016"</f>
        <v>28016</v>
      </c>
      <c r="CD1078" t="s">
        <v>3456</v>
      </c>
      <c r="CE1078" t="s">
        <v>1404</v>
      </c>
      <c r="CF1078" s="6">
        <v>18.62</v>
      </c>
      <c r="CG1078" s="6">
        <v>18.62</v>
      </c>
      <c r="CH1078" s="6">
        <v>27.93</v>
      </c>
      <c r="CI1078" s="6">
        <v>27.93</v>
      </c>
      <c r="CJ1078" t="s">
        <v>137</v>
      </c>
      <c r="CK1078" t="s">
        <v>3457</v>
      </c>
      <c r="CL1078" t="s">
        <v>3458</v>
      </c>
      <c r="CO1078" t="s">
        <v>138</v>
      </c>
      <c r="CP1078" t="s">
        <v>134</v>
      </c>
      <c r="CQ1078" t="s">
        <v>134</v>
      </c>
      <c r="CR1078" t="s">
        <v>114</v>
      </c>
      <c r="CS1078" t="s">
        <v>114</v>
      </c>
      <c r="CT1078" t="s">
        <v>114</v>
      </c>
      <c r="CU1078" t="s">
        <v>114</v>
      </c>
      <c r="CV1078" t="s">
        <v>3459</v>
      </c>
      <c r="CW1078" s="5" t="str">
        <f>"+17048697451"</f>
        <v>+17048697451</v>
      </c>
      <c r="CX1078" t="s">
        <v>3460</v>
      </c>
      <c r="CY1078" t="s">
        <v>138</v>
      </c>
      <c r="CZ1078" t="s">
        <v>139</v>
      </c>
      <c r="DA1078" t="s">
        <v>134</v>
      </c>
      <c r="DB1078" t="s">
        <v>134</v>
      </c>
      <c r="DC1078" t="s">
        <v>114</v>
      </c>
      <c r="DD1078" t="s">
        <v>134</v>
      </c>
    </row>
    <row r="1079" spans="1:113" ht="15" customHeight="1" x14ac:dyDescent="0.25">
      <c r="A1079" t="s">
        <v>716</v>
      </c>
      <c r="B1079" t="s">
        <v>165</v>
      </c>
      <c r="C1079" s="1">
        <v>44790.666770717595</v>
      </c>
      <c r="D1079" s="1">
        <v>44838</v>
      </c>
      <c r="E1079" t="s">
        <v>134</v>
      </c>
      <c r="F1079" t="s">
        <v>717</v>
      </c>
      <c r="G1079" t="str">
        <f>"35-2021.00"</f>
        <v>35-2021.00</v>
      </c>
      <c r="H1079" t="s">
        <v>718</v>
      </c>
      <c r="I1079">
        <v>8</v>
      </c>
      <c r="J1079">
        <v>8</v>
      </c>
      <c r="K1079" s="1">
        <v>44866</v>
      </c>
      <c r="L1079" s="1">
        <v>45138</v>
      </c>
      <c r="M1079" s="1">
        <v>44866</v>
      </c>
      <c r="N1079" s="1">
        <v>45138</v>
      </c>
      <c r="O1079" t="s">
        <v>117</v>
      </c>
      <c r="P1079" t="s">
        <v>719</v>
      </c>
      <c r="R1079" t="s">
        <v>720</v>
      </c>
      <c r="T1079" t="s">
        <v>721</v>
      </c>
      <c r="U1079" t="s">
        <v>214</v>
      </c>
      <c r="V1079" s="4" t="str">
        <f>"70767"</f>
        <v>70767</v>
      </c>
      <c r="W1079" t="s">
        <v>120</v>
      </c>
      <c r="Y1079" s="5">
        <v>12259382834</v>
      </c>
      <c r="AA1079">
        <v>311615</v>
      </c>
      <c r="AB1079" t="s">
        <v>722</v>
      </c>
      <c r="AC1079" t="s">
        <v>589</v>
      </c>
      <c r="AE1079" t="s">
        <v>424</v>
      </c>
      <c r="AF1079" t="s">
        <v>723</v>
      </c>
      <c r="AH1079" t="s">
        <v>721</v>
      </c>
      <c r="AI1079" t="s">
        <v>214</v>
      </c>
      <c r="AJ1079" s="4" t="str">
        <f>"70767"</f>
        <v>70767</v>
      </c>
      <c r="AK1079" t="s">
        <v>120</v>
      </c>
      <c r="AM1079" s="5">
        <v>12259382834</v>
      </c>
      <c r="AO1079" t="s">
        <v>724</v>
      </c>
      <c r="AP1079" t="s">
        <v>122</v>
      </c>
      <c r="AQ1079" t="s">
        <v>725</v>
      </c>
      <c r="AR1079" t="s">
        <v>726</v>
      </c>
      <c r="AS1079" t="s">
        <v>727</v>
      </c>
      <c r="AT1079" t="s">
        <v>728</v>
      </c>
      <c r="AU1079" t="s">
        <v>729</v>
      </c>
      <c r="AV1079" t="s">
        <v>730</v>
      </c>
      <c r="AW1079" t="s">
        <v>214</v>
      </c>
      <c r="AX1079" s="4" t="str">
        <f>"70535"</f>
        <v>70535</v>
      </c>
      <c r="AY1079" t="s">
        <v>120</v>
      </c>
      <c r="BA1079" s="5">
        <v>13374663722</v>
      </c>
      <c r="BC1079" t="s">
        <v>731</v>
      </c>
      <c r="BD1079" t="s">
        <v>732</v>
      </c>
      <c r="BE1079" t="s">
        <v>214</v>
      </c>
      <c r="BF1079" t="s">
        <v>733</v>
      </c>
      <c r="BG1079" t="s">
        <v>214</v>
      </c>
      <c r="BH1079" s="1">
        <v>44789.833333333336</v>
      </c>
      <c r="BI1079">
        <v>40</v>
      </c>
      <c r="BJ1079">
        <v>0</v>
      </c>
      <c r="BK1079">
        <v>8</v>
      </c>
      <c r="BL1079">
        <v>8</v>
      </c>
      <c r="BM1079">
        <v>8</v>
      </c>
      <c r="BN1079">
        <v>8</v>
      </c>
      <c r="BO1079">
        <v>8</v>
      </c>
      <c r="BP1079">
        <v>0</v>
      </c>
      <c r="BQ1079" t="str">
        <f>"7:00 AM"</f>
        <v>7:00 AM</v>
      </c>
      <c r="BR1079" t="str">
        <f>"3:00 PM"</f>
        <v>3:00 PM</v>
      </c>
      <c r="BS1079" t="s">
        <v>133</v>
      </c>
      <c r="BT1079">
        <v>0</v>
      </c>
      <c r="BU1079">
        <v>0</v>
      </c>
      <c r="BV1079" t="s">
        <v>134</v>
      </c>
      <c r="BX1079" s="2" t="s">
        <v>734</v>
      </c>
      <c r="BY1079" t="s">
        <v>735</v>
      </c>
      <c r="CA1079" t="s">
        <v>721</v>
      </c>
      <c r="CB1079" t="s">
        <v>214</v>
      </c>
      <c r="CC1079" s="4" t="str">
        <f>"70767"</f>
        <v>70767</v>
      </c>
      <c r="CD1079" t="s">
        <v>736</v>
      </c>
      <c r="CE1079" t="s">
        <v>737</v>
      </c>
      <c r="CF1079" s="6">
        <v>10.14</v>
      </c>
      <c r="CG1079" s="6">
        <v>10.14</v>
      </c>
      <c r="CH1079" s="6">
        <v>15.21</v>
      </c>
      <c r="CI1079" s="6">
        <v>15.21</v>
      </c>
      <c r="CJ1079" t="s">
        <v>137</v>
      </c>
      <c r="CK1079" t="s">
        <v>738</v>
      </c>
      <c r="CL1079" t="s">
        <v>739</v>
      </c>
      <c r="CO1079" t="s">
        <v>138</v>
      </c>
      <c r="CP1079" t="s">
        <v>134</v>
      </c>
      <c r="CQ1079" t="s">
        <v>114</v>
      </c>
      <c r="CR1079" t="s">
        <v>114</v>
      </c>
      <c r="CS1079" t="s">
        <v>114</v>
      </c>
      <c r="CT1079" t="s">
        <v>114</v>
      </c>
      <c r="CU1079" t="s">
        <v>114</v>
      </c>
      <c r="CV1079" t="s">
        <v>740</v>
      </c>
      <c r="CW1079" s="5" t="str">
        <f>"+12259382834"</f>
        <v>+12259382834</v>
      </c>
      <c r="CX1079" t="s">
        <v>724</v>
      </c>
      <c r="CY1079" t="s">
        <v>138</v>
      </c>
      <c r="CZ1079" t="s">
        <v>139</v>
      </c>
      <c r="DA1079" t="s">
        <v>134</v>
      </c>
      <c r="DB1079" t="s">
        <v>134</v>
      </c>
      <c r="DC1079" t="s">
        <v>114</v>
      </c>
      <c r="DD1079" t="s">
        <v>134</v>
      </c>
    </row>
    <row r="1080" spans="1:113" ht="15" customHeight="1" x14ac:dyDescent="0.25">
      <c r="A1080" t="s">
        <v>8652</v>
      </c>
      <c r="B1080" t="s">
        <v>165</v>
      </c>
      <c r="C1080" s="1">
        <v>44789.875449421299</v>
      </c>
      <c r="D1080" s="1">
        <v>44838</v>
      </c>
      <c r="E1080" t="s">
        <v>134</v>
      </c>
      <c r="F1080" t="s">
        <v>115</v>
      </c>
      <c r="G1080" t="str">
        <f>"37-2012.00"</f>
        <v>37-2012.00</v>
      </c>
      <c r="H1080" t="s">
        <v>116</v>
      </c>
      <c r="I1080">
        <v>47</v>
      </c>
      <c r="J1080">
        <v>47</v>
      </c>
      <c r="K1080" s="1">
        <v>44879</v>
      </c>
      <c r="L1080" s="1">
        <v>45021</v>
      </c>
      <c r="M1080" s="1">
        <v>44879</v>
      </c>
      <c r="N1080" s="1">
        <v>45021</v>
      </c>
      <c r="O1080" t="s">
        <v>117</v>
      </c>
      <c r="P1080" t="s">
        <v>8653</v>
      </c>
      <c r="Q1080" t="s">
        <v>8654</v>
      </c>
      <c r="R1080" t="s">
        <v>8655</v>
      </c>
      <c r="S1080" t="s">
        <v>8656</v>
      </c>
      <c r="T1080" t="s">
        <v>5250</v>
      </c>
      <c r="U1080" t="s">
        <v>420</v>
      </c>
      <c r="V1080" s="4" t="str">
        <f>"84060"</f>
        <v>84060</v>
      </c>
      <c r="W1080" t="s">
        <v>120</v>
      </c>
      <c r="Y1080" s="5">
        <v>14356456653</v>
      </c>
      <c r="AA1080">
        <v>721110</v>
      </c>
      <c r="AB1080" t="s">
        <v>8657</v>
      </c>
      <c r="AC1080" t="s">
        <v>8658</v>
      </c>
      <c r="AE1080" t="s">
        <v>5253</v>
      </c>
      <c r="AF1080" t="s">
        <v>8659</v>
      </c>
      <c r="AG1080" t="s">
        <v>8655</v>
      </c>
      <c r="AH1080" t="s">
        <v>5250</v>
      </c>
      <c r="AI1080" t="s">
        <v>420</v>
      </c>
      <c r="AJ1080" s="4" t="str">
        <f>"84060"</f>
        <v>84060</v>
      </c>
      <c r="AK1080" t="s">
        <v>120</v>
      </c>
      <c r="AM1080" s="5">
        <v>14356456653</v>
      </c>
      <c r="AO1080" t="s">
        <v>8660</v>
      </c>
      <c r="AP1080" t="s">
        <v>122</v>
      </c>
      <c r="AQ1080" t="s">
        <v>3685</v>
      </c>
      <c r="AR1080" t="s">
        <v>2874</v>
      </c>
      <c r="AS1080" t="s">
        <v>3686</v>
      </c>
      <c r="AT1080" t="s">
        <v>3687</v>
      </c>
      <c r="AU1080" t="s">
        <v>152</v>
      </c>
      <c r="AV1080" t="s">
        <v>3688</v>
      </c>
      <c r="AW1080" t="s">
        <v>444</v>
      </c>
      <c r="AX1080" s="4" t="str">
        <f>"91361"</f>
        <v>91361</v>
      </c>
      <c r="AY1080" t="s">
        <v>120</v>
      </c>
      <c r="BA1080" s="5">
        <v>18052611393</v>
      </c>
      <c r="BC1080" t="s">
        <v>3689</v>
      </c>
      <c r="BD1080" t="s">
        <v>3690</v>
      </c>
      <c r="BE1080" t="s">
        <v>154</v>
      </c>
      <c r="BF1080" t="s">
        <v>157</v>
      </c>
      <c r="BG1080" t="s">
        <v>420</v>
      </c>
      <c r="BH1080" s="1">
        <v>44788.833333333336</v>
      </c>
      <c r="BI1080">
        <v>35</v>
      </c>
      <c r="BJ1080">
        <v>5</v>
      </c>
      <c r="BK1080">
        <v>5</v>
      </c>
      <c r="BL1080">
        <v>5</v>
      </c>
      <c r="BM1080">
        <v>5</v>
      </c>
      <c r="BN1080">
        <v>5</v>
      </c>
      <c r="BO1080">
        <v>5</v>
      </c>
      <c r="BP1080">
        <v>5</v>
      </c>
      <c r="BQ1080" t="str">
        <f>"6:00 AM"</f>
        <v>6:00 AM</v>
      </c>
      <c r="BR1080" t="str">
        <f>"10:00 PM"</f>
        <v>10:00 PM</v>
      </c>
      <c r="BS1080" t="s">
        <v>133</v>
      </c>
      <c r="BT1080">
        <v>0</v>
      </c>
      <c r="BU1080">
        <v>6</v>
      </c>
      <c r="BV1080" t="s">
        <v>134</v>
      </c>
      <c r="BX1080" s="2" t="s">
        <v>8661</v>
      </c>
      <c r="BY1080" t="s">
        <v>8655</v>
      </c>
      <c r="CA1080" t="s">
        <v>5250</v>
      </c>
      <c r="CB1080" t="s">
        <v>420</v>
      </c>
      <c r="CC1080" s="4" t="str">
        <f>"84060"</f>
        <v>84060</v>
      </c>
      <c r="CD1080" t="s">
        <v>1459</v>
      </c>
      <c r="CE1080" t="s">
        <v>4193</v>
      </c>
      <c r="CF1080" s="6">
        <v>13.65</v>
      </c>
      <c r="CG1080" s="6">
        <v>24</v>
      </c>
      <c r="CH1080" s="6">
        <v>20.48</v>
      </c>
      <c r="CI1080" s="6">
        <v>36</v>
      </c>
      <c r="CJ1080" t="s">
        <v>137</v>
      </c>
      <c r="CK1080" s="2" t="s">
        <v>8662</v>
      </c>
      <c r="CL1080" t="s">
        <v>8663</v>
      </c>
      <c r="CO1080" t="s">
        <v>138</v>
      </c>
      <c r="CP1080" t="s">
        <v>114</v>
      </c>
      <c r="CQ1080" t="s">
        <v>134</v>
      </c>
      <c r="CR1080" t="s">
        <v>114</v>
      </c>
      <c r="CS1080" t="s">
        <v>114</v>
      </c>
      <c r="CT1080" t="s">
        <v>114</v>
      </c>
      <c r="CU1080" t="s">
        <v>114</v>
      </c>
      <c r="CV1080" s="2" t="s">
        <v>8664</v>
      </c>
      <c r="CW1080" s="5" t="str">
        <f>"+14356152340"</f>
        <v>+14356152340</v>
      </c>
      <c r="CX1080" t="s">
        <v>8665</v>
      </c>
      <c r="CY1080" t="s">
        <v>138</v>
      </c>
      <c r="CZ1080" t="s">
        <v>139</v>
      </c>
      <c r="DA1080" t="s">
        <v>134</v>
      </c>
      <c r="DB1080" t="s">
        <v>134</v>
      </c>
      <c r="DC1080" t="s">
        <v>114</v>
      </c>
      <c r="DD1080" t="s">
        <v>134</v>
      </c>
    </row>
    <row r="1081" spans="1:113" ht="15" customHeight="1" x14ac:dyDescent="0.25">
      <c r="A1081" t="s">
        <v>438</v>
      </c>
      <c r="B1081" t="s">
        <v>165</v>
      </c>
      <c r="C1081" s="1">
        <v>44785.534317361111</v>
      </c>
      <c r="D1081" s="1">
        <v>44838</v>
      </c>
      <c r="E1081" t="s">
        <v>114</v>
      </c>
      <c r="F1081" t="s">
        <v>439</v>
      </c>
      <c r="G1081" t="str">
        <f>"35-3022.00"</f>
        <v>35-3022.00</v>
      </c>
      <c r="H1081" t="s">
        <v>440</v>
      </c>
      <c r="I1081">
        <v>25</v>
      </c>
      <c r="J1081">
        <v>25</v>
      </c>
      <c r="K1081" s="1">
        <v>44866</v>
      </c>
      <c r="L1081" s="1">
        <v>45046</v>
      </c>
      <c r="M1081" s="1">
        <v>44866</v>
      </c>
      <c r="N1081" s="1">
        <v>45046</v>
      </c>
      <c r="O1081" t="s">
        <v>199</v>
      </c>
      <c r="P1081" t="s">
        <v>441</v>
      </c>
      <c r="R1081" t="s">
        <v>442</v>
      </c>
      <c r="T1081" t="s">
        <v>443</v>
      </c>
      <c r="U1081" t="s">
        <v>444</v>
      </c>
      <c r="V1081" s="4" t="str">
        <f>"96161"</f>
        <v>96161</v>
      </c>
      <c r="W1081" t="s">
        <v>120</v>
      </c>
      <c r="Y1081" s="5">
        <v>15305810600</v>
      </c>
      <c r="AA1081">
        <v>72251</v>
      </c>
      <c r="AB1081" t="s">
        <v>445</v>
      </c>
      <c r="AC1081" t="s">
        <v>446</v>
      </c>
      <c r="AE1081" t="s">
        <v>342</v>
      </c>
      <c r="AF1081" t="s">
        <v>447</v>
      </c>
      <c r="AH1081" t="s">
        <v>448</v>
      </c>
      <c r="AI1081" t="s">
        <v>444</v>
      </c>
      <c r="AJ1081" s="4" t="str">
        <f>"96140"</f>
        <v>96140</v>
      </c>
      <c r="AK1081" t="s">
        <v>120</v>
      </c>
      <c r="AM1081" s="5">
        <v>15305810600</v>
      </c>
      <c r="AO1081" t="s">
        <v>449</v>
      </c>
      <c r="AP1081" t="s">
        <v>122</v>
      </c>
      <c r="AQ1081" t="s">
        <v>450</v>
      </c>
      <c r="AR1081" t="s">
        <v>451</v>
      </c>
      <c r="AS1081" t="s">
        <v>452</v>
      </c>
      <c r="AT1081" t="s">
        <v>453</v>
      </c>
      <c r="AU1081" t="s">
        <v>454</v>
      </c>
      <c r="AV1081" t="s">
        <v>455</v>
      </c>
      <c r="AW1081" t="s">
        <v>154</v>
      </c>
      <c r="AX1081" s="4" t="str">
        <f>"32789"</f>
        <v>32789</v>
      </c>
      <c r="AY1081" t="s">
        <v>120</v>
      </c>
      <c r="BA1081" s="5">
        <v>14073354002</v>
      </c>
      <c r="BC1081" t="s">
        <v>456</v>
      </c>
      <c r="BD1081" t="s">
        <v>457</v>
      </c>
      <c r="BE1081" t="s">
        <v>154</v>
      </c>
      <c r="BF1081" t="s">
        <v>458</v>
      </c>
      <c r="BG1081" t="s">
        <v>444</v>
      </c>
      <c r="BH1081" s="1">
        <v>44784.833333333336</v>
      </c>
      <c r="BI1081">
        <v>35</v>
      </c>
      <c r="BJ1081">
        <v>5</v>
      </c>
      <c r="BK1081">
        <v>5</v>
      </c>
      <c r="BL1081">
        <v>5</v>
      </c>
      <c r="BM1081">
        <v>5</v>
      </c>
      <c r="BN1081">
        <v>5</v>
      </c>
      <c r="BO1081">
        <v>5</v>
      </c>
      <c r="BP1081">
        <v>5</v>
      </c>
      <c r="BQ1081" t="str">
        <f>"8:00 AM"</f>
        <v>8:00 AM</v>
      </c>
      <c r="BR1081" t="str">
        <f>"1:00 PM"</f>
        <v>1:00 PM</v>
      </c>
      <c r="BS1081" t="s">
        <v>133</v>
      </c>
      <c r="BT1081">
        <v>0</v>
      </c>
      <c r="BU1081">
        <v>0</v>
      </c>
      <c r="BV1081" t="s">
        <v>134</v>
      </c>
      <c r="BX1081" t="s">
        <v>459</v>
      </c>
      <c r="BY1081" t="s">
        <v>460</v>
      </c>
      <c r="BZ1081" t="s">
        <v>461</v>
      </c>
      <c r="CA1081" t="s">
        <v>443</v>
      </c>
      <c r="CB1081" t="s">
        <v>444</v>
      </c>
      <c r="CC1081" s="4" t="str">
        <f>"96161"</f>
        <v>96161</v>
      </c>
      <c r="CD1081" t="s">
        <v>462</v>
      </c>
      <c r="CE1081" t="s">
        <v>463</v>
      </c>
      <c r="CF1081" s="6">
        <v>14.18</v>
      </c>
      <c r="CG1081" s="6">
        <v>14.18</v>
      </c>
      <c r="CJ1081" t="s">
        <v>137</v>
      </c>
      <c r="CK1081" t="s">
        <v>464</v>
      </c>
      <c r="CL1081" t="s">
        <v>465</v>
      </c>
      <c r="CO1081" t="s">
        <v>138</v>
      </c>
      <c r="CP1081" t="s">
        <v>114</v>
      </c>
      <c r="CQ1081" t="s">
        <v>134</v>
      </c>
      <c r="CR1081" t="s">
        <v>134</v>
      </c>
      <c r="CS1081" t="s">
        <v>114</v>
      </c>
      <c r="CT1081" t="s">
        <v>114</v>
      </c>
      <c r="CU1081" t="s">
        <v>134</v>
      </c>
      <c r="CV1081" t="s">
        <v>133</v>
      </c>
      <c r="CW1081" s="5" t="str">
        <f>"+15305810600"</f>
        <v>+15305810600</v>
      </c>
      <c r="CX1081" t="s">
        <v>449</v>
      </c>
      <c r="CY1081" t="s">
        <v>138</v>
      </c>
      <c r="CZ1081" t="s">
        <v>139</v>
      </c>
      <c r="DA1081" t="s">
        <v>134</v>
      </c>
      <c r="DB1081" t="s">
        <v>134</v>
      </c>
      <c r="DC1081" t="s">
        <v>114</v>
      </c>
      <c r="DD1081" t="s">
        <v>134</v>
      </c>
    </row>
    <row r="1082" spans="1:113" ht="15" customHeight="1" x14ac:dyDescent="0.25">
      <c r="A1082" t="s">
        <v>6657</v>
      </c>
      <c r="B1082" t="s">
        <v>165</v>
      </c>
      <c r="C1082" s="1">
        <v>44776.809245254626</v>
      </c>
      <c r="D1082" s="1">
        <v>44838</v>
      </c>
      <c r="E1082" t="s">
        <v>134</v>
      </c>
      <c r="F1082" t="s">
        <v>6658</v>
      </c>
      <c r="G1082" t="str">
        <f>"31-9091.00"</f>
        <v>31-9091.00</v>
      </c>
      <c r="H1082" t="s">
        <v>4971</v>
      </c>
      <c r="I1082">
        <v>1</v>
      </c>
      <c r="J1082">
        <v>1</v>
      </c>
      <c r="K1082" s="1">
        <v>44851</v>
      </c>
      <c r="L1082" s="1">
        <v>45215</v>
      </c>
      <c r="M1082" s="1">
        <v>44851</v>
      </c>
      <c r="N1082" s="1">
        <v>45215</v>
      </c>
      <c r="O1082" t="s">
        <v>168</v>
      </c>
      <c r="P1082" t="s">
        <v>6659</v>
      </c>
      <c r="Q1082" t="s">
        <v>6660</v>
      </c>
      <c r="R1082" t="s">
        <v>6661</v>
      </c>
      <c r="T1082" t="s">
        <v>6662</v>
      </c>
      <c r="U1082" t="s">
        <v>154</v>
      </c>
      <c r="V1082" s="4" t="str">
        <f>"33040"</f>
        <v>33040</v>
      </c>
      <c r="W1082" t="s">
        <v>120</v>
      </c>
      <c r="Y1082" s="5">
        <v>13052968541</v>
      </c>
      <c r="AA1082">
        <v>621210</v>
      </c>
      <c r="AB1082" t="s">
        <v>6663</v>
      </c>
      <c r="AC1082" t="s">
        <v>6664</v>
      </c>
      <c r="AE1082" t="s">
        <v>1569</v>
      </c>
      <c r="AF1082" t="s">
        <v>6661</v>
      </c>
      <c r="AH1082" t="s">
        <v>6662</v>
      </c>
      <c r="AI1082" t="s">
        <v>154</v>
      </c>
      <c r="AJ1082" s="4" t="str">
        <f>"33040"</f>
        <v>33040</v>
      </c>
      <c r="AK1082" t="s">
        <v>120</v>
      </c>
      <c r="AM1082" s="5">
        <v>13052968541</v>
      </c>
      <c r="AO1082" t="s">
        <v>6665</v>
      </c>
      <c r="AP1082" t="s">
        <v>122</v>
      </c>
      <c r="AQ1082" t="s">
        <v>1152</v>
      </c>
      <c r="AR1082" t="s">
        <v>1153</v>
      </c>
      <c r="AS1082" t="s">
        <v>1154</v>
      </c>
      <c r="AT1082" t="s">
        <v>1155</v>
      </c>
      <c r="AU1082" t="s">
        <v>1156</v>
      </c>
      <c r="AV1082" t="s">
        <v>1157</v>
      </c>
      <c r="AW1082" t="s">
        <v>154</v>
      </c>
      <c r="AX1082" s="4" t="str">
        <f>"33186"</f>
        <v>33186</v>
      </c>
      <c r="AY1082" t="s">
        <v>120</v>
      </c>
      <c r="BA1082" s="5">
        <v>13056706767</v>
      </c>
      <c r="BC1082" t="s">
        <v>1158</v>
      </c>
      <c r="BD1082" t="s">
        <v>1159</v>
      </c>
      <c r="BE1082" t="s">
        <v>154</v>
      </c>
      <c r="BF1082" t="s">
        <v>218</v>
      </c>
      <c r="BG1082" t="s">
        <v>154</v>
      </c>
      <c r="BH1082" s="1">
        <v>44775.833333333336</v>
      </c>
      <c r="BI1082">
        <v>40</v>
      </c>
      <c r="BJ1082">
        <v>0</v>
      </c>
      <c r="BK1082">
        <v>8</v>
      </c>
      <c r="BL1082">
        <v>8</v>
      </c>
      <c r="BM1082">
        <v>8</v>
      </c>
      <c r="BN1082">
        <v>8</v>
      </c>
      <c r="BO1082">
        <v>8</v>
      </c>
      <c r="BP1082">
        <v>0</v>
      </c>
      <c r="BQ1082" t="str">
        <f>"8:00 AM"</f>
        <v>8:00 AM</v>
      </c>
      <c r="BR1082" t="str">
        <f>"5:00 PM"</f>
        <v>5:00 PM</v>
      </c>
      <c r="BS1082" t="s">
        <v>133</v>
      </c>
      <c r="BT1082">
        <v>0</v>
      </c>
      <c r="BU1082">
        <v>12</v>
      </c>
      <c r="BV1082" t="s">
        <v>134</v>
      </c>
      <c r="BX1082" s="2" t="s">
        <v>6666</v>
      </c>
      <c r="BY1082" t="s">
        <v>6661</v>
      </c>
      <c r="CA1082" t="s">
        <v>6662</v>
      </c>
      <c r="CB1082" t="s">
        <v>154</v>
      </c>
      <c r="CC1082" s="4" t="str">
        <f>"33040"</f>
        <v>33040</v>
      </c>
      <c r="CD1082" t="s">
        <v>765</v>
      </c>
      <c r="CE1082" t="s">
        <v>766</v>
      </c>
      <c r="CF1082" s="6">
        <v>19.16</v>
      </c>
      <c r="CH1082" s="6">
        <v>28.74</v>
      </c>
      <c r="CJ1082" t="s">
        <v>137</v>
      </c>
      <c r="CL1082" t="s">
        <v>6667</v>
      </c>
      <c r="CO1082" t="s">
        <v>138</v>
      </c>
      <c r="CP1082" t="s">
        <v>134</v>
      </c>
      <c r="CQ1082" t="s">
        <v>134</v>
      </c>
      <c r="CR1082" t="s">
        <v>114</v>
      </c>
      <c r="CS1082" t="s">
        <v>134</v>
      </c>
      <c r="CT1082" t="s">
        <v>114</v>
      </c>
      <c r="CU1082" t="s">
        <v>134</v>
      </c>
      <c r="CV1082" t="s">
        <v>5345</v>
      </c>
      <c r="CW1082" s="5" t="str">
        <f>"+13052968541"</f>
        <v>+13052968541</v>
      </c>
      <c r="CX1082" t="s">
        <v>6665</v>
      </c>
      <c r="CY1082" t="s">
        <v>138</v>
      </c>
      <c r="CZ1082" t="s">
        <v>139</v>
      </c>
      <c r="DA1082" t="s">
        <v>134</v>
      </c>
      <c r="DB1082" t="s">
        <v>134</v>
      </c>
      <c r="DC1082" t="s">
        <v>114</v>
      </c>
      <c r="DD1082" t="s">
        <v>134</v>
      </c>
    </row>
    <row r="1083" spans="1:113" ht="15" customHeight="1" x14ac:dyDescent="0.25">
      <c r="A1083" t="s">
        <v>13880</v>
      </c>
      <c r="B1083" t="s">
        <v>165</v>
      </c>
      <c r="C1083" s="1">
        <v>44773.541235300923</v>
      </c>
      <c r="D1083" s="1">
        <v>44838</v>
      </c>
      <c r="E1083" t="s">
        <v>134</v>
      </c>
      <c r="F1083" t="s">
        <v>245</v>
      </c>
      <c r="G1083" t="str">
        <f>"53-7062.00"</f>
        <v>53-7062.00</v>
      </c>
      <c r="H1083" t="s">
        <v>245</v>
      </c>
      <c r="I1083">
        <v>25</v>
      </c>
      <c r="J1083">
        <v>25</v>
      </c>
      <c r="K1083" s="1">
        <v>44849</v>
      </c>
      <c r="L1083" s="1">
        <v>45107</v>
      </c>
      <c r="M1083" s="1">
        <v>44849</v>
      </c>
      <c r="N1083" s="1">
        <v>45107</v>
      </c>
      <c r="O1083" t="s">
        <v>117</v>
      </c>
      <c r="P1083" t="s">
        <v>13881</v>
      </c>
      <c r="R1083" t="s">
        <v>13882</v>
      </c>
      <c r="S1083" t="s">
        <v>138</v>
      </c>
      <c r="T1083" t="s">
        <v>4130</v>
      </c>
      <c r="U1083" t="s">
        <v>848</v>
      </c>
      <c r="V1083" s="4" t="str">
        <f>"12887"</f>
        <v>12887</v>
      </c>
      <c r="W1083" t="s">
        <v>120</v>
      </c>
      <c r="X1083" t="s">
        <v>138</v>
      </c>
      <c r="Y1083" s="5">
        <v>15184990099</v>
      </c>
      <c r="AA1083">
        <v>321211</v>
      </c>
      <c r="AB1083" t="s">
        <v>1713</v>
      </c>
      <c r="AC1083" t="s">
        <v>2935</v>
      </c>
      <c r="AE1083" t="s">
        <v>1710</v>
      </c>
      <c r="AF1083" t="s">
        <v>13882</v>
      </c>
      <c r="AG1083" t="s">
        <v>138</v>
      </c>
      <c r="AH1083" t="s">
        <v>4130</v>
      </c>
      <c r="AI1083" t="s">
        <v>848</v>
      </c>
      <c r="AJ1083" s="4" t="str">
        <f>"12887"</f>
        <v>12887</v>
      </c>
      <c r="AK1083" t="s">
        <v>120</v>
      </c>
      <c r="AM1083" s="5">
        <v>15184990099</v>
      </c>
      <c r="AO1083" t="s">
        <v>13883</v>
      </c>
      <c r="AP1083" t="s">
        <v>256</v>
      </c>
      <c r="AQ1083" t="s">
        <v>4127</v>
      </c>
      <c r="AR1083" t="s">
        <v>4128</v>
      </c>
      <c r="AS1083" t="s">
        <v>1020</v>
      </c>
      <c r="AT1083" t="s">
        <v>4129</v>
      </c>
      <c r="AU1083" t="s">
        <v>138</v>
      </c>
      <c r="AV1083" t="s">
        <v>4130</v>
      </c>
      <c r="AW1083" t="s">
        <v>848</v>
      </c>
      <c r="AX1083" s="4" t="str">
        <f>"12887"</f>
        <v>12887</v>
      </c>
      <c r="AY1083" t="s">
        <v>120</v>
      </c>
      <c r="BA1083" s="5">
        <v>15183619567</v>
      </c>
      <c r="BC1083" t="s">
        <v>4131</v>
      </c>
      <c r="BD1083" t="s">
        <v>13884</v>
      </c>
      <c r="BG1083" t="s">
        <v>848</v>
      </c>
      <c r="BH1083" s="1">
        <v>44772.833333333336</v>
      </c>
      <c r="BI1083">
        <v>40</v>
      </c>
      <c r="BJ1083">
        <v>0</v>
      </c>
      <c r="BK1083">
        <v>8</v>
      </c>
      <c r="BL1083">
        <v>8</v>
      </c>
      <c r="BM1083">
        <v>8</v>
      </c>
      <c r="BN1083">
        <v>8</v>
      </c>
      <c r="BO1083">
        <v>8</v>
      </c>
      <c r="BP1083">
        <v>0</v>
      </c>
      <c r="BQ1083" t="str">
        <f>"6:00 AM"</f>
        <v>6:00 AM</v>
      </c>
      <c r="BR1083" t="str">
        <f>"2:30 PM"</f>
        <v>2:30 PM</v>
      </c>
      <c r="BS1083" t="s">
        <v>133</v>
      </c>
      <c r="BT1083">
        <v>0</v>
      </c>
      <c r="BU1083">
        <v>0</v>
      </c>
      <c r="BV1083" t="s">
        <v>134</v>
      </c>
      <c r="BX1083" t="s">
        <v>13885</v>
      </c>
      <c r="BY1083" t="s">
        <v>13882</v>
      </c>
      <c r="BZ1083" t="s">
        <v>138</v>
      </c>
      <c r="CA1083" t="s">
        <v>4130</v>
      </c>
      <c r="CB1083" t="s">
        <v>848</v>
      </c>
      <c r="CC1083" s="4" t="str">
        <f>"12887"</f>
        <v>12887</v>
      </c>
      <c r="CD1083" t="s">
        <v>1345</v>
      </c>
      <c r="CE1083" t="s">
        <v>1536</v>
      </c>
      <c r="CF1083" s="6">
        <v>17.36</v>
      </c>
      <c r="CG1083" s="6">
        <v>18.36</v>
      </c>
      <c r="CH1083" s="6">
        <v>26.04</v>
      </c>
      <c r="CI1083" s="6">
        <v>27.54</v>
      </c>
      <c r="CJ1083" t="s">
        <v>137</v>
      </c>
      <c r="CK1083" t="s">
        <v>13886</v>
      </c>
      <c r="CL1083" t="s">
        <v>13887</v>
      </c>
      <c r="CO1083" t="s">
        <v>138</v>
      </c>
      <c r="CP1083" t="s">
        <v>134</v>
      </c>
      <c r="CQ1083" t="s">
        <v>134</v>
      </c>
      <c r="CR1083" t="s">
        <v>114</v>
      </c>
      <c r="CS1083" t="s">
        <v>134</v>
      </c>
      <c r="CT1083" t="s">
        <v>114</v>
      </c>
      <c r="CU1083" t="s">
        <v>134</v>
      </c>
      <c r="CV1083" t="s">
        <v>13888</v>
      </c>
      <c r="CW1083" s="5" t="str">
        <f>"+15184990099"</f>
        <v>+15184990099</v>
      </c>
      <c r="CX1083" t="s">
        <v>13889</v>
      </c>
      <c r="CY1083" t="s">
        <v>138</v>
      </c>
      <c r="CZ1083" t="s">
        <v>139</v>
      </c>
      <c r="DA1083" t="s">
        <v>134</v>
      </c>
      <c r="DB1083" t="s">
        <v>114</v>
      </c>
      <c r="DC1083" t="s">
        <v>114</v>
      </c>
      <c r="DD1083" t="s">
        <v>134</v>
      </c>
    </row>
    <row r="1084" spans="1:113" ht="15" customHeight="1" x14ac:dyDescent="0.25">
      <c r="A1084" t="s">
        <v>11596</v>
      </c>
      <c r="B1084" t="s">
        <v>165</v>
      </c>
      <c r="C1084" s="1">
        <v>44771.513144675926</v>
      </c>
      <c r="D1084" s="1">
        <v>44838</v>
      </c>
      <c r="E1084" t="s">
        <v>134</v>
      </c>
      <c r="F1084" t="s">
        <v>11597</v>
      </c>
      <c r="G1084" t="str">
        <f>"53-7062.00"</f>
        <v>53-7062.00</v>
      </c>
      <c r="H1084" t="s">
        <v>245</v>
      </c>
      <c r="I1084">
        <v>8</v>
      </c>
      <c r="J1084">
        <v>8</v>
      </c>
      <c r="K1084" s="1">
        <v>44846</v>
      </c>
      <c r="L1084" s="1">
        <v>45107</v>
      </c>
      <c r="M1084" s="1">
        <v>44846</v>
      </c>
      <c r="N1084" s="1">
        <v>45107</v>
      </c>
      <c r="O1084" t="s">
        <v>117</v>
      </c>
      <c r="P1084" t="s">
        <v>11598</v>
      </c>
      <c r="R1084" t="s">
        <v>11599</v>
      </c>
      <c r="T1084" t="s">
        <v>11600</v>
      </c>
      <c r="U1084" t="s">
        <v>214</v>
      </c>
      <c r="V1084" s="4" t="str">
        <f>"70466"</f>
        <v>70466</v>
      </c>
      <c r="W1084" t="s">
        <v>120</v>
      </c>
      <c r="Y1084" s="5">
        <v>12252096300</v>
      </c>
      <c r="AA1084">
        <v>811198</v>
      </c>
      <c r="AB1084" t="s">
        <v>5957</v>
      </c>
      <c r="AC1084" t="s">
        <v>3212</v>
      </c>
      <c r="AE1084" t="s">
        <v>424</v>
      </c>
      <c r="AF1084" t="s">
        <v>11599</v>
      </c>
      <c r="AH1084" t="s">
        <v>11600</v>
      </c>
      <c r="AI1084" t="s">
        <v>214</v>
      </c>
      <c r="AJ1084" s="4" t="str">
        <f>"70466"</f>
        <v>70466</v>
      </c>
      <c r="AK1084" t="s">
        <v>120</v>
      </c>
      <c r="AM1084" s="5">
        <v>12252096300</v>
      </c>
      <c r="AO1084" t="s">
        <v>11601</v>
      </c>
      <c r="AP1084" t="s">
        <v>122</v>
      </c>
      <c r="AQ1084" t="s">
        <v>725</v>
      </c>
      <c r="AR1084" t="s">
        <v>726</v>
      </c>
      <c r="AS1084" t="s">
        <v>727</v>
      </c>
      <c r="AT1084" t="s">
        <v>9883</v>
      </c>
      <c r="AU1084" t="s">
        <v>1808</v>
      </c>
      <c r="AV1084" t="s">
        <v>730</v>
      </c>
      <c r="AW1084" t="s">
        <v>214</v>
      </c>
      <c r="AX1084" s="4" t="str">
        <f>"70535"</f>
        <v>70535</v>
      </c>
      <c r="AY1084" t="s">
        <v>120</v>
      </c>
      <c r="BA1084" s="5">
        <v>13374663722</v>
      </c>
      <c r="BC1084" t="s">
        <v>731</v>
      </c>
      <c r="BD1084" t="s">
        <v>6861</v>
      </c>
      <c r="BE1084" t="s">
        <v>214</v>
      </c>
      <c r="BF1084" t="s">
        <v>733</v>
      </c>
      <c r="BG1084" t="s">
        <v>214</v>
      </c>
      <c r="BH1084" s="1">
        <v>44769.833333333336</v>
      </c>
      <c r="BI1084">
        <v>50</v>
      </c>
      <c r="BJ1084">
        <v>0</v>
      </c>
      <c r="BK1084">
        <v>9</v>
      </c>
      <c r="BL1084">
        <v>9</v>
      </c>
      <c r="BM1084">
        <v>9</v>
      </c>
      <c r="BN1084">
        <v>9</v>
      </c>
      <c r="BO1084">
        <v>9</v>
      </c>
      <c r="BP1084">
        <v>5</v>
      </c>
      <c r="BQ1084" t="str">
        <f>"7:00 AM"</f>
        <v>7:00 AM</v>
      </c>
      <c r="BR1084" t="str">
        <f>"5:00 PM"</f>
        <v>5:00 PM</v>
      </c>
      <c r="BS1084" t="s">
        <v>133</v>
      </c>
      <c r="BT1084">
        <v>0</v>
      </c>
      <c r="BU1084">
        <v>0</v>
      </c>
      <c r="BV1084" t="s">
        <v>134</v>
      </c>
      <c r="BX1084" s="2" t="s">
        <v>11602</v>
      </c>
      <c r="BY1084" t="s">
        <v>11599</v>
      </c>
      <c r="CA1084" t="s">
        <v>11600</v>
      </c>
      <c r="CB1084" t="s">
        <v>214</v>
      </c>
      <c r="CC1084" s="4" t="str">
        <f>"70466"</f>
        <v>70466</v>
      </c>
      <c r="CD1084" t="s">
        <v>4567</v>
      </c>
      <c r="CE1084" t="s">
        <v>4568</v>
      </c>
      <c r="CF1084" s="6">
        <v>16.21</v>
      </c>
      <c r="CG1084" s="6">
        <v>16.21</v>
      </c>
      <c r="CH1084" s="6">
        <v>24.32</v>
      </c>
      <c r="CI1084" s="6">
        <v>24.32</v>
      </c>
      <c r="CJ1084" t="s">
        <v>137</v>
      </c>
      <c r="CK1084" t="s">
        <v>11603</v>
      </c>
      <c r="CL1084" t="s">
        <v>11604</v>
      </c>
      <c r="CO1084" t="s">
        <v>138</v>
      </c>
      <c r="CP1084" t="s">
        <v>134</v>
      </c>
      <c r="CQ1084" t="s">
        <v>114</v>
      </c>
      <c r="CR1084" t="s">
        <v>114</v>
      </c>
      <c r="CS1084" t="s">
        <v>114</v>
      </c>
      <c r="CT1084" t="s">
        <v>114</v>
      </c>
      <c r="CU1084" t="s">
        <v>114</v>
      </c>
      <c r="CV1084" s="2" t="s">
        <v>11605</v>
      </c>
      <c r="CW1084" s="5" t="str">
        <f>"+12252096300"</f>
        <v>+12252096300</v>
      </c>
      <c r="CX1084" t="s">
        <v>11601</v>
      </c>
      <c r="CY1084" t="s">
        <v>138</v>
      </c>
      <c r="CZ1084" t="s">
        <v>139</v>
      </c>
      <c r="DA1084" t="s">
        <v>134</v>
      </c>
      <c r="DB1084" t="s">
        <v>134</v>
      </c>
      <c r="DC1084" t="s">
        <v>114</v>
      </c>
      <c r="DD1084" t="s">
        <v>134</v>
      </c>
    </row>
    <row r="1085" spans="1:113" ht="15" customHeight="1" x14ac:dyDescent="0.25">
      <c r="A1085" t="s">
        <v>14511</v>
      </c>
      <c r="B1085" t="s">
        <v>165</v>
      </c>
      <c r="C1085" s="1">
        <v>44767.844189930554</v>
      </c>
      <c r="D1085" s="1">
        <v>44838</v>
      </c>
      <c r="E1085" t="s">
        <v>134</v>
      </c>
      <c r="F1085" t="s">
        <v>5933</v>
      </c>
      <c r="G1085" t="str">
        <f>"53-3032.00"</f>
        <v>53-3032.00</v>
      </c>
      <c r="H1085" t="s">
        <v>227</v>
      </c>
      <c r="I1085">
        <v>5</v>
      </c>
      <c r="J1085">
        <v>5</v>
      </c>
      <c r="K1085" s="1">
        <v>44844</v>
      </c>
      <c r="L1085" s="1">
        <v>44926</v>
      </c>
      <c r="M1085" s="1">
        <v>44844</v>
      </c>
      <c r="N1085" s="1">
        <v>44926</v>
      </c>
      <c r="O1085" t="s">
        <v>117</v>
      </c>
      <c r="P1085" t="s">
        <v>14512</v>
      </c>
      <c r="R1085" t="s">
        <v>14513</v>
      </c>
      <c r="T1085" t="s">
        <v>2635</v>
      </c>
      <c r="U1085" t="s">
        <v>184</v>
      </c>
      <c r="V1085" s="4" t="str">
        <f>"60481"</f>
        <v>60481</v>
      </c>
      <c r="W1085" t="s">
        <v>120</v>
      </c>
      <c r="Y1085" s="5">
        <v>16304338070</v>
      </c>
      <c r="AA1085">
        <v>484220</v>
      </c>
      <c r="AB1085" t="s">
        <v>14514</v>
      </c>
      <c r="AC1085" t="s">
        <v>5569</v>
      </c>
      <c r="AD1085" t="s">
        <v>1730</v>
      </c>
      <c r="AE1085" t="s">
        <v>342</v>
      </c>
      <c r="AF1085" t="s">
        <v>14513</v>
      </c>
      <c r="AH1085" t="s">
        <v>2635</v>
      </c>
      <c r="AI1085" t="s">
        <v>184</v>
      </c>
      <c r="AJ1085" s="4" t="str">
        <f>"60481"</f>
        <v>60481</v>
      </c>
      <c r="AK1085" t="s">
        <v>120</v>
      </c>
      <c r="AM1085" s="5">
        <v>16304338070</v>
      </c>
      <c r="AO1085" t="s">
        <v>14515</v>
      </c>
      <c r="AP1085" t="s">
        <v>122</v>
      </c>
      <c r="AQ1085" t="s">
        <v>2175</v>
      </c>
      <c r="AR1085" t="s">
        <v>2176</v>
      </c>
      <c r="AS1085" t="s">
        <v>146</v>
      </c>
      <c r="AT1085" t="s">
        <v>2177</v>
      </c>
      <c r="AU1085" t="s">
        <v>138</v>
      </c>
      <c r="AV1085" t="s">
        <v>2178</v>
      </c>
      <c r="AW1085" t="s">
        <v>2081</v>
      </c>
      <c r="AX1085" s="4" t="str">
        <f>"50010"</f>
        <v>50010</v>
      </c>
      <c r="AY1085" t="s">
        <v>120</v>
      </c>
      <c r="BA1085" s="5">
        <v>15152324444</v>
      </c>
      <c r="BB1085">
        <v>0</v>
      </c>
      <c r="BC1085" t="s">
        <v>2179</v>
      </c>
      <c r="BD1085" t="s">
        <v>2180</v>
      </c>
      <c r="BE1085" t="s">
        <v>2081</v>
      </c>
      <c r="BF1085" t="s">
        <v>322</v>
      </c>
      <c r="BG1085" t="s">
        <v>184</v>
      </c>
      <c r="BH1085" s="1">
        <v>44741.833333333336</v>
      </c>
      <c r="BI1085">
        <v>40</v>
      </c>
      <c r="BJ1085">
        <v>0</v>
      </c>
      <c r="BK1085">
        <v>8</v>
      </c>
      <c r="BL1085">
        <v>8</v>
      </c>
      <c r="BM1085">
        <v>8</v>
      </c>
      <c r="BN1085">
        <v>8</v>
      </c>
      <c r="BO1085">
        <v>8</v>
      </c>
      <c r="BP1085">
        <v>0</v>
      </c>
      <c r="BQ1085" t="str">
        <f>"6:00 AM"</f>
        <v>6:00 AM</v>
      </c>
      <c r="BR1085" t="str">
        <f>"5:00 PM"</f>
        <v>5:00 PM</v>
      </c>
      <c r="BS1085" t="s">
        <v>133</v>
      </c>
      <c r="BT1085">
        <v>0</v>
      </c>
      <c r="BU1085">
        <v>0</v>
      </c>
      <c r="BV1085" t="s">
        <v>134</v>
      </c>
      <c r="BX1085" s="2" t="s">
        <v>14516</v>
      </c>
      <c r="BY1085" t="s">
        <v>14513</v>
      </c>
      <c r="CA1085" t="s">
        <v>2635</v>
      </c>
      <c r="CB1085" t="s">
        <v>184</v>
      </c>
      <c r="CC1085" s="4" t="str">
        <f>"60481"</f>
        <v>60481</v>
      </c>
      <c r="CD1085" t="s">
        <v>1918</v>
      </c>
      <c r="CE1085" t="s">
        <v>1556</v>
      </c>
      <c r="CF1085" s="6">
        <v>27.33</v>
      </c>
      <c r="CH1085" s="6">
        <v>40.99</v>
      </c>
      <c r="CJ1085" t="s">
        <v>137</v>
      </c>
      <c r="CK1085" t="s">
        <v>14517</v>
      </c>
      <c r="CL1085" t="s">
        <v>14518</v>
      </c>
      <c r="CO1085" t="s">
        <v>138</v>
      </c>
      <c r="CP1085" t="s">
        <v>114</v>
      </c>
      <c r="CQ1085" t="s">
        <v>114</v>
      </c>
      <c r="CR1085" t="s">
        <v>114</v>
      </c>
      <c r="CS1085" t="s">
        <v>114</v>
      </c>
      <c r="CT1085" t="s">
        <v>114</v>
      </c>
      <c r="CU1085" t="s">
        <v>114</v>
      </c>
      <c r="CV1085" t="s">
        <v>14519</v>
      </c>
      <c r="CW1085" s="5" t="str">
        <f>"+16304338070"</f>
        <v>+16304338070</v>
      </c>
      <c r="CX1085" t="s">
        <v>14515</v>
      </c>
      <c r="CY1085" t="s">
        <v>138</v>
      </c>
      <c r="CZ1085" t="s">
        <v>139</v>
      </c>
      <c r="DA1085" t="s">
        <v>134</v>
      </c>
      <c r="DB1085" t="s">
        <v>134</v>
      </c>
      <c r="DC1085" t="s">
        <v>114</v>
      </c>
      <c r="DD1085" t="s">
        <v>134</v>
      </c>
    </row>
    <row r="1086" spans="1:113" ht="15" customHeight="1" x14ac:dyDescent="0.25">
      <c r="A1086" t="s">
        <v>8826</v>
      </c>
      <c r="B1086" t="s">
        <v>165</v>
      </c>
      <c r="C1086" s="1">
        <v>44767.75470046296</v>
      </c>
      <c r="D1086" s="1">
        <v>44838</v>
      </c>
      <c r="E1086" t="s">
        <v>134</v>
      </c>
      <c r="F1086" t="s">
        <v>1507</v>
      </c>
      <c r="G1086" t="str">
        <f>"47-2051.00"</f>
        <v>47-2051.00</v>
      </c>
      <c r="H1086" t="s">
        <v>1508</v>
      </c>
      <c r="I1086">
        <v>5</v>
      </c>
      <c r="J1086">
        <v>5</v>
      </c>
      <c r="K1086" s="1">
        <v>44842</v>
      </c>
      <c r="L1086" s="1">
        <v>44905</v>
      </c>
      <c r="M1086" s="1">
        <v>44842</v>
      </c>
      <c r="N1086" s="1">
        <v>44905</v>
      </c>
      <c r="O1086" t="s">
        <v>117</v>
      </c>
      <c r="P1086" t="s">
        <v>8827</v>
      </c>
      <c r="Q1086" t="s">
        <v>8828</v>
      </c>
      <c r="R1086" t="s">
        <v>8829</v>
      </c>
      <c r="T1086" t="s">
        <v>1945</v>
      </c>
      <c r="U1086" t="s">
        <v>631</v>
      </c>
      <c r="V1086" s="4" t="str">
        <f>"74131"</f>
        <v>74131</v>
      </c>
      <c r="W1086" t="s">
        <v>120</v>
      </c>
      <c r="Y1086" s="5">
        <v>19182740200</v>
      </c>
      <c r="AA1086">
        <v>238110</v>
      </c>
      <c r="AB1086" t="s">
        <v>4104</v>
      </c>
      <c r="AC1086" t="s">
        <v>3926</v>
      </c>
      <c r="AE1086" t="s">
        <v>1567</v>
      </c>
      <c r="AF1086" t="s">
        <v>8829</v>
      </c>
      <c r="AH1086" t="s">
        <v>1945</v>
      </c>
      <c r="AI1086" t="s">
        <v>631</v>
      </c>
      <c r="AJ1086" s="4" t="str">
        <f>"74131"</f>
        <v>74131</v>
      </c>
      <c r="AK1086" t="s">
        <v>120</v>
      </c>
      <c r="AM1086" s="5">
        <v>19182740200</v>
      </c>
      <c r="AO1086" t="s">
        <v>8830</v>
      </c>
      <c r="AP1086" t="s">
        <v>122</v>
      </c>
      <c r="AQ1086" t="s">
        <v>2589</v>
      </c>
      <c r="AR1086" t="s">
        <v>589</v>
      </c>
      <c r="AS1086" t="s">
        <v>146</v>
      </c>
      <c r="AT1086" t="s">
        <v>628</v>
      </c>
      <c r="AU1086" t="s">
        <v>629</v>
      </c>
      <c r="AV1086" t="s">
        <v>630</v>
      </c>
      <c r="AW1086" t="s">
        <v>631</v>
      </c>
      <c r="AX1086" s="4" t="str">
        <f>"73069"</f>
        <v>73069</v>
      </c>
      <c r="AY1086" t="s">
        <v>120</v>
      </c>
      <c r="BA1086" s="5">
        <v>14053642525</v>
      </c>
      <c r="BC1086" t="s">
        <v>632</v>
      </c>
      <c r="BD1086" t="s">
        <v>633</v>
      </c>
      <c r="BE1086" t="s">
        <v>631</v>
      </c>
      <c r="BF1086" t="s">
        <v>634</v>
      </c>
      <c r="BG1086" t="s">
        <v>631</v>
      </c>
      <c r="BH1086" s="1">
        <v>44766.833333333336</v>
      </c>
      <c r="BI1086">
        <v>40</v>
      </c>
      <c r="BJ1086">
        <v>0</v>
      </c>
      <c r="BK1086">
        <v>8</v>
      </c>
      <c r="BL1086">
        <v>8</v>
      </c>
      <c r="BM1086">
        <v>8</v>
      </c>
      <c r="BN1086">
        <v>8</v>
      </c>
      <c r="BO1086">
        <v>8</v>
      </c>
      <c r="BP1086">
        <v>0</v>
      </c>
      <c r="BQ1086" t="str">
        <f>"7:00 AM"</f>
        <v>7:00 AM</v>
      </c>
      <c r="BR1086" t="str">
        <f>"4:00 PM"</f>
        <v>4:00 PM</v>
      </c>
      <c r="BS1086" t="s">
        <v>133</v>
      </c>
      <c r="BT1086">
        <v>0</v>
      </c>
      <c r="BU1086">
        <v>1</v>
      </c>
      <c r="BV1086" t="s">
        <v>134</v>
      </c>
      <c r="BX1086" s="2" t="s">
        <v>2590</v>
      </c>
      <c r="BY1086" t="s">
        <v>8831</v>
      </c>
      <c r="CA1086" t="s">
        <v>1945</v>
      </c>
      <c r="CB1086" t="s">
        <v>631</v>
      </c>
      <c r="CC1086" s="4" t="str">
        <f>"74131"</f>
        <v>74131</v>
      </c>
      <c r="CD1086" t="s">
        <v>2290</v>
      </c>
      <c r="CE1086" t="s">
        <v>2291</v>
      </c>
      <c r="CF1086" s="6">
        <v>20.11</v>
      </c>
      <c r="CG1086" s="6">
        <v>20.11</v>
      </c>
      <c r="CH1086" s="6">
        <v>30.17</v>
      </c>
      <c r="CI1086" s="6">
        <v>30.17</v>
      </c>
      <c r="CJ1086" t="s">
        <v>137</v>
      </c>
      <c r="CL1086" t="s">
        <v>8832</v>
      </c>
      <c r="CO1086" t="s">
        <v>138</v>
      </c>
      <c r="CP1086" t="s">
        <v>114</v>
      </c>
      <c r="CQ1086" t="s">
        <v>114</v>
      </c>
      <c r="CR1086" t="s">
        <v>114</v>
      </c>
      <c r="CS1086" t="s">
        <v>134</v>
      </c>
      <c r="CT1086" t="s">
        <v>114</v>
      </c>
      <c r="CU1086" t="s">
        <v>134</v>
      </c>
      <c r="CV1086" t="s">
        <v>6880</v>
      </c>
      <c r="CW1086" s="5" t="str">
        <f>"+19182740200"</f>
        <v>+19182740200</v>
      </c>
      <c r="CX1086" t="s">
        <v>8830</v>
      </c>
      <c r="CY1086" t="s">
        <v>138</v>
      </c>
      <c r="CZ1086" t="s">
        <v>139</v>
      </c>
      <c r="DA1086" t="s">
        <v>134</v>
      </c>
      <c r="DB1086" t="s">
        <v>134</v>
      </c>
      <c r="DC1086" t="s">
        <v>114</v>
      </c>
      <c r="DD1086" t="s">
        <v>134</v>
      </c>
    </row>
    <row r="1087" spans="1:113" ht="15" customHeight="1" x14ac:dyDescent="0.25">
      <c r="A1087" t="s">
        <v>15247</v>
      </c>
      <c r="B1087" t="s">
        <v>165</v>
      </c>
      <c r="C1087" s="1">
        <v>44747.914546180553</v>
      </c>
      <c r="D1087" s="1">
        <v>44838</v>
      </c>
      <c r="E1087" t="s">
        <v>134</v>
      </c>
      <c r="F1087" t="s">
        <v>4970</v>
      </c>
      <c r="G1087" t="str">
        <f>"31-9091.00"</f>
        <v>31-9091.00</v>
      </c>
      <c r="H1087" t="s">
        <v>4971</v>
      </c>
      <c r="I1087">
        <v>3</v>
      </c>
      <c r="J1087">
        <v>3</v>
      </c>
      <c r="K1087" s="1">
        <v>44835</v>
      </c>
      <c r="L1087" s="1">
        <v>45016</v>
      </c>
      <c r="M1087" s="1">
        <v>44835</v>
      </c>
      <c r="N1087" s="1">
        <v>45016</v>
      </c>
      <c r="O1087" t="s">
        <v>168</v>
      </c>
      <c r="P1087" t="s">
        <v>15248</v>
      </c>
      <c r="R1087" t="s">
        <v>4973</v>
      </c>
      <c r="T1087" t="s">
        <v>4974</v>
      </c>
      <c r="U1087" t="s">
        <v>420</v>
      </c>
      <c r="V1087" s="4" t="str">
        <f>"84121"</f>
        <v>84121</v>
      </c>
      <c r="W1087" t="s">
        <v>120</v>
      </c>
      <c r="Y1087" s="5">
        <v>18454436711</v>
      </c>
      <c r="AA1087">
        <v>339116</v>
      </c>
      <c r="AB1087" t="s">
        <v>4975</v>
      </c>
      <c r="AC1087" t="s">
        <v>4976</v>
      </c>
      <c r="AD1087" t="s">
        <v>1458</v>
      </c>
      <c r="AE1087" t="s">
        <v>2771</v>
      </c>
      <c r="AF1087" t="s">
        <v>4977</v>
      </c>
      <c r="AH1087" t="s">
        <v>4974</v>
      </c>
      <c r="AI1087" t="s">
        <v>420</v>
      </c>
      <c r="AJ1087" s="4" t="str">
        <f>"84121"</f>
        <v>84121</v>
      </c>
      <c r="AK1087" t="s">
        <v>120</v>
      </c>
      <c r="AM1087" s="5">
        <v>18454436711</v>
      </c>
      <c r="AO1087" t="s">
        <v>4978</v>
      </c>
      <c r="AP1087" t="s">
        <v>122</v>
      </c>
      <c r="AQ1087" t="s">
        <v>4979</v>
      </c>
      <c r="AR1087" t="s">
        <v>2361</v>
      </c>
      <c r="AS1087" t="s">
        <v>2211</v>
      </c>
      <c r="AT1087" t="s">
        <v>4980</v>
      </c>
      <c r="AU1087" t="s">
        <v>1574</v>
      </c>
      <c r="AV1087" t="s">
        <v>2748</v>
      </c>
      <c r="AW1087" t="s">
        <v>420</v>
      </c>
      <c r="AX1087" s="4" t="str">
        <f>"84117"</f>
        <v>84117</v>
      </c>
      <c r="AY1087" t="s">
        <v>120</v>
      </c>
      <c r="BA1087" s="5">
        <v>18012632314</v>
      </c>
      <c r="BC1087" t="s">
        <v>4981</v>
      </c>
      <c r="BD1087" t="s">
        <v>4982</v>
      </c>
      <c r="BE1087" t="s">
        <v>444</v>
      </c>
      <c r="BF1087" t="s">
        <v>322</v>
      </c>
      <c r="BG1087" t="s">
        <v>154</v>
      </c>
      <c r="BH1087" s="1">
        <v>44746.833333333336</v>
      </c>
      <c r="BI1087">
        <v>40</v>
      </c>
      <c r="BJ1087">
        <v>0</v>
      </c>
      <c r="BK1087">
        <v>8</v>
      </c>
      <c r="BL1087">
        <v>8</v>
      </c>
      <c r="BM1087">
        <v>8</v>
      </c>
      <c r="BN1087">
        <v>8</v>
      </c>
      <c r="BO1087">
        <v>8</v>
      </c>
      <c r="BP1087">
        <v>0</v>
      </c>
      <c r="BQ1087" t="str">
        <f>"9:00 AM"</f>
        <v>9:00 AM</v>
      </c>
      <c r="BR1087" t="str">
        <f>"5:00 PM"</f>
        <v>5:00 PM</v>
      </c>
      <c r="BS1087" t="s">
        <v>133</v>
      </c>
      <c r="BT1087">
        <v>0</v>
      </c>
      <c r="BU1087">
        <v>0</v>
      </c>
      <c r="BV1087" t="s">
        <v>134</v>
      </c>
      <c r="BX1087" t="s">
        <v>133</v>
      </c>
      <c r="BY1087" t="s">
        <v>15249</v>
      </c>
      <c r="BZ1087" t="s">
        <v>373</v>
      </c>
      <c r="CA1087" t="s">
        <v>455</v>
      </c>
      <c r="CB1087" t="s">
        <v>154</v>
      </c>
      <c r="CC1087" s="4" t="str">
        <f>"32789"</f>
        <v>32789</v>
      </c>
      <c r="CD1087" t="s">
        <v>2302</v>
      </c>
      <c r="CE1087" t="s">
        <v>3159</v>
      </c>
      <c r="CF1087" s="6">
        <v>20.149999999999999</v>
      </c>
      <c r="CG1087" s="6">
        <v>20.149999999999999</v>
      </c>
      <c r="CH1087" s="6">
        <v>30.23</v>
      </c>
      <c r="CI1087" s="6">
        <v>30.23</v>
      </c>
      <c r="CJ1087" t="s">
        <v>137</v>
      </c>
      <c r="CL1087" t="s">
        <v>15250</v>
      </c>
      <c r="CO1087" t="s">
        <v>138</v>
      </c>
      <c r="CP1087" t="s">
        <v>134</v>
      </c>
      <c r="CQ1087" t="s">
        <v>134</v>
      </c>
      <c r="CR1087" t="s">
        <v>114</v>
      </c>
      <c r="CS1087" t="s">
        <v>114</v>
      </c>
      <c r="CT1087" t="s">
        <v>114</v>
      </c>
      <c r="CU1087" t="s">
        <v>134</v>
      </c>
      <c r="CV1087" t="s">
        <v>15251</v>
      </c>
      <c r="CW1087" s="5" t="str">
        <f>"+18454436711"</f>
        <v>+18454436711</v>
      </c>
      <c r="CX1087" t="s">
        <v>4978</v>
      </c>
      <c r="CY1087" t="s">
        <v>138</v>
      </c>
      <c r="CZ1087" t="s">
        <v>139</v>
      </c>
      <c r="DA1087" t="s">
        <v>134</v>
      </c>
      <c r="DB1087" t="s">
        <v>134</v>
      </c>
      <c r="DC1087" t="s">
        <v>114</v>
      </c>
      <c r="DD1087" t="s">
        <v>134</v>
      </c>
    </row>
    <row r="1088" spans="1:113" ht="15" customHeight="1" x14ac:dyDescent="0.25">
      <c r="A1088" t="s">
        <v>13928</v>
      </c>
      <c r="B1088" t="s">
        <v>165</v>
      </c>
      <c r="C1088" s="1">
        <v>44747.80102673611</v>
      </c>
      <c r="D1088" s="1">
        <v>44838</v>
      </c>
      <c r="E1088" t="s">
        <v>134</v>
      </c>
      <c r="F1088" t="s">
        <v>6301</v>
      </c>
      <c r="G1088" t="str">
        <f>"53-3052.00"</f>
        <v>53-3052.00</v>
      </c>
      <c r="H1088" t="s">
        <v>6302</v>
      </c>
      <c r="I1088">
        <v>7</v>
      </c>
      <c r="J1088">
        <v>7</v>
      </c>
      <c r="K1088" s="1">
        <v>44835</v>
      </c>
      <c r="L1088" s="1">
        <v>44895</v>
      </c>
      <c r="M1088" s="1">
        <v>44835</v>
      </c>
      <c r="N1088" s="1">
        <v>44895</v>
      </c>
      <c r="O1088" t="s">
        <v>117</v>
      </c>
      <c r="P1088" t="s">
        <v>6303</v>
      </c>
      <c r="R1088" t="s">
        <v>6304</v>
      </c>
      <c r="T1088" t="s">
        <v>1553</v>
      </c>
      <c r="U1088" t="s">
        <v>232</v>
      </c>
      <c r="V1088" s="4" t="str">
        <f>"77868"</f>
        <v>77868</v>
      </c>
      <c r="W1088" t="s">
        <v>120</v>
      </c>
      <c r="Y1088" s="5">
        <v>19795877547</v>
      </c>
      <c r="AA1088">
        <v>485510</v>
      </c>
      <c r="AB1088" t="s">
        <v>6305</v>
      </c>
      <c r="AC1088" t="s">
        <v>5907</v>
      </c>
      <c r="AE1088" t="s">
        <v>1567</v>
      </c>
      <c r="AF1088" t="s">
        <v>6304</v>
      </c>
      <c r="AH1088" t="s">
        <v>1553</v>
      </c>
      <c r="AI1088" t="s">
        <v>232</v>
      </c>
      <c r="AJ1088" s="4" t="str">
        <f>"77868"</f>
        <v>77868</v>
      </c>
      <c r="AK1088" t="s">
        <v>120</v>
      </c>
      <c r="AM1088" s="5">
        <v>19795877547</v>
      </c>
      <c r="AO1088" t="s">
        <v>6306</v>
      </c>
      <c r="AP1088" t="s">
        <v>122</v>
      </c>
      <c r="AQ1088" t="s">
        <v>1379</v>
      </c>
      <c r="AR1088" t="s">
        <v>1380</v>
      </c>
      <c r="AT1088" t="s">
        <v>1381</v>
      </c>
      <c r="AV1088" t="s">
        <v>684</v>
      </c>
      <c r="AW1088" t="s">
        <v>232</v>
      </c>
      <c r="AX1088" s="4" t="str">
        <f>"78737"</f>
        <v>78737</v>
      </c>
      <c r="AY1088" t="s">
        <v>120</v>
      </c>
      <c r="BA1088" s="5">
        <v>15128942128</v>
      </c>
      <c r="BC1088" t="s">
        <v>1382</v>
      </c>
      <c r="BD1088" t="s">
        <v>1383</v>
      </c>
      <c r="BE1088" t="s">
        <v>232</v>
      </c>
      <c r="BF1088" t="s">
        <v>870</v>
      </c>
      <c r="BG1088" t="s">
        <v>232</v>
      </c>
      <c r="BH1088" s="1">
        <v>44746.833333333336</v>
      </c>
      <c r="BI1088">
        <v>40</v>
      </c>
      <c r="BJ1088">
        <v>8</v>
      </c>
      <c r="BK1088">
        <v>0</v>
      </c>
      <c r="BL1088">
        <v>0</v>
      </c>
      <c r="BM1088">
        <v>8</v>
      </c>
      <c r="BN1088">
        <v>8</v>
      </c>
      <c r="BO1088">
        <v>8</v>
      </c>
      <c r="BP1088">
        <v>8</v>
      </c>
      <c r="BQ1088" t="str">
        <f>"8:00 AM"</f>
        <v>8:00 AM</v>
      </c>
      <c r="BR1088" t="str">
        <f>"5:00 PM"</f>
        <v>5:00 PM</v>
      </c>
      <c r="BS1088" t="s">
        <v>295</v>
      </c>
      <c r="BT1088">
        <v>0</v>
      </c>
      <c r="BU1088">
        <v>12</v>
      </c>
      <c r="BV1088" t="s">
        <v>134</v>
      </c>
      <c r="BX1088" s="2" t="s">
        <v>6307</v>
      </c>
      <c r="BY1088" t="s">
        <v>6308</v>
      </c>
      <c r="CA1088" t="s">
        <v>1545</v>
      </c>
      <c r="CB1088" t="s">
        <v>232</v>
      </c>
      <c r="CC1088" s="4" t="str">
        <f>"77002"</f>
        <v>77002</v>
      </c>
      <c r="CD1088" t="s">
        <v>3290</v>
      </c>
      <c r="CE1088" t="s">
        <v>873</v>
      </c>
      <c r="CF1088" s="6">
        <v>22.07</v>
      </c>
      <c r="CH1088" s="6">
        <v>33.11</v>
      </c>
      <c r="CJ1088" t="s">
        <v>137</v>
      </c>
      <c r="CL1088" t="s">
        <v>6309</v>
      </c>
      <c r="CO1088" t="s">
        <v>138</v>
      </c>
      <c r="CP1088" t="s">
        <v>114</v>
      </c>
      <c r="CQ1088" t="s">
        <v>114</v>
      </c>
      <c r="CR1088" t="s">
        <v>114</v>
      </c>
      <c r="CS1088" t="s">
        <v>114</v>
      </c>
      <c r="CT1088" t="s">
        <v>114</v>
      </c>
      <c r="CU1088" t="s">
        <v>114</v>
      </c>
      <c r="CV1088" t="s">
        <v>13929</v>
      </c>
      <c r="CW1088" s="5" t="str">
        <f>"+19795877547"</f>
        <v>+19795877547</v>
      </c>
      <c r="CX1088" t="s">
        <v>6306</v>
      </c>
      <c r="CY1088" t="s">
        <v>138</v>
      </c>
      <c r="CZ1088" t="s">
        <v>139</v>
      </c>
      <c r="DA1088" t="s">
        <v>134</v>
      </c>
      <c r="DB1088" t="s">
        <v>134</v>
      </c>
      <c r="DC1088" t="s">
        <v>114</v>
      </c>
      <c r="DD1088" t="s">
        <v>134</v>
      </c>
    </row>
    <row r="1089" spans="1:113" ht="15" customHeight="1" x14ac:dyDescent="0.25">
      <c r="A1089" t="s">
        <v>14674</v>
      </c>
      <c r="B1089" t="s">
        <v>165</v>
      </c>
      <c r="C1089" s="1">
        <v>44747.79707453704</v>
      </c>
      <c r="D1089" s="1">
        <v>44838</v>
      </c>
      <c r="E1089" t="s">
        <v>134</v>
      </c>
      <c r="F1089" t="s">
        <v>4970</v>
      </c>
      <c r="G1089" t="str">
        <f>"31-9091.00"</f>
        <v>31-9091.00</v>
      </c>
      <c r="H1089" t="s">
        <v>4971</v>
      </c>
      <c r="I1089">
        <v>3</v>
      </c>
      <c r="J1089">
        <v>3</v>
      </c>
      <c r="K1089" s="1">
        <v>44835</v>
      </c>
      <c r="L1089" s="1">
        <v>45016</v>
      </c>
      <c r="M1089" s="1">
        <v>44835</v>
      </c>
      <c r="N1089" s="1">
        <v>45016</v>
      </c>
      <c r="O1089" t="s">
        <v>168</v>
      </c>
      <c r="P1089" t="s">
        <v>4972</v>
      </c>
      <c r="R1089" t="s">
        <v>4973</v>
      </c>
      <c r="T1089" t="s">
        <v>4974</v>
      </c>
      <c r="U1089" t="s">
        <v>420</v>
      </c>
      <c r="V1089" s="4" t="str">
        <f>"84121"</f>
        <v>84121</v>
      </c>
      <c r="W1089" t="s">
        <v>120</v>
      </c>
      <c r="Y1089" s="5">
        <v>18454436711</v>
      </c>
      <c r="AA1089">
        <v>339116</v>
      </c>
      <c r="AB1089" t="s">
        <v>4975</v>
      </c>
      <c r="AC1089" t="s">
        <v>4976</v>
      </c>
      <c r="AD1089" t="s">
        <v>1458</v>
      </c>
      <c r="AE1089" t="s">
        <v>2771</v>
      </c>
      <c r="AF1089" t="s">
        <v>4977</v>
      </c>
      <c r="AH1089" t="s">
        <v>4974</v>
      </c>
      <c r="AI1089" t="s">
        <v>420</v>
      </c>
      <c r="AJ1089" s="4" t="str">
        <f>"84121"</f>
        <v>84121</v>
      </c>
      <c r="AK1089" t="s">
        <v>120</v>
      </c>
      <c r="AM1089" s="5">
        <v>18454436711</v>
      </c>
      <c r="AO1089" t="s">
        <v>4978</v>
      </c>
      <c r="AP1089" t="s">
        <v>122</v>
      </c>
      <c r="AQ1089" t="s">
        <v>4979</v>
      </c>
      <c r="AR1089" t="s">
        <v>2361</v>
      </c>
      <c r="AS1089" t="s">
        <v>2211</v>
      </c>
      <c r="AT1089" t="s">
        <v>4980</v>
      </c>
      <c r="AU1089" t="s">
        <v>1574</v>
      </c>
      <c r="AV1089" t="s">
        <v>2748</v>
      </c>
      <c r="AW1089" t="s">
        <v>420</v>
      </c>
      <c r="AX1089" s="4" t="str">
        <f>"84117"</f>
        <v>84117</v>
      </c>
      <c r="AY1089" t="s">
        <v>120</v>
      </c>
      <c r="BA1089" s="5">
        <v>18012632314</v>
      </c>
      <c r="BC1089" t="s">
        <v>4981</v>
      </c>
      <c r="BD1089" t="s">
        <v>4982</v>
      </c>
      <c r="BE1089" t="s">
        <v>444</v>
      </c>
      <c r="BF1089" t="s">
        <v>322</v>
      </c>
      <c r="BG1089" t="s">
        <v>232</v>
      </c>
      <c r="BH1089" s="1">
        <v>44746.833333333336</v>
      </c>
      <c r="BI1089">
        <v>40</v>
      </c>
      <c r="BJ1089">
        <v>0</v>
      </c>
      <c r="BK1089">
        <v>8</v>
      </c>
      <c r="BL1089">
        <v>8</v>
      </c>
      <c r="BM1089">
        <v>8</v>
      </c>
      <c r="BN1089">
        <v>8</v>
      </c>
      <c r="BO1089">
        <v>8</v>
      </c>
      <c r="BP1089">
        <v>0</v>
      </c>
      <c r="BQ1089" t="str">
        <f>"9:00 AM"</f>
        <v>9:00 AM</v>
      </c>
      <c r="BR1089" t="str">
        <f>"5:00 PM"</f>
        <v>5:00 PM</v>
      </c>
      <c r="BS1089" t="s">
        <v>133</v>
      </c>
      <c r="BT1089">
        <v>0</v>
      </c>
      <c r="BU1089">
        <v>0</v>
      </c>
      <c r="BV1089" t="s">
        <v>134</v>
      </c>
      <c r="BX1089" t="s">
        <v>133</v>
      </c>
      <c r="BY1089" t="s">
        <v>14675</v>
      </c>
      <c r="BZ1089" t="s">
        <v>14676</v>
      </c>
      <c r="CA1089" t="s">
        <v>684</v>
      </c>
      <c r="CB1089" t="s">
        <v>232</v>
      </c>
      <c r="CC1089" s="4" t="str">
        <f>"78705"</f>
        <v>78705</v>
      </c>
      <c r="CD1089" t="s">
        <v>948</v>
      </c>
      <c r="CE1089" t="s">
        <v>949</v>
      </c>
      <c r="CF1089" s="6">
        <v>19.809999999999999</v>
      </c>
      <c r="CG1089" s="6">
        <v>19.809999999999999</v>
      </c>
      <c r="CH1089" s="6">
        <v>29.71</v>
      </c>
      <c r="CI1089" s="6">
        <v>29.71</v>
      </c>
      <c r="CJ1089" t="s">
        <v>137</v>
      </c>
      <c r="CL1089" t="s">
        <v>14677</v>
      </c>
      <c r="CO1089" t="s">
        <v>138</v>
      </c>
      <c r="CP1089" t="s">
        <v>134</v>
      </c>
      <c r="CQ1089" t="s">
        <v>134</v>
      </c>
      <c r="CR1089" t="s">
        <v>114</v>
      </c>
      <c r="CS1089" t="s">
        <v>114</v>
      </c>
      <c r="CT1089" t="s">
        <v>114</v>
      </c>
      <c r="CU1089" t="s">
        <v>134</v>
      </c>
      <c r="CV1089" t="s">
        <v>14678</v>
      </c>
      <c r="CW1089" s="5" t="str">
        <f>"+18454436711"</f>
        <v>+18454436711</v>
      </c>
      <c r="CX1089" t="s">
        <v>4978</v>
      </c>
      <c r="CY1089" t="s">
        <v>138</v>
      </c>
      <c r="CZ1089" t="s">
        <v>139</v>
      </c>
      <c r="DA1089" t="s">
        <v>134</v>
      </c>
      <c r="DB1089" t="s">
        <v>134</v>
      </c>
      <c r="DC1089" t="s">
        <v>114</v>
      </c>
      <c r="DD1089" t="s">
        <v>134</v>
      </c>
    </row>
    <row r="1090" spans="1:113" ht="15" customHeight="1" x14ac:dyDescent="0.25">
      <c r="A1090" t="s">
        <v>13655</v>
      </c>
      <c r="B1090" t="s">
        <v>165</v>
      </c>
      <c r="C1090" s="1">
        <v>44812.755564699073</v>
      </c>
      <c r="D1090" s="1">
        <v>44837</v>
      </c>
      <c r="E1090" t="s">
        <v>114</v>
      </c>
      <c r="F1090" t="s">
        <v>13656</v>
      </c>
      <c r="G1090" t="str">
        <f>"35-9011.00"</f>
        <v>35-9011.00</v>
      </c>
      <c r="H1090" t="s">
        <v>743</v>
      </c>
      <c r="I1090">
        <v>22</v>
      </c>
      <c r="J1090">
        <v>22</v>
      </c>
      <c r="K1090" s="1">
        <v>44887</v>
      </c>
      <c r="L1090" s="1">
        <v>45030</v>
      </c>
      <c r="M1090" s="1">
        <v>44887</v>
      </c>
      <c r="N1090" s="1">
        <v>45030</v>
      </c>
      <c r="O1090" t="s">
        <v>117</v>
      </c>
      <c r="P1090" t="s">
        <v>5247</v>
      </c>
      <c r="Q1090" t="s">
        <v>5248</v>
      </c>
      <c r="R1090" t="s">
        <v>5249</v>
      </c>
      <c r="T1090" t="s">
        <v>5250</v>
      </c>
      <c r="U1090" t="s">
        <v>420</v>
      </c>
      <c r="V1090" s="4" t="str">
        <f>"84060"</f>
        <v>84060</v>
      </c>
      <c r="W1090" t="s">
        <v>120</v>
      </c>
      <c r="Y1090" s="5">
        <v>14356493700</v>
      </c>
      <c r="AA1090">
        <v>72111</v>
      </c>
      <c r="AB1090" t="s">
        <v>5251</v>
      </c>
      <c r="AC1090" t="s">
        <v>5252</v>
      </c>
      <c r="AE1090" t="s">
        <v>5253</v>
      </c>
      <c r="AF1090" t="s">
        <v>5249</v>
      </c>
      <c r="AH1090" t="s">
        <v>5250</v>
      </c>
      <c r="AI1090" t="s">
        <v>420</v>
      </c>
      <c r="AJ1090" s="4" t="str">
        <f>"84060"</f>
        <v>84060</v>
      </c>
      <c r="AK1090" t="s">
        <v>120</v>
      </c>
      <c r="AM1090" s="5">
        <v>14356493700</v>
      </c>
      <c r="AO1090" t="s">
        <v>5254</v>
      </c>
      <c r="AP1090" t="s">
        <v>256</v>
      </c>
      <c r="AQ1090" t="s">
        <v>400</v>
      </c>
      <c r="AR1090" t="s">
        <v>401</v>
      </c>
      <c r="AS1090" t="s">
        <v>397</v>
      </c>
      <c r="AT1090" t="s">
        <v>402</v>
      </c>
      <c r="AU1090" t="s">
        <v>152</v>
      </c>
      <c r="AV1090" t="s">
        <v>403</v>
      </c>
      <c r="AW1090" t="s">
        <v>232</v>
      </c>
      <c r="AX1090" s="4" t="str">
        <f>"75033"</f>
        <v>75033</v>
      </c>
      <c r="AY1090" t="s">
        <v>120</v>
      </c>
      <c r="BA1090" s="5">
        <v>19727789690</v>
      </c>
      <c r="BC1090" t="s">
        <v>1527</v>
      </c>
      <c r="BD1090" t="s">
        <v>405</v>
      </c>
      <c r="BG1090" t="s">
        <v>420</v>
      </c>
      <c r="BH1090" s="1">
        <v>44811.833333333336</v>
      </c>
      <c r="BI1090">
        <v>40</v>
      </c>
      <c r="BJ1090">
        <v>8</v>
      </c>
      <c r="BK1090">
        <v>8</v>
      </c>
      <c r="BL1090">
        <v>0</v>
      </c>
      <c r="BM1090">
        <v>0</v>
      </c>
      <c r="BN1090">
        <v>8</v>
      </c>
      <c r="BO1090">
        <v>8</v>
      </c>
      <c r="BP1090">
        <v>8</v>
      </c>
      <c r="BQ1090" t="str">
        <f>"6:30 AM"</f>
        <v>6:30 AM</v>
      </c>
      <c r="BR1090" t="str">
        <f>"2:30 PM"</f>
        <v>2:30 PM</v>
      </c>
      <c r="BS1090" t="s">
        <v>133</v>
      </c>
      <c r="BT1090">
        <v>0</v>
      </c>
      <c r="BU1090">
        <v>0</v>
      </c>
      <c r="BV1090" t="s">
        <v>134</v>
      </c>
      <c r="BX1090" s="2" t="s">
        <v>13657</v>
      </c>
      <c r="BY1090" t="s">
        <v>5249</v>
      </c>
      <c r="CA1090" t="s">
        <v>5250</v>
      </c>
      <c r="CB1090" t="s">
        <v>420</v>
      </c>
      <c r="CC1090" s="4" t="str">
        <f>"84060"</f>
        <v>84060</v>
      </c>
      <c r="CD1090" t="s">
        <v>1459</v>
      </c>
      <c r="CE1090" t="s">
        <v>4193</v>
      </c>
      <c r="CF1090" s="6">
        <v>11.2</v>
      </c>
      <c r="CH1090" s="6">
        <v>16.8</v>
      </c>
      <c r="CJ1090" t="s">
        <v>137</v>
      </c>
      <c r="CK1090" t="s">
        <v>1529</v>
      </c>
      <c r="CL1090" t="s">
        <v>13658</v>
      </c>
      <c r="CO1090" t="s">
        <v>138</v>
      </c>
      <c r="CP1090" t="s">
        <v>114</v>
      </c>
      <c r="CQ1090" t="s">
        <v>114</v>
      </c>
      <c r="CR1090" t="s">
        <v>114</v>
      </c>
      <c r="CS1090" t="s">
        <v>114</v>
      </c>
      <c r="CT1090" t="s">
        <v>114</v>
      </c>
      <c r="CU1090" t="s">
        <v>114</v>
      </c>
      <c r="CV1090" s="2" t="s">
        <v>13659</v>
      </c>
      <c r="CW1090" s="5" t="str">
        <f>"+14356493700"</f>
        <v>+14356493700</v>
      </c>
      <c r="CX1090" t="s">
        <v>5258</v>
      </c>
      <c r="CY1090" t="s">
        <v>5259</v>
      </c>
      <c r="CZ1090" t="s">
        <v>139</v>
      </c>
      <c r="DA1090" t="s">
        <v>134</v>
      </c>
      <c r="DB1090" t="s">
        <v>134</v>
      </c>
      <c r="DC1090" t="s">
        <v>114</v>
      </c>
      <c r="DD1090" t="s">
        <v>134</v>
      </c>
    </row>
    <row r="1091" spans="1:113" ht="15" customHeight="1" x14ac:dyDescent="0.25">
      <c r="A1091" t="s">
        <v>5245</v>
      </c>
      <c r="B1091" t="s">
        <v>165</v>
      </c>
      <c r="C1091" s="1">
        <v>44812.746948611108</v>
      </c>
      <c r="D1091" s="1">
        <v>44837</v>
      </c>
      <c r="E1091" t="s">
        <v>114</v>
      </c>
      <c r="F1091" t="s">
        <v>5246</v>
      </c>
      <c r="G1091" t="str">
        <f>"37-2011.00"</f>
        <v>37-2011.00</v>
      </c>
      <c r="H1091" t="s">
        <v>672</v>
      </c>
      <c r="I1091">
        <v>10</v>
      </c>
      <c r="J1091">
        <v>10</v>
      </c>
      <c r="K1091" s="1">
        <v>44887</v>
      </c>
      <c r="L1091" s="1">
        <v>45030</v>
      </c>
      <c r="M1091" s="1">
        <v>44887</v>
      </c>
      <c r="N1091" s="1">
        <v>45030</v>
      </c>
      <c r="O1091" t="s">
        <v>117</v>
      </c>
      <c r="P1091" t="s">
        <v>5247</v>
      </c>
      <c r="Q1091" t="s">
        <v>5248</v>
      </c>
      <c r="R1091" t="s">
        <v>5249</v>
      </c>
      <c r="T1091" t="s">
        <v>5250</v>
      </c>
      <c r="U1091" t="s">
        <v>420</v>
      </c>
      <c r="V1091" s="4" t="str">
        <f>"84060"</f>
        <v>84060</v>
      </c>
      <c r="W1091" t="s">
        <v>120</v>
      </c>
      <c r="Y1091" s="5">
        <v>14356493700</v>
      </c>
      <c r="AA1091">
        <v>72111</v>
      </c>
      <c r="AB1091" t="s">
        <v>5251</v>
      </c>
      <c r="AC1091" t="s">
        <v>5252</v>
      </c>
      <c r="AE1091" t="s">
        <v>5253</v>
      </c>
      <c r="AF1091" t="s">
        <v>5249</v>
      </c>
      <c r="AH1091" t="s">
        <v>5250</v>
      </c>
      <c r="AI1091" t="s">
        <v>420</v>
      </c>
      <c r="AJ1091" s="4" t="str">
        <f>"84060"</f>
        <v>84060</v>
      </c>
      <c r="AK1091" t="s">
        <v>120</v>
      </c>
      <c r="AM1091" s="5">
        <v>14356493700</v>
      </c>
      <c r="AO1091" t="s">
        <v>5254</v>
      </c>
      <c r="AP1091" t="s">
        <v>256</v>
      </c>
      <c r="AQ1091" t="s">
        <v>400</v>
      </c>
      <c r="AR1091" t="s">
        <v>401</v>
      </c>
      <c r="AS1091" t="s">
        <v>397</v>
      </c>
      <c r="AT1091" t="s">
        <v>402</v>
      </c>
      <c r="AU1091" t="s">
        <v>152</v>
      </c>
      <c r="AV1091" t="s">
        <v>403</v>
      </c>
      <c r="AW1091" t="s">
        <v>232</v>
      </c>
      <c r="AX1091" s="4" t="str">
        <f>"75033"</f>
        <v>75033</v>
      </c>
      <c r="AY1091" t="s">
        <v>120</v>
      </c>
      <c r="BA1091" s="5">
        <v>19727789690</v>
      </c>
      <c r="BC1091" t="s">
        <v>1527</v>
      </c>
      <c r="BD1091" t="s">
        <v>405</v>
      </c>
      <c r="BG1091" t="s">
        <v>420</v>
      </c>
      <c r="BH1091" s="1">
        <v>44811.833333333336</v>
      </c>
      <c r="BI1091">
        <v>40</v>
      </c>
      <c r="BJ1091">
        <v>8</v>
      </c>
      <c r="BK1091">
        <v>8</v>
      </c>
      <c r="BL1091">
        <v>0</v>
      </c>
      <c r="BM1091">
        <v>0</v>
      </c>
      <c r="BN1091">
        <v>8</v>
      </c>
      <c r="BO1091">
        <v>8</v>
      </c>
      <c r="BP1091">
        <v>8</v>
      </c>
      <c r="BQ1091" t="str">
        <f>"7:00 AM"</f>
        <v>7:00 AM</v>
      </c>
      <c r="BR1091" t="str">
        <f>"3:00 PM"</f>
        <v>3:00 PM</v>
      </c>
      <c r="BS1091" t="s">
        <v>133</v>
      </c>
      <c r="BT1091">
        <v>0</v>
      </c>
      <c r="BU1091">
        <v>0</v>
      </c>
      <c r="BV1091" t="s">
        <v>134</v>
      </c>
      <c r="BX1091" s="2" t="s">
        <v>5255</v>
      </c>
      <c r="BY1091" t="s">
        <v>5249</v>
      </c>
      <c r="CA1091" t="s">
        <v>5250</v>
      </c>
      <c r="CB1091" t="s">
        <v>420</v>
      </c>
      <c r="CC1091" s="4" t="str">
        <f>"84060"</f>
        <v>84060</v>
      </c>
      <c r="CD1091" t="s">
        <v>1459</v>
      </c>
      <c r="CE1091" t="s">
        <v>4193</v>
      </c>
      <c r="CF1091" s="6">
        <v>20</v>
      </c>
      <c r="CH1091" s="6">
        <v>30</v>
      </c>
      <c r="CJ1091" t="s">
        <v>137</v>
      </c>
      <c r="CK1091" t="s">
        <v>1529</v>
      </c>
      <c r="CL1091" t="s">
        <v>5256</v>
      </c>
      <c r="CO1091" t="s">
        <v>138</v>
      </c>
      <c r="CP1091" t="s">
        <v>114</v>
      </c>
      <c r="CQ1091" t="s">
        <v>114</v>
      </c>
      <c r="CR1091" t="s">
        <v>114</v>
      </c>
      <c r="CS1091" t="s">
        <v>114</v>
      </c>
      <c r="CT1091" t="s">
        <v>114</v>
      </c>
      <c r="CU1091" t="s">
        <v>114</v>
      </c>
      <c r="CV1091" s="2" t="s">
        <v>5257</v>
      </c>
      <c r="CW1091" s="5" t="str">
        <f>"+14356493700"</f>
        <v>+14356493700</v>
      </c>
      <c r="CX1091" t="s">
        <v>5258</v>
      </c>
      <c r="CY1091" t="s">
        <v>5259</v>
      </c>
      <c r="CZ1091" t="s">
        <v>139</v>
      </c>
      <c r="DA1091" t="s">
        <v>134</v>
      </c>
      <c r="DB1091" t="s">
        <v>134</v>
      </c>
      <c r="DC1091" t="s">
        <v>114</v>
      </c>
      <c r="DD1091" t="s">
        <v>134</v>
      </c>
    </row>
    <row r="1092" spans="1:113" ht="15" customHeight="1" x14ac:dyDescent="0.25">
      <c r="A1092" t="s">
        <v>6789</v>
      </c>
      <c r="B1092" t="s">
        <v>165</v>
      </c>
      <c r="C1092" s="1">
        <v>44811.778667013888</v>
      </c>
      <c r="D1092" s="1">
        <v>44837</v>
      </c>
      <c r="E1092" t="s">
        <v>114</v>
      </c>
      <c r="F1092" t="s">
        <v>6790</v>
      </c>
      <c r="G1092" t="str">
        <f>"37-2011.00"</f>
        <v>37-2011.00</v>
      </c>
      <c r="H1092" t="s">
        <v>672</v>
      </c>
      <c r="I1092">
        <v>40</v>
      </c>
      <c r="J1092">
        <v>40</v>
      </c>
      <c r="K1092" s="1">
        <v>44886</v>
      </c>
      <c r="L1092" s="1">
        <v>45031</v>
      </c>
      <c r="M1092" s="1">
        <v>44886</v>
      </c>
      <c r="N1092" s="1">
        <v>45031</v>
      </c>
      <c r="O1092" t="s">
        <v>168</v>
      </c>
      <c r="P1092" t="s">
        <v>6791</v>
      </c>
      <c r="Q1092" t="s">
        <v>6792</v>
      </c>
      <c r="R1092" t="s">
        <v>6793</v>
      </c>
      <c r="T1092" t="s">
        <v>2171</v>
      </c>
      <c r="U1092" t="s">
        <v>154</v>
      </c>
      <c r="V1092" s="4" t="str">
        <f>"32407"</f>
        <v>32407</v>
      </c>
      <c r="W1092" t="s">
        <v>120</v>
      </c>
      <c r="Y1092" s="5">
        <v>18502304067</v>
      </c>
      <c r="AA1092">
        <v>72111</v>
      </c>
      <c r="AB1092" t="s">
        <v>6794</v>
      </c>
      <c r="AC1092" t="s">
        <v>6795</v>
      </c>
      <c r="AE1092" t="s">
        <v>342</v>
      </c>
      <c r="AF1092" t="s">
        <v>6796</v>
      </c>
      <c r="AH1092" t="s">
        <v>2171</v>
      </c>
      <c r="AI1092" t="s">
        <v>154</v>
      </c>
      <c r="AJ1092" s="4" t="str">
        <f>"32407"</f>
        <v>32407</v>
      </c>
      <c r="AK1092" t="s">
        <v>120</v>
      </c>
      <c r="AM1092" s="5">
        <v>18502304067</v>
      </c>
      <c r="AO1092" t="s">
        <v>6797</v>
      </c>
      <c r="AP1092" t="s">
        <v>122</v>
      </c>
      <c r="AQ1092" t="s">
        <v>4056</v>
      </c>
      <c r="AR1092" t="s">
        <v>4057</v>
      </c>
      <c r="AT1092" t="s">
        <v>4058</v>
      </c>
      <c r="AU1092" t="s">
        <v>4059</v>
      </c>
      <c r="AV1092" t="s">
        <v>128</v>
      </c>
      <c r="AW1092" t="s">
        <v>129</v>
      </c>
      <c r="AX1092" s="4" t="str">
        <f>"30305"</f>
        <v>30305</v>
      </c>
      <c r="AY1092" t="s">
        <v>120</v>
      </c>
      <c r="BA1092" s="5">
        <v>16785532295</v>
      </c>
      <c r="BC1092" t="s">
        <v>4060</v>
      </c>
      <c r="BD1092" t="s">
        <v>4061</v>
      </c>
      <c r="BE1092" t="s">
        <v>129</v>
      </c>
      <c r="BF1092" t="s">
        <v>322</v>
      </c>
      <c r="BG1092" t="s">
        <v>154</v>
      </c>
      <c r="BH1092" s="1">
        <v>44810.833333333336</v>
      </c>
      <c r="BI1092">
        <v>35</v>
      </c>
      <c r="BJ1092">
        <v>0</v>
      </c>
      <c r="BK1092">
        <v>7</v>
      </c>
      <c r="BL1092">
        <v>7</v>
      </c>
      <c r="BM1092">
        <v>7</v>
      </c>
      <c r="BN1092">
        <v>7</v>
      </c>
      <c r="BO1092">
        <v>7</v>
      </c>
      <c r="BP1092">
        <v>0</v>
      </c>
      <c r="BQ1092" t="str">
        <f>"7:00 AM"</f>
        <v>7:00 AM</v>
      </c>
      <c r="BR1092" t="str">
        <f>"3:00 PM"</f>
        <v>3:00 PM</v>
      </c>
      <c r="BS1092" t="s">
        <v>133</v>
      </c>
      <c r="BT1092">
        <v>0</v>
      </c>
      <c r="BU1092">
        <v>0</v>
      </c>
      <c r="BV1092" t="s">
        <v>134</v>
      </c>
      <c r="BX1092" s="2" t="s">
        <v>6798</v>
      </c>
      <c r="BY1092" t="s">
        <v>6799</v>
      </c>
      <c r="CA1092" t="s">
        <v>2171</v>
      </c>
      <c r="CB1092" t="s">
        <v>154</v>
      </c>
      <c r="CC1092" s="4" t="str">
        <f>"32407"</f>
        <v>32407</v>
      </c>
      <c r="CD1092" t="s">
        <v>2172</v>
      </c>
      <c r="CE1092" t="s">
        <v>2173</v>
      </c>
      <c r="CF1092" s="6">
        <v>14.35</v>
      </c>
      <c r="CG1092" s="6">
        <v>14.35</v>
      </c>
      <c r="CH1092" s="6">
        <v>21.52</v>
      </c>
      <c r="CI1092" s="6">
        <v>21.52</v>
      </c>
      <c r="CJ1092" t="s">
        <v>137</v>
      </c>
      <c r="CL1092" t="s">
        <v>6800</v>
      </c>
      <c r="CO1092" t="s">
        <v>138</v>
      </c>
      <c r="CP1092" t="s">
        <v>114</v>
      </c>
      <c r="CQ1092" t="s">
        <v>134</v>
      </c>
      <c r="CR1092" t="s">
        <v>114</v>
      </c>
      <c r="CS1092" t="s">
        <v>134</v>
      </c>
      <c r="CT1092" t="s">
        <v>114</v>
      </c>
      <c r="CU1092" t="s">
        <v>114</v>
      </c>
      <c r="CV1092" t="s">
        <v>6801</v>
      </c>
      <c r="CW1092" s="5" t="str">
        <f>"+18502304098"</f>
        <v>+18502304098</v>
      </c>
      <c r="CX1092" t="s">
        <v>6802</v>
      </c>
      <c r="CY1092" t="s">
        <v>138</v>
      </c>
      <c r="CZ1092" t="s">
        <v>139</v>
      </c>
      <c r="DA1092" t="s">
        <v>134</v>
      </c>
      <c r="DB1092" t="s">
        <v>134</v>
      </c>
      <c r="DC1092" t="s">
        <v>114</v>
      </c>
      <c r="DD1092" t="s">
        <v>134</v>
      </c>
    </row>
    <row r="1093" spans="1:113" ht="15" customHeight="1" x14ac:dyDescent="0.25">
      <c r="A1093" t="s">
        <v>13102</v>
      </c>
      <c r="B1093" t="s">
        <v>165</v>
      </c>
      <c r="C1093" s="1">
        <v>44811.620406481481</v>
      </c>
      <c r="D1093" s="1">
        <v>44837</v>
      </c>
      <c r="E1093" t="s">
        <v>134</v>
      </c>
      <c r="F1093" t="s">
        <v>524</v>
      </c>
      <c r="G1093" t="str">
        <f>"49-9098.00"</f>
        <v>49-9098.00</v>
      </c>
      <c r="H1093" t="s">
        <v>525</v>
      </c>
      <c r="I1093">
        <v>8</v>
      </c>
      <c r="J1093">
        <v>8</v>
      </c>
      <c r="K1093" s="1">
        <v>44886</v>
      </c>
      <c r="L1093" s="1">
        <v>45031</v>
      </c>
      <c r="M1093" s="1">
        <v>44886</v>
      </c>
      <c r="N1093" s="1">
        <v>45031</v>
      </c>
      <c r="O1093" t="s">
        <v>199</v>
      </c>
      <c r="P1093" t="s">
        <v>9207</v>
      </c>
      <c r="R1093" t="s">
        <v>9208</v>
      </c>
      <c r="T1093" t="s">
        <v>9209</v>
      </c>
      <c r="U1093" t="s">
        <v>2214</v>
      </c>
      <c r="V1093" s="4" t="str">
        <f>"02816"</f>
        <v>02816</v>
      </c>
      <c r="W1093" t="s">
        <v>120</v>
      </c>
      <c r="Y1093" s="5">
        <v>14017873367</v>
      </c>
      <c r="Z1093">
        <v>0</v>
      </c>
      <c r="AA1093">
        <v>71399</v>
      </c>
      <c r="AB1093" t="s">
        <v>9210</v>
      </c>
      <c r="AC1093" t="s">
        <v>2208</v>
      </c>
      <c r="AE1093" t="s">
        <v>9211</v>
      </c>
      <c r="AF1093" t="s">
        <v>9212</v>
      </c>
      <c r="AH1093" t="s">
        <v>9209</v>
      </c>
      <c r="AI1093" t="s">
        <v>2214</v>
      </c>
      <c r="AJ1093" s="4" t="str">
        <f>"02816"</f>
        <v>02816</v>
      </c>
      <c r="AK1093" t="s">
        <v>120</v>
      </c>
      <c r="AM1093" s="5">
        <v>14017873367</v>
      </c>
      <c r="AN1093">
        <v>0</v>
      </c>
      <c r="AO1093" t="s">
        <v>9213</v>
      </c>
      <c r="AP1093" t="s">
        <v>256</v>
      </c>
      <c r="AQ1093" t="s">
        <v>535</v>
      </c>
      <c r="AR1093" t="s">
        <v>536</v>
      </c>
      <c r="AS1093" t="s">
        <v>537</v>
      </c>
      <c r="AT1093" t="s">
        <v>538</v>
      </c>
      <c r="AU1093" t="s">
        <v>539</v>
      </c>
      <c r="AV1093" t="s">
        <v>540</v>
      </c>
      <c r="AW1093" t="s">
        <v>232</v>
      </c>
      <c r="AX1093" s="4" t="str">
        <f>"78550"</f>
        <v>78550</v>
      </c>
      <c r="AY1093" t="s">
        <v>120</v>
      </c>
      <c r="AZ1093" t="s">
        <v>541</v>
      </c>
      <c r="BA1093" s="5">
        <v>19564408720</v>
      </c>
      <c r="BB1093">
        <v>0</v>
      </c>
      <c r="BC1093" t="s">
        <v>542</v>
      </c>
      <c r="BD1093" t="s">
        <v>543</v>
      </c>
      <c r="BG1093" t="s">
        <v>2214</v>
      </c>
      <c r="BH1093" s="1">
        <v>44810.833333333336</v>
      </c>
      <c r="BI1093">
        <v>35</v>
      </c>
      <c r="BJ1093">
        <v>0</v>
      </c>
      <c r="BK1093">
        <v>7</v>
      </c>
      <c r="BL1093">
        <v>7</v>
      </c>
      <c r="BM1093">
        <v>7</v>
      </c>
      <c r="BN1093">
        <v>7</v>
      </c>
      <c r="BO1093">
        <v>7</v>
      </c>
      <c r="BP1093">
        <v>0</v>
      </c>
      <c r="BQ1093" t="str">
        <f>"8:00 AM"</f>
        <v>8:00 AM</v>
      </c>
      <c r="BR1093" t="str">
        <f>"5:00 PM"</f>
        <v>5:00 PM</v>
      </c>
      <c r="BS1093" t="s">
        <v>133</v>
      </c>
      <c r="BT1093">
        <v>0</v>
      </c>
      <c r="BU1093">
        <v>0</v>
      </c>
      <c r="BV1093" t="s">
        <v>134</v>
      </c>
      <c r="BX1093" t="s">
        <v>544</v>
      </c>
      <c r="BY1093" t="s">
        <v>9212</v>
      </c>
      <c r="CA1093" t="s">
        <v>9209</v>
      </c>
      <c r="CB1093" t="s">
        <v>2214</v>
      </c>
      <c r="CC1093" s="4" t="str">
        <f>"02816"</f>
        <v>02816</v>
      </c>
      <c r="CD1093" t="s">
        <v>9214</v>
      </c>
      <c r="CE1093" t="s">
        <v>2218</v>
      </c>
      <c r="CF1093" s="6">
        <v>19.12</v>
      </c>
      <c r="CG1093" s="6">
        <v>19.12</v>
      </c>
      <c r="CH1093" s="6">
        <v>0</v>
      </c>
      <c r="CI1093" s="6">
        <v>0</v>
      </c>
      <c r="CJ1093" t="s">
        <v>137</v>
      </c>
      <c r="CL1093" t="s">
        <v>13103</v>
      </c>
      <c r="CO1093" t="s">
        <v>138</v>
      </c>
      <c r="CP1093" t="s">
        <v>134</v>
      </c>
      <c r="CQ1093" t="s">
        <v>114</v>
      </c>
      <c r="CR1093" t="s">
        <v>134</v>
      </c>
      <c r="CS1093" t="s">
        <v>114</v>
      </c>
      <c r="CT1093" t="s">
        <v>114</v>
      </c>
      <c r="CU1093" t="s">
        <v>114</v>
      </c>
      <c r="CV1093" t="s">
        <v>7355</v>
      </c>
      <c r="CW1093" s="5" t="str">
        <f>"+14017873367"</f>
        <v>+14017873367</v>
      </c>
      <c r="CX1093" t="s">
        <v>9213</v>
      </c>
      <c r="CY1093" t="s">
        <v>138</v>
      </c>
      <c r="CZ1093" t="s">
        <v>139</v>
      </c>
      <c r="DA1093" t="s">
        <v>134</v>
      </c>
      <c r="DB1093" t="s">
        <v>114</v>
      </c>
      <c r="DC1093" t="s">
        <v>114</v>
      </c>
      <c r="DD1093" t="s">
        <v>134</v>
      </c>
    </row>
    <row r="1094" spans="1:113" ht="15" customHeight="1" x14ac:dyDescent="0.25">
      <c r="A1094" t="s">
        <v>16447</v>
      </c>
      <c r="B1094" t="s">
        <v>165</v>
      </c>
      <c r="C1094" s="1">
        <v>44810.816307986111</v>
      </c>
      <c r="D1094" s="1">
        <v>44837</v>
      </c>
      <c r="E1094" t="s">
        <v>114</v>
      </c>
      <c r="F1094" t="s">
        <v>7758</v>
      </c>
      <c r="G1094" t="str">
        <f>"49-9098.00"</f>
        <v>49-9098.00</v>
      </c>
      <c r="H1094" t="s">
        <v>525</v>
      </c>
      <c r="I1094">
        <v>15</v>
      </c>
      <c r="J1094">
        <v>15</v>
      </c>
      <c r="K1094" s="1">
        <v>44885</v>
      </c>
      <c r="L1094" s="1">
        <v>45016</v>
      </c>
      <c r="M1094" s="1">
        <v>44885</v>
      </c>
      <c r="N1094" s="1">
        <v>45016</v>
      </c>
      <c r="O1094" t="s">
        <v>117</v>
      </c>
      <c r="P1094" t="s">
        <v>9160</v>
      </c>
      <c r="R1094" t="s">
        <v>9161</v>
      </c>
      <c r="T1094" t="s">
        <v>2748</v>
      </c>
      <c r="U1094" t="s">
        <v>420</v>
      </c>
      <c r="V1094" s="4" t="str">
        <f>"84104"</f>
        <v>84104</v>
      </c>
      <c r="W1094" t="s">
        <v>120</v>
      </c>
      <c r="Y1094" s="5">
        <v>18012611733</v>
      </c>
      <c r="AA1094">
        <v>56173</v>
      </c>
      <c r="AB1094" t="s">
        <v>9162</v>
      </c>
      <c r="AC1094" t="s">
        <v>1841</v>
      </c>
      <c r="AD1094" t="s">
        <v>1696</v>
      </c>
      <c r="AE1094" t="s">
        <v>9163</v>
      </c>
      <c r="AF1094" t="s">
        <v>9161</v>
      </c>
      <c r="AH1094" t="s">
        <v>2748</v>
      </c>
      <c r="AI1094" t="s">
        <v>420</v>
      </c>
      <c r="AJ1094" s="4" t="str">
        <f>"84104"</f>
        <v>84104</v>
      </c>
      <c r="AK1094" t="s">
        <v>120</v>
      </c>
      <c r="AM1094" s="5">
        <v>18012611733</v>
      </c>
      <c r="AO1094" t="s">
        <v>9164</v>
      </c>
      <c r="AP1094" t="s">
        <v>122</v>
      </c>
      <c r="AQ1094" t="s">
        <v>1898</v>
      </c>
      <c r="AR1094" t="s">
        <v>1486</v>
      </c>
      <c r="AS1094" t="s">
        <v>1458</v>
      </c>
      <c r="AT1094" t="s">
        <v>7061</v>
      </c>
      <c r="AU1094" t="s">
        <v>7062</v>
      </c>
      <c r="AV1094" t="s">
        <v>1788</v>
      </c>
      <c r="AW1094" t="s">
        <v>444</v>
      </c>
      <c r="AX1094" s="4" t="str">
        <f>"90067"</f>
        <v>90067</v>
      </c>
      <c r="AY1094" t="s">
        <v>120</v>
      </c>
      <c r="BA1094" s="5">
        <v>16465048472</v>
      </c>
      <c r="BC1094" t="s">
        <v>7063</v>
      </c>
      <c r="BD1094" t="s">
        <v>7064</v>
      </c>
      <c r="BE1094" t="s">
        <v>281</v>
      </c>
      <c r="BF1094" t="s">
        <v>10095</v>
      </c>
      <c r="BG1094" t="s">
        <v>420</v>
      </c>
      <c r="BH1094" s="1">
        <v>44809.833333333336</v>
      </c>
      <c r="BI1094">
        <v>35</v>
      </c>
      <c r="BJ1094">
        <v>0</v>
      </c>
      <c r="BK1094">
        <v>7</v>
      </c>
      <c r="BL1094">
        <v>7</v>
      </c>
      <c r="BM1094">
        <v>7</v>
      </c>
      <c r="BN1094">
        <v>7</v>
      </c>
      <c r="BO1094">
        <v>7</v>
      </c>
      <c r="BP1094">
        <v>0</v>
      </c>
      <c r="BQ1094" t="str">
        <f>"7:30 AM"</f>
        <v>7:30 AM</v>
      </c>
      <c r="BR1094" t="str">
        <f>"3:30 PM"</f>
        <v>3:30 PM</v>
      </c>
      <c r="BS1094" t="s">
        <v>133</v>
      </c>
      <c r="BT1094">
        <v>0</v>
      </c>
      <c r="BU1094">
        <v>0</v>
      </c>
      <c r="BV1094" t="s">
        <v>134</v>
      </c>
      <c r="BX1094" t="s">
        <v>138</v>
      </c>
      <c r="BY1094" t="s">
        <v>9161</v>
      </c>
      <c r="CA1094" t="s">
        <v>2748</v>
      </c>
      <c r="CB1094" t="s">
        <v>420</v>
      </c>
      <c r="CC1094" s="4" t="str">
        <f>"84104"</f>
        <v>84104</v>
      </c>
      <c r="CD1094" t="s">
        <v>688</v>
      </c>
      <c r="CE1094" t="s">
        <v>689</v>
      </c>
      <c r="CF1094" s="6">
        <v>18.420000000000002</v>
      </c>
      <c r="CH1094" s="6">
        <v>27.63</v>
      </c>
      <c r="CJ1094" t="s">
        <v>137</v>
      </c>
      <c r="CK1094" t="s">
        <v>16448</v>
      </c>
      <c r="CL1094" t="s">
        <v>16449</v>
      </c>
      <c r="CO1094" t="s">
        <v>138</v>
      </c>
      <c r="CP1094" t="s">
        <v>134</v>
      </c>
      <c r="CQ1094" t="s">
        <v>134</v>
      </c>
      <c r="CR1094" t="s">
        <v>114</v>
      </c>
      <c r="CS1094" t="s">
        <v>114</v>
      </c>
      <c r="CT1094" t="s">
        <v>114</v>
      </c>
      <c r="CU1094" t="s">
        <v>134</v>
      </c>
      <c r="CV1094" s="2" t="s">
        <v>16450</v>
      </c>
      <c r="CW1094" s="5" t="str">
        <f>"+18012611733"</f>
        <v>+18012611733</v>
      </c>
      <c r="CX1094" t="s">
        <v>9164</v>
      </c>
      <c r="CY1094" t="s">
        <v>138</v>
      </c>
      <c r="CZ1094" t="s">
        <v>139</v>
      </c>
      <c r="DA1094" t="s">
        <v>134</v>
      </c>
      <c r="DB1094" t="s">
        <v>134</v>
      </c>
      <c r="DC1094" t="s">
        <v>114</v>
      </c>
      <c r="DD1094" t="s">
        <v>134</v>
      </c>
    </row>
    <row r="1095" spans="1:113" ht="15" customHeight="1" x14ac:dyDescent="0.25">
      <c r="A1095" t="s">
        <v>14569</v>
      </c>
      <c r="B1095" t="s">
        <v>165</v>
      </c>
      <c r="C1095" s="1">
        <v>44807.580558680558</v>
      </c>
      <c r="D1095" s="1">
        <v>44837</v>
      </c>
      <c r="E1095" t="s">
        <v>114</v>
      </c>
      <c r="F1095" t="s">
        <v>2182</v>
      </c>
      <c r="G1095" t="str">
        <f>"39-2021.00"</f>
        <v>39-2021.00</v>
      </c>
      <c r="H1095" t="s">
        <v>615</v>
      </c>
      <c r="I1095">
        <v>15</v>
      </c>
      <c r="J1095">
        <v>15</v>
      </c>
      <c r="K1095" s="1">
        <v>44895</v>
      </c>
      <c r="L1095" s="1">
        <v>45017</v>
      </c>
      <c r="M1095" s="1">
        <v>44895</v>
      </c>
      <c r="N1095" s="1">
        <v>45017</v>
      </c>
      <c r="O1095" t="s">
        <v>199</v>
      </c>
      <c r="P1095" t="s">
        <v>14570</v>
      </c>
      <c r="R1095" t="s">
        <v>14571</v>
      </c>
      <c r="T1095" t="s">
        <v>2014</v>
      </c>
      <c r="U1095" t="s">
        <v>154</v>
      </c>
      <c r="V1095" s="4" t="str">
        <f>"33180"</f>
        <v>33180</v>
      </c>
      <c r="W1095" t="s">
        <v>120</v>
      </c>
      <c r="Y1095" s="5">
        <v>15163841661</v>
      </c>
      <c r="AA1095">
        <v>711219</v>
      </c>
      <c r="AB1095" t="s">
        <v>14572</v>
      </c>
      <c r="AC1095" t="s">
        <v>14573</v>
      </c>
      <c r="AD1095" t="s">
        <v>3525</v>
      </c>
      <c r="AE1095" t="s">
        <v>342</v>
      </c>
      <c r="AF1095" t="s">
        <v>14574</v>
      </c>
      <c r="AH1095" t="s">
        <v>1157</v>
      </c>
      <c r="AI1095" t="s">
        <v>154</v>
      </c>
      <c r="AJ1095" s="4" t="str">
        <f>"33180"</f>
        <v>33180</v>
      </c>
      <c r="AK1095" t="s">
        <v>120</v>
      </c>
      <c r="AM1095" s="5">
        <v>15163841661</v>
      </c>
      <c r="AO1095" t="s">
        <v>7143</v>
      </c>
      <c r="AP1095" t="s">
        <v>122</v>
      </c>
      <c r="AQ1095" t="s">
        <v>2187</v>
      </c>
      <c r="AR1095" t="s">
        <v>1951</v>
      </c>
      <c r="AT1095" t="s">
        <v>2188</v>
      </c>
      <c r="AU1095" t="s">
        <v>2189</v>
      </c>
      <c r="AV1095" t="s">
        <v>2012</v>
      </c>
      <c r="AW1095" t="s">
        <v>848</v>
      </c>
      <c r="AX1095" s="4" t="str">
        <f>"10165"</f>
        <v>10165</v>
      </c>
      <c r="AY1095" t="s">
        <v>120</v>
      </c>
      <c r="BA1095" s="5">
        <v>12127604400</v>
      </c>
      <c r="BC1095" t="s">
        <v>2190</v>
      </c>
      <c r="BD1095" t="s">
        <v>2191</v>
      </c>
      <c r="BE1095" t="s">
        <v>848</v>
      </c>
      <c r="BF1095" t="s">
        <v>2192</v>
      </c>
      <c r="BG1095" t="s">
        <v>154</v>
      </c>
      <c r="BH1095" s="1">
        <v>44805.833333333336</v>
      </c>
      <c r="BI1095">
        <v>40</v>
      </c>
      <c r="BJ1095">
        <v>8</v>
      </c>
      <c r="BK1095">
        <v>0</v>
      </c>
      <c r="BL1095">
        <v>0</v>
      </c>
      <c r="BM1095">
        <v>8</v>
      </c>
      <c r="BN1095">
        <v>8</v>
      </c>
      <c r="BO1095">
        <v>8</v>
      </c>
      <c r="BP1095">
        <v>8</v>
      </c>
      <c r="BQ1095" t="str">
        <f>"5:00 AM"</f>
        <v>5:00 AM</v>
      </c>
      <c r="BR1095" t="str">
        <f>"11:00 AM"</f>
        <v>11:00 AM</v>
      </c>
      <c r="BS1095" t="s">
        <v>133</v>
      </c>
      <c r="BT1095">
        <v>0</v>
      </c>
      <c r="BU1095">
        <v>1</v>
      </c>
      <c r="BV1095" t="s">
        <v>134</v>
      </c>
      <c r="BX1095" t="s">
        <v>7739</v>
      </c>
      <c r="BY1095" t="s">
        <v>14575</v>
      </c>
      <c r="BZ1095" t="s">
        <v>14576</v>
      </c>
      <c r="CA1095" t="s">
        <v>14577</v>
      </c>
      <c r="CB1095" t="s">
        <v>154</v>
      </c>
      <c r="CC1095" s="4" t="str">
        <f>"34956"</f>
        <v>34956</v>
      </c>
      <c r="CD1095" t="s">
        <v>2821</v>
      </c>
      <c r="CE1095" t="s">
        <v>3971</v>
      </c>
      <c r="CF1095" s="6">
        <v>12.83</v>
      </c>
      <c r="CG1095" s="6">
        <v>12.83</v>
      </c>
      <c r="CH1095" s="6">
        <v>19.25</v>
      </c>
      <c r="CI1095" s="6">
        <v>19.25</v>
      </c>
      <c r="CJ1095" t="s">
        <v>137</v>
      </c>
      <c r="CL1095" t="s">
        <v>14578</v>
      </c>
      <c r="CO1095" t="s">
        <v>138</v>
      </c>
      <c r="CP1095" t="s">
        <v>134</v>
      </c>
      <c r="CQ1095" t="s">
        <v>134</v>
      </c>
      <c r="CR1095" t="s">
        <v>114</v>
      </c>
      <c r="CS1095" t="s">
        <v>134</v>
      </c>
      <c r="CT1095" t="s">
        <v>114</v>
      </c>
      <c r="CU1095" t="s">
        <v>114</v>
      </c>
      <c r="CV1095" t="s">
        <v>2195</v>
      </c>
      <c r="CW1095" s="5" t="str">
        <f>"+15163841661"</f>
        <v>+15163841661</v>
      </c>
      <c r="CX1095" t="s">
        <v>7143</v>
      </c>
      <c r="CY1095" t="s">
        <v>138</v>
      </c>
      <c r="CZ1095" t="s">
        <v>139</v>
      </c>
      <c r="DA1095" t="s">
        <v>134</v>
      </c>
      <c r="DB1095" t="s">
        <v>134</v>
      </c>
      <c r="DC1095" t="s">
        <v>114</v>
      </c>
      <c r="DD1095" t="s">
        <v>134</v>
      </c>
    </row>
    <row r="1096" spans="1:113" ht="15" customHeight="1" x14ac:dyDescent="0.25">
      <c r="A1096" t="s">
        <v>9731</v>
      </c>
      <c r="B1096" t="s">
        <v>165</v>
      </c>
      <c r="C1096" s="1">
        <v>44807.347448726854</v>
      </c>
      <c r="D1096" s="1">
        <v>44837</v>
      </c>
      <c r="E1096" t="s">
        <v>134</v>
      </c>
      <c r="F1096" t="s">
        <v>5604</v>
      </c>
      <c r="G1096" t="str">
        <f>"37-3011.00"</f>
        <v>37-3011.00</v>
      </c>
      <c r="H1096" t="s">
        <v>335</v>
      </c>
      <c r="I1096">
        <v>14</v>
      </c>
      <c r="J1096">
        <v>14</v>
      </c>
      <c r="K1096" s="1">
        <v>44897</v>
      </c>
      <c r="L1096" s="1">
        <v>45200</v>
      </c>
      <c r="M1096" s="1">
        <v>44897</v>
      </c>
      <c r="N1096" s="1">
        <v>45200</v>
      </c>
      <c r="O1096" t="s">
        <v>199</v>
      </c>
      <c r="P1096" t="s">
        <v>9422</v>
      </c>
      <c r="R1096" t="s">
        <v>9423</v>
      </c>
      <c r="T1096" t="s">
        <v>9424</v>
      </c>
      <c r="U1096" t="s">
        <v>2164</v>
      </c>
      <c r="V1096" s="4" t="str">
        <f>"82332"</f>
        <v>82332</v>
      </c>
      <c r="W1096" t="s">
        <v>120</v>
      </c>
      <c r="Y1096" s="5">
        <v>19705837396</v>
      </c>
      <c r="AA1096">
        <v>72111</v>
      </c>
      <c r="AB1096" t="s">
        <v>9425</v>
      </c>
      <c r="AC1096" t="s">
        <v>9405</v>
      </c>
      <c r="AE1096" t="s">
        <v>1212</v>
      </c>
      <c r="AF1096" t="s">
        <v>9426</v>
      </c>
      <c r="AH1096" t="s">
        <v>9424</v>
      </c>
      <c r="AI1096" t="s">
        <v>2164</v>
      </c>
      <c r="AJ1096" s="4" t="str">
        <f>"82332"</f>
        <v>82332</v>
      </c>
      <c r="AK1096" t="s">
        <v>120</v>
      </c>
      <c r="AM1096" s="5">
        <v>19705837396</v>
      </c>
      <c r="AO1096" t="s">
        <v>9427</v>
      </c>
      <c r="AP1096" t="s">
        <v>122</v>
      </c>
      <c r="AQ1096" t="s">
        <v>1152</v>
      </c>
      <c r="AR1096" t="s">
        <v>1153</v>
      </c>
      <c r="AS1096" t="s">
        <v>1154</v>
      </c>
      <c r="AT1096" t="s">
        <v>1155</v>
      </c>
      <c r="AU1096" t="s">
        <v>1156</v>
      </c>
      <c r="AV1096" t="s">
        <v>1157</v>
      </c>
      <c r="AW1096" t="s">
        <v>154</v>
      </c>
      <c r="AX1096" s="4" t="str">
        <f>"33186"</f>
        <v>33186</v>
      </c>
      <c r="AY1096" t="s">
        <v>120</v>
      </c>
      <c r="BA1096" s="5">
        <v>13056706767</v>
      </c>
      <c r="BC1096" t="s">
        <v>1158</v>
      </c>
      <c r="BD1096" t="s">
        <v>1159</v>
      </c>
      <c r="BE1096" t="s">
        <v>154</v>
      </c>
      <c r="BF1096" t="s">
        <v>218</v>
      </c>
      <c r="BG1096" t="s">
        <v>2164</v>
      </c>
      <c r="BH1096" s="1">
        <v>44805.833333333336</v>
      </c>
      <c r="BI1096">
        <v>56</v>
      </c>
      <c r="BJ1096">
        <v>8</v>
      </c>
      <c r="BK1096">
        <v>8</v>
      </c>
      <c r="BL1096">
        <v>8</v>
      </c>
      <c r="BM1096">
        <v>8</v>
      </c>
      <c r="BN1096">
        <v>8</v>
      </c>
      <c r="BO1096">
        <v>8</v>
      </c>
      <c r="BP1096">
        <v>8</v>
      </c>
      <c r="BQ1096" t="str">
        <f>"7:00 AM"</f>
        <v>7:00 AM</v>
      </c>
      <c r="BR1096" t="str">
        <f>"4:00 PM"</f>
        <v>4:00 PM</v>
      </c>
      <c r="BS1096" t="s">
        <v>133</v>
      </c>
      <c r="BT1096">
        <v>0</v>
      </c>
      <c r="BU1096">
        <v>0</v>
      </c>
      <c r="BV1096" t="s">
        <v>134</v>
      </c>
      <c r="BX1096" s="2" t="s">
        <v>9732</v>
      </c>
      <c r="BY1096" t="s">
        <v>9429</v>
      </c>
      <c r="CA1096" t="s">
        <v>9430</v>
      </c>
      <c r="CB1096" t="s">
        <v>2164</v>
      </c>
      <c r="CC1096" s="4" t="str">
        <f>"82332"</f>
        <v>82332</v>
      </c>
      <c r="CD1096" t="s">
        <v>9431</v>
      </c>
      <c r="CE1096" t="s">
        <v>2165</v>
      </c>
      <c r="CF1096" s="6">
        <v>17</v>
      </c>
      <c r="CG1096" s="6">
        <v>20</v>
      </c>
      <c r="CH1096" s="6">
        <v>25.5</v>
      </c>
      <c r="CI1096" s="6">
        <v>30</v>
      </c>
      <c r="CJ1096" t="s">
        <v>137</v>
      </c>
      <c r="CL1096" t="s">
        <v>9733</v>
      </c>
      <c r="CO1096" t="s">
        <v>138</v>
      </c>
      <c r="CP1096" t="s">
        <v>134</v>
      </c>
      <c r="CQ1096" t="s">
        <v>114</v>
      </c>
      <c r="CR1096" t="s">
        <v>114</v>
      </c>
      <c r="CS1096" t="s">
        <v>114</v>
      </c>
      <c r="CT1096" t="s">
        <v>114</v>
      </c>
      <c r="CU1096" t="s">
        <v>114</v>
      </c>
      <c r="CV1096" t="s">
        <v>9734</v>
      </c>
      <c r="CW1096" s="5" t="str">
        <f>"+19705837396"</f>
        <v>+19705837396</v>
      </c>
      <c r="CX1096" t="s">
        <v>9427</v>
      </c>
      <c r="CY1096" t="s">
        <v>138</v>
      </c>
      <c r="CZ1096" t="s">
        <v>139</v>
      </c>
      <c r="DA1096" t="s">
        <v>134</v>
      </c>
      <c r="DB1096" t="s">
        <v>114</v>
      </c>
      <c r="DC1096" t="s">
        <v>114</v>
      </c>
      <c r="DD1096" t="s">
        <v>134</v>
      </c>
    </row>
    <row r="1097" spans="1:113" ht="15" customHeight="1" x14ac:dyDescent="0.25">
      <c r="A1097" t="s">
        <v>13991</v>
      </c>
      <c r="B1097" t="s">
        <v>165</v>
      </c>
      <c r="C1097" s="1">
        <v>44807.341863078706</v>
      </c>
      <c r="D1097" s="1">
        <v>44837</v>
      </c>
      <c r="E1097" t="s">
        <v>114</v>
      </c>
      <c r="F1097" t="s">
        <v>4106</v>
      </c>
      <c r="G1097" t="str">
        <f>"31-9011.00"</f>
        <v>31-9011.00</v>
      </c>
      <c r="H1097" t="s">
        <v>4107</v>
      </c>
      <c r="I1097">
        <v>2</v>
      </c>
      <c r="J1097">
        <v>2</v>
      </c>
      <c r="K1097" s="1">
        <v>44897</v>
      </c>
      <c r="L1097" s="1">
        <v>45017</v>
      </c>
      <c r="M1097" s="1">
        <v>44897</v>
      </c>
      <c r="N1097" s="1">
        <v>45017</v>
      </c>
      <c r="O1097" t="s">
        <v>199</v>
      </c>
      <c r="P1097" t="s">
        <v>9422</v>
      </c>
      <c r="R1097" t="s">
        <v>9423</v>
      </c>
      <c r="T1097" t="s">
        <v>9424</v>
      </c>
      <c r="U1097" t="s">
        <v>2164</v>
      </c>
      <c r="V1097" s="4" t="str">
        <f>"82332"</f>
        <v>82332</v>
      </c>
      <c r="W1097" t="s">
        <v>120</v>
      </c>
      <c r="Y1097" s="5">
        <v>19705837396</v>
      </c>
      <c r="AA1097">
        <v>72111</v>
      </c>
      <c r="AB1097" t="s">
        <v>9425</v>
      </c>
      <c r="AC1097" t="s">
        <v>9405</v>
      </c>
      <c r="AE1097" t="s">
        <v>1212</v>
      </c>
      <c r="AF1097" t="s">
        <v>9426</v>
      </c>
      <c r="AH1097" t="s">
        <v>9424</v>
      </c>
      <c r="AI1097" t="s">
        <v>2164</v>
      </c>
      <c r="AJ1097" s="4" t="str">
        <f>"82332"</f>
        <v>82332</v>
      </c>
      <c r="AK1097" t="s">
        <v>120</v>
      </c>
      <c r="AM1097" s="5">
        <v>19705837396</v>
      </c>
      <c r="AO1097" t="s">
        <v>9427</v>
      </c>
      <c r="AP1097" t="s">
        <v>122</v>
      </c>
      <c r="AQ1097" t="s">
        <v>1152</v>
      </c>
      <c r="AR1097" t="s">
        <v>1153</v>
      </c>
      <c r="AS1097" t="s">
        <v>1154</v>
      </c>
      <c r="AT1097" t="s">
        <v>1155</v>
      </c>
      <c r="AU1097" t="s">
        <v>1156</v>
      </c>
      <c r="AV1097" t="s">
        <v>1157</v>
      </c>
      <c r="AW1097" t="s">
        <v>154</v>
      </c>
      <c r="AX1097" s="4" t="str">
        <f>"33186"</f>
        <v>33186</v>
      </c>
      <c r="AY1097" t="s">
        <v>120</v>
      </c>
      <c r="BA1097" s="5">
        <v>13056706767</v>
      </c>
      <c r="BC1097" t="s">
        <v>1158</v>
      </c>
      <c r="BD1097" t="s">
        <v>1159</v>
      </c>
      <c r="BE1097" t="s">
        <v>154</v>
      </c>
      <c r="BF1097" t="s">
        <v>218</v>
      </c>
      <c r="BG1097" t="s">
        <v>2164</v>
      </c>
      <c r="BH1097" s="1">
        <v>44805.833333333336</v>
      </c>
      <c r="BI1097">
        <v>56</v>
      </c>
      <c r="BJ1097">
        <v>8</v>
      </c>
      <c r="BK1097">
        <v>8</v>
      </c>
      <c r="BL1097">
        <v>8</v>
      </c>
      <c r="BM1097">
        <v>8</v>
      </c>
      <c r="BN1097">
        <v>8</v>
      </c>
      <c r="BO1097">
        <v>8</v>
      </c>
      <c r="BP1097">
        <v>8</v>
      </c>
      <c r="BQ1097" t="str">
        <f>"8:00 AM"</f>
        <v>8:00 AM</v>
      </c>
      <c r="BR1097" t="str">
        <f>"4:00 PM"</f>
        <v>4:00 PM</v>
      </c>
      <c r="BS1097" t="s">
        <v>133</v>
      </c>
      <c r="BT1097">
        <v>0</v>
      </c>
      <c r="BU1097">
        <v>24</v>
      </c>
      <c r="BV1097" t="s">
        <v>134</v>
      </c>
      <c r="BX1097" s="2" t="s">
        <v>13992</v>
      </c>
      <c r="BY1097" t="s">
        <v>9429</v>
      </c>
      <c r="CA1097" t="s">
        <v>9430</v>
      </c>
      <c r="CB1097" t="s">
        <v>2164</v>
      </c>
      <c r="CC1097" s="4" t="str">
        <f>"82332"</f>
        <v>82332</v>
      </c>
      <c r="CD1097" t="s">
        <v>9431</v>
      </c>
      <c r="CE1097" t="s">
        <v>2165</v>
      </c>
      <c r="CF1097" s="6">
        <v>22.42</v>
      </c>
      <c r="CG1097" s="6">
        <v>25</v>
      </c>
      <c r="CH1097" s="6">
        <v>33.630000000000003</v>
      </c>
      <c r="CI1097" s="6">
        <v>37.5</v>
      </c>
      <c r="CJ1097" t="s">
        <v>137</v>
      </c>
      <c r="CL1097" t="s">
        <v>13993</v>
      </c>
      <c r="CO1097" t="s">
        <v>138</v>
      </c>
      <c r="CP1097" t="s">
        <v>134</v>
      </c>
      <c r="CQ1097" t="s">
        <v>114</v>
      </c>
      <c r="CR1097" t="s">
        <v>114</v>
      </c>
      <c r="CS1097" t="s">
        <v>114</v>
      </c>
      <c r="CT1097" t="s">
        <v>114</v>
      </c>
      <c r="CU1097" t="s">
        <v>114</v>
      </c>
      <c r="CV1097" s="2" t="s">
        <v>13994</v>
      </c>
      <c r="CW1097" s="5" t="str">
        <f>"+19705837396"</f>
        <v>+19705837396</v>
      </c>
      <c r="CX1097" t="s">
        <v>9427</v>
      </c>
      <c r="CY1097" t="s">
        <v>138</v>
      </c>
      <c r="CZ1097" t="s">
        <v>139</v>
      </c>
      <c r="DA1097" t="s">
        <v>134</v>
      </c>
      <c r="DB1097" t="s">
        <v>114</v>
      </c>
      <c r="DC1097" t="s">
        <v>114</v>
      </c>
      <c r="DD1097" t="s">
        <v>134</v>
      </c>
    </row>
    <row r="1098" spans="1:113" ht="15" customHeight="1" x14ac:dyDescent="0.25">
      <c r="A1098" t="s">
        <v>8488</v>
      </c>
      <c r="B1098" t="s">
        <v>165</v>
      </c>
      <c r="C1098" s="1">
        <v>44806.507835532408</v>
      </c>
      <c r="D1098" s="1">
        <v>44837</v>
      </c>
      <c r="E1098" t="s">
        <v>134</v>
      </c>
      <c r="F1098" t="s">
        <v>8489</v>
      </c>
      <c r="G1098" t="str">
        <f>"49-9098.00"</f>
        <v>49-9098.00</v>
      </c>
      <c r="H1098" t="s">
        <v>525</v>
      </c>
      <c r="I1098">
        <v>3</v>
      </c>
      <c r="J1098">
        <v>3</v>
      </c>
      <c r="K1098" s="1">
        <v>44896</v>
      </c>
      <c r="L1098" s="1">
        <v>45200</v>
      </c>
      <c r="M1098" s="1">
        <v>44896</v>
      </c>
      <c r="N1098" s="1">
        <v>45200</v>
      </c>
      <c r="O1098" t="s">
        <v>117</v>
      </c>
      <c r="P1098" t="s">
        <v>8490</v>
      </c>
      <c r="Q1098" t="s">
        <v>1897</v>
      </c>
      <c r="R1098" t="s">
        <v>8491</v>
      </c>
      <c r="S1098" t="s">
        <v>8492</v>
      </c>
      <c r="T1098" t="s">
        <v>8493</v>
      </c>
      <c r="U1098" t="s">
        <v>214</v>
      </c>
      <c r="V1098" s="4" t="str">
        <f>"70527"</f>
        <v>70527</v>
      </c>
      <c r="W1098" t="s">
        <v>120</v>
      </c>
      <c r="Y1098" s="5">
        <v>13377880595</v>
      </c>
      <c r="AA1098">
        <v>238120</v>
      </c>
      <c r="AB1098" t="s">
        <v>8494</v>
      </c>
      <c r="AC1098" t="s">
        <v>8495</v>
      </c>
      <c r="AE1098" t="s">
        <v>342</v>
      </c>
      <c r="AF1098" t="s">
        <v>8491</v>
      </c>
      <c r="AG1098" t="s">
        <v>8492</v>
      </c>
      <c r="AH1098" t="s">
        <v>8493</v>
      </c>
      <c r="AI1098" t="s">
        <v>214</v>
      </c>
      <c r="AJ1098" s="4" t="str">
        <f>"70527"</f>
        <v>70527</v>
      </c>
      <c r="AK1098" t="s">
        <v>120</v>
      </c>
      <c r="AM1098" s="5">
        <v>13377880595</v>
      </c>
      <c r="AO1098" t="s">
        <v>8496</v>
      </c>
      <c r="AP1098" t="s">
        <v>256</v>
      </c>
      <c r="AQ1098" t="s">
        <v>5959</v>
      </c>
      <c r="AR1098" t="s">
        <v>5960</v>
      </c>
      <c r="AS1098" t="s">
        <v>1582</v>
      </c>
      <c r="AT1098" t="s">
        <v>5961</v>
      </c>
      <c r="AU1098" t="s">
        <v>5962</v>
      </c>
      <c r="AV1098" t="s">
        <v>4575</v>
      </c>
      <c r="AW1098" t="s">
        <v>119</v>
      </c>
      <c r="AX1098" s="4" t="str">
        <f>"27536"</f>
        <v>27536</v>
      </c>
      <c r="AY1098" t="s">
        <v>120</v>
      </c>
      <c r="BA1098" s="5">
        <v>14349173294</v>
      </c>
      <c r="BC1098" t="s">
        <v>5963</v>
      </c>
      <c r="BD1098" t="s">
        <v>5964</v>
      </c>
      <c r="BG1098" t="s">
        <v>214</v>
      </c>
      <c r="BH1098" s="1">
        <v>44805.833333333336</v>
      </c>
      <c r="BI1098">
        <v>40</v>
      </c>
      <c r="BJ1098">
        <v>0</v>
      </c>
      <c r="BK1098">
        <v>7</v>
      </c>
      <c r="BL1098">
        <v>7</v>
      </c>
      <c r="BM1098">
        <v>7</v>
      </c>
      <c r="BN1098">
        <v>7</v>
      </c>
      <c r="BO1098">
        <v>7</v>
      </c>
      <c r="BP1098">
        <v>5</v>
      </c>
      <c r="BQ1098" t="str">
        <f>"7:00 AM"</f>
        <v>7:00 AM</v>
      </c>
      <c r="BR1098" t="str">
        <f>"4:00 PM"</f>
        <v>4:00 PM</v>
      </c>
      <c r="BS1098" t="s">
        <v>133</v>
      </c>
      <c r="BT1098">
        <v>0</v>
      </c>
      <c r="BU1098">
        <v>3</v>
      </c>
      <c r="BV1098" t="s">
        <v>134</v>
      </c>
      <c r="BX1098" s="2" t="s">
        <v>8497</v>
      </c>
      <c r="BY1098" t="s">
        <v>8492</v>
      </c>
      <c r="BZ1098" t="s">
        <v>1897</v>
      </c>
      <c r="CA1098" t="s">
        <v>8493</v>
      </c>
      <c r="CB1098" t="s">
        <v>214</v>
      </c>
      <c r="CC1098" s="4" t="str">
        <f>"70526"</f>
        <v>70526</v>
      </c>
      <c r="CD1098" t="s">
        <v>8498</v>
      </c>
      <c r="CE1098" t="s">
        <v>1822</v>
      </c>
      <c r="CF1098" s="6">
        <v>14.75</v>
      </c>
      <c r="CG1098" s="6">
        <v>14.75</v>
      </c>
      <c r="CH1098" s="6">
        <v>22.13</v>
      </c>
      <c r="CI1098" s="6">
        <v>22.13</v>
      </c>
      <c r="CJ1098" t="s">
        <v>137</v>
      </c>
      <c r="CL1098" t="s">
        <v>8499</v>
      </c>
      <c r="CO1098" t="s">
        <v>138</v>
      </c>
      <c r="CP1098" t="s">
        <v>114</v>
      </c>
      <c r="CQ1098" t="s">
        <v>114</v>
      </c>
      <c r="CR1098" t="s">
        <v>114</v>
      </c>
      <c r="CS1098" t="s">
        <v>134</v>
      </c>
      <c r="CT1098" t="s">
        <v>114</v>
      </c>
      <c r="CU1098" t="s">
        <v>134</v>
      </c>
      <c r="CV1098" t="s">
        <v>8500</v>
      </c>
      <c r="CW1098" s="5" t="str">
        <f>"+13377880595"</f>
        <v>+13377880595</v>
      </c>
      <c r="CX1098" t="s">
        <v>138</v>
      </c>
      <c r="CY1098" t="s">
        <v>274</v>
      </c>
      <c r="CZ1098" t="s">
        <v>139</v>
      </c>
      <c r="DA1098" t="s">
        <v>134</v>
      </c>
      <c r="DB1098" t="s">
        <v>134</v>
      </c>
      <c r="DC1098" t="s">
        <v>114</v>
      </c>
      <c r="DD1098" t="s">
        <v>134</v>
      </c>
    </row>
    <row r="1099" spans="1:113" ht="15" customHeight="1" x14ac:dyDescent="0.25">
      <c r="A1099" t="s">
        <v>5199</v>
      </c>
      <c r="B1099" t="s">
        <v>165</v>
      </c>
      <c r="C1099" s="1">
        <v>44805.299545717593</v>
      </c>
      <c r="D1099" s="1">
        <v>44837</v>
      </c>
      <c r="E1099" t="s">
        <v>114</v>
      </c>
      <c r="F1099" t="s">
        <v>2470</v>
      </c>
      <c r="G1099" t="str">
        <f>"37-2012.00"</f>
        <v>37-2012.00</v>
      </c>
      <c r="H1099" t="s">
        <v>116</v>
      </c>
      <c r="I1099">
        <v>16</v>
      </c>
      <c r="J1099">
        <v>16</v>
      </c>
      <c r="K1099" s="1">
        <v>44880</v>
      </c>
      <c r="L1099" s="1">
        <v>45076</v>
      </c>
      <c r="M1099" s="1">
        <v>44880</v>
      </c>
      <c r="N1099" s="1">
        <v>45076</v>
      </c>
      <c r="O1099" t="s">
        <v>117</v>
      </c>
      <c r="P1099" t="s">
        <v>5200</v>
      </c>
      <c r="Q1099" t="s">
        <v>5201</v>
      </c>
      <c r="R1099" t="s">
        <v>5202</v>
      </c>
      <c r="T1099" t="s">
        <v>4252</v>
      </c>
      <c r="U1099" t="s">
        <v>530</v>
      </c>
      <c r="V1099" s="4" t="str">
        <f>"85253"</f>
        <v>85253</v>
      </c>
      <c r="W1099" t="s">
        <v>120</v>
      </c>
      <c r="Y1099" s="5">
        <v>14809515174</v>
      </c>
      <c r="AA1099">
        <v>721110</v>
      </c>
      <c r="AB1099" t="s">
        <v>5203</v>
      </c>
      <c r="AC1099" t="s">
        <v>2817</v>
      </c>
      <c r="AE1099" t="s">
        <v>1915</v>
      </c>
      <c r="AF1099" t="s">
        <v>5202</v>
      </c>
      <c r="AH1099" t="s">
        <v>4252</v>
      </c>
      <c r="AI1099" t="s">
        <v>530</v>
      </c>
      <c r="AJ1099" s="4" t="str">
        <f>"85253"</f>
        <v>85253</v>
      </c>
      <c r="AK1099" t="s">
        <v>120</v>
      </c>
      <c r="AM1099" s="5">
        <v>14809515174</v>
      </c>
      <c r="AO1099" t="s">
        <v>5204</v>
      </c>
      <c r="AP1099" t="s">
        <v>122</v>
      </c>
      <c r="AQ1099" t="s">
        <v>753</v>
      </c>
      <c r="AR1099" t="s">
        <v>754</v>
      </c>
      <c r="AS1099" t="s">
        <v>755</v>
      </c>
      <c r="AT1099" t="s">
        <v>756</v>
      </c>
      <c r="AU1099" t="s">
        <v>757</v>
      </c>
      <c r="AV1099" t="s">
        <v>758</v>
      </c>
      <c r="AW1099" t="s">
        <v>281</v>
      </c>
      <c r="AX1099" s="4" t="str">
        <f>"01701"</f>
        <v>01701</v>
      </c>
      <c r="AY1099" t="s">
        <v>120</v>
      </c>
      <c r="BA1099" s="5">
        <v>16179399444</v>
      </c>
      <c r="BC1099" t="s">
        <v>759</v>
      </c>
      <c r="BD1099" t="s">
        <v>760</v>
      </c>
      <c r="BE1099" t="s">
        <v>281</v>
      </c>
      <c r="BF1099" t="s">
        <v>761</v>
      </c>
      <c r="BG1099" t="s">
        <v>530</v>
      </c>
      <c r="BH1099" s="1">
        <v>44804.833333333336</v>
      </c>
      <c r="BI1099">
        <v>35</v>
      </c>
      <c r="BJ1099">
        <v>0</v>
      </c>
      <c r="BK1099">
        <v>7</v>
      </c>
      <c r="BL1099">
        <v>7</v>
      </c>
      <c r="BM1099">
        <v>7</v>
      </c>
      <c r="BN1099">
        <v>7</v>
      </c>
      <c r="BO1099">
        <v>7</v>
      </c>
      <c r="BP1099">
        <v>0</v>
      </c>
      <c r="BQ1099" t="str">
        <f>"8:00 AM"</f>
        <v>8:00 AM</v>
      </c>
      <c r="BR1099" t="str">
        <f>"3:00 PM"</f>
        <v>3:00 PM</v>
      </c>
      <c r="BS1099" t="s">
        <v>133</v>
      </c>
      <c r="BT1099">
        <v>0</v>
      </c>
      <c r="BU1099">
        <v>3</v>
      </c>
      <c r="BV1099" t="s">
        <v>134</v>
      </c>
      <c r="BX1099" s="2" t="s">
        <v>5205</v>
      </c>
      <c r="BY1099" t="s">
        <v>5202</v>
      </c>
      <c r="CA1099" t="s">
        <v>4252</v>
      </c>
      <c r="CB1099" t="s">
        <v>530</v>
      </c>
      <c r="CC1099" s="4" t="str">
        <f>"85253"</f>
        <v>85253</v>
      </c>
      <c r="CD1099" t="s">
        <v>592</v>
      </c>
      <c r="CE1099" t="s">
        <v>548</v>
      </c>
      <c r="CF1099" s="6">
        <v>14.71</v>
      </c>
      <c r="CG1099" s="6">
        <v>16.5</v>
      </c>
      <c r="CH1099" s="6">
        <v>22.07</v>
      </c>
      <c r="CI1099" s="6">
        <v>24.75</v>
      </c>
      <c r="CJ1099" t="s">
        <v>137</v>
      </c>
      <c r="CK1099" t="s">
        <v>5206</v>
      </c>
      <c r="CL1099" t="s">
        <v>5207</v>
      </c>
      <c r="CO1099" t="s">
        <v>138</v>
      </c>
      <c r="CP1099" t="s">
        <v>134</v>
      </c>
      <c r="CQ1099" t="s">
        <v>134</v>
      </c>
      <c r="CR1099" t="s">
        <v>114</v>
      </c>
      <c r="CS1099" t="s">
        <v>114</v>
      </c>
      <c r="CT1099" t="s">
        <v>114</v>
      </c>
      <c r="CU1099" t="s">
        <v>114</v>
      </c>
      <c r="CV1099" s="2" t="s">
        <v>5208</v>
      </c>
      <c r="CW1099" s="5" t="str">
        <f>"+14809515174"</f>
        <v>+14809515174</v>
      </c>
      <c r="CX1099" t="s">
        <v>5209</v>
      </c>
      <c r="CY1099" t="s">
        <v>138</v>
      </c>
      <c r="CZ1099" t="s">
        <v>139</v>
      </c>
      <c r="DA1099" t="s">
        <v>134</v>
      </c>
      <c r="DB1099" t="s">
        <v>134</v>
      </c>
      <c r="DC1099" t="s">
        <v>114</v>
      </c>
      <c r="DD1099" t="s">
        <v>134</v>
      </c>
    </row>
    <row r="1100" spans="1:113" ht="15" customHeight="1" x14ac:dyDescent="0.25">
      <c r="A1100" t="s">
        <v>14482</v>
      </c>
      <c r="B1100" t="s">
        <v>165</v>
      </c>
      <c r="C1100" s="1">
        <v>44805.29250127315</v>
      </c>
      <c r="D1100" s="1">
        <v>44837</v>
      </c>
      <c r="E1100" t="s">
        <v>114</v>
      </c>
      <c r="F1100" t="s">
        <v>1331</v>
      </c>
      <c r="G1100" t="str">
        <f>"35-2014.00"</f>
        <v>35-2014.00</v>
      </c>
      <c r="H1100" t="s">
        <v>915</v>
      </c>
      <c r="I1100">
        <v>4</v>
      </c>
      <c r="J1100">
        <v>4</v>
      </c>
      <c r="K1100" s="1">
        <v>44880</v>
      </c>
      <c r="L1100" s="1">
        <v>45076</v>
      </c>
      <c r="M1100" s="1">
        <v>44880</v>
      </c>
      <c r="N1100" s="1">
        <v>45076</v>
      </c>
      <c r="O1100" t="s">
        <v>117</v>
      </c>
      <c r="P1100" t="s">
        <v>5200</v>
      </c>
      <c r="Q1100" t="s">
        <v>5201</v>
      </c>
      <c r="R1100" t="s">
        <v>5202</v>
      </c>
      <c r="T1100" t="s">
        <v>4252</v>
      </c>
      <c r="U1100" t="s">
        <v>530</v>
      </c>
      <c r="V1100" s="4" t="str">
        <f>"85253"</f>
        <v>85253</v>
      </c>
      <c r="W1100" t="s">
        <v>120</v>
      </c>
      <c r="Y1100" s="5">
        <v>14809515174</v>
      </c>
      <c r="AA1100">
        <v>721110</v>
      </c>
      <c r="AB1100" t="s">
        <v>5203</v>
      </c>
      <c r="AC1100" t="s">
        <v>2817</v>
      </c>
      <c r="AE1100" t="s">
        <v>1915</v>
      </c>
      <c r="AF1100" t="s">
        <v>5202</v>
      </c>
      <c r="AH1100" t="s">
        <v>4252</v>
      </c>
      <c r="AI1100" t="s">
        <v>530</v>
      </c>
      <c r="AJ1100" s="4" t="str">
        <f>"85253"</f>
        <v>85253</v>
      </c>
      <c r="AK1100" t="s">
        <v>120</v>
      </c>
      <c r="AM1100" s="5">
        <v>14809515174</v>
      </c>
      <c r="AO1100" t="s">
        <v>5204</v>
      </c>
      <c r="AP1100" t="s">
        <v>122</v>
      </c>
      <c r="AQ1100" t="s">
        <v>753</v>
      </c>
      <c r="AR1100" t="s">
        <v>754</v>
      </c>
      <c r="AS1100" t="s">
        <v>755</v>
      </c>
      <c r="AT1100" t="s">
        <v>756</v>
      </c>
      <c r="AU1100" t="s">
        <v>757</v>
      </c>
      <c r="AV1100" t="s">
        <v>758</v>
      </c>
      <c r="AW1100" t="s">
        <v>281</v>
      </c>
      <c r="AX1100" s="4" t="str">
        <f>"01701"</f>
        <v>01701</v>
      </c>
      <c r="AY1100" t="s">
        <v>120</v>
      </c>
      <c r="BA1100" s="5">
        <v>16179399444</v>
      </c>
      <c r="BC1100" t="s">
        <v>759</v>
      </c>
      <c r="BD1100" t="s">
        <v>760</v>
      </c>
      <c r="BE1100" t="s">
        <v>281</v>
      </c>
      <c r="BF1100" t="s">
        <v>761</v>
      </c>
      <c r="BG1100" t="s">
        <v>530</v>
      </c>
      <c r="BH1100" s="1">
        <v>44804.833333333336</v>
      </c>
      <c r="BI1100">
        <v>35</v>
      </c>
      <c r="BJ1100">
        <v>0</v>
      </c>
      <c r="BK1100">
        <v>7</v>
      </c>
      <c r="BL1100">
        <v>7</v>
      </c>
      <c r="BM1100">
        <v>7</v>
      </c>
      <c r="BN1100">
        <v>7</v>
      </c>
      <c r="BO1100">
        <v>7</v>
      </c>
      <c r="BP1100">
        <v>0</v>
      </c>
      <c r="BQ1100" t="str">
        <f>"5:00 AM"</f>
        <v>5:00 AM</v>
      </c>
      <c r="BR1100" t="str">
        <f>"12:00 PM"</f>
        <v>12:00 PM</v>
      </c>
      <c r="BS1100" t="s">
        <v>133</v>
      </c>
      <c r="BT1100">
        <v>0</v>
      </c>
      <c r="BU1100">
        <v>6</v>
      </c>
      <c r="BV1100" t="s">
        <v>134</v>
      </c>
      <c r="BX1100" s="2" t="s">
        <v>14483</v>
      </c>
      <c r="BY1100" t="s">
        <v>5202</v>
      </c>
      <c r="CA1100" t="s">
        <v>4252</v>
      </c>
      <c r="CB1100" t="s">
        <v>530</v>
      </c>
      <c r="CC1100" s="4" t="str">
        <f>"85253"</f>
        <v>85253</v>
      </c>
      <c r="CD1100" t="s">
        <v>592</v>
      </c>
      <c r="CE1100" t="s">
        <v>548</v>
      </c>
      <c r="CF1100" s="6">
        <v>16.11</v>
      </c>
      <c r="CG1100" s="6">
        <v>18.5</v>
      </c>
      <c r="CH1100" s="6">
        <v>24.17</v>
      </c>
      <c r="CI1100" s="6">
        <v>27.75</v>
      </c>
      <c r="CJ1100" t="s">
        <v>137</v>
      </c>
      <c r="CK1100" t="s">
        <v>14484</v>
      </c>
      <c r="CL1100" t="s">
        <v>14485</v>
      </c>
      <c r="CO1100" t="s">
        <v>138</v>
      </c>
      <c r="CP1100" t="s">
        <v>134</v>
      </c>
      <c r="CQ1100" t="s">
        <v>134</v>
      </c>
      <c r="CR1100" t="s">
        <v>114</v>
      </c>
      <c r="CS1100" t="s">
        <v>114</v>
      </c>
      <c r="CT1100" t="s">
        <v>114</v>
      </c>
      <c r="CU1100" t="s">
        <v>114</v>
      </c>
      <c r="CV1100" s="2" t="s">
        <v>14486</v>
      </c>
      <c r="CW1100" s="5" t="str">
        <f>"+14809515174"</f>
        <v>+14809515174</v>
      </c>
      <c r="CX1100" t="s">
        <v>5209</v>
      </c>
      <c r="CY1100" t="s">
        <v>138</v>
      </c>
      <c r="CZ1100" t="s">
        <v>139</v>
      </c>
      <c r="DA1100" t="s">
        <v>134</v>
      </c>
      <c r="DB1100" t="s">
        <v>134</v>
      </c>
      <c r="DC1100" t="s">
        <v>114</v>
      </c>
      <c r="DD1100" t="s">
        <v>134</v>
      </c>
    </row>
    <row r="1101" spans="1:113" ht="15" customHeight="1" x14ac:dyDescent="0.25">
      <c r="A1101" t="s">
        <v>10609</v>
      </c>
      <c r="B1101" t="s">
        <v>165</v>
      </c>
      <c r="C1101" s="1">
        <v>44800.443226736112</v>
      </c>
      <c r="D1101" s="1">
        <v>44837</v>
      </c>
      <c r="E1101" t="s">
        <v>134</v>
      </c>
      <c r="F1101" t="s">
        <v>10610</v>
      </c>
      <c r="G1101" t="str">
        <f>"51-3022.00"</f>
        <v>51-3022.00</v>
      </c>
      <c r="H1101" t="s">
        <v>817</v>
      </c>
      <c r="I1101">
        <v>140</v>
      </c>
      <c r="J1101">
        <v>140</v>
      </c>
      <c r="K1101" s="1">
        <v>44890</v>
      </c>
      <c r="L1101" s="1">
        <v>45122</v>
      </c>
      <c r="M1101" s="1">
        <v>44890</v>
      </c>
      <c r="N1101" s="1">
        <v>45122</v>
      </c>
      <c r="O1101" t="s">
        <v>199</v>
      </c>
      <c r="P1101" t="s">
        <v>10611</v>
      </c>
      <c r="R1101" t="s">
        <v>10612</v>
      </c>
      <c r="S1101" t="s">
        <v>10613</v>
      </c>
      <c r="T1101" t="s">
        <v>8493</v>
      </c>
      <c r="U1101" t="s">
        <v>214</v>
      </c>
      <c r="V1101" s="4" t="str">
        <f>"70526"</f>
        <v>70526</v>
      </c>
      <c r="W1101" t="s">
        <v>120</v>
      </c>
      <c r="Y1101" s="5">
        <v>13377836220</v>
      </c>
      <c r="AA1101">
        <v>311710</v>
      </c>
      <c r="AB1101" t="s">
        <v>10614</v>
      </c>
      <c r="AC1101" t="s">
        <v>10615</v>
      </c>
      <c r="AD1101" t="s">
        <v>2132</v>
      </c>
      <c r="AE1101" t="s">
        <v>10616</v>
      </c>
      <c r="AF1101" t="s">
        <v>10612</v>
      </c>
      <c r="AG1101" t="s">
        <v>10613</v>
      </c>
      <c r="AH1101" t="s">
        <v>8493</v>
      </c>
      <c r="AI1101" t="s">
        <v>214</v>
      </c>
      <c r="AJ1101" s="4" t="str">
        <f>"70526"</f>
        <v>70526</v>
      </c>
      <c r="AK1101" t="s">
        <v>120</v>
      </c>
      <c r="AM1101" s="5">
        <v>13377836220</v>
      </c>
      <c r="AO1101" t="s">
        <v>10617</v>
      </c>
      <c r="AP1101" t="s">
        <v>122</v>
      </c>
      <c r="AQ1101" t="s">
        <v>7153</v>
      </c>
      <c r="AR1101" t="s">
        <v>2317</v>
      </c>
      <c r="AS1101" t="s">
        <v>7154</v>
      </c>
      <c r="AT1101" t="s">
        <v>7565</v>
      </c>
      <c r="AV1101" t="s">
        <v>7155</v>
      </c>
      <c r="AW1101" t="s">
        <v>214</v>
      </c>
      <c r="AX1101" s="4" t="str">
        <f>"70601"</f>
        <v>70601</v>
      </c>
      <c r="AY1101" t="s">
        <v>120</v>
      </c>
      <c r="BA1101" s="5">
        <v>13372140354</v>
      </c>
      <c r="BC1101" t="s">
        <v>7566</v>
      </c>
      <c r="BD1101" t="s">
        <v>7572</v>
      </c>
      <c r="BE1101" t="s">
        <v>214</v>
      </c>
      <c r="BF1101" t="s">
        <v>733</v>
      </c>
      <c r="BG1101" t="s">
        <v>214</v>
      </c>
      <c r="BH1101" s="1">
        <v>44777.833333333336</v>
      </c>
      <c r="BI1101">
        <v>40</v>
      </c>
      <c r="BJ1101">
        <v>0</v>
      </c>
      <c r="BK1101">
        <v>8</v>
      </c>
      <c r="BL1101">
        <v>8</v>
      </c>
      <c r="BM1101">
        <v>8</v>
      </c>
      <c r="BN1101">
        <v>8</v>
      </c>
      <c r="BO1101">
        <v>8</v>
      </c>
      <c r="BP1101">
        <v>0</v>
      </c>
      <c r="BQ1101" t="str">
        <f>"7:00 AM"</f>
        <v>7:00 AM</v>
      </c>
      <c r="BR1101" t="str">
        <f>"4:00 PM"</f>
        <v>4:00 PM</v>
      </c>
      <c r="BS1101" t="s">
        <v>133</v>
      </c>
      <c r="BT1101">
        <v>0</v>
      </c>
      <c r="BU1101">
        <v>3</v>
      </c>
      <c r="BV1101" t="s">
        <v>134</v>
      </c>
      <c r="BX1101" s="2" t="s">
        <v>10618</v>
      </c>
      <c r="BY1101" t="s">
        <v>10612</v>
      </c>
      <c r="CA1101" t="s">
        <v>10619</v>
      </c>
      <c r="CB1101" t="s">
        <v>214</v>
      </c>
      <c r="CC1101" s="4" t="str">
        <f>"70526"</f>
        <v>70526</v>
      </c>
      <c r="CD1101" t="s">
        <v>8498</v>
      </c>
      <c r="CE1101" t="s">
        <v>1822</v>
      </c>
      <c r="CF1101" s="6">
        <v>11.2</v>
      </c>
      <c r="CH1101" s="6">
        <v>16.8</v>
      </c>
      <c r="CJ1101" t="s">
        <v>137</v>
      </c>
      <c r="CK1101" t="s">
        <v>10620</v>
      </c>
      <c r="CL1101" t="s">
        <v>10621</v>
      </c>
      <c r="CO1101" t="s">
        <v>138</v>
      </c>
      <c r="CP1101" t="s">
        <v>134</v>
      </c>
      <c r="CQ1101" t="s">
        <v>114</v>
      </c>
      <c r="CR1101" t="s">
        <v>114</v>
      </c>
      <c r="CS1101" t="s">
        <v>134</v>
      </c>
      <c r="CT1101" t="s">
        <v>114</v>
      </c>
      <c r="CU1101" t="s">
        <v>114</v>
      </c>
      <c r="CV1101" t="s">
        <v>10622</v>
      </c>
      <c r="CW1101" s="5" t="str">
        <f>"+13377836220"</f>
        <v>+13377836220</v>
      </c>
      <c r="CX1101" t="s">
        <v>10623</v>
      </c>
      <c r="CY1101" t="s">
        <v>138</v>
      </c>
      <c r="CZ1101" t="s">
        <v>139</v>
      </c>
      <c r="DA1101" t="s">
        <v>134</v>
      </c>
      <c r="DB1101" t="s">
        <v>134</v>
      </c>
      <c r="DC1101" t="s">
        <v>114</v>
      </c>
      <c r="DD1101" t="s">
        <v>134</v>
      </c>
      <c r="DE1101" t="s">
        <v>1509</v>
      </c>
      <c r="DF1101" t="s">
        <v>7157</v>
      </c>
      <c r="DH1101" t="s">
        <v>7567</v>
      </c>
      <c r="DI1101" t="s">
        <v>10624</v>
      </c>
    </row>
    <row r="1102" spans="1:113" ht="15" customHeight="1" x14ac:dyDescent="0.25">
      <c r="A1102" t="s">
        <v>3293</v>
      </c>
      <c r="B1102" t="s">
        <v>165</v>
      </c>
      <c r="C1102" s="1">
        <v>44798.673572453707</v>
      </c>
      <c r="D1102" s="1">
        <v>44837</v>
      </c>
      <c r="E1102" t="s">
        <v>134</v>
      </c>
      <c r="F1102" t="s">
        <v>2320</v>
      </c>
      <c r="G1102" t="str">
        <f>"37-3011.00"</f>
        <v>37-3011.00</v>
      </c>
      <c r="H1102" t="s">
        <v>335</v>
      </c>
      <c r="I1102">
        <v>16</v>
      </c>
      <c r="J1102">
        <v>16</v>
      </c>
      <c r="K1102" s="1">
        <v>44886</v>
      </c>
      <c r="L1102" s="1">
        <v>45030</v>
      </c>
      <c r="M1102" s="1">
        <v>44886</v>
      </c>
      <c r="N1102" s="1">
        <v>45030</v>
      </c>
      <c r="O1102" t="s">
        <v>199</v>
      </c>
      <c r="P1102" t="s">
        <v>3294</v>
      </c>
      <c r="R1102" t="s">
        <v>3295</v>
      </c>
      <c r="T1102" t="s">
        <v>3296</v>
      </c>
      <c r="U1102" t="s">
        <v>748</v>
      </c>
      <c r="V1102" s="4" t="str">
        <f>"19054"</f>
        <v>19054</v>
      </c>
      <c r="W1102" t="s">
        <v>120</v>
      </c>
      <c r="Y1102" s="5">
        <v>1215991104</v>
      </c>
      <c r="AA1102">
        <v>561730</v>
      </c>
      <c r="AB1102" t="s">
        <v>3297</v>
      </c>
      <c r="AC1102" t="s">
        <v>3298</v>
      </c>
      <c r="AD1102" t="s">
        <v>423</v>
      </c>
      <c r="AE1102" t="s">
        <v>424</v>
      </c>
      <c r="AF1102" t="s">
        <v>3295</v>
      </c>
      <c r="AH1102" t="s">
        <v>3296</v>
      </c>
      <c r="AI1102" t="s">
        <v>748</v>
      </c>
      <c r="AJ1102" s="4" t="str">
        <f>"19054"</f>
        <v>19054</v>
      </c>
      <c r="AK1102" t="s">
        <v>120</v>
      </c>
      <c r="AM1102" s="5">
        <v>12159491104</v>
      </c>
      <c r="AO1102" t="s">
        <v>138</v>
      </c>
      <c r="AP1102" t="s">
        <v>122</v>
      </c>
      <c r="AQ1102" t="s">
        <v>864</v>
      </c>
      <c r="AR1102" t="s">
        <v>865</v>
      </c>
      <c r="AS1102" t="s">
        <v>370</v>
      </c>
      <c r="AT1102" t="s">
        <v>3299</v>
      </c>
      <c r="AU1102" t="s">
        <v>3300</v>
      </c>
      <c r="AV1102" t="s">
        <v>684</v>
      </c>
      <c r="AW1102" t="s">
        <v>232</v>
      </c>
      <c r="AX1102" s="4" t="str">
        <f>"78705"</f>
        <v>78705</v>
      </c>
      <c r="AY1102" t="s">
        <v>120</v>
      </c>
      <c r="BA1102" s="5">
        <v>15123470007</v>
      </c>
      <c r="BC1102" t="s">
        <v>3301</v>
      </c>
      <c r="BD1102" t="s">
        <v>2111</v>
      </c>
      <c r="BE1102" t="s">
        <v>232</v>
      </c>
      <c r="BF1102" t="s">
        <v>3302</v>
      </c>
      <c r="BG1102" t="s">
        <v>748</v>
      </c>
      <c r="BH1102" s="1">
        <v>44773.833333333336</v>
      </c>
      <c r="BI1102">
        <v>40</v>
      </c>
      <c r="BJ1102">
        <v>0</v>
      </c>
      <c r="BK1102">
        <v>8</v>
      </c>
      <c r="BL1102">
        <v>8</v>
      </c>
      <c r="BM1102">
        <v>8</v>
      </c>
      <c r="BN1102">
        <v>8</v>
      </c>
      <c r="BO1102">
        <v>8</v>
      </c>
      <c r="BP1102">
        <v>0</v>
      </c>
      <c r="BQ1102" t="str">
        <f>"8:00 AM"</f>
        <v>8:00 AM</v>
      </c>
      <c r="BR1102" t="str">
        <f>"5:00 PM"</f>
        <v>5:00 PM</v>
      </c>
      <c r="BS1102" t="s">
        <v>133</v>
      </c>
      <c r="BT1102">
        <v>0</v>
      </c>
      <c r="BU1102">
        <v>0</v>
      </c>
      <c r="BV1102" t="s">
        <v>134</v>
      </c>
      <c r="BX1102" t="s">
        <v>133</v>
      </c>
      <c r="BY1102" t="s">
        <v>3303</v>
      </c>
      <c r="CA1102" t="s">
        <v>3296</v>
      </c>
      <c r="CB1102" t="s">
        <v>748</v>
      </c>
      <c r="CC1102" s="4" t="str">
        <f>"19057"</f>
        <v>19057</v>
      </c>
      <c r="CD1102" t="s">
        <v>1533</v>
      </c>
      <c r="CE1102" t="s">
        <v>1266</v>
      </c>
      <c r="CF1102" s="6">
        <v>17.82</v>
      </c>
      <c r="CG1102" s="6">
        <v>17.82</v>
      </c>
      <c r="CH1102" s="6">
        <v>26.73</v>
      </c>
      <c r="CI1102" s="6">
        <v>26.73</v>
      </c>
      <c r="CJ1102" t="s">
        <v>137</v>
      </c>
      <c r="CL1102" t="s">
        <v>3304</v>
      </c>
      <c r="CO1102" t="s">
        <v>138</v>
      </c>
      <c r="CP1102" t="s">
        <v>134</v>
      </c>
      <c r="CQ1102" t="s">
        <v>114</v>
      </c>
      <c r="CR1102" t="s">
        <v>114</v>
      </c>
      <c r="CS1102" t="s">
        <v>134</v>
      </c>
      <c r="CT1102" t="s">
        <v>114</v>
      </c>
      <c r="CU1102" t="s">
        <v>114</v>
      </c>
      <c r="CV1102" t="s">
        <v>3305</v>
      </c>
      <c r="CW1102" s="5" t="str">
        <f>"+12159491104"</f>
        <v>+12159491104</v>
      </c>
      <c r="CX1102" t="s">
        <v>138</v>
      </c>
      <c r="CY1102" t="s">
        <v>3306</v>
      </c>
      <c r="CZ1102" t="s">
        <v>139</v>
      </c>
      <c r="DA1102" t="s">
        <v>134</v>
      </c>
      <c r="DB1102" t="s">
        <v>134</v>
      </c>
      <c r="DC1102" t="s">
        <v>114</v>
      </c>
      <c r="DD1102" t="s">
        <v>134</v>
      </c>
    </row>
    <row r="1103" spans="1:113" ht="15" customHeight="1" x14ac:dyDescent="0.25">
      <c r="A1103" t="s">
        <v>13804</v>
      </c>
      <c r="B1103" t="s">
        <v>165</v>
      </c>
      <c r="C1103" s="1">
        <v>44791.529151736111</v>
      </c>
      <c r="D1103" s="1">
        <v>44837</v>
      </c>
      <c r="E1103" t="s">
        <v>134</v>
      </c>
      <c r="F1103" t="s">
        <v>13805</v>
      </c>
      <c r="G1103" t="str">
        <f>"35-2014.00"</f>
        <v>35-2014.00</v>
      </c>
      <c r="H1103" t="s">
        <v>915</v>
      </c>
      <c r="I1103">
        <v>4</v>
      </c>
      <c r="J1103">
        <v>4</v>
      </c>
      <c r="K1103" s="1">
        <v>44866</v>
      </c>
      <c r="L1103" s="1">
        <v>45066</v>
      </c>
      <c r="M1103" s="1">
        <v>44866</v>
      </c>
      <c r="N1103" s="1">
        <v>45066</v>
      </c>
      <c r="O1103" t="s">
        <v>117</v>
      </c>
      <c r="P1103" t="s">
        <v>13806</v>
      </c>
      <c r="R1103" t="s">
        <v>13807</v>
      </c>
      <c r="T1103" t="s">
        <v>13808</v>
      </c>
      <c r="U1103" t="s">
        <v>154</v>
      </c>
      <c r="V1103" s="4" t="str">
        <f>"33483"</f>
        <v>33483</v>
      </c>
      <c r="W1103" t="s">
        <v>120</v>
      </c>
      <c r="Y1103" s="5">
        <v>15618196931</v>
      </c>
      <c r="AA1103">
        <v>71391</v>
      </c>
      <c r="AB1103" t="s">
        <v>13809</v>
      </c>
      <c r="AC1103" t="s">
        <v>13810</v>
      </c>
      <c r="AE1103" t="s">
        <v>1555</v>
      </c>
      <c r="AF1103" t="s">
        <v>13807</v>
      </c>
      <c r="AH1103" t="s">
        <v>13808</v>
      </c>
      <c r="AI1103" t="s">
        <v>154</v>
      </c>
      <c r="AJ1103" s="4" t="str">
        <f>"33483"</f>
        <v>33483</v>
      </c>
      <c r="AK1103" t="s">
        <v>120</v>
      </c>
      <c r="AM1103" s="5">
        <v>15618196931</v>
      </c>
      <c r="AO1103" t="s">
        <v>138</v>
      </c>
      <c r="AP1103" t="s">
        <v>256</v>
      </c>
      <c r="AQ1103" t="s">
        <v>2297</v>
      </c>
      <c r="AR1103" t="s">
        <v>2298</v>
      </c>
      <c r="AT1103" t="s">
        <v>2299</v>
      </c>
      <c r="AV1103" t="s">
        <v>2300</v>
      </c>
      <c r="AW1103" t="s">
        <v>848</v>
      </c>
      <c r="AX1103" s="4" t="str">
        <f>"14850"</f>
        <v>14850</v>
      </c>
      <c r="AY1103" t="s">
        <v>120</v>
      </c>
      <c r="BA1103" s="5">
        <v>18777387462</v>
      </c>
      <c r="BC1103" t="s">
        <v>2301</v>
      </c>
      <c r="BD1103" t="s">
        <v>13811</v>
      </c>
      <c r="BG1103" t="s">
        <v>154</v>
      </c>
      <c r="BH1103" s="1">
        <v>44790.833333333336</v>
      </c>
      <c r="BI1103">
        <v>35</v>
      </c>
      <c r="BJ1103">
        <v>5</v>
      </c>
      <c r="BK1103">
        <v>5</v>
      </c>
      <c r="BL1103">
        <v>5</v>
      </c>
      <c r="BM1103">
        <v>5</v>
      </c>
      <c r="BN1103">
        <v>5</v>
      </c>
      <c r="BO1103">
        <v>5</v>
      </c>
      <c r="BP1103">
        <v>5</v>
      </c>
      <c r="BQ1103" t="str">
        <f>"7:00 AM"</f>
        <v>7:00 AM</v>
      </c>
      <c r="BR1103" t="str">
        <f>"11:00 PM"</f>
        <v>11:00 PM</v>
      </c>
      <c r="BS1103" t="s">
        <v>133</v>
      </c>
      <c r="BT1103">
        <v>0</v>
      </c>
      <c r="BU1103">
        <v>6</v>
      </c>
      <c r="BV1103" t="s">
        <v>134</v>
      </c>
      <c r="BX1103" s="2" t="s">
        <v>13812</v>
      </c>
      <c r="BY1103" t="s">
        <v>13807</v>
      </c>
      <c r="CA1103" t="s">
        <v>13808</v>
      </c>
      <c r="CB1103" t="s">
        <v>154</v>
      </c>
      <c r="CC1103" s="4" t="str">
        <f>"33483"</f>
        <v>33483</v>
      </c>
      <c r="CD1103" t="s">
        <v>3882</v>
      </c>
      <c r="CE1103" t="s">
        <v>1742</v>
      </c>
      <c r="CF1103" s="6">
        <v>15.49</v>
      </c>
      <c r="CH1103" s="6">
        <v>23.24</v>
      </c>
      <c r="CJ1103" t="s">
        <v>137</v>
      </c>
      <c r="CK1103" t="s">
        <v>13813</v>
      </c>
      <c r="CL1103" t="s">
        <v>13814</v>
      </c>
      <c r="CO1103" t="s">
        <v>138</v>
      </c>
      <c r="CP1103" t="s">
        <v>134</v>
      </c>
      <c r="CQ1103" t="s">
        <v>134</v>
      </c>
      <c r="CR1103" t="s">
        <v>114</v>
      </c>
      <c r="CS1103" t="s">
        <v>134</v>
      </c>
      <c r="CT1103" t="s">
        <v>114</v>
      </c>
      <c r="CU1103" t="s">
        <v>114</v>
      </c>
      <c r="CV1103" t="s">
        <v>13815</v>
      </c>
      <c r="CW1103" s="5" t="str">
        <f>"+15618196931"</f>
        <v>+15618196931</v>
      </c>
      <c r="CX1103" t="s">
        <v>13816</v>
      </c>
      <c r="CY1103" t="s">
        <v>138</v>
      </c>
      <c r="CZ1103" t="s">
        <v>139</v>
      </c>
      <c r="DA1103" t="s">
        <v>134</v>
      </c>
      <c r="DB1103" t="s">
        <v>114</v>
      </c>
      <c r="DC1103" t="s">
        <v>114</v>
      </c>
      <c r="DD1103" t="s">
        <v>134</v>
      </c>
    </row>
    <row r="1104" spans="1:113" ht="15" customHeight="1" x14ac:dyDescent="0.25">
      <c r="A1104" t="s">
        <v>11565</v>
      </c>
      <c r="B1104" t="s">
        <v>165</v>
      </c>
      <c r="C1104" s="1">
        <v>44790.672715277775</v>
      </c>
      <c r="D1104" s="1">
        <v>44837</v>
      </c>
      <c r="E1104" t="s">
        <v>134</v>
      </c>
      <c r="F1104" t="s">
        <v>11566</v>
      </c>
      <c r="G1104" t="str">
        <f>"37-3011.00"</f>
        <v>37-3011.00</v>
      </c>
      <c r="H1104" t="s">
        <v>335</v>
      </c>
      <c r="I1104">
        <v>15</v>
      </c>
      <c r="J1104">
        <v>15</v>
      </c>
      <c r="K1104" s="1">
        <v>44880</v>
      </c>
      <c r="L1104" s="1">
        <v>45017</v>
      </c>
      <c r="M1104" s="1">
        <v>44880</v>
      </c>
      <c r="N1104" s="1">
        <v>45017</v>
      </c>
      <c r="O1104" t="s">
        <v>199</v>
      </c>
      <c r="P1104" t="s">
        <v>11567</v>
      </c>
      <c r="R1104" t="s">
        <v>11568</v>
      </c>
      <c r="T1104" t="s">
        <v>11569</v>
      </c>
      <c r="U1104" t="s">
        <v>2842</v>
      </c>
      <c r="V1104" s="4" t="str">
        <f>"06052"</f>
        <v>06052</v>
      </c>
      <c r="W1104" t="s">
        <v>120</v>
      </c>
      <c r="Y1104" s="5">
        <v>18605058447</v>
      </c>
      <c r="AA1104">
        <v>561730</v>
      </c>
      <c r="AB1104" t="s">
        <v>4283</v>
      </c>
      <c r="AC1104" t="s">
        <v>11570</v>
      </c>
      <c r="AE1104" t="s">
        <v>1516</v>
      </c>
      <c r="AF1104" t="s">
        <v>11571</v>
      </c>
      <c r="AH1104" t="s">
        <v>4284</v>
      </c>
      <c r="AI1104" t="s">
        <v>2842</v>
      </c>
      <c r="AJ1104" s="4" t="str">
        <f>"06052"</f>
        <v>06052</v>
      </c>
      <c r="AK1104" t="s">
        <v>120</v>
      </c>
      <c r="AM1104" s="5">
        <v>18605058447</v>
      </c>
      <c r="AO1104" t="s">
        <v>11572</v>
      </c>
      <c r="AX1104" s="4" t="str">
        <f>""</f>
        <v/>
      </c>
      <c r="BG1104" t="s">
        <v>2842</v>
      </c>
      <c r="BH1104" s="1">
        <v>44784.833333333336</v>
      </c>
      <c r="BI1104">
        <v>40</v>
      </c>
      <c r="BJ1104">
        <v>0</v>
      </c>
      <c r="BK1104">
        <v>8</v>
      </c>
      <c r="BL1104">
        <v>8</v>
      </c>
      <c r="BM1104">
        <v>8</v>
      </c>
      <c r="BN1104">
        <v>8</v>
      </c>
      <c r="BO1104">
        <v>8</v>
      </c>
      <c r="BP1104">
        <v>0</v>
      </c>
      <c r="BQ1104" t="str">
        <f>"7:00 AM"</f>
        <v>7:00 AM</v>
      </c>
      <c r="BR1104" t="str">
        <f>"3:30 PM"</f>
        <v>3:30 PM</v>
      </c>
      <c r="BS1104" t="s">
        <v>133</v>
      </c>
      <c r="BT1104">
        <v>0</v>
      </c>
      <c r="BU1104">
        <v>0</v>
      </c>
      <c r="BV1104" t="s">
        <v>134</v>
      </c>
      <c r="BX1104" t="s">
        <v>11573</v>
      </c>
      <c r="BY1104" t="s">
        <v>11574</v>
      </c>
      <c r="CA1104" t="s">
        <v>11575</v>
      </c>
      <c r="CB1104" t="s">
        <v>2842</v>
      </c>
      <c r="CC1104" s="4" t="str">
        <f>"06052"</f>
        <v>06052</v>
      </c>
      <c r="CD1104" t="s">
        <v>7141</v>
      </c>
      <c r="CE1104" t="s">
        <v>2860</v>
      </c>
      <c r="CF1104" s="6">
        <v>20.010000000000002</v>
      </c>
      <c r="CG1104" s="6">
        <v>20.010000000000002</v>
      </c>
      <c r="CH1104" s="6">
        <v>30.02</v>
      </c>
      <c r="CI1104" s="6">
        <v>30.02</v>
      </c>
      <c r="CJ1104" t="s">
        <v>137</v>
      </c>
      <c r="CK1104" t="s">
        <v>11576</v>
      </c>
      <c r="CL1104" t="s">
        <v>11577</v>
      </c>
      <c r="CO1104" t="s">
        <v>138</v>
      </c>
      <c r="CP1104" t="s">
        <v>114</v>
      </c>
      <c r="CQ1104" t="s">
        <v>114</v>
      </c>
      <c r="CR1104" t="s">
        <v>114</v>
      </c>
      <c r="CS1104" t="s">
        <v>114</v>
      </c>
      <c r="CT1104" t="s">
        <v>114</v>
      </c>
      <c r="CU1104" t="s">
        <v>134</v>
      </c>
      <c r="CV1104" t="s">
        <v>219</v>
      </c>
      <c r="CW1104" s="5" t="str">
        <f>"+18605058447"</f>
        <v>+18605058447</v>
      </c>
      <c r="CX1104" t="s">
        <v>11578</v>
      </c>
      <c r="CY1104" t="s">
        <v>138</v>
      </c>
      <c r="CZ1104" t="s">
        <v>139</v>
      </c>
      <c r="DA1104" t="s">
        <v>134</v>
      </c>
      <c r="DB1104" t="s">
        <v>134</v>
      </c>
      <c r="DC1104" t="s">
        <v>114</v>
      </c>
      <c r="DD1104" t="s">
        <v>134</v>
      </c>
    </row>
    <row r="1105" spans="1:108" ht="15" customHeight="1" x14ac:dyDescent="0.25">
      <c r="A1105" t="s">
        <v>13217</v>
      </c>
      <c r="B1105" t="s">
        <v>165</v>
      </c>
      <c r="C1105" s="1">
        <v>44789.414707870368</v>
      </c>
      <c r="D1105" s="1">
        <v>44837</v>
      </c>
      <c r="E1105" t="s">
        <v>134</v>
      </c>
      <c r="F1105" t="s">
        <v>1331</v>
      </c>
      <c r="G1105" t="str">
        <f>"35-2014.00"</f>
        <v>35-2014.00</v>
      </c>
      <c r="H1105" t="s">
        <v>915</v>
      </c>
      <c r="I1105">
        <v>14</v>
      </c>
      <c r="J1105">
        <v>14</v>
      </c>
      <c r="K1105" s="1">
        <v>44864</v>
      </c>
      <c r="L1105" s="1">
        <v>45077</v>
      </c>
      <c r="M1105" s="1">
        <v>44864</v>
      </c>
      <c r="N1105" s="1">
        <v>45077</v>
      </c>
      <c r="O1105" t="s">
        <v>117</v>
      </c>
      <c r="P1105" t="s">
        <v>13218</v>
      </c>
      <c r="R1105" t="s">
        <v>13219</v>
      </c>
      <c r="T1105" t="s">
        <v>648</v>
      </c>
      <c r="U1105" t="s">
        <v>154</v>
      </c>
      <c r="V1105" s="4" t="str">
        <f>"34108"</f>
        <v>34108</v>
      </c>
      <c r="W1105" t="s">
        <v>120</v>
      </c>
      <c r="Y1105" s="5">
        <v>12393157370</v>
      </c>
      <c r="AA1105">
        <v>713910</v>
      </c>
      <c r="AB1105" t="s">
        <v>1731</v>
      </c>
      <c r="AC1105" t="s">
        <v>1467</v>
      </c>
      <c r="AE1105" t="s">
        <v>13220</v>
      </c>
      <c r="AF1105" t="s">
        <v>13219</v>
      </c>
      <c r="AH1105" t="s">
        <v>648</v>
      </c>
      <c r="AI1105" t="s">
        <v>154</v>
      </c>
      <c r="AJ1105" s="4" t="str">
        <f>"34108"</f>
        <v>34108</v>
      </c>
      <c r="AK1105" t="s">
        <v>120</v>
      </c>
      <c r="AM1105" s="5">
        <v>12393071892</v>
      </c>
      <c r="AO1105" t="s">
        <v>13221</v>
      </c>
      <c r="AP1105" t="s">
        <v>256</v>
      </c>
      <c r="AQ1105" t="s">
        <v>13222</v>
      </c>
      <c r="AR1105" t="s">
        <v>7174</v>
      </c>
      <c r="AT1105" t="s">
        <v>3269</v>
      </c>
      <c r="AU1105" t="s">
        <v>13223</v>
      </c>
      <c r="AV1105" t="s">
        <v>3271</v>
      </c>
      <c r="AW1105" t="s">
        <v>154</v>
      </c>
      <c r="AX1105" s="4" t="str">
        <f>"33418"</f>
        <v>33418</v>
      </c>
      <c r="AY1105" t="s">
        <v>120</v>
      </c>
      <c r="BA1105" s="5">
        <v>15615230296</v>
      </c>
      <c r="BC1105" t="s">
        <v>13224</v>
      </c>
      <c r="BD1105" t="s">
        <v>13225</v>
      </c>
      <c r="BG1105" t="s">
        <v>154</v>
      </c>
      <c r="BH1105" s="1">
        <v>44787.833333333336</v>
      </c>
      <c r="BI1105">
        <v>35</v>
      </c>
      <c r="BJ1105">
        <v>6</v>
      </c>
      <c r="BK1105">
        <v>4</v>
      </c>
      <c r="BL1105">
        <v>4</v>
      </c>
      <c r="BM1105">
        <v>4</v>
      </c>
      <c r="BN1105">
        <v>5</v>
      </c>
      <c r="BO1105">
        <v>6</v>
      </c>
      <c r="BP1105">
        <v>6</v>
      </c>
      <c r="BQ1105" t="str">
        <f>"9:00 AM"</f>
        <v>9:00 AM</v>
      </c>
      <c r="BR1105" t="str">
        <f>"9:00 PM"</f>
        <v>9:00 PM</v>
      </c>
      <c r="BS1105" t="s">
        <v>133</v>
      </c>
      <c r="BT1105">
        <v>0</v>
      </c>
      <c r="BU1105">
        <v>6</v>
      </c>
      <c r="BV1105" t="s">
        <v>134</v>
      </c>
      <c r="BX1105" s="2" t="s">
        <v>13226</v>
      </c>
      <c r="BY1105" t="s">
        <v>13219</v>
      </c>
      <c r="CA1105" t="s">
        <v>648</v>
      </c>
      <c r="CB1105" t="s">
        <v>154</v>
      </c>
      <c r="CC1105" s="4" t="str">
        <f>"34108"</f>
        <v>34108</v>
      </c>
      <c r="CD1105" t="s">
        <v>1432</v>
      </c>
      <c r="CE1105" t="s">
        <v>1433</v>
      </c>
      <c r="CF1105" s="6">
        <v>16.75</v>
      </c>
      <c r="CG1105" s="6">
        <v>18</v>
      </c>
      <c r="CH1105" s="6">
        <v>25.12</v>
      </c>
      <c r="CI1105" s="6">
        <v>27</v>
      </c>
      <c r="CJ1105" t="s">
        <v>137</v>
      </c>
      <c r="CK1105" t="s">
        <v>13227</v>
      </c>
      <c r="CL1105" t="s">
        <v>13228</v>
      </c>
      <c r="CO1105" t="s">
        <v>138</v>
      </c>
      <c r="CP1105" t="s">
        <v>114</v>
      </c>
      <c r="CQ1105" t="s">
        <v>114</v>
      </c>
      <c r="CR1105" t="s">
        <v>114</v>
      </c>
      <c r="CS1105" t="s">
        <v>134</v>
      </c>
      <c r="CT1105" t="s">
        <v>114</v>
      </c>
      <c r="CU1105" t="s">
        <v>114</v>
      </c>
      <c r="CV1105" s="2" t="s">
        <v>13229</v>
      </c>
      <c r="CW1105" s="5" t="str">
        <f>"+12393157370"</f>
        <v>+12393157370</v>
      </c>
      <c r="CX1105" t="s">
        <v>13230</v>
      </c>
      <c r="CY1105" t="s">
        <v>138</v>
      </c>
      <c r="CZ1105" t="s">
        <v>139</v>
      </c>
      <c r="DA1105" t="s">
        <v>134</v>
      </c>
      <c r="DB1105" t="s">
        <v>114</v>
      </c>
      <c r="DC1105" t="s">
        <v>114</v>
      </c>
      <c r="DD1105" t="s">
        <v>134</v>
      </c>
    </row>
    <row r="1106" spans="1:108" ht="15" customHeight="1" x14ac:dyDescent="0.25">
      <c r="A1106" t="s">
        <v>13738</v>
      </c>
      <c r="B1106" t="s">
        <v>165</v>
      </c>
      <c r="C1106" s="1">
        <v>44789.337885532404</v>
      </c>
      <c r="D1106" s="1">
        <v>44837</v>
      </c>
      <c r="E1106" t="s">
        <v>134</v>
      </c>
      <c r="F1106" t="s">
        <v>4299</v>
      </c>
      <c r="G1106" t="str">
        <f>"35-3031.00"</f>
        <v>35-3031.00</v>
      </c>
      <c r="H1106" t="s">
        <v>389</v>
      </c>
      <c r="I1106">
        <v>4</v>
      </c>
      <c r="J1106">
        <v>4</v>
      </c>
      <c r="K1106" s="1">
        <v>44864</v>
      </c>
      <c r="L1106" s="1">
        <v>45077</v>
      </c>
      <c r="M1106" s="1">
        <v>44864</v>
      </c>
      <c r="N1106" s="1">
        <v>45077</v>
      </c>
      <c r="O1106" t="s">
        <v>117</v>
      </c>
      <c r="P1106" t="s">
        <v>13218</v>
      </c>
      <c r="R1106" t="s">
        <v>13219</v>
      </c>
      <c r="T1106" t="s">
        <v>648</v>
      </c>
      <c r="U1106" t="s">
        <v>154</v>
      </c>
      <c r="V1106" s="4" t="str">
        <f>"34108"</f>
        <v>34108</v>
      </c>
      <c r="W1106" t="s">
        <v>120</v>
      </c>
      <c r="Y1106" s="5">
        <v>12393157370</v>
      </c>
      <c r="AA1106">
        <v>713910</v>
      </c>
      <c r="AB1106" t="s">
        <v>1731</v>
      </c>
      <c r="AC1106" t="s">
        <v>1467</v>
      </c>
      <c r="AE1106" t="s">
        <v>13220</v>
      </c>
      <c r="AF1106" t="s">
        <v>13219</v>
      </c>
      <c r="AH1106" t="s">
        <v>648</v>
      </c>
      <c r="AI1106" t="s">
        <v>154</v>
      </c>
      <c r="AJ1106" s="4" t="str">
        <f>"34108"</f>
        <v>34108</v>
      </c>
      <c r="AK1106" t="s">
        <v>120</v>
      </c>
      <c r="AM1106" s="5">
        <v>12393071892</v>
      </c>
      <c r="AO1106" t="s">
        <v>13221</v>
      </c>
      <c r="AP1106" t="s">
        <v>256</v>
      </c>
      <c r="AQ1106" t="s">
        <v>13222</v>
      </c>
      <c r="AR1106" t="s">
        <v>7174</v>
      </c>
      <c r="AT1106" t="s">
        <v>3269</v>
      </c>
      <c r="AU1106" t="s">
        <v>13223</v>
      </c>
      <c r="AV1106" t="s">
        <v>3271</v>
      </c>
      <c r="AW1106" t="s">
        <v>154</v>
      </c>
      <c r="AX1106" s="4" t="str">
        <f>"33418"</f>
        <v>33418</v>
      </c>
      <c r="AY1106" t="s">
        <v>120</v>
      </c>
      <c r="BA1106" s="5">
        <v>15615230296</v>
      </c>
      <c r="BC1106" t="s">
        <v>13224</v>
      </c>
      <c r="BD1106" t="s">
        <v>13225</v>
      </c>
      <c r="BG1106" t="s">
        <v>154</v>
      </c>
      <c r="BH1106" s="1">
        <v>44787.833333333336</v>
      </c>
      <c r="BI1106">
        <v>35</v>
      </c>
      <c r="BJ1106">
        <v>6</v>
      </c>
      <c r="BK1106">
        <v>4</v>
      </c>
      <c r="BL1106">
        <v>4</v>
      </c>
      <c r="BM1106">
        <v>4</v>
      </c>
      <c r="BN1106">
        <v>5</v>
      </c>
      <c r="BO1106">
        <v>6</v>
      </c>
      <c r="BP1106">
        <v>6</v>
      </c>
      <c r="BQ1106" t="str">
        <f>"9:00 AM"</f>
        <v>9:00 AM</v>
      </c>
      <c r="BR1106" t="str">
        <f>"9:00 PM"</f>
        <v>9:00 PM</v>
      </c>
      <c r="BS1106" t="s">
        <v>133</v>
      </c>
      <c r="BT1106">
        <v>0</v>
      </c>
      <c r="BU1106">
        <v>12</v>
      </c>
      <c r="BV1106" t="s">
        <v>134</v>
      </c>
      <c r="BX1106" s="2" t="s">
        <v>13739</v>
      </c>
      <c r="BY1106" t="s">
        <v>13740</v>
      </c>
      <c r="CA1106" t="s">
        <v>648</v>
      </c>
      <c r="CB1106" t="s">
        <v>154</v>
      </c>
      <c r="CC1106" s="4" t="str">
        <f>"34110"</f>
        <v>34110</v>
      </c>
      <c r="CD1106" t="s">
        <v>1432</v>
      </c>
      <c r="CE1106" t="s">
        <v>1433</v>
      </c>
      <c r="CF1106" s="6">
        <v>15.02</v>
      </c>
      <c r="CG1106" s="6">
        <v>15.02</v>
      </c>
      <c r="CH1106" s="6">
        <v>22.53</v>
      </c>
      <c r="CI1106" s="6">
        <v>22.53</v>
      </c>
      <c r="CJ1106" t="s">
        <v>137</v>
      </c>
      <c r="CK1106" t="s">
        <v>13741</v>
      </c>
      <c r="CL1106" t="s">
        <v>13742</v>
      </c>
      <c r="CO1106" t="s">
        <v>138</v>
      </c>
      <c r="CP1106" t="s">
        <v>134</v>
      </c>
      <c r="CQ1106" t="s">
        <v>114</v>
      </c>
      <c r="CR1106" t="s">
        <v>114</v>
      </c>
      <c r="CS1106" t="s">
        <v>134</v>
      </c>
      <c r="CT1106" t="s">
        <v>114</v>
      </c>
      <c r="CU1106" t="s">
        <v>114</v>
      </c>
      <c r="CV1106" s="2" t="s">
        <v>13743</v>
      </c>
      <c r="CW1106" s="5" t="str">
        <f>"+12393157370"</f>
        <v>+12393157370</v>
      </c>
      <c r="CX1106" t="s">
        <v>138</v>
      </c>
      <c r="CY1106" t="s">
        <v>13230</v>
      </c>
      <c r="CZ1106" t="s">
        <v>139</v>
      </c>
      <c r="DA1106" t="s">
        <v>134</v>
      </c>
      <c r="DB1106" t="s">
        <v>114</v>
      </c>
      <c r="DC1106" t="s">
        <v>114</v>
      </c>
      <c r="DD1106" t="s">
        <v>134</v>
      </c>
    </row>
    <row r="1107" spans="1:108" ht="15" customHeight="1" x14ac:dyDescent="0.25">
      <c r="A1107" t="s">
        <v>5170</v>
      </c>
      <c r="B1107" t="s">
        <v>165</v>
      </c>
      <c r="C1107" s="1">
        <v>44788.928903356478</v>
      </c>
      <c r="D1107" s="1">
        <v>44837</v>
      </c>
      <c r="E1107" t="s">
        <v>134</v>
      </c>
      <c r="F1107" t="s">
        <v>5171</v>
      </c>
      <c r="G1107" t="str">
        <f>"47-2042.00"</f>
        <v>47-2042.00</v>
      </c>
      <c r="H1107" t="s">
        <v>5172</v>
      </c>
      <c r="I1107">
        <v>6</v>
      </c>
      <c r="J1107">
        <v>6</v>
      </c>
      <c r="K1107" s="1">
        <v>44863</v>
      </c>
      <c r="L1107" s="1">
        <v>45000</v>
      </c>
      <c r="M1107" s="1">
        <v>44863</v>
      </c>
      <c r="N1107" s="1">
        <v>45000</v>
      </c>
      <c r="O1107" t="s">
        <v>117</v>
      </c>
      <c r="P1107" t="s">
        <v>5173</v>
      </c>
      <c r="R1107" t="s">
        <v>5174</v>
      </c>
      <c r="T1107" t="s">
        <v>1339</v>
      </c>
      <c r="U1107" t="s">
        <v>154</v>
      </c>
      <c r="V1107" s="4" t="str">
        <f>"32820"</f>
        <v>32820</v>
      </c>
      <c r="W1107" t="s">
        <v>120</v>
      </c>
      <c r="Y1107" s="5">
        <v>13216950207</v>
      </c>
      <c r="AA1107">
        <v>23833</v>
      </c>
      <c r="AB1107" t="s">
        <v>5175</v>
      </c>
      <c r="AC1107" t="s">
        <v>5176</v>
      </c>
      <c r="AE1107" t="s">
        <v>342</v>
      </c>
      <c r="AF1107" t="s">
        <v>5174</v>
      </c>
      <c r="AG1107" t="s">
        <v>2366</v>
      </c>
      <c r="AH1107" t="s">
        <v>1339</v>
      </c>
      <c r="AI1107" t="s">
        <v>154</v>
      </c>
      <c r="AJ1107" s="4" t="str">
        <f>"32820"</f>
        <v>32820</v>
      </c>
      <c r="AK1107" t="s">
        <v>120</v>
      </c>
      <c r="AM1107" s="5">
        <v>13216950207</v>
      </c>
      <c r="AO1107" t="s">
        <v>5177</v>
      </c>
      <c r="AP1107" t="s">
        <v>256</v>
      </c>
      <c r="AQ1107" t="s">
        <v>4488</v>
      </c>
      <c r="AR1107" t="s">
        <v>1530</v>
      </c>
      <c r="AS1107" t="s">
        <v>4489</v>
      </c>
      <c r="AT1107" t="s">
        <v>4490</v>
      </c>
      <c r="AV1107" t="s">
        <v>4491</v>
      </c>
      <c r="AW1107" t="s">
        <v>848</v>
      </c>
      <c r="AX1107" s="4" t="str">
        <f>"12534"</f>
        <v>12534</v>
      </c>
      <c r="AY1107" t="s">
        <v>120</v>
      </c>
      <c r="BA1107" s="5">
        <v>15184510109</v>
      </c>
      <c r="BC1107" t="s">
        <v>1583</v>
      </c>
      <c r="BD1107" t="s">
        <v>4492</v>
      </c>
      <c r="BG1107" t="s">
        <v>154</v>
      </c>
      <c r="BH1107" s="1">
        <v>44787.833333333336</v>
      </c>
      <c r="BI1107">
        <v>40</v>
      </c>
      <c r="BJ1107">
        <v>0</v>
      </c>
      <c r="BK1107">
        <v>8</v>
      </c>
      <c r="BL1107">
        <v>8</v>
      </c>
      <c r="BM1107">
        <v>8</v>
      </c>
      <c r="BN1107">
        <v>8</v>
      </c>
      <c r="BO1107">
        <v>8</v>
      </c>
      <c r="BP1107">
        <v>0</v>
      </c>
      <c r="BQ1107" t="str">
        <f>"8:00 AM"</f>
        <v>8:00 AM</v>
      </c>
      <c r="BR1107" t="str">
        <f>"5:00 PM"</f>
        <v>5:00 PM</v>
      </c>
      <c r="BS1107" t="s">
        <v>133</v>
      </c>
      <c r="BT1107">
        <v>0</v>
      </c>
      <c r="BU1107">
        <v>3</v>
      </c>
      <c r="BV1107" t="s">
        <v>134</v>
      </c>
      <c r="BX1107" s="2" t="s">
        <v>5178</v>
      </c>
      <c r="BY1107" t="s">
        <v>5174</v>
      </c>
      <c r="CA1107" t="s">
        <v>1339</v>
      </c>
      <c r="CB1107" t="s">
        <v>154</v>
      </c>
      <c r="CC1107" s="4" t="str">
        <f>"32820"</f>
        <v>32820</v>
      </c>
      <c r="CD1107" t="s">
        <v>2302</v>
      </c>
      <c r="CE1107" t="s">
        <v>3159</v>
      </c>
      <c r="CF1107" s="6">
        <v>19.309999999999999</v>
      </c>
      <c r="CG1107" s="6">
        <v>19.309999999999999</v>
      </c>
      <c r="CH1107" s="6">
        <v>28.97</v>
      </c>
      <c r="CI1107" s="6">
        <v>28.97</v>
      </c>
      <c r="CJ1107" t="s">
        <v>137</v>
      </c>
      <c r="CL1107" t="s">
        <v>5179</v>
      </c>
      <c r="CO1107" t="s">
        <v>138</v>
      </c>
      <c r="CP1107" t="s">
        <v>114</v>
      </c>
      <c r="CQ1107" t="s">
        <v>114</v>
      </c>
      <c r="CR1107" t="s">
        <v>114</v>
      </c>
      <c r="CS1107" t="s">
        <v>114</v>
      </c>
      <c r="CT1107" t="s">
        <v>114</v>
      </c>
      <c r="CU1107" t="s">
        <v>114</v>
      </c>
      <c r="CV1107" t="s">
        <v>5180</v>
      </c>
      <c r="CW1107" s="5" t="str">
        <f>"+13216950207"</f>
        <v>+13216950207</v>
      </c>
      <c r="CX1107" t="s">
        <v>5181</v>
      </c>
      <c r="CY1107" t="s">
        <v>138</v>
      </c>
      <c r="CZ1107" t="s">
        <v>139</v>
      </c>
      <c r="DA1107" t="s">
        <v>134</v>
      </c>
      <c r="DB1107" t="s">
        <v>134</v>
      </c>
      <c r="DC1107" t="s">
        <v>114</v>
      </c>
      <c r="DD1107" t="s">
        <v>134</v>
      </c>
    </row>
    <row r="1108" spans="1:108" ht="15" customHeight="1" x14ac:dyDescent="0.25">
      <c r="A1108" t="s">
        <v>15918</v>
      </c>
      <c r="B1108" t="s">
        <v>165</v>
      </c>
      <c r="C1108" s="1">
        <v>44779.015314351855</v>
      </c>
      <c r="D1108" s="1">
        <v>44837</v>
      </c>
      <c r="E1108" t="s">
        <v>134</v>
      </c>
      <c r="F1108" t="s">
        <v>15919</v>
      </c>
      <c r="G1108" t="str">
        <f>"51-9193.00"</f>
        <v>51-9193.00</v>
      </c>
      <c r="H1108" t="s">
        <v>2627</v>
      </c>
      <c r="I1108">
        <v>6</v>
      </c>
      <c r="J1108">
        <v>6</v>
      </c>
      <c r="K1108" s="1">
        <v>44866</v>
      </c>
      <c r="L1108" s="1">
        <v>44986</v>
      </c>
      <c r="M1108" s="1">
        <v>44866</v>
      </c>
      <c r="N1108" s="1">
        <v>44986</v>
      </c>
      <c r="O1108" t="s">
        <v>117</v>
      </c>
      <c r="P1108" t="s">
        <v>15920</v>
      </c>
      <c r="Q1108" t="s">
        <v>15921</v>
      </c>
      <c r="R1108" t="s">
        <v>15922</v>
      </c>
      <c r="T1108" t="s">
        <v>15923</v>
      </c>
      <c r="U1108" t="s">
        <v>1846</v>
      </c>
      <c r="V1108" s="4" t="str">
        <f>"05155"</f>
        <v>05155</v>
      </c>
      <c r="W1108" t="s">
        <v>120</v>
      </c>
      <c r="Y1108" s="5">
        <v>18022974103</v>
      </c>
      <c r="AA1108">
        <v>721110</v>
      </c>
      <c r="AB1108" t="s">
        <v>9017</v>
      </c>
      <c r="AC1108" t="s">
        <v>15924</v>
      </c>
      <c r="AE1108" t="s">
        <v>4189</v>
      </c>
      <c r="AF1108" t="s">
        <v>15925</v>
      </c>
      <c r="AH1108" t="s">
        <v>15923</v>
      </c>
      <c r="AI1108" t="s">
        <v>1846</v>
      </c>
      <c r="AJ1108" s="4" t="str">
        <f>"05155"</f>
        <v>05155</v>
      </c>
      <c r="AK1108" t="s">
        <v>120</v>
      </c>
      <c r="AM1108" s="5">
        <v>18022974103</v>
      </c>
      <c r="AO1108" t="s">
        <v>15926</v>
      </c>
      <c r="AP1108" t="s">
        <v>122</v>
      </c>
      <c r="AQ1108" t="s">
        <v>3685</v>
      </c>
      <c r="AR1108" t="s">
        <v>2874</v>
      </c>
      <c r="AS1108" t="s">
        <v>3686</v>
      </c>
      <c r="AT1108" t="s">
        <v>3687</v>
      </c>
      <c r="AU1108" t="s">
        <v>152</v>
      </c>
      <c r="AV1108" t="s">
        <v>3688</v>
      </c>
      <c r="AW1108" t="s">
        <v>444</v>
      </c>
      <c r="AX1108" s="4" t="str">
        <f>"91361"</f>
        <v>91361</v>
      </c>
      <c r="AY1108" t="s">
        <v>120</v>
      </c>
      <c r="BA1108" s="5">
        <v>18052611393</v>
      </c>
      <c r="BC1108" t="s">
        <v>3689</v>
      </c>
      <c r="BD1108" t="s">
        <v>3690</v>
      </c>
      <c r="BE1108" t="s">
        <v>154</v>
      </c>
      <c r="BF1108" t="s">
        <v>157</v>
      </c>
      <c r="BG1108" t="s">
        <v>1846</v>
      </c>
      <c r="BH1108" s="1">
        <v>44773.833333333336</v>
      </c>
      <c r="BI1108">
        <v>35</v>
      </c>
      <c r="BJ1108">
        <v>5</v>
      </c>
      <c r="BK1108">
        <v>5</v>
      </c>
      <c r="BL1108">
        <v>5</v>
      </c>
      <c r="BM1108">
        <v>5</v>
      </c>
      <c r="BN1108">
        <v>5</v>
      </c>
      <c r="BO1108">
        <v>5</v>
      </c>
      <c r="BP1108">
        <v>5</v>
      </c>
      <c r="BQ1108" t="str">
        <f>"4:00 AM"</f>
        <v>4:00 AM</v>
      </c>
      <c r="BR1108" t="str">
        <f>"11:00 AM"</f>
        <v>11:00 AM</v>
      </c>
      <c r="BS1108" t="s">
        <v>133</v>
      </c>
      <c r="BT1108">
        <v>0</v>
      </c>
      <c r="BU1108">
        <v>3</v>
      </c>
      <c r="BV1108" t="s">
        <v>134</v>
      </c>
      <c r="BX1108" s="2" t="s">
        <v>15927</v>
      </c>
      <c r="BY1108" t="s">
        <v>15925</v>
      </c>
      <c r="CA1108" t="s">
        <v>4627</v>
      </c>
      <c r="CB1108" t="s">
        <v>1846</v>
      </c>
      <c r="CC1108" s="4" t="str">
        <f>"05155"</f>
        <v>05155</v>
      </c>
      <c r="CD1108" t="s">
        <v>15928</v>
      </c>
      <c r="CE1108" t="s">
        <v>2849</v>
      </c>
      <c r="CF1108" s="6">
        <v>20.63</v>
      </c>
      <c r="CG1108" s="6">
        <v>21</v>
      </c>
      <c r="CH1108" s="6">
        <v>30.95</v>
      </c>
      <c r="CI1108" s="6">
        <v>31.5</v>
      </c>
      <c r="CJ1108" t="s">
        <v>137</v>
      </c>
      <c r="CL1108" t="s">
        <v>15929</v>
      </c>
      <c r="CO1108" t="s">
        <v>138</v>
      </c>
      <c r="CP1108" t="s">
        <v>134</v>
      </c>
      <c r="CQ1108" t="s">
        <v>114</v>
      </c>
      <c r="CR1108" t="s">
        <v>114</v>
      </c>
      <c r="CS1108" t="s">
        <v>114</v>
      </c>
      <c r="CT1108" t="s">
        <v>114</v>
      </c>
      <c r="CU1108" t="s">
        <v>114</v>
      </c>
      <c r="CV1108" s="2" t="s">
        <v>15930</v>
      </c>
      <c r="CW1108" s="5" t="str">
        <f>"+18022974106"</f>
        <v>+18022974106</v>
      </c>
      <c r="CX1108" t="s">
        <v>15931</v>
      </c>
      <c r="CY1108" t="s">
        <v>138</v>
      </c>
      <c r="CZ1108" t="s">
        <v>139</v>
      </c>
      <c r="DA1108" t="s">
        <v>134</v>
      </c>
      <c r="DB1108" t="s">
        <v>134</v>
      </c>
      <c r="DC1108" t="s">
        <v>114</v>
      </c>
      <c r="DD1108" t="s">
        <v>134</v>
      </c>
    </row>
    <row r="1109" spans="1:108" ht="15" customHeight="1" x14ac:dyDescent="0.25">
      <c r="A1109" t="s">
        <v>3783</v>
      </c>
      <c r="B1109" t="s">
        <v>165</v>
      </c>
      <c r="C1109" s="1">
        <v>44776.437035300929</v>
      </c>
      <c r="D1109" s="1">
        <v>44837</v>
      </c>
      <c r="E1109" t="s">
        <v>134</v>
      </c>
      <c r="F1109" t="s">
        <v>2676</v>
      </c>
      <c r="G1109" t="str">
        <f>"39-9011.01"</f>
        <v>39-9011.01</v>
      </c>
      <c r="H1109" t="s">
        <v>2677</v>
      </c>
      <c r="I1109">
        <v>1</v>
      </c>
      <c r="J1109">
        <v>1</v>
      </c>
      <c r="K1109" s="1">
        <v>44866</v>
      </c>
      <c r="L1109" s="1">
        <v>45229</v>
      </c>
      <c r="M1109" s="1">
        <v>44866</v>
      </c>
      <c r="N1109" s="1">
        <v>45229</v>
      </c>
      <c r="O1109" t="s">
        <v>168</v>
      </c>
      <c r="P1109" t="s">
        <v>3784</v>
      </c>
      <c r="R1109" t="s">
        <v>3785</v>
      </c>
      <c r="T1109" t="s">
        <v>3786</v>
      </c>
      <c r="U1109" t="s">
        <v>129</v>
      </c>
      <c r="V1109" s="4" t="str">
        <f>"30034"</f>
        <v>30034</v>
      </c>
      <c r="W1109" t="s">
        <v>120</v>
      </c>
      <c r="Y1109" s="5">
        <v>14045365177</v>
      </c>
      <c r="AA1109">
        <v>81299</v>
      </c>
      <c r="AB1109" t="s">
        <v>1993</v>
      </c>
      <c r="AC1109" t="s">
        <v>1830</v>
      </c>
      <c r="AE1109" t="s">
        <v>424</v>
      </c>
      <c r="AF1109" t="s">
        <v>3787</v>
      </c>
      <c r="AH1109" t="s">
        <v>3788</v>
      </c>
      <c r="AI1109" t="s">
        <v>119</v>
      </c>
      <c r="AJ1109" s="4" t="str">
        <f>"27514"</f>
        <v>27514</v>
      </c>
      <c r="AK1109" t="s">
        <v>120</v>
      </c>
      <c r="AM1109" s="5">
        <v>14045365177</v>
      </c>
      <c r="AO1109" t="s">
        <v>3789</v>
      </c>
      <c r="AX1109" s="4" t="str">
        <f>""</f>
        <v/>
      </c>
      <c r="BG1109" t="s">
        <v>119</v>
      </c>
      <c r="BH1109" s="1">
        <v>44735.833333333336</v>
      </c>
      <c r="BI1109">
        <v>40</v>
      </c>
      <c r="BJ1109">
        <v>0</v>
      </c>
      <c r="BK1109">
        <v>8</v>
      </c>
      <c r="BL1109">
        <v>8</v>
      </c>
      <c r="BM1109">
        <v>8</v>
      </c>
      <c r="BN1109">
        <v>8</v>
      </c>
      <c r="BO1109">
        <v>8</v>
      </c>
      <c r="BP1109">
        <v>0</v>
      </c>
      <c r="BQ1109" t="str">
        <f>"9:00 AM"</f>
        <v>9:00 AM</v>
      </c>
      <c r="BR1109" t="str">
        <f>"5:00 PM"</f>
        <v>5:00 PM</v>
      </c>
      <c r="BS1109" t="s">
        <v>133</v>
      </c>
      <c r="BT1109">
        <v>0</v>
      </c>
      <c r="BU1109">
        <v>0</v>
      </c>
      <c r="BV1109" t="s">
        <v>134</v>
      </c>
      <c r="BX1109" t="s">
        <v>3790</v>
      </c>
      <c r="BY1109" t="s">
        <v>3787</v>
      </c>
      <c r="CA1109" t="s">
        <v>3788</v>
      </c>
      <c r="CB1109" t="s">
        <v>119</v>
      </c>
      <c r="CC1109" s="4" t="str">
        <f>"27514"</f>
        <v>27514</v>
      </c>
      <c r="CD1109" t="s">
        <v>2302</v>
      </c>
      <c r="CE1109" t="s">
        <v>3791</v>
      </c>
      <c r="CF1109" s="6">
        <v>13.5</v>
      </c>
      <c r="CH1109" s="6">
        <v>20.25</v>
      </c>
      <c r="CJ1109" t="s">
        <v>137</v>
      </c>
      <c r="CL1109" t="s">
        <v>3792</v>
      </c>
      <c r="CO1109" t="s">
        <v>138</v>
      </c>
      <c r="CP1109" t="s">
        <v>134</v>
      </c>
      <c r="CQ1109" t="s">
        <v>114</v>
      </c>
      <c r="CR1109" t="s">
        <v>114</v>
      </c>
      <c r="CS1109" t="s">
        <v>114</v>
      </c>
      <c r="CT1109" t="s">
        <v>114</v>
      </c>
      <c r="CU1109" t="s">
        <v>114</v>
      </c>
      <c r="CV1109" t="s">
        <v>3793</v>
      </c>
      <c r="CW1109" s="5" t="str">
        <f>"+14045365177"</f>
        <v>+14045365177</v>
      </c>
      <c r="CX1109" t="s">
        <v>3789</v>
      </c>
      <c r="CY1109" t="s">
        <v>138</v>
      </c>
      <c r="CZ1109" t="s">
        <v>139</v>
      </c>
      <c r="DA1109" t="s">
        <v>134</v>
      </c>
      <c r="DB1109" t="s">
        <v>134</v>
      </c>
      <c r="DC1109" t="s">
        <v>114</v>
      </c>
      <c r="DD1109" t="s">
        <v>134</v>
      </c>
    </row>
    <row r="1110" spans="1:108" ht="15" customHeight="1" x14ac:dyDescent="0.25">
      <c r="A1110" t="s">
        <v>16775</v>
      </c>
      <c r="B1110" t="s">
        <v>11382</v>
      </c>
      <c r="C1110" s="1">
        <v>44887.40433553241</v>
      </c>
      <c r="D1110" s="1">
        <v>44911</v>
      </c>
      <c r="E1110" t="s">
        <v>134</v>
      </c>
      <c r="F1110" t="s">
        <v>12653</v>
      </c>
      <c r="G1110" t="str">
        <f>"47-4051.00"</f>
        <v>47-4051.00</v>
      </c>
      <c r="H1110" t="s">
        <v>4349</v>
      </c>
      <c r="I1110">
        <v>23</v>
      </c>
      <c r="J1110">
        <v>23</v>
      </c>
      <c r="K1110" s="1">
        <v>44977</v>
      </c>
      <c r="L1110" s="1">
        <v>45279</v>
      </c>
      <c r="M1110" s="1">
        <v>44977</v>
      </c>
      <c r="N1110" s="1">
        <v>45279</v>
      </c>
      <c r="O1110" t="s">
        <v>199</v>
      </c>
      <c r="P1110" t="s">
        <v>12654</v>
      </c>
      <c r="R1110" t="s">
        <v>12655</v>
      </c>
      <c r="S1110" t="s">
        <v>138</v>
      </c>
      <c r="T1110" t="s">
        <v>1097</v>
      </c>
      <c r="U1110" t="s">
        <v>232</v>
      </c>
      <c r="V1110" s="4" t="str">
        <f>"79763"</f>
        <v>79763</v>
      </c>
      <c r="W1110" t="s">
        <v>120</v>
      </c>
      <c r="Y1110" s="5">
        <v>14323328433</v>
      </c>
      <c r="AA1110">
        <v>237310</v>
      </c>
      <c r="AB1110" t="s">
        <v>10920</v>
      </c>
      <c r="AC1110" t="s">
        <v>1125</v>
      </c>
      <c r="AD1110" t="s">
        <v>138</v>
      </c>
      <c r="AE1110" t="s">
        <v>6161</v>
      </c>
      <c r="AF1110" t="s">
        <v>12655</v>
      </c>
      <c r="AG1110" t="s">
        <v>138</v>
      </c>
      <c r="AH1110" t="s">
        <v>1097</v>
      </c>
      <c r="AI1110" t="s">
        <v>232</v>
      </c>
      <c r="AJ1110" s="4" t="str">
        <f>"79763"</f>
        <v>79763</v>
      </c>
      <c r="AK1110" t="s">
        <v>120</v>
      </c>
      <c r="AM1110" s="5">
        <v>14323328433</v>
      </c>
      <c r="AO1110" t="s">
        <v>12656</v>
      </c>
      <c r="AP1110" t="s">
        <v>256</v>
      </c>
      <c r="AQ1110" t="s">
        <v>2048</v>
      </c>
      <c r="AR1110" t="s">
        <v>2049</v>
      </c>
      <c r="AS1110" t="s">
        <v>1378</v>
      </c>
      <c r="AT1110" t="s">
        <v>2050</v>
      </c>
      <c r="AU1110" t="s">
        <v>138</v>
      </c>
      <c r="AV1110" t="s">
        <v>1285</v>
      </c>
      <c r="AW1110" t="s">
        <v>232</v>
      </c>
      <c r="AX1110" s="4" t="str">
        <f>"77414"</f>
        <v>77414</v>
      </c>
      <c r="AY1110" t="s">
        <v>120</v>
      </c>
      <c r="BA1110" s="5">
        <v>19793187278</v>
      </c>
      <c r="BC1110" t="s">
        <v>2051</v>
      </c>
      <c r="BD1110" t="s">
        <v>1287</v>
      </c>
      <c r="BG1110" t="s">
        <v>232</v>
      </c>
      <c r="BH1110" s="1">
        <v>44886.791666666664</v>
      </c>
      <c r="BI1110">
        <v>40</v>
      </c>
      <c r="BJ1110">
        <v>0</v>
      </c>
      <c r="BK1110">
        <v>8</v>
      </c>
      <c r="BL1110">
        <v>8</v>
      </c>
      <c r="BM1110">
        <v>8</v>
      </c>
      <c r="BN1110">
        <v>8</v>
      </c>
      <c r="BO1110">
        <v>8</v>
      </c>
      <c r="BP1110">
        <v>0</v>
      </c>
      <c r="BQ1110" t="str">
        <f>"7:00 AM"</f>
        <v>7:00 AM</v>
      </c>
      <c r="BR1110" t="str">
        <f>"4:00 PM"</f>
        <v>4:00 PM</v>
      </c>
      <c r="BS1110" t="s">
        <v>133</v>
      </c>
      <c r="BT1110">
        <v>0</v>
      </c>
      <c r="BU1110">
        <v>0</v>
      </c>
      <c r="BV1110" t="s">
        <v>134</v>
      </c>
      <c r="BX1110" s="2" t="s">
        <v>16776</v>
      </c>
      <c r="BY1110" t="s">
        <v>12655</v>
      </c>
      <c r="BZ1110" t="s">
        <v>138</v>
      </c>
      <c r="CA1110" t="s">
        <v>1097</v>
      </c>
      <c r="CB1110" t="s">
        <v>232</v>
      </c>
      <c r="CC1110" s="4" t="str">
        <f>"79763"</f>
        <v>79763</v>
      </c>
      <c r="CD1110" t="s">
        <v>4374</v>
      </c>
      <c r="CE1110" t="s">
        <v>4375</v>
      </c>
      <c r="CF1110" s="6">
        <v>17.68</v>
      </c>
      <c r="CG1110" s="6">
        <v>19.440000000000001</v>
      </c>
      <c r="CH1110" s="6">
        <v>26.52</v>
      </c>
      <c r="CI1110" s="6">
        <v>29.16</v>
      </c>
      <c r="CJ1110" t="s">
        <v>137</v>
      </c>
      <c r="CK1110" t="s">
        <v>8104</v>
      </c>
      <c r="CL1110" t="s">
        <v>12657</v>
      </c>
      <c r="CO1110" t="s">
        <v>138</v>
      </c>
      <c r="CP1110" t="s">
        <v>114</v>
      </c>
      <c r="CQ1110" t="s">
        <v>114</v>
      </c>
      <c r="CR1110" t="s">
        <v>114</v>
      </c>
      <c r="CS1110" t="s">
        <v>114</v>
      </c>
      <c r="CT1110" t="s">
        <v>114</v>
      </c>
      <c r="CU1110" t="s">
        <v>134</v>
      </c>
      <c r="CV1110" t="s">
        <v>12658</v>
      </c>
      <c r="CW1110" s="5" t="str">
        <f>"+14323328433"</f>
        <v>+14323328433</v>
      </c>
      <c r="CX1110" t="s">
        <v>12656</v>
      </c>
      <c r="CY1110" t="s">
        <v>138</v>
      </c>
      <c r="CZ1110" t="s">
        <v>139</v>
      </c>
      <c r="DA1110" t="s">
        <v>134</v>
      </c>
      <c r="DB1110" t="s">
        <v>134</v>
      </c>
      <c r="DC1110" t="s">
        <v>114</v>
      </c>
      <c r="DD1110" t="s">
        <v>134</v>
      </c>
    </row>
    <row r="1111" spans="1:108" ht="15" customHeight="1" x14ac:dyDescent="0.25">
      <c r="A1111" t="s">
        <v>11381</v>
      </c>
      <c r="B1111" t="s">
        <v>11382</v>
      </c>
      <c r="C1111" s="1">
        <v>44791.851634027778</v>
      </c>
      <c r="D1111" s="1">
        <v>44851</v>
      </c>
      <c r="E1111" t="s">
        <v>134</v>
      </c>
      <c r="F1111" t="s">
        <v>11383</v>
      </c>
      <c r="G1111" t="str">
        <f>"53-7051.00"</f>
        <v>53-7051.00</v>
      </c>
      <c r="H1111" t="s">
        <v>2127</v>
      </c>
      <c r="I1111">
        <v>5</v>
      </c>
      <c r="J1111">
        <v>5</v>
      </c>
      <c r="K1111" s="1">
        <v>44866</v>
      </c>
      <c r="L1111" s="1">
        <v>45016</v>
      </c>
      <c r="M1111" s="1">
        <v>44866</v>
      </c>
      <c r="N1111" s="1">
        <v>45016</v>
      </c>
      <c r="O1111" t="s">
        <v>117</v>
      </c>
      <c r="P1111" t="s">
        <v>3412</v>
      </c>
      <c r="R1111" t="s">
        <v>3413</v>
      </c>
      <c r="T1111" t="s">
        <v>3414</v>
      </c>
      <c r="U1111" t="s">
        <v>444</v>
      </c>
      <c r="V1111" s="4" t="str">
        <f>"93940"</f>
        <v>93940</v>
      </c>
      <c r="W1111" t="s">
        <v>120</v>
      </c>
      <c r="Y1111" s="5">
        <v>18317543429</v>
      </c>
      <c r="AA1111">
        <v>11121</v>
      </c>
      <c r="AB1111" t="s">
        <v>3415</v>
      </c>
      <c r="AC1111" t="s">
        <v>3416</v>
      </c>
      <c r="AE1111" t="s">
        <v>2368</v>
      </c>
      <c r="AF1111" t="s">
        <v>3413</v>
      </c>
      <c r="AH1111" t="s">
        <v>3414</v>
      </c>
      <c r="AI1111" t="s">
        <v>444</v>
      </c>
      <c r="AJ1111" s="4" t="str">
        <f>"93940"</f>
        <v>93940</v>
      </c>
      <c r="AK1111" t="s">
        <v>120</v>
      </c>
      <c r="AM1111" s="5">
        <v>18317543429</v>
      </c>
      <c r="AO1111" t="s">
        <v>3417</v>
      </c>
      <c r="AP1111" t="s">
        <v>122</v>
      </c>
      <c r="AQ1111" t="s">
        <v>1721</v>
      </c>
      <c r="AR1111" t="s">
        <v>1722</v>
      </c>
      <c r="AS1111" t="s">
        <v>1723</v>
      </c>
      <c r="AT1111" t="s">
        <v>1724</v>
      </c>
      <c r="AV1111" t="s">
        <v>1725</v>
      </c>
      <c r="AW1111" t="s">
        <v>444</v>
      </c>
      <c r="AX1111" s="4" t="str">
        <f>"92106"</f>
        <v>92106</v>
      </c>
      <c r="AY1111" t="s">
        <v>120</v>
      </c>
      <c r="BA1111" s="5">
        <v>16192696164</v>
      </c>
      <c r="BC1111" t="s">
        <v>1726</v>
      </c>
      <c r="BD1111" t="s">
        <v>1727</v>
      </c>
      <c r="BE1111" t="s">
        <v>444</v>
      </c>
      <c r="BF1111" t="s">
        <v>510</v>
      </c>
      <c r="BG1111" t="s">
        <v>530</v>
      </c>
      <c r="BH1111" s="1">
        <v>44790.833333333336</v>
      </c>
      <c r="BI1111">
        <v>60</v>
      </c>
      <c r="BJ1111">
        <v>0</v>
      </c>
      <c r="BK1111">
        <v>10</v>
      </c>
      <c r="BL1111">
        <v>10</v>
      </c>
      <c r="BM1111">
        <v>10</v>
      </c>
      <c r="BN1111">
        <v>10</v>
      </c>
      <c r="BO1111">
        <v>10</v>
      </c>
      <c r="BP1111">
        <v>10</v>
      </c>
      <c r="BQ1111" t="str">
        <f>"8:00 PM"</f>
        <v>8:00 PM</v>
      </c>
      <c r="BR1111" t="str">
        <f>"6:30 AM"</f>
        <v>6:30 AM</v>
      </c>
      <c r="BS1111" t="s">
        <v>295</v>
      </c>
      <c r="BT1111">
        <v>0</v>
      </c>
      <c r="BU1111">
        <v>3</v>
      </c>
      <c r="BV1111" t="s">
        <v>134</v>
      </c>
      <c r="BX1111" s="2" t="s">
        <v>11384</v>
      </c>
      <c r="BY1111" t="s">
        <v>11385</v>
      </c>
      <c r="CA1111" t="s">
        <v>9790</v>
      </c>
      <c r="CB1111" t="s">
        <v>530</v>
      </c>
      <c r="CC1111" s="4" t="str">
        <f>"85364"</f>
        <v>85364</v>
      </c>
      <c r="CD1111" t="s">
        <v>9791</v>
      </c>
      <c r="CE1111" t="s">
        <v>9792</v>
      </c>
      <c r="CF1111" s="6">
        <v>15.17</v>
      </c>
      <c r="CG1111" s="6">
        <v>15.17</v>
      </c>
      <c r="CH1111" s="6">
        <v>22.76</v>
      </c>
      <c r="CI1111" s="6">
        <v>22.76</v>
      </c>
      <c r="CJ1111" t="s">
        <v>137</v>
      </c>
      <c r="CK1111" t="s">
        <v>11386</v>
      </c>
      <c r="CL1111" t="s">
        <v>11387</v>
      </c>
      <c r="CO1111" t="s">
        <v>138</v>
      </c>
      <c r="CP1111" t="s">
        <v>134</v>
      </c>
      <c r="CQ1111" t="s">
        <v>134</v>
      </c>
      <c r="CR1111" t="s">
        <v>114</v>
      </c>
      <c r="CS1111" t="s">
        <v>114</v>
      </c>
      <c r="CT1111" t="s">
        <v>114</v>
      </c>
      <c r="CU1111" t="s">
        <v>114</v>
      </c>
      <c r="CV1111" t="s">
        <v>11388</v>
      </c>
      <c r="CW1111" s="5" t="str">
        <f>"+19283418362"</f>
        <v>+19283418362</v>
      </c>
      <c r="CX1111" t="s">
        <v>11389</v>
      </c>
      <c r="CY1111" t="s">
        <v>138</v>
      </c>
      <c r="CZ1111" t="s">
        <v>139</v>
      </c>
      <c r="DA1111" t="s">
        <v>134</v>
      </c>
      <c r="DB1111" t="s">
        <v>134</v>
      </c>
      <c r="DC1111" t="s">
        <v>114</v>
      </c>
      <c r="DD1111" t="s">
        <v>134</v>
      </c>
    </row>
    <row r="1112" spans="1:108" ht="15" customHeight="1" x14ac:dyDescent="0.25">
      <c r="A1112" t="s">
        <v>11595</v>
      </c>
      <c r="B1112" t="s">
        <v>11382</v>
      </c>
      <c r="C1112" s="1">
        <v>44796.685061805554</v>
      </c>
      <c r="D1112" s="1">
        <v>44841</v>
      </c>
      <c r="E1112" t="s">
        <v>134</v>
      </c>
      <c r="F1112" t="s">
        <v>9250</v>
      </c>
      <c r="G1112" t="str">
        <f>"35-1011.00"</f>
        <v>35-1011.00</v>
      </c>
      <c r="H1112" t="s">
        <v>3202</v>
      </c>
      <c r="I1112">
        <v>1</v>
      </c>
      <c r="J1112">
        <v>1</v>
      </c>
      <c r="K1112" s="1">
        <v>44872</v>
      </c>
      <c r="L1112" s="1">
        <v>45236</v>
      </c>
      <c r="M1112" s="1">
        <v>44872</v>
      </c>
      <c r="N1112" s="1">
        <v>45236</v>
      </c>
      <c r="O1112" t="s">
        <v>168</v>
      </c>
      <c r="P1112" t="s">
        <v>3203</v>
      </c>
      <c r="R1112" t="s">
        <v>3204</v>
      </c>
      <c r="S1112" t="s">
        <v>152</v>
      </c>
      <c r="T1112" t="s">
        <v>3205</v>
      </c>
      <c r="U1112" t="s">
        <v>2081</v>
      </c>
      <c r="V1112" s="4" t="str">
        <f>"50312"</f>
        <v>50312</v>
      </c>
      <c r="W1112" t="s">
        <v>120</v>
      </c>
      <c r="Y1112" s="5">
        <v>15152441430</v>
      </c>
      <c r="AA1112">
        <v>72251</v>
      </c>
      <c r="AB1112" t="s">
        <v>3206</v>
      </c>
      <c r="AC1112" t="s">
        <v>3207</v>
      </c>
      <c r="AE1112" t="s">
        <v>424</v>
      </c>
      <c r="AF1112" t="s">
        <v>3208</v>
      </c>
      <c r="AG1112" t="s">
        <v>152</v>
      </c>
      <c r="AH1112" t="s">
        <v>3209</v>
      </c>
      <c r="AI1112" t="s">
        <v>2081</v>
      </c>
      <c r="AJ1112" s="4" t="str">
        <f>"50312"</f>
        <v>50312</v>
      </c>
      <c r="AK1112" t="s">
        <v>120</v>
      </c>
      <c r="AM1112" s="5">
        <v>15152441430</v>
      </c>
      <c r="AO1112" t="s">
        <v>3210</v>
      </c>
      <c r="AP1112" t="s">
        <v>122</v>
      </c>
      <c r="AQ1112" t="s">
        <v>3211</v>
      </c>
      <c r="AR1112" t="s">
        <v>3212</v>
      </c>
      <c r="AS1112" t="s">
        <v>755</v>
      </c>
      <c r="AT1112" t="s">
        <v>3213</v>
      </c>
      <c r="AU1112" t="s">
        <v>3214</v>
      </c>
      <c r="AV1112" t="s">
        <v>3215</v>
      </c>
      <c r="AW1112" t="s">
        <v>184</v>
      </c>
      <c r="AX1112" s="4" t="str">
        <f>"61107"</f>
        <v>61107</v>
      </c>
      <c r="AY1112" t="s">
        <v>120</v>
      </c>
      <c r="BA1112" s="5">
        <v>17792102940</v>
      </c>
      <c r="BB1112">
        <v>2</v>
      </c>
      <c r="BC1112" t="s">
        <v>3216</v>
      </c>
      <c r="BD1112" t="s">
        <v>6079</v>
      </c>
      <c r="BE1112" t="s">
        <v>184</v>
      </c>
      <c r="BF1112" t="s">
        <v>185</v>
      </c>
      <c r="BG1112" t="s">
        <v>2081</v>
      </c>
      <c r="BH1112" s="1">
        <v>44795.833333333336</v>
      </c>
      <c r="BI1112">
        <v>50</v>
      </c>
      <c r="BJ1112">
        <v>0</v>
      </c>
      <c r="BK1112">
        <v>0</v>
      </c>
      <c r="BL1112">
        <v>10</v>
      </c>
      <c r="BM1112">
        <v>10</v>
      </c>
      <c r="BN1112">
        <v>10</v>
      </c>
      <c r="BO1112">
        <v>10</v>
      </c>
      <c r="BP1112">
        <v>10</v>
      </c>
      <c r="BQ1112" t="str">
        <f>"9:00 AM"</f>
        <v>9:00 AM</v>
      </c>
      <c r="BR1112" t="str">
        <f>"7:00 PM"</f>
        <v>7:00 PM</v>
      </c>
      <c r="BS1112" t="s">
        <v>133</v>
      </c>
      <c r="BT1112">
        <v>48</v>
      </c>
      <c r="BU1112">
        <v>24</v>
      </c>
      <c r="BV1112" t="s">
        <v>134</v>
      </c>
      <c r="BX1112" s="2" t="s">
        <v>3218</v>
      </c>
      <c r="BY1112" t="s">
        <v>3208</v>
      </c>
      <c r="CA1112" t="s">
        <v>152</v>
      </c>
      <c r="CB1112" t="s">
        <v>2081</v>
      </c>
      <c r="CC1112" s="4" t="str">
        <f>"50312"</f>
        <v>50312</v>
      </c>
      <c r="CD1112" t="s">
        <v>2306</v>
      </c>
      <c r="CE1112" t="s">
        <v>3219</v>
      </c>
      <c r="CF1112" s="6">
        <v>21.35</v>
      </c>
      <c r="CH1112" s="6">
        <v>32.03</v>
      </c>
      <c r="CJ1112" t="s">
        <v>137</v>
      </c>
      <c r="CL1112" t="s">
        <v>9251</v>
      </c>
      <c r="CO1112" t="s">
        <v>138</v>
      </c>
      <c r="CP1112" t="s">
        <v>134</v>
      </c>
      <c r="CQ1112" t="s">
        <v>134</v>
      </c>
      <c r="CR1112" t="s">
        <v>114</v>
      </c>
      <c r="CS1112" t="s">
        <v>134</v>
      </c>
      <c r="CT1112" t="s">
        <v>114</v>
      </c>
      <c r="CU1112" t="s">
        <v>114</v>
      </c>
      <c r="CV1112" t="s">
        <v>6081</v>
      </c>
      <c r="CW1112" s="5" t="str">
        <f>"+15152441430"</f>
        <v>+15152441430</v>
      </c>
      <c r="CX1112" t="s">
        <v>3210</v>
      </c>
      <c r="CY1112" t="s">
        <v>138</v>
      </c>
      <c r="CZ1112" t="s">
        <v>139</v>
      </c>
      <c r="DA1112" t="s">
        <v>134</v>
      </c>
      <c r="DB1112" t="s">
        <v>134</v>
      </c>
      <c r="DC1112" t="s">
        <v>114</v>
      </c>
      <c r="DD1112" t="s">
        <v>134</v>
      </c>
    </row>
    <row r="1113" spans="1:108" ht="15" customHeight="1" x14ac:dyDescent="0.25">
      <c r="A1113" t="s">
        <v>15970</v>
      </c>
      <c r="B1113" t="s">
        <v>11382</v>
      </c>
      <c r="C1113" s="1">
        <v>44796.684921296299</v>
      </c>
      <c r="D1113" s="1">
        <v>44841</v>
      </c>
      <c r="E1113" t="s">
        <v>134</v>
      </c>
      <c r="F1113" t="s">
        <v>3201</v>
      </c>
      <c r="G1113" t="str">
        <f>"35-1011.00"</f>
        <v>35-1011.00</v>
      </c>
      <c r="H1113" t="s">
        <v>3202</v>
      </c>
      <c r="I1113">
        <v>1</v>
      </c>
      <c r="J1113">
        <v>1</v>
      </c>
      <c r="K1113" s="1">
        <v>44871</v>
      </c>
      <c r="L1113" s="1">
        <v>45235</v>
      </c>
      <c r="M1113" s="1">
        <v>44871</v>
      </c>
      <c r="N1113" s="1">
        <v>45235</v>
      </c>
      <c r="O1113" t="s">
        <v>168</v>
      </c>
      <c r="P1113" t="s">
        <v>3203</v>
      </c>
      <c r="R1113" t="s">
        <v>3204</v>
      </c>
      <c r="S1113" t="s">
        <v>152</v>
      </c>
      <c r="T1113" t="s">
        <v>3205</v>
      </c>
      <c r="U1113" t="s">
        <v>2081</v>
      </c>
      <c r="V1113" s="4" t="str">
        <f>"50312"</f>
        <v>50312</v>
      </c>
      <c r="W1113" t="s">
        <v>120</v>
      </c>
      <c r="Y1113" s="5">
        <v>15152441430</v>
      </c>
      <c r="AA1113">
        <v>72251</v>
      </c>
      <c r="AB1113" t="s">
        <v>3206</v>
      </c>
      <c r="AC1113" t="s">
        <v>3207</v>
      </c>
      <c r="AE1113" t="s">
        <v>424</v>
      </c>
      <c r="AF1113" t="s">
        <v>3208</v>
      </c>
      <c r="AG1113" t="s">
        <v>152</v>
      </c>
      <c r="AH1113" t="s">
        <v>3209</v>
      </c>
      <c r="AI1113" t="s">
        <v>2081</v>
      </c>
      <c r="AJ1113" s="4" t="str">
        <f>"50312"</f>
        <v>50312</v>
      </c>
      <c r="AK1113" t="s">
        <v>120</v>
      </c>
      <c r="AM1113" s="5">
        <v>15152441430</v>
      </c>
      <c r="AO1113" t="s">
        <v>3210</v>
      </c>
      <c r="AP1113" t="s">
        <v>122</v>
      </c>
      <c r="AQ1113" t="s">
        <v>3211</v>
      </c>
      <c r="AR1113" t="s">
        <v>3212</v>
      </c>
      <c r="AS1113" t="s">
        <v>755</v>
      </c>
      <c r="AT1113" t="s">
        <v>3213</v>
      </c>
      <c r="AU1113" t="s">
        <v>3214</v>
      </c>
      <c r="AV1113" t="s">
        <v>3215</v>
      </c>
      <c r="AW1113" t="s">
        <v>184</v>
      </c>
      <c r="AX1113" s="4" t="str">
        <f>"61107"</f>
        <v>61107</v>
      </c>
      <c r="AY1113" t="s">
        <v>120</v>
      </c>
      <c r="BA1113" s="5">
        <v>17792102940</v>
      </c>
      <c r="BB1113">
        <v>2</v>
      </c>
      <c r="BC1113" t="s">
        <v>3216</v>
      </c>
      <c r="BD1113" t="s">
        <v>6079</v>
      </c>
      <c r="BE1113" t="s">
        <v>184</v>
      </c>
      <c r="BF1113" t="s">
        <v>185</v>
      </c>
      <c r="BG1113" t="s">
        <v>2081</v>
      </c>
      <c r="BH1113" s="1">
        <v>44795.833333333336</v>
      </c>
      <c r="BI1113">
        <v>50</v>
      </c>
      <c r="BJ1113">
        <v>0</v>
      </c>
      <c r="BK1113">
        <v>0</v>
      </c>
      <c r="BL1113">
        <v>10</v>
      </c>
      <c r="BM1113">
        <v>10</v>
      </c>
      <c r="BN1113">
        <v>10</v>
      </c>
      <c r="BO1113">
        <v>10</v>
      </c>
      <c r="BP1113">
        <v>10</v>
      </c>
      <c r="BQ1113" t="str">
        <f>"7:00 AM"</f>
        <v>7:00 AM</v>
      </c>
      <c r="BR1113" t="str">
        <f>"9:00 PM"</f>
        <v>9:00 PM</v>
      </c>
      <c r="BS1113" t="s">
        <v>133</v>
      </c>
      <c r="BT1113">
        <v>24</v>
      </c>
      <c r="BU1113">
        <v>24</v>
      </c>
      <c r="BV1113" t="s">
        <v>134</v>
      </c>
      <c r="BX1113" s="2" t="s">
        <v>3218</v>
      </c>
      <c r="BY1113" t="s">
        <v>3208</v>
      </c>
      <c r="CA1113" t="s">
        <v>152</v>
      </c>
      <c r="CB1113" t="s">
        <v>2081</v>
      </c>
      <c r="CC1113" s="4" t="str">
        <f>"50312"</f>
        <v>50312</v>
      </c>
      <c r="CD1113" t="s">
        <v>2306</v>
      </c>
      <c r="CE1113" t="s">
        <v>3219</v>
      </c>
      <c r="CF1113" s="6">
        <v>21.35</v>
      </c>
      <c r="CH1113" s="6">
        <v>32.03</v>
      </c>
      <c r="CJ1113" t="s">
        <v>137</v>
      </c>
      <c r="CL1113" t="s">
        <v>6080</v>
      </c>
      <c r="CO1113" t="s">
        <v>138</v>
      </c>
      <c r="CP1113" t="s">
        <v>134</v>
      </c>
      <c r="CQ1113" t="s">
        <v>134</v>
      </c>
      <c r="CR1113" t="s">
        <v>114</v>
      </c>
      <c r="CS1113" t="s">
        <v>134</v>
      </c>
      <c r="CT1113" t="s">
        <v>114</v>
      </c>
      <c r="CU1113" t="s">
        <v>114</v>
      </c>
      <c r="CV1113" t="s">
        <v>6081</v>
      </c>
      <c r="CW1113" s="5" t="str">
        <f>"+15152441430"</f>
        <v>+15152441430</v>
      </c>
      <c r="CX1113" t="s">
        <v>3210</v>
      </c>
      <c r="CY1113" t="s">
        <v>138</v>
      </c>
      <c r="CZ1113" t="s">
        <v>139</v>
      </c>
      <c r="DA1113" t="s">
        <v>134</v>
      </c>
      <c r="DB1113" t="s">
        <v>134</v>
      </c>
      <c r="DC1113" t="s">
        <v>114</v>
      </c>
      <c r="DD1113" t="s">
        <v>134</v>
      </c>
    </row>
    <row r="1114" spans="1:108" ht="15" customHeight="1" x14ac:dyDescent="0.25">
      <c r="A1114" t="s">
        <v>7961</v>
      </c>
      <c r="B1114" t="s">
        <v>113</v>
      </c>
      <c r="C1114" s="1">
        <v>44881.470164120372</v>
      </c>
      <c r="D1114" s="1">
        <v>44925</v>
      </c>
      <c r="E1114" t="s">
        <v>134</v>
      </c>
      <c r="F1114" t="s">
        <v>7962</v>
      </c>
      <c r="G1114" t="str">
        <f>"39-5012.00"</f>
        <v>39-5012.00</v>
      </c>
      <c r="H1114" t="s">
        <v>3842</v>
      </c>
      <c r="I1114">
        <v>4</v>
      </c>
      <c r="K1114" s="1">
        <v>44958</v>
      </c>
      <c r="L1114" s="1">
        <v>45244</v>
      </c>
      <c r="O1114" t="s">
        <v>117</v>
      </c>
      <c r="P1114" t="s">
        <v>7963</v>
      </c>
      <c r="R1114" t="s">
        <v>7964</v>
      </c>
      <c r="T1114" t="s">
        <v>2377</v>
      </c>
      <c r="U1114" t="s">
        <v>154</v>
      </c>
      <c r="V1114" s="4" t="str">
        <f>"33071"</f>
        <v>33071</v>
      </c>
      <c r="W1114" t="s">
        <v>120</v>
      </c>
      <c r="Y1114" s="5">
        <v>19545723336</v>
      </c>
      <c r="AA1114">
        <v>812112</v>
      </c>
      <c r="AB1114" t="s">
        <v>2294</v>
      </c>
      <c r="AC1114" t="s">
        <v>2088</v>
      </c>
      <c r="AD1114" t="s">
        <v>865</v>
      </c>
      <c r="AE1114" t="s">
        <v>342</v>
      </c>
      <c r="AF1114" t="s">
        <v>7965</v>
      </c>
      <c r="AH1114" t="s">
        <v>2377</v>
      </c>
      <c r="AI1114" t="s">
        <v>154</v>
      </c>
      <c r="AJ1114" s="4" t="str">
        <f>"33071"</f>
        <v>33071</v>
      </c>
      <c r="AK1114" t="s">
        <v>120</v>
      </c>
      <c r="AM1114" s="5">
        <v>19546706495</v>
      </c>
      <c r="AO1114" t="s">
        <v>7966</v>
      </c>
      <c r="AX1114" s="4" t="str">
        <f>""</f>
        <v/>
      </c>
      <c r="BG1114" t="s">
        <v>154</v>
      </c>
      <c r="BH1114" s="1">
        <v>44879.791666666664</v>
      </c>
      <c r="BI1114">
        <v>35</v>
      </c>
      <c r="BJ1114">
        <v>8</v>
      </c>
      <c r="BK1114">
        <v>0</v>
      </c>
      <c r="BL1114">
        <v>0</v>
      </c>
      <c r="BM1114">
        <v>0</v>
      </c>
      <c r="BN1114">
        <v>8</v>
      </c>
      <c r="BO1114">
        <v>9</v>
      </c>
      <c r="BP1114">
        <v>10</v>
      </c>
      <c r="BQ1114" t="str">
        <f>"8:00 AM"</f>
        <v>8:00 AM</v>
      </c>
      <c r="BR1114" t="str">
        <f>"8:00 PM"</f>
        <v>8:00 PM</v>
      </c>
      <c r="BS1114" t="s">
        <v>133</v>
      </c>
      <c r="BT1114">
        <v>0</v>
      </c>
      <c r="BU1114">
        <v>0</v>
      </c>
      <c r="BV1114" t="s">
        <v>134</v>
      </c>
      <c r="BX1114" t="s">
        <v>138</v>
      </c>
      <c r="BY1114" t="s">
        <v>7964</v>
      </c>
      <c r="CA1114" t="s">
        <v>2377</v>
      </c>
      <c r="CB1114" t="s">
        <v>154</v>
      </c>
      <c r="CC1114" s="4" t="str">
        <f>"33071"</f>
        <v>33071</v>
      </c>
      <c r="CD1114" t="s">
        <v>2313</v>
      </c>
      <c r="CE1114" t="s">
        <v>1742</v>
      </c>
      <c r="CF1114" s="6">
        <v>14.7</v>
      </c>
      <c r="CG1114" s="6">
        <v>14.7</v>
      </c>
      <c r="CJ1114" t="s">
        <v>137</v>
      </c>
      <c r="CL1114" t="s">
        <v>7967</v>
      </c>
      <c r="CO1114" t="s">
        <v>138</v>
      </c>
      <c r="CP1114" t="s">
        <v>134</v>
      </c>
      <c r="CQ1114" t="s">
        <v>134</v>
      </c>
      <c r="CR1114" t="s">
        <v>134</v>
      </c>
      <c r="CS1114" t="s">
        <v>114</v>
      </c>
      <c r="CT1114" t="s">
        <v>114</v>
      </c>
      <c r="CU1114" t="s">
        <v>114</v>
      </c>
      <c r="CV1114" t="s">
        <v>133</v>
      </c>
      <c r="CW1114" s="5" t="str">
        <f>"+19545723336"</f>
        <v>+19545723336</v>
      </c>
      <c r="CX1114" t="s">
        <v>7966</v>
      </c>
      <c r="CY1114" t="s">
        <v>7968</v>
      </c>
      <c r="CZ1114" t="s">
        <v>139</v>
      </c>
      <c r="DA1114" t="s">
        <v>134</v>
      </c>
      <c r="DB1114" t="s">
        <v>114</v>
      </c>
      <c r="DC1114" t="s">
        <v>114</v>
      </c>
      <c r="DD1114" t="s">
        <v>134</v>
      </c>
    </row>
    <row r="1115" spans="1:108" ht="15" customHeight="1" x14ac:dyDescent="0.25">
      <c r="A1115" t="s">
        <v>15499</v>
      </c>
      <c r="B1115" t="s">
        <v>113</v>
      </c>
      <c r="C1115" s="1">
        <v>44893.91337800926</v>
      </c>
      <c r="D1115" s="1">
        <v>44924</v>
      </c>
      <c r="E1115" t="s">
        <v>134</v>
      </c>
      <c r="F1115" t="s">
        <v>15500</v>
      </c>
      <c r="G1115" t="str">
        <f>"47-2181.00"</f>
        <v>47-2181.00</v>
      </c>
      <c r="H1115" t="s">
        <v>1935</v>
      </c>
      <c r="I1115">
        <v>2</v>
      </c>
      <c r="K1115" s="1">
        <v>44981</v>
      </c>
      <c r="L1115" s="1">
        <v>45230</v>
      </c>
      <c r="O1115" t="s">
        <v>199</v>
      </c>
      <c r="P1115" t="s">
        <v>15501</v>
      </c>
      <c r="Q1115" t="s">
        <v>138</v>
      </c>
      <c r="R1115" t="s">
        <v>15502</v>
      </c>
      <c r="S1115" t="s">
        <v>15503</v>
      </c>
      <c r="T1115" t="s">
        <v>2572</v>
      </c>
      <c r="U1115" t="s">
        <v>792</v>
      </c>
      <c r="V1115" s="4" t="str">
        <f>"98499"</f>
        <v>98499</v>
      </c>
      <c r="W1115" t="s">
        <v>120</v>
      </c>
      <c r="X1115" t="s">
        <v>1574</v>
      </c>
      <c r="Y1115" s="5">
        <v>12533180694</v>
      </c>
      <c r="AA1115">
        <v>238160</v>
      </c>
      <c r="AB1115" t="s">
        <v>2211</v>
      </c>
      <c r="AC1115" t="s">
        <v>173</v>
      </c>
      <c r="AD1115" t="s">
        <v>536</v>
      </c>
      <c r="AE1115" t="s">
        <v>424</v>
      </c>
      <c r="AF1115" t="s">
        <v>15504</v>
      </c>
      <c r="AH1115" t="s">
        <v>15505</v>
      </c>
      <c r="AI1115" t="s">
        <v>792</v>
      </c>
      <c r="AJ1115" s="4" t="str">
        <f>"98333"</f>
        <v>98333</v>
      </c>
      <c r="AK1115" t="s">
        <v>120</v>
      </c>
      <c r="AM1115" s="5">
        <v>12533180694</v>
      </c>
      <c r="AO1115" t="s">
        <v>15506</v>
      </c>
      <c r="AX1115" s="4" t="str">
        <f>""</f>
        <v/>
      </c>
      <c r="BG1115" t="s">
        <v>792</v>
      </c>
      <c r="BH1115" s="1">
        <v>44892.791666666664</v>
      </c>
      <c r="BI1115">
        <v>44</v>
      </c>
      <c r="BJ1115">
        <v>0</v>
      </c>
      <c r="BK1115">
        <v>8</v>
      </c>
      <c r="BL1115">
        <v>8</v>
      </c>
      <c r="BM1115">
        <v>8</v>
      </c>
      <c r="BN1115">
        <v>8</v>
      </c>
      <c r="BO1115">
        <v>8</v>
      </c>
      <c r="BP1115">
        <v>4</v>
      </c>
      <c r="BQ1115" t="str">
        <f>"7:30 AM"</f>
        <v>7:30 AM</v>
      </c>
      <c r="BR1115" t="str">
        <f>"4:00 PM"</f>
        <v>4:00 PM</v>
      </c>
      <c r="BS1115" t="s">
        <v>295</v>
      </c>
      <c r="BT1115">
        <v>2</v>
      </c>
      <c r="BU1115">
        <v>24</v>
      </c>
      <c r="BV1115" t="s">
        <v>134</v>
      </c>
      <c r="BX1115" t="s">
        <v>15507</v>
      </c>
      <c r="BY1115" t="s">
        <v>15508</v>
      </c>
      <c r="CA1115" t="s">
        <v>2572</v>
      </c>
      <c r="CB1115" t="s">
        <v>792</v>
      </c>
      <c r="CC1115" s="4" t="str">
        <f>"98333"</f>
        <v>98333</v>
      </c>
      <c r="CD1115" t="s">
        <v>2912</v>
      </c>
      <c r="CE1115" t="s">
        <v>2680</v>
      </c>
      <c r="CF1115" s="6">
        <v>30.07</v>
      </c>
      <c r="CG1115" s="6">
        <v>32</v>
      </c>
      <c r="CH1115" s="6">
        <v>45.11</v>
      </c>
      <c r="CI1115" s="6">
        <v>48</v>
      </c>
      <c r="CJ1115" t="s">
        <v>137</v>
      </c>
      <c r="CK1115" t="s">
        <v>138</v>
      </c>
      <c r="CL1115" t="s">
        <v>15509</v>
      </c>
      <c r="CO1115" t="s">
        <v>138</v>
      </c>
      <c r="CP1115" t="s">
        <v>114</v>
      </c>
      <c r="CQ1115" t="s">
        <v>134</v>
      </c>
      <c r="CR1115" t="s">
        <v>114</v>
      </c>
      <c r="CS1115" t="s">
        <v>114</v>
      </c>
      <c r="CT1115" t="s">
        <v>114</v>
      </c>
      <c r="CU1115" t="s">
        <v>114</v>
      </c>
      <c r="CV1115" t="s">
        <v>133</v>
      </c>
      <c r="CW1115" s="5" t="str">
        <f>"+12533180694"</f>
        <v>+12533180694</v>
      </c>
      <c r="CX1115" t="s">
        <v>15510</v>
      </c>
      <c r="CY1115" t="s">
        <v>138</v>
      </c>
      <c r="CZ1115" t="s">
        <v>139</v>
      </c>
      <c r="DA1115" t="s">
        <v>134</v>
      </c>
      <c r="DB1115" t="s">
        <v>134</v>
      </c>
      <c r="DC1115" t="s">
        <v>114</v>
      </c>
      <c r="DD1115" t="s">
        <v>134</v>
      </c>
    </row>
    <row r="1116" spans="1:108" ht="15" customHeight="1" x14ac:dyDescent="0.25">
      <c r="A1116" t="s">
        <v>7940</v>
      </c>
      <c r="B1116" t="s">
        <v>113</v>
      </c>
      <c r="C1116" s="1">
        <v>44882.521709259257</v>
      </c>
      <c r="D1116" s="1">
        <v>44924</v>
      </c>
      <c r="E1116" t="s">
        <v>114</v>
      </c>
      <c r="F1116" t="s">
        <v>837</v>
      </c>
      <c r="G1116" t="str">
        <f>"41-2031.00"</f>
        <v>41-2031.00</v>
      </c>
      <c r="H1116" t="s">
        <v>837</v>
      </c>
      <c r="I1116">
        <v>45</v>
      </c>
      <c r="K1116" s="1">
        <v>44914</v>
      </c>
      <c r="L1116" s="1">
        <v>45096</v>
      </c>
      <c r="O1116" t="s">
        <v>199</v>
      </c>
      <c r="P1116" t="s">
        <v>7941</v>
      </c>
      <c r="R1116" t="s">
        <v>7942</v>
      </c>
      <c r="T1116" t="s">
        <v>1813</v>
      </c>
      <c r="U1116" t="s">
        <v>154</v>
      </c>
      <c r="V1116" s="4" t="str">
        <f>"33311"</f>
        <v>33311</v>
      </c>
      <c r="W1116" t="s">
        <v>120</v>
      </c>
      <c r="X1116" t="s">
        <v>2313</v>
      </c>
      <c r="Y1116" s="5">
        <v>17745816906</v>
      </c>
      <c r="AA1116">
        <v>56151</v>
      </c>
      <c r="AB1116" t="s">
        <v>7943</v>
      </c>
      <c r="AC1116" t="s">
        <v>7944</v>
      </c>
      <c r="AE1116" t="s">
        <v>7945</v>
      </c>
      <c r="AF1116" t="s">
        <v>7946</v>
      </c>
      <c r="AH1116" t="s">
        <v>7947</v>
      </c>
      <c r="AI1116" t="s">
        <v>792</v>
      </c>
      <c r="AJ1116" s="4" t="str">
        <f>"98424"</f>
        <v>98424</v>
      </c>
      <c r="AK1116" t="s">
        <v>120</v>
      </c>
      <c r="AM1116" s="5" t="s">
        <v>7948</v>
      </c>
      <c r="AO1116" t="s">
        <v>7949</v>
      </c>
      <c r="AP1116" t="s">
        <v>256</v>
      </c>
      <c r="AQ1116" t="s">
        <v>7950</v>
      </c>
      <c r="AR1116" t="s">
        <v>1628</v>
      </c>
      <c r="AT1116" t="s">
        <v>7951</v>
      </c>
      <c r="AV1116" t="s">
        <v>4387</v>
      </c>
      <c r="AW1116" t="s">
        <v>988</v>
      </c>
      <c r="AX1116" s="4" t="str">
        <f>"89169"</f>
        <v>89169</v>
      </c>
      <c r="AY1116" t="s">
        <v>120</v>
      </c>
      <c r="BA1116" s="5">
        <v>18002462677</v>
      </c>
      <c r="BC1116" t="s">
        <v>7952</v>
      </c>
      <c r="BD1116" t="s">
        <v>7953</v>
      </c>
      <c r="BG1116" t="s">
        <v>792</v>
      </c>
      <c r="BH1116" s="1">
        <v>44837.833333333336</v>
      </c>
      <c r="BI1116">
        <v>35</v>
      </c>
      <c r="BJ1116">
        <v>0</v>
      </c>
      <c r="BK1116">
        <v>7</v>
      </c>
      <c r="BL1116">
        <v>7</v>
      </c>
      <c r="BM1116">
        <v>7</v>
      </c>
      <c r="BN1116">
        <v>7</v>
      </c>
      <c r="BO1116">
        <v>7</v>
      </c>
      <c r="BP1116">
        <v>0</v>
      </c>
      <c r="BQ1116" t="str">
        <f>"9:00 AM"</f>
        <v>9:00 AM</v>
      </c>
      <c r="BR1116" t="str">
        <f>"5:00 PM"</f>
        <v>5:00 PM</v>
      </c>
      <c r="BS1116" t="s">
        <v>133</v>
      </c>
      <c r="BT1116">
        <v>1</v>
      </c>
      <c r="BU1116">
        <v>0</v>
      </c>
      <c r="BV1116" t="s">
        <v>134</v>
      </c>
      <c r="BX1116" t="s">
        <v>7954</v>
      </c>
      <c r="BY1116" t="s">
        <v>7955</v>
      </c>
      <c r="CA1116" t="s">
        <v>2818</v>
      </c>
      <c r="CB1116" t="s">
        <v>154</v>
      </c>
      <c r="CC1116" s="4" t="str">
        <f>"33311"</f>
        <v>33311</v>
      </c>
      <c r="CD1116" t="s">
        <v>2313</v>
      </c>
      <c r="CE1116" t="s">
        <v>7956</v>
      </c>
      <c r="CF1116" s="6">
        <v>16.29</v>
      </c>
      <c r="CG1116" s="6">
        <v>17</v>
      </c>
      <c r="CH1116" s="6">
        <v>18.489999999999998</v>
      </c>
      <c r="CI1116" s="6">
        <v>20</v>
      </c>
      <c r="CJ1116" t="s">
        <v>137</v>
      </c>
      <c r="CK1116" t="s">
        <v>7957</v>
      </c>
      <c r="CL1116" t="s">
        <v>7958</v>
      </c>
      <c r="CO1116" t="s">
        <v>114</v>
      </c>
      <c r="CP1116" t="s">
        <v>134</v>
      </c>
      <c r="CQ1116" t="s">
        <v>114</v>
      </c>
      <c r="CR1116" t="s">
        <v>114</v>
      </c>
      <c r="CS1116" t="s">
        <v>114</v>
      </c>
      <c r="CT1116" t="s">
        <v>114</v>
      </c>
      <c r="CU1116" t="s">
        <v>114</v>
      </c>
      <c r="CV1116" s="2" t="s">
        <v>7959</v>
      </c>
      <c r="CW1116" s="5" t="str">
        <f>"2535937300/9546"</f>
        <v>2535937300/9546</v>
      </c>
      <c r="CX1116" t="s">
        <v>7949</v>
      </c>
      <c r="CY1116" t="s">
        <v>7960</v>
      </c>
      <c r="CZ1116" t="s">
        <v>139</v>
      </c>
      <c r="DA1116" t="s">
        <v>134</v>
      </c>
      <c r="DB1116" t="s">
        <v>134</v>
      </c>
      <c r="DC1116" t="s">
        <v>114</v>
      </c>
    </row>
    <row r="1117" spans="1:108" ht="15" customHeight="1" x14ac:dyDescent="0.25">
      <c r="A1117" t="s">
        <v>13438</v>
      </c>
      <c r="B1117" t="s">
        <v>113</v>
      </c>
      <c r="C1117" s="1">
        <v>44876.650318171298</v>
      </c>
      <c r="D1117" s="1">
        <v>44924</v>
      </c>
      <c r="E1117" t="s">
        <v>134</v>
      </c>
      <c r="F1117" t="s">
        <v>2928</v>
      </c>
      <c r="G1117" t="str">
        <f>"39-2021.00"</f>
        <v>39-2021.00</v>
      </c>
      <c r="H1117" t="s">
        <v>615</v>
      </c>
      <c r="I1117">
        <v>3</v>
      </c>
      <c r="K1117" s="1">
        <v>44876</v>
      </c>
      <c r="L1117" s="1">
        <v>45137</v>
      </c>
      <c r="O1117" t="s">
        <v>199</v>
      </c>
      <c r="P1117" t="s">
        <v>13439</v>
      </c>
      <c r="R1117" t="s">
        <v>13440</v>
      </c>
      <c r="T1117" t="s">
        <v>13441</v>
      </c>
      <c r="U1117" t="s">
        <v>1003</v>
      </c>
      <c r="V1117" s="4" t="str">
        <f>"07740"</f>
        <v>07740</v>
      </c>
      <c r="W1117" t="s">
        <v>120</v>
      </c>
      <c r="Y1117" s="5">
        <v>17324036765</v>
      </c>
      <c r="AA1117">
        <v>711212</v>
      </c>
      <c r="AB1117" t="s">
        <v>13442</v>
      </c>
      <c r="AC1117" t="s">
        <v>4479</v>
      </c>
      <c r="AE1117" t="s">
        <v>622</v>
      </c>
      <c r="AF1117" t="s">
        <v>13443</v>
      </c>
      <c r="AH1117" t="s">
        <v>13441</v>
      </c>
      <c r="AI1117" t="s">
        <v>1003</v>
      </c>
      <c r="AJ1117" s="4" t="str">
        <f>"07740"</f>
        <v>07740</v>
      </c>
      <c r="AK1117" t="s">
        <v>120</v>
      </c>
      <c r="AM1117" s="5">
        <v>17324036765</v>
      </c>
      <c r="AO1117" t="s">
        <v>13444</v>
      </c>
      <c r="AP1117" t="s">
        <v>122</v>
      </c>
      <c r="AQ1117" t="s">
        <v>625</v>
      </c>
      <c r="AR1117" t="s">
        <v>626</v>
      </c>
      <c r="AS1117" t="s">
        <v>627</v>
      </c>
      <c r="AT1117" t="s">
        <v>628</v>
      </c>
      <c r="AU1117" t="s">
        <v>629</v>
      </c>
      <c r="AV1117" t="s">
        <v>630</v>
      </c>
      <c r="AW1117" t="s">
        <v>631</v>
      </c>
      <c r="AX1117" s="4" t="str">
        <f>"73069"</f>
        <v>73069</v>
      </c>
      <c r="AY1117" t="s">
        <v>120</v>
      </c>
      <c r="BA1117" s="5">
        <v>14053642525</v>
      </c>
      <c r="BC1117" t="s">
        <v>632</v>
      </c>
      <c r="BD1117" t="s">
        <v>633</v>
      </c>
      <c r="BE1117" t="s">
        <v>631</v>
      </c>
      <c r="BF1117" t="s">
        <v>634</v>
      </c>
      <c r="BG1117" t="s">
        <v>339</v>
      </c>
      <c r="BH1117" s="1">
        <v>44874.791666666664</v>
      </c>
      <c r="BI1117">
        <v>56</v>
      </c>
      <c r="BJ1117">
        <v>8</v>
      </c>
      <c r="BK1117">
        <v>8</v>
      </c>
      <c r="BL1117">
        <v>8</v>
      </c>
      <c r="BM1117">
        <v>8</v>
      </c>
      <c r="BN1117">
        <v>8</v>
      </c>
      <c r="BO1117">
        <v>8</v>
      </c>
      <c r="BP1117">
        <v>8</v>
      </c>
      <c r="BQ1117" t="str">
        <f>"5:00 AM"</f>
        <v>5:00 AM</v>
      </c>
      <c r="BR1117" t="str">
        <f>"5:00 PM"</f>
        <v>5:00 PM</v>
      </c>
      <c r="BS1117" t="s">
        <v>133</v>
      </c>
      <c r="BT1117">
        <v>0</v>
      </c>
      <c r="BU1117">
        <v>1</v>
      </c>
      <c r="BV1117" t="s">
        <v>134</v>
      </c>
      <c r="BX1117" s="2" t="s">
        <v>2930</v>
      </c>
      <c r="BY1117" t="s">
        <v>8178</v>
      </c>
      <c r="CA1117" t="s">
        <v>2690</v>
      </c>
      <c r="CB1117" t="s">
        <v>339</v>
      </c>
      <c r="CC1117" s="4" t="str">
        <f>"21215"</f>
        <v>21215</v>
      </c>
      <c r="CD1117" t="s">
        <v>1672</v>
      </c>
      <c r="CE1117" t="s">
        <v>1673</v>
      </c>
      <c r="CF1117" s="6">
        <v>14.53</v>
      </c>
      <c r="CG1117" s="6">
        <v>14.53</v>
      </c>
      <c r="CH1117" s="6">
        <v>21.78</v>
      </c>
      <c r="CI1117" s="6">
        <v>21.78</v>
      </c>
      <c r="CJ1117" t="s">
        <v>137</v>
      </c>
      <c r="CL1117" t="s">
        <v>13445</v>
      </c>
      <c r="CO1117" t="s">
        <v>114</v>
      </c>
      <c r="CP1117" t="s">
        <v>134</v>
      </c>
      <c r="CQ1117" t="s">
        <v>134</v>
      </c>
      <c r="CR1117" t="s">
        <v>114</v>
      </c>
      <c r="CS1117" t="s">
        <v>134</v>
      </c>
      <c r="CT1117" t="s">
        <v>114</v>
      </c>
      <c r="CU1117" t="s">
        <v>114</v>
      </c>
      <c r="CV1117" t="s">
        <v>2591</v>
      </c>
      <c r="CW1117" s="5" t="str">
        <f>"+13013629708"</f>
        <v>+13013629708</v>
      </c>
      <c r="CX1117" t="s">
        <v>13444</v>
      </c>
      <c r="CY1117" t="s">
        <v>138</v>
      </c>
      <c r="CZ1117" t="s">
        <v>139</v>
      </c>
      <c r="DA1117" t="s">
        <v>134</v>
      </c>
      <c r="DB1117" t="s">
        <v>134</v>
      </c>
      <c r="DC1117" t="s">
        <v>114</v>
      </c>
      <c r="DD1117" t="s">
        <v>134</v>
      </c>
    </row>
    <row r="1118" spans="1:108" ht="15" customHeight="1" x14ac:dyDescent="0.25">
      <c r="A1118" t="s">
        <v>10033</v>
      </c>
      <c r="B1118" t="s">
        <v>113</v>
      </c>
      <c r="C1118" s="1">
        <v>44874.756290509256</v>
      </c>
      <c r="D1118" s="1">
        <v>44924</v>
      </c>
      <c r="E1118" t="s">
        <v>134</v>
      </c>
      <c r="F1118" t="s">
        <v>5509</v>
      </c>
      <c r="G1118" t="str">
        <f>"37-2012.00"</f>
        <v>37-2012.00</v>
      </c>
      <c r="H1118" t="s">
        <v>116</v>
      </c>
      <c r="I1118">
        <v>12</v>
      </c>
      <c r="K1118" s="1">
        <v>44958</v>
      </c>
      <c r="L1118" s="1">
        <v>45260</v>
      </c>
      <c r="O1118" t="s">
        <v>117</v>
      </c>
      <c r="P1118" t="s">
        <v>10034</v>
      </c>
      <c r="R1118" t="s">
        <v>5510</v>
      </c>
      <c r="T1118" t="s">
        <v>1038</v>
      </c>
      <c r="U1118" t="s">
        <v>214</v>
      </c>
      <c r="V1118" s="4" t="str">
        <f>"70461"</f>
        <v>70461</v>
      </c>
      <c r="W1118" t="s">
        <v>120</v>
      </c>
      <c r="Y1118" s="5">
        <v>19852646243</v>
      </c>
      <c r="AA1118">
        <v>561720</v>
      </c>
      <c r="AB1118" t="s">
        <v>653</v>
      </c>
      <c r="AC1118" t="s">
        <v>1081</v>
      </c>
      <c r="AE1118" t="s">
        <v>5511</v>
      </c>
      <c r="AF1118" t="s">
        <v>5510</v>
      </c>
      <c r="AH1118" t="s">
        <v>1038</v>
      </c>
      <c r="AI1118" t="s">
        <v>214</v>
      </c>
      <c r="AJ1118" s="4" t="str">
        <f>"70461"</f>
        <v>70461</v>
      </c>
      <c r="AK1118" t="s">
        <v>120</v>
      </c>
      <c r="AM1118" s="5">
        <v>19852646243</v>
      </c>
      <c r="AO1118" t="s">
        <v>5512</v>
      </c>
      <c r="AP1118" t="s">
        <v>122</v>
      </c>
      <c r="AQ1118" t="s">
        <v>2589</v>
      </c>
      <c r="AR1118" t="s">
        <v>589</v>
      </c>
      <c r="AS1118" t="s">
        <v>146</v>
      </c>
      <c r="AT1118" t="s">
        <v>628</v>
      </c>
      <c r="AU1118" t="s">
        <v>629</v>
      </c>
      <c r="AV1118" t="s">
        <v>630</v>
      </c>
      <c r="AW1118" t="s">
        <v>631</v>
      </c>
      <c r="AX1118" s="4" t="str">
        <f>"73069"</f>
        <v>73069</v>
      </c>
      <c r="AY1118" t="s">
        <v>120</v>
      </c>
      <c r="BA1118" s="5">
        <v>14053642525</v>
      </c>
      <c r="BC1118" t="s">
        <v>632</v>
      </c>
      <c r="BD1118" t="s">
        <v>633</v>
      </c>
      <c r="BE1118" t="s">
        <v>631</v>
      </c>
      <c r="BF1118" t="s">
        <v>634</v>
      </c>
      <c r="BG1118" t="s">
        <v>203</v>
      </c>
      <c r="BH1118" s="1">
        <v>44868.833333333336</v>
      </c>
      <c r="BI1118">
        <v>40</v>
      </c>
      <c r="BJ1118">
        <v>0</v>
      </c>
      <c r="BK1118">
        <v>8</v>
      </c>
      <c r="BL1118">
        <v>8</v>
      </c>
      <c r="BM1118">
        <v>8</v>
      </c>
      <c r="BN1118">
        <v>8</v>
      </c>
      <c r="BO1118">
        <v>8</v>
      </c>
      <c r="BP1118">
        <v>0</v>
      </c>
      <c r="BQ1118" t="str">
        <f>"8:00 AM"</f>
        <v>8:00 AM</v>
      </c>
      <c r="BR1118" t="str">
        <f>"10:00 PM"</f>
        <v>10:00 PM</v>
      </c>
      <c r="BS1118" t="s">
        <v>133</v>
      </c>
      <c r="BT1118">
        <v>0</v>
      </c>
      <c r="BU1118">
        <v>0</v>
      </c>
      <c r="BV1118" t="s">
        <v>134</v>
      </c>
      <c r="BX1118" s="2" t="s">
        <v>10035</v>
      </c>
      <c r="BY1118" t="s">
        <v>10036</v>
      </c>
      <c r="CA1118" t="s">
        <v>5937</v>
      </c>
      <c r="CB1118" t="s">
        <v>203</v>
      </c>
      <c r="CC1118" s="4" t="str">
        <f>"35806"</f>
        <v>35806</v>
      </c>
      <c r="CD1118" t="s">
        <v>2258</v>
      </c>
      <c r="CE1118" t="s">
        <v>3936</v>
      </c>
      <c r="CF1118" s="6">
        <v>10.74</v>
      </c>
      <c r="CG1118" s="6">
        <v>10.74</v>
      </c>
      <c r="CH1118" s="6">
        <v>16.11</v>
      </c>
      <c r="CI1118" s="6">
        <v>16.11</v>
      </c>
      <c r="CJ1118" t="s">
        <v>137</v>
      </c>
      <c r="CL1118" t="s">
        <v>10037</v>
      </c>
      <c r="CO1118" t="s">
        <v>138</v>
      </c>
      <c r="CP1118" t="s">
        <v>114</v>
      </c>
      <c r="CQ1118" t="s">
        <v>134</v>
      </c>
      <c r="CR1118" t="s">
        <v>114</v>
      </c>
      <c r="CS1118" t="s">
        <v>134</v>
      </c>
      <c r="CT1118" t="s">
        <v>114</v>
      </c>
      <c r="CU1118" t="s">
        <v>114</v>
      </c>
      <c r="CV1118" t="s">
        <v>10038</v>
      </c>
      <c r="CW1118" s="5" t="str">
        <f>"+19852646243"</f>
        <v>+19852646243</v>
      </c>
      <c r="CX1118" t="s">
        <v>5512</v>
      </c>
      <c r="CY1118" t="s">
        <v>138</v>
      </c>
      <c r="CZ1118" t="s">
        <v>139</v>
      </c>
      <c r="DA1118" t="s">
        <v>134</v>
      </c>
      <c r="DB1118" t="s">
        <v>134</v>
      </c>
      <c r="DC1118" t="s">
        <v>114</v>
      </c>
      <c r="DD1118" t="s">
        <v>134</v>
      </c>
    </row>
    <row r="1119" spans="1:108" ht="15" customHeight="1" x14ac:dyDescent="0.25">
      <c r="A1119" t="s">
        <v>1773</v>
      </c>
      <c r="B1119" t="s">
        <v>113</v>
      </c>
      <c r="C1119" s="1">
        <v>44890.415562499998</v>
      </c>
      <c r="D1119" s="1">
        <v>44922</v>
      </c>
      <c r="E1119" t="s">
        <v>134</v>
      </c>
      <c r="F1119" t="s">
        <v>1774</v>
      </c>
      <c r="G1119" t="str">
        <f>"47-2111.00"</f>
        <v>47-2111.00</v>
      </c>
      <c r="H1119" t="s">
        <v>1774</v>
      </c>
      <c r="I1119">
        <v>2</v>
      </c>
      <c r="K1119" s="1">
        <v>44972</v>
      </c>
      <c r="L1119" s="1">
        <v>45184</v>
      </c>
      <c r="O1119" t="s">
        <v>199</v>
      </c>
      <c r="P1119" t="s">
        <v>1775</v>
      </c>
      <c r="Q1119" t="s">
        <v>1776</v>
      </c>
      <c r="R1119" t="s">
        <v>1777</v>
      </c>
      <c r="T1119" t="s">
        <v>1778</v>
      </c>
      <c r="U1119" t="s">
        <v>1779</v>
      </c>
      <c r="V1119" s="4" t="str">
        <f>"00907-3835"</f>
        <v>00907-3835</v>
      </c>
      <c r="W1119" t="s">
        <v>120</v>
      </c>
      <c r="Y1119" s="5">
        <v>17877278005</v>
      </c>
      <c r="AA1119">
        <v>2361</v>
      </c>
      <c r="AB1119" t="s">
        <v>1780</v>
      </c>
      <c r="AC1119" t="s">
        <v>1301</v>
      </c>
      <c r="AD1119" t="s">
        <v>1781</v>
      </c>
      <c r="AE1119" t="s">
        <v>342</v>
      </c>
      <c r="AF1119" t="s">
        <v>1777</v>
      </c>
      <c r="AH1119" t="s">
        <v>1778</v>
      </c>
      <c r="AI1119" t="s">
        <v>1779</v>
      </c>
      <c r="AJ1119" s="4" t="str">
        <f>"00907-3835"</f>
        <v>00907-3835</v>
      </c>
      <c r="AK1119" t="s">
        <v>120</v>
      </c>
      <c r="AM1119" s="5">
        <v>17877278005</v>
      </c>
      <c r="AO1119" t="s">
        <v>1782</v>
      </c>
      <c r="AX1119" s="4" t="str">
        <f>""</f>
        <v/>
      </c>
      <c r="BG1119" t="s">
        <v>1779</v>
      </c>
      <c r="BH1119" s="1">
        <v>44885.791666666664</v>
      </c>
      <c r="BI1119">
        <v>48</v>
      </c>
      <c r="BJ1119">
        <v>0</v>
      </c>
      <c r="BK1119">
        <v>8</v>
      </c>
      <c r="BL1119">
        <v>8</v>
      </c>
      <c r="BM1119">
        <v>8</v>
      </c>
      <c r="BN1119">
        <v>8</v>
      </c>
      <c r="BO1119">
        <v>8</v>
      </c>
      <c r="BP1119">
        <v>8</v>
      </c>
      <c r="BQ1119" t="str">
        <f t="shared" ref="BQ1119:BQ1124" si="54">"7:00 AM"</f>
        <v>7:00 AM</v>
      </c>
      <c r="BR1119" t="str">
        <f>"3:00 PM"</f>
        <v>3:00 PM</v>
      </c>
      <c r="BS1119" t="s">
        <v>295</v>
      </c>
      <c r="BT1119">
        <v>0</v>
      </c>
      <c r="BU1119">
        <v>36</v>
      </c>
      <c r="BV1119" t="s">
        <v>134</v>
      </c>
      <c r="BX1119" s="2" t="s">
        <v>1783</v>
      </c>
      <c r="BY1119" t="s">
        <v>1777</v>
      </c>
      <c r="CA1119" t="s">
        <v>1778</v>
      </c>
      <c r="CB1119" t="s">
        <v>1779</v>
      </c>
      <c r="CC1119" s="4" t="str">
        <f>"00907-3835"</f>
        <v>00907-3835</v>
      </c>
      <c r="CD1119" t="s">
        <v>1784</v>
      </c>
      <c r="CE1119" t="s">
        <v>1785</v>
      </c>
      <c r="CF1119" s="6">
        <v>702</v>
      </c>
      <c r="CG1119" s="6">
        <v>800</v>
      </c>
      <c r="CJ1119" t="s">
        <v>137</v>
      </c>
      <c r="CL1119" t="s">
        <v>1786</v>
      </c>
      <c r="CO1119" t="s">
        <v>138</v>
      </c>
      <c r="CP1119" t="s">
        <v>114</v>
      </c>
      <c r="CQ1119" t="s">
        <v>114</v>
      </c>
      <c r="CR1119" t="s">
        <v>114</v>
      </c>
      <c r="CS1119" t="s">
        <v>134</v>
      </c>
      <c r="CT1119" t="s">
        <v>114</v>
      </c>
      <c r="CU1119" t="s">
        <v>114</v>
      </c>
      <c r="CV1119" t="s">
        <v>1787</v>
      </c>
      <c r="CW1119" s="5" t="str">
        <f>"+17877278005"</f>
        <v>+17877278005</v>
      </c>
      <c r="CX1119" t="s">
        <v>1782</v>
      </c>
      <c r="CY1119" t="s">
        <v>138</v>
      </c>
      <c r="CZ1119" t="s">
        <v>139</v>
      </c>
      <c r="DA1119" t="s">
        <v>134</v>
      </c>
      <c r="DB1119" t="s">
        <v>134</v>
      </c>
      <c r="DC1119" t="s">
        <v>114</v>
      </c>
      <c r="DD1119" t="s">
        <v>134</v>
      </c>
    </row>
    <row r="1120" spans="1:108" ht="15" customHeight="1" x14ac:dyDescent="0.25">
      <c r="A1120" t="s">
        <v>12495</v>
      </c>
      <c r="B1120" t="s">
        <v>113</v>
      </c>
      <c r="C1120" s="1">
        <v>44864.998427777777</v>
      </c>
      <c r="D1120" s="1">
        <v>44922</v>
      </c>
      <c r="E1120" t="s">
        <v>134</v>
      </c>
      <c r="F1120" t="s">
        <v>11823</v>
      </c>
      <c r="G1120" t="str">
        <f>"43-4081.00"</f>
        <v>43-4081.00</v>
      </c>
      <c r="H1120" t="s">
        <v>2463</v>
      </c>
      <c r="I1120">
        <v>50</v>
      </c>
      <c r="K1120" s="1">
        <v>44952</v>
      </c>
      <c r="L1120" s="1">
        <v>45107</v>
      </c>
      <c r="O1120" t="s">
        <v>199</v>
      </c>
      <c r="P1120" t="s">
        <v>10846</v>
      </c>
      <c r="Q1120" t="s">
        <v>10846</v>
      </c>
      <c r="R1120" t="s">
        <v>10847</v>
      </c>
      <c r="T1120" t="s">
        <v>10848</v>
      </c>
      <c r="U1120" t="s">
        <v>281</v>
      </c>
      <c r="V1120" s="4" t="str">
        <f>"02148"</f>
        <v>02148</v>
      </c>
      <c r="W1120" t="s">
        <v>120</v>
      </c>
      <c r="Y1120" s="5">
        <v>14078007628</v>
      </c>
      <c r="AA1120">
        <v>113110</v>
      </c>
      <c r="AB1120" t="s">
        <v>10849</v>
      </c>
      <c r="AC1120" t="s">
        <v>125</v>
      </c>
      <c r="AD1120" t="s">
        <v>10850</v>
      </c>
      <c r="AE1120" t="s">
        <v>11823</v>
      </c>
      <c r="AF1120" t="s">
        <v>12496</v>
      </c>
      <c r="AH1120" t="s">
        <v>10848</v>
      </c>
      <c r="AI1120" t="s">
        <v>281</v>
      </c>
      <c r="AJ1120" s="4" t="str">
        <f>"02148"</f>
        <v>02148</v>
      </c>
      <c r="AK1120" t="s">
        <v>120</v>
      </c>
      <c r="AM1120" s="5">
        <v>14078007628</v>
      </c>
      <c r="AO1120" t="s">
        <v>12497</v>
      </c>
      <c r="AP1120" t="s">
        <v>256</v>
      </c>
      <c r="AQ1120" t="s">
        <v>10849</v>
      </c>
      <c r="AR1120" t="s">
        <v>125</v>
      </c>
      <c r="AS1120" t="s">
        <v>10850</v>
      </c>
      <c r="AT1120" t="s">
        <v>10847</v>
      </c>
      <c r="AV1120" t="s">
        <v>10848</v>
      </c>
      <c r="AW1120" t="s">
        <v>281</v>
      </c>
      <c r="AX1120" s="4" t="str">
        <f>"02148"</f>
        <v>02148</v>
      </c>
      <c r="AY1120" t="s">
        <v>120</v>
      </c>
      <c r="BA1120" s="5">
        <v>14078007628</v>
      </c>
      <c r="BC1120" t="s">
        <v>10851</v>
      </c>
      <c r="BD1120" t="s">
        <v>10846</v>
      </c>
      <c r="BG1120" t="s">
        <v>281</v>
      </c>
      <c r="BH1120" s="1">
        <v>44828.833333333336</v>
      </c>
      <c r="BI1120">
        <v>56</v>
      </c>
      <c r="BJ1120">
        <v>8</v>
      </c>
      <c r="BK1120">
        <v>8</v>
      </c>
      <c r="BL1120">
        <v>8</v>
      </c>
      <c r="BM1120">
        <v>8</v>
      </c>
      <c r="BN1120">
        <v>8</v>
      </c>
      <c r="BO1120">
        <v>8</v>
      </c>
      <c r="BP1120">
        <v>8</v>
      </c>
      <c r="BQ1120" t="str">
        <f t="shared" si="54"/>
        <v>7:00 AM</v>
      </c>
      <c r="BR1120" t="str">
        <f>"5:00 PM"</f>
        <v>5:00 PM</v>
      </c>
      <c r="BS1120" t="s">
        <v>295</v>
      </c>
      <c r="BT1120">
        <v>1</v>
      </c>
      <c r="BU1120">
        <v>6</v>
      </c>
      <c r="BV1120" t="s">
        <v>134</v>
      </c>
      <c r="BX1120" s="2" t="s">
        <v>12498</v>
      </c>
      <c r="BY1120" t="s">
        <v>12499</v>
      </c>
      <c r="CA1120" t="s">
        <v>12500</v>
      </c>
      <c r="CB1120" t="s">
        <v>281</v>
      </c>
      <c r="CC1120" s="4" t="str">
        <f>"02151"</f>
        <v>02151</v>
      </c>
      <c r="CD1120" t="s">
        <v>12501</v>
      </c>
      <c r="CE1120" t="s">
        <v>2630</v>
      </c>
      <c r="CF1120" s="6">
        <v>17</v>
      </c>
      <c r="CG1120" s="6">
        <v>20</v>
      </c>
      <c r="CH1120" s="6">
        <v>20</v>
      </c>
      <c r="CI1120" s="6">
        <v>22</v>
      </c>
      <c r="CJ1120" t="s">
        <v>137</v>
      </c>
      <c r="CL1120" t="s">
        <v>12502</v>
      </c>
      <c r="CO1120" t="s">
        <v>138</v>
      </c>
      <c r="CP1120" t="s">
        <v>134</v>
      </c>
      <c r="CQ1120" t="s">
        <v>114</v>
      </c>
      <c r="CR1120" t="s">
        <v>114</v>
      </c>
      <c r="CS1120" t="s">
        <v>114</v>
      </c>
      <c r="CT1120" t="s">
        <v>114</v>
      </c>
      <c r="CU1120" t="s">
        <v>114</v>
      </c>
      <c r="CV1120" s="2" t="s">
        <v>12503</v>
      </c>
      <c r="CW1120" s="5" t="str">
        <f>"+14078007628"</f>
        <v>+14078007628</v>
      </c>
      <c r="CX1120" t="s">
        <v>10851</v>
      </c>
      <c r="CY1120" t="s">
        <v>138</v>
      </c>
      <c r="CZ1120" t="s">
        <v>139</v>
      </c>
      <c r="DA1120" t="s">
        <v>134</v>
      </c>
      <c r="DB1120" t="s">
        <v>114</v>
      </c>
      <c r="DC1120" t="s">
        <v>114</v>
      </c>
      <c r="DD1120" t="s">
        <v>134</v>
      </c>
    </row>
    <row r="1121" spans="1:113" ht="15" customHeight="1" x14ac:dyDescent="0.25">
      <c r="A1121" t="s">
        <v>10844</v>
      </c>
      <c r="B1121" t="s">
        <v>113</v>
      </c>
      <c r="C1121" s="1">
        <v>44864.997033796295</v>
      </c>
      <c r="D1121" s="1">
        <v>44922</v>
      </c>
      <c r="E1121" t="s">
        <v>134</v>
      </c>
      <c r="F1121" t="s">
        <v>10845</v>
      </c>
      <c r="G1121" t="str">
        <f>"35-3031.00"</f>
        <v>35-3031.00</v>
      </c>
      <c r="H1121" t="s">
        <v>389</v>
      </c>
      <c r="I1121">
        <v>50</v>
      </c>
      <c r="K1121" s="1">
        <v>44952</v>
      </c>
      <c r="L1121" s="1">
        <v>45107</v>
      </c>
      <c r="O1121" t="s">
        <v>199</v>
      </c>
      <c r="P1121" t="s">
        <v>10846</v>
      </c>
      <c r="Q1121" t="s">
        <v>10846</v>
      </c>
      <c r="R1121" t="s">
        <v>10847</v>
      </c>
      <c r="T1121" t="s">
        <v>10848</v>
      </c>
      <c r="U1121" t="s">
        <v>281</v>
      </c>
      <c r="V1121" s="4" t="str">
        <f>"02148"</f>
        <v>02148</v>
      </c>
      <c r="W1121" t="s">
        <v>120</v>
      </c>
      <c r="Y1121" s="5">
        <v>14078007628</v>
      </c>
      <c r="AA1121">
        <v>113310</v>
      </c>
      <c r="AB1121" t="s">
        <v>10849</v>
      </c>
      <c r="AC1121" t="s">
        <v>125</v>
      </c>
      <c r="AD1121" t="s">
        <v>10850</v>
      </c>
      <c r="AE1121" t="s">
        <v>10845</v>
      </c>
      <c r="AF1121" t="s">
        <v>10847</v>
      </c>
      <c r="AH1121" t="s">
        <v>10848</v>
      </c>
      <c r="AI1121" t="s">
        <v>281</v>
      </c>
      <c r="AJ1121" s="4" t="str">
        <f>"02148"</f>
        <v>02148</v>
      </c>
      <c r="AK1121" t="s">
        <v>120</v>
      </c>
      <c r="AM1121" s="5">
        <v>14078007628</v>
      </c>
      <c r="AO1121" t="s">
        <v>10851</v>
      </c>
      <c r="AP1121" t="s">
        <v>256</v>
      </c>
      <c r="AQ1121" t="s">
        <v>10849</v>
      </c>
      <c r="AR1121" t="s">
        <v>125</v>
      </c>
      <c r="AS1121" t="s">
        <v>10850</v>
      </c>
      <c r="AT1121" t="s">
        <v>10847</v>
      </c>
      <c r="AV1121" t="s">
        <v>10848</v>
      </c>
      <c r="AW1121" t="s">
        <v>281</v>
      </c>
      <c r="AX1121" s="4" t="str">
        <f>"02148"</f>
        <v>02148</v>
      </c>
      <c r="AY1121" t="s">
        <v>120</v>
      </c>
      <c r="BA1121" s="5">
        <v>14078007628</v>
      </c>
      <c r="BC1121" t="s">
        <v>10851</v>
      </c>
      <c r="BD1121" t="s">
        <v>10846</v>
      </c>
      <c r="BG1121" t="s">
        <v>281</v>
      </c>
      <c r="BH1121" s="1">
        <v>44828.833333333336</v>
      </c>
      <c r="BI1121">
        <v>56</v>
      </c>
      <c r="BJ1121">
        <v>8</v>
      </c>
      <c r="BK1121">
        <v>8</v>
      </c>
      <c r="BL1121">
        <v>8</v>
      </c>
      <c r="BM1121">
        <v>8</v>
      </c>
      <c r="BN1121">
        <v>8</v>
      </c>
      <c r="BO1121">
        <v>8</v>
      </c>
      <c r="BP1121">
        <v>8</v>
      </c>
      <c r="BQ1121" t="str">
        <f t="shared" si="54"/>
        <v>7:00 AM</v>
      </c>
      <c r="BR1121" t="str">
        <f>"5:00 PM"</f>
        <v>5:00 PM</v>
      </c>
      <c r="BS1121" t="s">
        <v>295</v>
      </c>
      <c r="BT1121">
        <v>1</v>
      </c>
      <c r="BU1121">
        <v>6</v>
      </c>
      <c r="BV1121" t="s">
        <v>134</v>
      </c>
      <c r="BX1121" s="2" t="s">
        <v>10852</v>
      </c>
      <c r="BY1121" t="s">
        <v>10853</v>
      </c>
      <c r="CA1121" t="s">
        <v>10854</v>
      </c>
      <c r="CB1121" t="s">
        <v>281</v>
      </c>
      <c r="CC1121" s="4" t="str">
        <f>"03801"</f>
        <v>03801</v>
      </c>
      <c r="CD1121" t="s">
        <v>10855</v>
      </c>
      <c r="CE1121" t="s">
        <v>2630</v>
      </c>
      <c r="CF1121" s="6">
        <v>17.989999999999998</v>
      </c>
      <c r="CG1121" s="6">
        <v>20</v>
      </c>
      <c r="CH1121" s="6">
        <v>20</v>
      </c>
      <c r="CI1121" s="6">
        <v>22</v>
      </c>
      <c r="CJ1121" t="s">
        <v>137</v>
      </c>
      <c r="CL1121" t="s">
        <v>10856</v>
      </c>
      <c r="CO1121" t="s">
        <v>138</v>
      </c>
      <c r="CP1121" t="s">
        <v>134</v>
      </c>
      <c r="CQ1121" t="s">
        <v>114</v>
      </c>
      <c r="CR1121" t="s">
        <v>114</v>
      </c>
      <c r="CS1121" t="s">
        <v>114</v>
      </c>
      <c r="CT1121" t="s">
        <v>114</v>
      </c>
      <c r="CU1121" t="s">
        <v>114</v>
      </c>
      <c r="CV1121" t="e">
        <f>- 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f>
        <v>#NAME?</v>
      </c>
      <c r="CW1121" s="5" t="str">
        <f>"+14078007628"</f>
        <v>+14078007628</v>
      </c>
      <c r="CX1121" t="s">
        <v>10851</v>
      </c>
      <c r="CY1121" t="s">
        <v>138</v>
      </c>
      <c r="CZ1121" t="s">
        <v>139</v>
      </c>
      <c r="DA1121" t="s">
        <v>134</v>
      </c>
      <c r="DB1121" t="s">
        <v>114</v>
      </c>
      <c r="DC1121" t="s">
        <v>114</v>
      </c>
      <c r="DD1121" t="s">
        <v>134</v>
      </c>
    </row>
    <row r="1122" spans="1:113" ht="15" customHeight="1" x14ac:dyDescent="0.25">
      <c r="A1122" t="s">
        <v>16702</v>
      </c>
      <c r="B1122" t="s">
        <v>113</v>
      </c>
      <c r="C1122" s="1">
        <v>44864.995819328702</v>
      </c>
      <c r="D1122" s="1">
        <v>44922</v>
      </c>
      <c r="E1122" t="s">
        <v>134</v>
      </c>
      <c r="F1122" t="s">
        <v>2588</v>
      </c>
      <c r="G1122" t="str">
        <f>"35-3031.00"</f>
        <v>35-3031.00</v>
      </c>
      <c r="H1122" t="s">
        <v>389</v>
      </c>
      <c r="I1122">
        <v>50</v>
      </c>
      <c r="K1122" s="1">
        <v>44952</v>
      </c>
      <c r="L1122" s="1">
        <v>45107</v>
      </c>
      <c r="O1122" t="s">
        <v>199</v>
      </c>
      <c r="P1122" t="s">
        <v>10846</v>
      </c>
      <c r="Q1122" t="s">
        <v>10846</v>
      </c>
      <c r="R1122" t="s">
        <v>10847</v>
      </c>
      <c r="T1122" t="s">
        <v>10848</v>
      </c>
      <c r="U1122" t="s">
        <v>281</v>
      </c>
      <c r="V1122" s="4" t="str">
        <f>"02148"</f>
        <v>02148</v>
      </c>
      <c r="W1122" t="s">
        <v>120</v>
      </c>
      <c r="Y1122" s="5">
        <v>14078007628</v>
      </c>
      <c r="AA1122">
        <v>113210</v>
      </c>
      <c r="AB1122" t="s">
        <v>10849</v>
      </c>
      <c r="AC1122" t="s">
        <v>125</v>
      </c>
      <c r="AD1122" t="s">
        <v>10850</v>
      </c>
      <c r="AE1122" t="s">
        <v>2588</v>
      </c>
      <c r="AF1122" t="s">
        <v>10847</v>
      </c>
      <c r="AH1122" t="s">
        <v>10848</v>
      </c>
      <c r="AI1122" t="s">
        <v>281</v>
      </c>
      <c r="AJ1122" s="4" t="str">
        <f>"02148"</f>
        <v>02148</v>
      </c>
      <c r="AK1122" t="s">
        <v>120</v>
      </c>
      <c r="AM1122" s="5">
        <v>14078007628</v>
      </c>
      <c r="AO1122" t="s">
        <v>10851</v>
      </c>
      <c r="AP1122" t="s">
        <v>256</v>
      </c>
      <c r="AQ1122" t="s">
        <v>10849</v>
      </c>
      <c r="AR1122" t="s">
        <v>125</v>
      </c>
      <c r="AS1122" t="s">
        <v>10850</v>
      </c>
      <c r="AT1122" t="s">
        <v>10847</v>
      </c>
      <c r="AV1122" t="s">
        <v>10848</v>
      </c>
      <c r="AW1122" t="s">
        <v>281</v>
      </c>
      <c r="AX1122" s="4" t="str">
        <f>"02148"</f>
        <v>02148</v>
      </c>
      <c r="AY1122" t="s">
        <v>120</v>
      </c>
      <c r="BA1122" s="5">
        <v>14078007628</v>
      </c>
      <c r="BC1122" t="s">
        <v>10851</v>
      </c>
      <c r="BD1122" t="s">
        <v>10846</v>
      </c>
      <c r="BG1122" t="s">
        <v>281</v>
      </c>
      <c r="BH1122" s="1">
        <v>44828.833333333336</v>
      </c>
      <c r="BI1122">
        <v>56</v>
      </c>
      <c r="BJ1122">
        <v>8</v>
      </c>
      <c r="BK1122">
        <v>8</v>
      </c>
      <c r="BL1122">
        <v>8</v>
      </c>
      <c r="BM1122">
        <v>8</v>
      </c>
      <c r="BN1122">
        <v>8</v>
      </c>
      <c r="BO1122">
        <v>8</v>
      </c>
      <c r="BP1122">
        <v>8</v>
      </c>
      <c r="BQ1122" t="str">
        <f t="shared" si="54"/>
        <v>7:00 AM</v>
      </c>
      <c r="BR1122" t="str">
        <f>"5:00 PM"</f>
        <v>5:00 PM</v>
      </c>
      <c r="BS1122" t="s">
        <v>295</v>
      </c>
      <c r="BT1122">
        <v>1</v>
      </c>
      <c r="BU1122">
        <v>6</v>
      </c>
      <c r="BV1122" t="s">
        <v>134</v>
      </c>
      <c r="BX1122" s="2" t="s">
        <v>16703</v>
      </c>
      <c r="BY1122" t="s">
        <v>16704</v>
      </c>
      <c r="CA1122" t="s">
        <v>16705</v>
      </c>
      <c r="CB1122" t="s">
        <v>281</v>
      </c>
      <c r="CC1122" s="4" t="str">
        <f>"01701"</f>
        <v>01701</v>
      </c>
      <c r="CD1122" t="s">
        <v>10855</v>
      </c>
      <c r="CE1122" t="s">
        <v>2630</v>
      </c>
      <c r="CF1122" s="6">
        <v>17.989999999999998</v>
      </c>
      <c r="CG1122" s="6">
        <v>20</v>
      </c>
      <c r="CH1122" s="6">
        <v>20</v>
      </c>
      <c r="CI1122" s="6">
        <v>22</v>
      </c>
      <c r="CJ1122" t="s">
        <v>137</v>
      </c>
      <c r="CL1122" t="s">
        <v>16706</v>
      </c>
      <c r="CO1122" t="s">
        <v>138</v>
      </c>
      <c r="CP1122" t="s">
        <v>134</v>
      </c>
      <c r="CQ1122" t="s">
        <v>114</v>
      </c>
      <c r="CR1122" t="s">
        <v>114</v>
      </c>
      <c r="CS1122" t="s">
        <v>114</v>
      </c>
      <c r="CT1122" t="s">
        <v>114</v>
      </c>
      <c r="CU1122" t="s">
        <v>114</v>
      </c>
      <c r="CV1122" t="e">
        <f>- 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f>
        <v>#NAME?</v>
      </c>
      <c r="CW1122" s="5" t="str">
        <f>"+14078007628"</f>
        <v>+14078007628</v>
      </c>
      <c r="CX1122" t="s">
        <v>10851</v>
      </c>
      <c r="CY1122" t="s">
        <v>138</v>
      </c>
      <c r="CZ1122" t="s">
        <v>139</v>
      </c>
      <c r="DA1122" t="s">
        <v>134</v>
      </c>
      <c r="DB1122" t="s">
        <v>114</v>
      </c>
      <c r="DC1122" t="s">
        <v>114</v>
      </c>
      <c r="DD1122" t="s">
        <v>134</v>
      </c>
    </row>
    <row r="1123" spans="1:113" ht="15" customHeight="1" x14ac:dyDescent="0.25">
      <c r="A1123" t="s">
        <v>15562</v>
      </c>
      <c r="B1123" t="s">
        <v>113</v>
      </c>
      <c r="C1123" s="1">
        <v>44864.994565624998</v>
      </c>
      <c r="D1123" s="1">
        <v>44922</v>
      </c>
      <c r="E1123" t="s">
        <v>134</v>
      </c>
      <c r="F1123" t="s">
        <v>4353</v>
      </c>
      <c r="G1123" t="str">
        <f>"35-9021.00"</f>
        <v>35-9021.00</v>
      </c>
      <c r="H1123" t="s">
        <v>1910</v>
      </c>
      <c r="I1123">
        <v>50</v>
      </c>
      <c r="K1123" s="1">
        <v>44952</v>
      </c>
      <c r="L1123" s="1">
        <v>45107</v>
      </c>
      <c r="O1123" t="s">
        <v>199</v>
      </c>
      <c r="P1123" t="s">
        <v>10846</v>
      </c>
      <c r="Q1123" t="s">
        <v>10846</v>
      </c>
      <c r="R1123" t="s">
        <v>10847</v>
      </c>
      <c r="T1123" t="s">
        <v>10848</v>
      </c>
      <c r="U1123" t="s">
        <v>281</v>
      </c>
      <c r="V1123" s="4" t="str">
        <f>"02148"</f>
        <v>02148</v>
      </c>
      <c r="W1123" t="s">
        <v>120</v>
      </c>
      <c r="Y1123" s="5">
        <v>14078007628</v>
      </c>
      <c r="AA1123">
        <v>517311</v>
      </c>
      <c r="AB1123" t="s">
        <v>10849</v>
      </c>
      <c r="AC1123" t="s">
        <v>125</v>
      </c>
      <c r="AD1123" t="s">
        <v>10850</v>
      </c>
      <c r="AE1123" t="s">
        <v>4353</v>
      </c>
      <c r="AF1123" t="s">
        <v>10847</v>
      </c>
      <c r="AH1123" t="s">
        <v>10848</v>
      </c>
      <c r="AI1123" t="s">
        <v>281</v>
      </c>
      <c r="AJ1123" s="4" t="str">
        <f>"02148"</f>
        <v>02148</v>
      </c>
      <c r="AK1123" t="s">
        <v>120</v>
      </c>
      <c r="AM1123" s="5">
        <v>14078007628</v>
      </c>
      <c r="AO1123" t="s">
        <v>10851</v>
      </c>
      <c r="AP1123" t="s">
        <v>256</v>
      </c>
      <c r="AQ1123" t="s">
        <v>10849</v>
      </c>
      <c r="AR1123" t="s">
        <v>125</v>
      </c>
      <c r="AS1123" t="s">
        <v>10850</v>
      </c>
      <c r="AT1123" t="s">
        <v>10847</v>
      </c>
      <c r="AV1123" t="s">
        <v>10848</v>
      </c>
      <c r="AW1123" t="s">
        <v>281</v>
      </c>
      <c r="AX1123" s="4" t="str">
        <f>"02148"</f>
        <v>02148</v>
      </c>
      <c r="AY1123" t="s">
        <v>120</v>
      </c>
      <c r="BA1123" s="5">
        <v>14078007628</v>
      </c>
      <c r="BC1123" t="s">
        <v>10851</v>
      </c>
      <c r="BD1123" t="s">
        <v>10846</v>
      </c>
      <c r="BG1123" t="s">
        <v>281</v>
      </c>
      <c r="BH1123" s="1">
        <v>44828.833333333336</v>
      </c>
      <c r="BI1123">
        <v>56</v>
      </c>
      <c r="BJ1123">
        <v>8</v>
      </c>
      <c r="BK1123">
        <v>8</v>
      </c>
      <c r="BL1123">
        <v>8</v>
      </c>
      <c r="BM1123">
        <v>8</v>
      </c>
      <c r="BN1123">
        <v>8</v>
      </c>
      <c r="BO1123">
        <v>8</v>
      </c>
      <c r="BP1123">
        <v>8</v>
      </c>
      <c r="BQ1123" t="str">
        <f t="shared" si="54"/>
        <v>7:00 AM</v>
      </c>
      <c r="BR1123" t="str">
        <f>"5:00 PM"</f>
        <v>5:00 PM</v>
      </c>
      <c r="BS1123" t="s">
        <v>295</v>
      </c>
      <c r="BT1123">
        <v>1</v>
      </c>
      <c r="BU1123">
        <v>6</v>
      </c>
      <c r="BV1123" t="s">
        <v>134</v>
      </c>
      <c r="BX1123" s="2" t="s">
        <v>15563</v>
      </c>
      <c r="BY1123" t="s">
        <v>15564</v>
      </c>
      <c r="CA1123" t="s">
        <v>15565</v>
      </c>
      <c r="CB1123" t="s">
        <v>281</v>
      </c>
      <c r="CC1123" s="4" t="str">
        <f>"03801"</f>
        <v>03801</v>
      </c>
      <c r="CD1123" t="s">
        <v>14128</v>
      </c>
      <c r="CE1123" t="s">
        <v>1645</v>
      </c>
      <c r="CF1123" s="6">
        <v>15</v>
      </c>
      <c r="CG1123" s="6">
        <v>18</v>
      </c>
      <c r="CH1123" s="6">
        <v>18</v>
      </c>
      <c r="CI1123" s="6">
        <v>20</v>
      </c>
      <c r="CJ1123" t="s">
        <v>137</v>
      </c>
      <c r="CL1123" t="s">
        <v>15566</v>
      </c>
      <c r="CO1123" t="s">
        <v>138</v>
      </c>
      <c r="CP1123" t="s">
        <v>134</v>
      </c>
      <c r="CQ1123" t="s">
        <v>114</v>
      </c>
      <c r="CR1123" t="s">
        <v>114</v>
      </c>
      <c r="CS1123" t="s">
        <v>114</v>
      </c>
      <c r="CT1123" t="s">
        <v>114</v>
      </c>
      <c r="CU1123" t="s">
        <v>114</v>
      </c>
      <c r="CV1123" t="e">
        <f>- 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f>
        <v>#NAME?</v>
      </c>
      <c r="CW1123" s="5" t="str">
        <f>"+14078007628"</f>
        <v>+14078007628</v>
      </c>
      <c r="CX1123" t="s">
        <v>10851</v>
      </c>
      <c r="CY1123" t="s">
        <v>138</v>
      </c>
      <c r="CZ1123" t="s">
        <v>139</v>
      </c>
      <c r="DA1123" t="s">
        <v>134</v>
      </c>
      <c r="DB1123" t="s">
        <v>114</v>
      </c>
      <c r="DC1123" t="s">
        <v>114</v>
      </c>
      <c r="DD1123" t="s">
        <v>134</v>
      </c>
    </row>
    <row r="1124" spans="1:113" ht="15" customHeight="1" x14ac:dyDescent="0.25">
      <c r="A1124" t="s">
        <v>14880</v>
      </c>
      <c r="B1124" t="s">
        <v>113</v>
      </c>
      <c r="C1124" s="1">
        <v>44864.989804976853</v>
      </c>
      <c r="D1124" s="1">
        <v>44922</v>
      </c>
      <c r="E1124" t="s">
        <v>134</v>
      </c>
      <c r="F1124" t="s">
        <v>14881</v>
      </c>
      <c r="G1124" t="str">
        <f>"35-1012.00"</f>
        <v>35-1012.00</v>
      </c>
      <c r="H1124" t="s">
        <v>2382</v>
      </c>
      <c r="I1124">
        <v>50</v>
      </c>
      <c r="K1124" s="1">
        <v>44952</v>
      </c>
      <c r="L1124" s="1">
        <v>45133</v>
      </c>
      <c r="O1124" t="s">
        <v>199</v>
      </c>
      <c r="P1124" t="s">
        <v>10846</v>
      </c>
      <c r="Q1124" t="s">
        <v>10846</v>
      </c>
      <c r="R1124" t="s">
        <v>10847</v>
      </c>
      <c r="T1124" t="s">
        <v>10848</v>
      </c>
      <c r="U1124" t="s">
        <v>281</v>
      </c>
      <c r="V1124" s="4" t="str">
        <f>"02148"</f>
        <v>02148</v>
      </c>
      <c r="W1124" t="s">
        <v>120</v>
      </c>
      <c r="Y1124" s="5">
        <v>14078007628</v>
      </c>
      <c r="AA1124">
        <v>113210</v>
      </c>
      <c r="AB1124" t="s">
        <v>10849</v>
      </c>
      <c r="AC1124" t="s">
        <v>125</v>
      </c>
      <c r="AD1124" t="s">
        <v>10850</v>
      </c>
      <c r="AE1124" t="s">
        <v>14881</v>
      </c>
      <c r="AF1124" t="s">
        <v>10847</v>
      </c>
      <c r="AH1124" t="s">
        <v>10848</v>
      </c>
      <c r="AI1124" t="s">
        <v>281</v>
      </c>
      <c r="AJ1124" s="4" t="str">
        <f>"02148"</f>
        <v>02148</v>
      </c>
      <c r="AK1124" t="s">
        <v>120</v>
      </c>
      <c r="AM1124" s="5">
        <v>14078007628</v>
      </c>
      <c r="AO1124" t="s">
        <v>10851</v>
      </c>
      <c r="AP1124" t="s">
        <v>256</v>
      </c>
      <c r="AQ1124" t="s">
        <v>10849</v>
      </c>
      <c r="AR1124" t="s">
        <v>125</v>
      </c>
      <c r="AS1124" t="s">
        <v>10850</v>
      </c>
      <c r="AT1124" t="s">
        <v>10847</v>
      </c>
      <c r="AV1124" t="s">
        <v>10848</v>
      </c>
      <c r="AW1124" t="s">
        <v>281</v>
      </c>
      <c r="AX1124" s="4" t="str">
        <f>"02148"</f>
        <v>02148</v>
      </c>
      <c r="AY1124" t="s">
        <v>120</v>
      </c>
      <c r="BA1124" s="5">
        <v>14078007628</v>
      </c>
      <c r="BC1124" t="s">
        <v>10851</v>
      </c>
      <c r="BD1124" t="s">
        <v>10846</v>
      </c>
      <c r="BG1124" t="s">
        <v>281</v>
      </c>
      <c r="BH1124" s="1">
        <v>44825.833333333336</v>
      </c>
      <c r="BI1124">
        <v>56</v>
      </c>
      <c r="BJ1124">
        <v>8</v>
      </c>
      <c r="BK1124">
        <v>8</v>
      </c>
      <c r="BL1124">
        <v>8</v>
      </c>
      <c r="BM1124">
        <v>8</v>
      </c>
      <c r="BN1124">
        <v>8</v>
      </c>
      <c r="BO1124">
        <v>8</v>
      </c>
      <c r="BP1124">
        <v>8</v>
      </c>
      <c r="BQ1124" t="str">
        <f t="shared" si="54"/>
        <v>7:00 AM</v>
      </c>
      <c r="BR1124" t="str">
        <f>"4:00 PM"</f>
        <v>4:00 PM</v>
      </c>
      <c r="BS1124" t="s">
        <v>295</v>
      </c>
      <c r="BT1124">
        <v>1</v>
      </c>
      <c r="BU1124">
        <v>6</v>
      </c>
      <c r="BV1124" t="s">
        <v>134</v>
      </c>
      <c r="BX1124" s="2" t="s">
        <v>14882</v>
      </c>
      <c r="BY1124" t="s">
        <v>14883</v>
      </c>
      <c r="CA1124" t="s">
        <v>14884</v>
      </c>
      <c r="CB1124" t="s">
        <v>281</v>
      </c>
      <c r="CC1124" s="4" t="str">
        <f>"02035"</f>
        <v>02035</v>
      </c>
      <c r="CD1124" t="s">
        <v>13264</v>
      </c>
      <c r="CE1124" t="s">
        <v>2630</v>
      </c>
      <c r="CF1124" s="6">
        <v>23</v>
      </c>
      <c r="CG1124" s="6">
        <v>34</v>
      </c>
      <c r="CJ1124" t="s">
        <v>137</v>
      </c>
      <c r="CL1124" t="s">
        <v>14885</v>
      </c>
      <c r="CO1124" t="s">
        <v>138</v>
      </c>
      <c r="CP1124" t="s">
        <v>134</v>
      </c>
      <c r="CQ1124" t="s">
        <v>114</v>
      </c>
      <c r="CR1124" t="s">
        <v>114</v>
      </c>
      <c r="CS1124" t="s">
        <v>114</v>
      </c>
      <c r="CT1124" t="s">
        <v>114</v>
      </c>
      <c r="CU1124" t="s">
        <v>114</v>
      </c>
      <c r="CV1124" t="e">
        <f>- 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f>
        <v>#NAME?</v>
      </c>
      <c r="CW1124" s="5" t="str">
        <f>"+14078007628"</f>
        <v>+14078007628</v>
      </c>
      <c r="CX1124" t="s">
        <v>10851</v>
      </c>
      <c r="CY1124" t="s">
        <v>138</v>
      </c>
      <c r="CZ1124" t="s">
        <v>139</v>
      </c>
      <c r="DA1124" t="s">
        <v>134</v>
      </c>
      <c r="DB1124" t="s">
        <v>114</v>
      </c>
      <c r="DC1124" t="s">
        <v>114</v>
      </c>
      <c r="DD1124" t="s">
        <v>134</v>
      </c>
    </row>
    <row r="1125" spans="1:113" ht="15" customHeight="1" x14ac:dyDescent="0.25">
      <c r="A1125" t="s">
        <v>11804</v>
      </c>
      <c r="B1125" t="s">
        <v>113</v>
      </c>
      <c r="C1125" s="1">
        <v>44896.542994560186</v>
      </c>
      <c r="D1125" s="1">
        <v>44918</v>
      </c>
      <c r="E1125" t="s">
        <v>134</v>
      </c>
      <c r="F1125" t="s">
        <v>334</v>
      </c>
      <c r="G1125" t="str">
        <f>"37-3011.00"</f>
        <v>37-3011.00</v>
      </c>
      <c r="H1125" t="s">
        <v>335</v>
      </c>
      <c r="I1125">
        <v>12</v>
      </c>
      <c r="K1125" s="1">
        <v>44986</v>
      </c>
      <c r="L1125" s="1">
        <v>45260</v>
      </c>
      <c r="O1125" t="s">
        <v>117</v>
      </c>
      <c r="P1125" t="s">
        <v>11752</v>
      </c>
      <c r="R1125" t="s">
        <v>11753</v>
      </c>
      <c r="T1125" t="s">
        <v>5630</v>
      </c>
      <c r="U1125" t="s">
        <v>119</v>
      </c>
      <c r="V1125" s="4" t="str">
        <f>"28640"</f>
        <v>28640</v>
      </c>
      <c r="W1125" t="s">
        <v>120</v>
      </c>
      <c r="Y1125" s="5">
        <v>13368467191</v>
      </c>
      <c r="AA1125">
        <v>56173</v>
      </c>
      <c r="AB1125" t="s">
        <v>11754</v>
      </c>
      <c r="AC1125" t="s">
        <v>11755</v>
      </c>
      <c r="AE1125" t="s">
        <v>11756</v>
      </c>
      <c r="AF1125" t="s">
        <v>11753</v>
      </c>
      <c r="AH1125" t="s">
        <v>5630</v>
      </c>
      <c r="AI1125" t="s">
        <v>119</v>
      </c>
      <c r="AJ1125" s="4" t="str">
        <f>"28640"</f>
        <v>28640</v>
      </c>
      <c r="AK1125" t="s">
        <v>120</v>
      </c>
      <c r="AM1125" s="5">
        <v>13368467191</v>
      </c>
      <c r="AO1125" t="s">
        <v>11757</v>
      </c>
      <c r="AP1125" t="s">
        <v>256</v>
      </c>
      <c r="AQ1125" t="s">
        <v>2277</v>
      </c>
      <c r="AR1125" t="s">
        <v>1175</v>
      </c>
      <c r="AS1125" t="s">
        <v>138</v>
      </c>
      <c r="AT1125" t="s">
        <v>2278</v>
      </c>
      <c r="AU1125" t="s">
        <v>347</v>
      </c>
      <c r="AV1125" t="s">
        <v>828</v>
      </c>
      <c r="AW1125" t="s">
        <v>349</v>
      </c>
      <c r="AX1125" s="4" t="str">
        <f>"83814"</f>
        <v>83814</v>
      </c>
      <c r="AY1125" t="s">
        <v>120</v>
      </c>
      <c r="BA1125" s="5">
        <v>12087772654</v>
      </c>
      <c r="BC1125" t="s">
        <v>2279</v>
      </c>
      <c r="BD1125" t="s">
        <v>351</v>
      </c>
      <c r="BG1125" t="s">
        <v>119</v>
      </c>
      <c r="BH1125" s="1">
        <v>44893.791666666664</v>
      </c>
      <c r="BI1125">
        <v>40</v>
      </c>
      <c r="BJ1125">
        <v>0</v>
      </c>
      <c r="BK1125">
        <v>8</v>
      </c>
      <c r="BL1125">
        <v>8</v>
      </c>
      <c r="BM1125">
        <v>8</v>
      </c>
      <c r="BN1125">
        <v>8</v>
      </c>
      <c r="BO1125">
        <v>8</v>
      </c>
      <c r="BP1125">
        <v>0</v>
      </c>
      <c r="BQ1125" t="str">
        <f>"7:30 AM"</f>
        <v>7:30 AM</v>
      </c>
      <c r="BR1125" t="str">
        <f>"5:00 PM"</f>
        <v>5:00 PM</v>
      </c>
      <c r="BS1125" t="s">
        <v>133</v>
      </c>
      <c r="BT1125">
        <v>0</v>
      </c>
      <c r="BU1125">
        <v>0</v>
      </c>
      <c r="BV1125" t="s">
        <v>134</v>
      </c>
      <c r="BX1125" s="2" t="s">
        <v>11805</v>
      </c>
      <c r="BY1125" t="s">
        <v>11758</v>
      </c>
      <c r="CA1125" t="s">
        <v>5630</v>
      </c>
      <c r="CB1125" t="s">
        <v>119</v>
      </c>
      <c r="CC1125" s="4" t="str">
        <f>"28640"</f>
        <v>28640</v>
      </c>
      <c r="CD1125" t="s">
        <v>4042</v>
      </c>
      <c r="CE1125" t="s">
        <v>4043</v>
      </c>
      <c r="CF1125" s="6">
        <v>14.48</v>
      </c>
      <c r="CH1125" s="6">
        <v>21.72</v>
      </c>
      <c r="CJ1125" t="s">
        <v>137</v>
      </c>
      <c r="CK1125" t="s">
        <v>138</v>
      </c>
      <c r="CL1125" t="s">
        <v>11759</v>
      </c>
      <c r="CO1125" t="s">
        <v>138</v>
      </c>
      <c r="CP1125" t="s">
        <v>114</v>
      </c>
      <c r="CQ1125" t="s">
        <v>114</v>
      </c>
      <c r="CR1125" t="s">
        <v>114</v>
      </c>
      <c r="CS1125" t="s">
        <v>114</v>
      </c>
      <c r="CT1125" t="s">
        <v>114</v>
      </c>
      <c r="CU1125" t="s">
        <v>134</v>
      </c>
      <c r="CV1125" t="s">
        <v>358</v>
      </c>
      <c r="CW1125" s="5" t="str">
        <f>"+13368464220"</f>
        <v>+13368464220</v>
      </c>
      <c r="CX1125" t="s">
        <v>11760</v>
      </c>
      <c r="CY1125" t="s">
        <v>138</v>
      </c>
      <c r="CZ1125" t="s">
        <v>139</v>
      </c>
      <c r="DA1125" t="s">
        <v>134</v>
      </c>
      <c r="DB1125" t="s">
        <v>114</v>
      </c>
      <c r="DC1125" t="s">
        <v>114</v>
      </c>
      <c r="DD1125" t="s">
        <v>134</v>
      </c>
    </row>
    <row r="1126" spans="1:113" ht="15" customHeight="1" x14ac:dyDescent="0.25">
      <c r="A1126" t="s">
        <v>5534</v>
      </c>
      <c r="B1126" t="s">
        <v>113</v>
      </c>
      <c r="C1126" s="1">
        <v>44882.432322337962</v>
      </c>
      <c r="D1126" s="1">
        <v>44918</v>
      </c>
      <c r="E1126" t="s">
        <v>134</v>
      </c>
      <c r="F1126" t="s">
        <v>1296</v>
      </c>
      <c r="G1126" t="str">
        <f>"37-3011.00"</f>
        <v>37-3011.00</v>
      </c>
      <c r="H1126" t="s">
        <v>335</v>
      </c>
      <c r="I1126">
        <v>9</v>
      </c>
      <c r="K1126" s="1">
        <v>44958</v>
      </c>
      <c r="L1126" s="1">
        <v>45260</v>
      </c>
      <c r="O1126" t="s">
        <v>199</v>
      </c>
      <c r="P1126" t="s">
        <v>5535</v>
      </c>
      <c r="R1126" t="s">
        <v>5536</v>
      </c>
      <c r="T1126" t="s">
        <v>1532</v>
      </c>
      <c r="U1126" t="s">
        <v>748</v>
      </c>
      <c r="V1126" s="4" t="str">
        <f>"19004"</f>
        <v>19004</v>
      </c>
      <c r="W1126" t="s">
        <v>120</v>
      </c>
      <c r="Y1126" s="5">
        <v>14848881938</v>
      </c>
      <c r="AA1126">
        <v>56173</v>
      </c>
      <c r="AB1126" t="s">
        <v>5537</v>
      </c>
      <c r="AC1126" t="s">
        <v>5538</v>
      </c>
      <c r="AE1126" t="s">
        <v>342</v>
      </c>
      <c r="AF1126" t="s">
        <v>5536</v>
      </c>
      <c r="AH1126" t="s">
        <v>1532</v>
      </c>
      <c r="AI1126" t="s">
        <v>748</v>
      </c>
      <c r="AJ1126" s="4" t="str">
        <f>"19004"</f>
        <v>19004</v>
      </c>
      <c r="AK1126" t="s">
        <v>120</v>
      </c>
      <c r="AM1126" s="5">
        <v>14848881938</v>
      </c>
      <c r="AO1126" t="s">
        <v>5539</v>
      </c>
      <c r="AP1126" t="s">
        <v>122</v>
      </c>
      <c r="AQ1126" t="s">
        <v>1303</v>
      </c>
      <c r="AR1126" t="s">
        <v>1304</v>
      </c>
      <c r="AS1126" t="s">
        <v>532</v>
      </c>
      <c r="AT1126" t="s">
        <v>1305</v>
      </c>
      <c r="AV1126" t="s">
        <v>1306</v>
      </c>
      <c r="AW1126" t="s">
        <v>748</v>
      </c>
      <c r="AX1126" s="4" t="str">
        <f>"19063"</f>
        <v>19063</v>
      </c>
      <c r="AY1126" t="s">
        <v>120</v>
      </c>
      <c r="BA1126" s="5">
        <v>16103585976</v>
      </c>
      <c r="BC1126" t="s">
        <v>1307</v>
      </c>
      <c r="BD1126" t="s">
        <v>1308</v>
      </c>
      <c r="BE1126" t="s">
        <v>748</v>
      </c>
      <c r="BF1126" t="s">
        <v>1309</v>
      </c>
      <c r="BG1126" t="s">
        <v>748</v>
      </c>
      <c r="BH1126" s="1">
        <v>44881.791666666664</v>
      </c>
      <c r="BI1126">
        <v>50</v>
      </c>
      <c r="BJ1126">
        <v>0</v>
      </c>
      <c r="BK1126">
        <v>8</v>
      </c>
      <c r="BL1126">
        <v>8</v>
      </c>
      <c r="BM1126">
        <v>8</v>
      </c>
      <c r="BN1126">
        <v>8</v>
      </c>
      <c r="BO1126">
        <v>8</v>
      </c>
      <c r="BP1126">
        <v>10</v>
      </c>
      <c r="BQ1126" t="str">
        <f>"7:30 AM"</f>
        <v>7:30 AM</v>
      </c>
      <c r="BR1126" t="str">
        <f>"4:00 PM"</f>
        <v>4:00 PM</v>
      </c>
      <c r="BS1126" t="s">
        <v>133</v>
      </c>
      <c r="BT1126">
        <v>0</v>
      </c>
      <c r="BU1126">
        <v>0</v>
      </c>
      <c r="BV1126" t="s">
        <v>134</v>
      </c>
      <c r="BX1126" s="2" t="s">
        <v>1310</v>
      </c>
      <c r="BY1126" t="s">
        <v>5540</v>
      </c>
      <c r="CA1126" t="s">
        <v>5541</v>
      </c>
      <c r="CB1126" t="s">
        <v>748</v>
      </c>
      <c r="CC1126" s="4" t="str">
        <f>"19003"</f>
        <v>19003</v>
      </c>
      <c r="CD1126" t="s">
        <v>2007</v>
      </c>
      <c r="CE1126" t="s">
        <v>1266</v>
      </c>
      <c r="CF1126" s="6">
        <v>17.82</v>
      </c>
      <c r="CG1126" s="6">
        <v>17.82</v>
      </c>
      <c r="CH1126" s="6">
        <v>26.73</v>
      </c>
      <c r="CI1126" s="6">
        <v>26.73</v>
      </c>
      <c r="CJ1126" t="s">
        <v>137</v>
      </c>
      <c r="CL1126" t="s">
        <v>5542</v>
      </c>
      <c r="CO1126" t="s">
        <v>138</v>
      </c>
      <c r="CP1126" t="s">
        <v>114</v>
      </c>
      <c r="CQ1126" t="s">
        <v>114</v>
      </c>
      <c r="CR1126" t="s">
        <v>114</v>
      </c>
      <c r="CS1126" t="s">
        <v>114</v>
      </c>
      <c r="CT1126" t="s">
        <v>114</v>
      </c>
      <c r="CU1126" t="s">
        <v>134</v>
      </c>
      <c r="CV1126" t="s">
        <v>1313</v>
      </c>
      <c r="CW1126" s="5" t="str">
        <f>"+14848881938"</f>
        <v>+14848881938</v>
      </c>
      <c r="CX1126" t="s">
        <v>5543</v>
      </c>
      <c r="CY1126" t="s">
        <v>138</v>
      </c>
      <c r="CZ1126" t="s">
        <v>139</v>
      </c>
      <c r="DA1126" t="s">
        <v>134</v>
      </c>
      <c r="DB1126" t="s">
        <v>134</v>
      </c>
      <c r="DC1126" t="s">
        <v>114</v>
      </c>
      <c r="DD1126" t="s">
        <v>134</v>
      </c>
    </row>
    <row r="1127" spans="1:113" ht="15" customHeight="1" x14ac:dyDescent="0.25">
      <c r="A1127" t="s">
        <v>14793</v>
      </c>
      <c r="B1127" t="s">
        <v>113</v>
      </c>
      <c r="C1127" s="1">
        <v>44876.414766087961</v>
      </c>
      <c r="D1127" s="1">
        <v>44918</v>
      </c>
      <c r="E1127" t="s">
        <v>114</v>
      </c>
      <c r="F1127" t="s">
        <v>14794</v>
      </c>
      <c r="G1127" t="str">
        <f>"49-3031.00"</f>
        <v>49-3031.00</v>
      </c>
      <c r="H1127" t="s">
        <v>1121</v>
      </c>
      <c r="I1127">
        <v>5</v>
      </c>
      <c r="K1127" s="1">
        <v>44958</v>
      </c>
      <c r="L1127" s="1">
        <v>45200</v>
      </c>
      <c r="O1127" t="s">
        <v>117</v>
      </c>
      <c r="P1127" t="s">
        <v>14795</v>
      </c>
      <c r="R1127" t="s">
        <v>14796</v>
      </c>
      <c r="T1127" t="s">
        <v>4255</v>
      </c>
      <c r="U1127" t="s">
        <v>1411</v>
      </c>
      <c r="V1127" s="4" t="str">
        <f>"45011"</f>
        <v>45011</v>
      </c>
      <c r="W1127" t="s">
        <v>120</v>
      </c>
      <c r="Y1127" s="5">
        <v>15137371636</v>
      </c>
      <c r="AA1127">
        <v>48899</v>
      </c>
      <c r="AB1127" t="s">
        <v>14797</v>
      </c>
      <c r="AC1127" t="s">
        <v>14798</v>
      </c>
      <c r="AE1127" t="s">
        <v>424</v>
      </c>
      <c r="AF1127" t="s">
        <v>14799</v>
      </c>
      <c r="AH1127" t="s">
        <v>4255</v>
      </c>
      <c r="AI1127" t="s">
        <v>1411</v>
      </c>
      <c r="AJ1127" s="4" t="str">
        <f>"45011"</f>
        <v>45011</v>
      </c>
      <c r="AK1127" t="s">
        <v>120</v>
      </c>
      <c r="AM1127" s="5">
        <v>15137371636</v>
      </c>
      <c r="AO1127" t="s">
        <v>14800</v>
      </c>
      <c r="AX1127" s="4" t="str">
        <f>""</f>
        <v/>
      </c>
      <c r="BG1127" t="s">
        <v>1411</v>
      </c>
      <c r="BH1127" s="1">
        <v>44833.833333333336</v>
      </c>
      <c r="BI1127">
        <v>40</v>
      </c>
      <c r="BJ1127">
        <v>0</v>
      </c>
      <c r="BK1127">
        <v>0</v>
      </c>
      <c r="BL1127">
        <v>8</v>
      </c>
      <c r="BM1127">
        <v>8</v>
      </c>
      <c r="BN1127">
        <v>8</v>
      </c>
      <c r="BO1127">
        <v>8</v>
      </c>
      <c r="BP1127">
        <v>8</v>
      </c>
      <c r="BQ1127" t="str">
        <f>"8:00 AM"</f>
        <v>8:00 AM</v>
      </c>
      <c r="BR1127" t="str">
        <f>"4:30 PM"</f>
        <v>4:30 PM</v>
      </c>
      <c r="BS1127" t="s">
        <v>295</v>
      </c>
      <c r="BT1127">
        <v>6</v>
      </c>
      <c r="BU1127">
        <v>12</v>
      </c>
      <c r="BV1127" t="s">
        <v>134</v>
      </c>
      <c r="BX1127" s="2" t="s">
        <v>14801</v>
      </c>
      <c r="BY1127" t="s">
        <v>14799</v>
      </c>
      <c r="CA1127" t="s">
        <v>4255</v>
      </c>
      <c r="CB1127" t="s">
        <v>1411</v>
      </c>
      <c r="CC1127" s="4" t="str">
        <f>"45011"</f>
        <v>45011</v>
      </c>
      <c r="CD1127" t="s">
        <v>1416</v>
      </c>
      <c r="CE1127" t="s">
        <v>1417</v>
      </c>
      <c r="CF1127" s="6">
        <v>24.7</v>
      </c>
      <c r="CJ1127" t="s">
        <v>137</v>
      </c>
      <c r="CK1127" t="e">
        <f>- if employee puts extra time then will pay overtime</f>
        <v>#NAME?</v>
      </c>
      <c r="CL1127" t="s">
        <v>14802</v>
      </c>
      <c r="CO1127" t="s">
        <v>138</v>
      </c>
      <c r="CP1127" t="s">
        <v>134</v>
      </c>
      <c r="CQ1127" t="s">
        <v>134</v>
      </c>
      <c r="CR1127" t="s">
        <v>114</v>
      </c>
      <c r="CS1127" t="s">
        <v>114</v>
      </c>
      <c r="CT1127" t="s">
        <v>114</v>
      </c>
      <c r="CU1127" t="s">
        <v>114</v>
      </c>
      <c r="CV1127" t="e">
        <f>-will only deduct taxes as per the laws/rules</f>
        <v>#NAME?</v>
      </c>
      <c r="CW1127" s="5" t="str">
        <f>"+15137371636"</f>
        <v>+15137371636</v>
      </c>
      <c r="CX1127" t="s">
        <v>14800</v>
      </c>
      <c r="CY1127" t="s">
        <v>138</v>
      </c>
      <c r="CZ1127" t="s">
        <v>139</v>
      </c>
      <c r="DA1127" t="s">
        <v>134</v>
      </c>
      <c r="DB1127" t="s">
        <v>134</v>
      </c>
      <c r="DC1127" t="s">
        <v>114</v>
      </c>
      <c r="DD1127" t="s">
        <v>134</v>
      </c>
    </row>
    <row r="1128" spans="1:113" ht="15" customHeight="1" x14ac:dyDescent="0.25">
      <c r="A1128" t="s">
        <v>8912</v>
      </c>
      <c r="B1128" t="s">
        <v>113</v>
      </c>
      <c r="C1128" s="1">
        <v>44896.005595138886</v>
      </c>
      <c r="D1128" s="1">
        <v>44917</v>
      </c>
      <c r="E1128" t="s">
        <v>134</v>
      </c>
      <c r="F1128" t="s">
        <v>7001</v>
      </c>
      <c r="G1128" t="str">
        <f>"37-3011.00"</f>
        <v>37-3011.00</v>
      </c>
      <c r="H1128" t="s">
        <v>335</v>
      </c>
      <c r="I1128">
        <v>8</v>
      </c>
      <c r="K1128" s="1">
        <v>44986</v>
      </c>
      <c r="L1128" s="1">
        <v>45260</v>
      </c>
      <c r="O1128" t="s">
        <v>117</v>
      </c>
      <c r="P1128" t="s">
        <v>8913</v>
      </c>
      <c r="R1128" t="s">
        <v>7002</v>
      </c>
      <c r="T1128" t="s">
        <v>4739</v>
      </c>
      <c r="U1128" t="s">
        <v>1411</v>
      </c>
      <c r="V1128" s="4" t="str">
        <f>"45370"</f>
        <v>45370</v>
      </c>
      <c r="W1128" t="s">
        <v>120</v>
      </c>
      <c r="Y1128" s="5">
        <v>19378482226</v>
      </c>
      <c r="AA1128">
        <v>561730</v>
      </c>
      <c r="AB1128" t="s">
        <v>7003</v>
      </c>
      <c r="AC1128" t="s">
        <v>1149</v>
      </c>
      <c r="AE1128" t="s">
        <v>424</v>
      </c>
      <c r="AF1128" t="s">
        <v>7002</v>
      </c>
      <c r="AH1128" t="s">
        <v>4739</v>
      </c>
      <c r="AI1128" t="s">
        <v>1411</v>
      </c>
      <c r="AJ1128" s="4" t="str">
        <f>"45370"</f>
        <v>45370</v>
      </c>
      <c r="AK1128" t="s">
        <v>120</v>
      </c>
      <c r="AM1128" s="5">
        <v>19378482226</v>
      </c>
      <c r="AO1128" t="s">
        <v>7004</v>
      </c>
      <c r="AP1128" t="s">
        <v>256</v>
      </c>
      <c r="AQ1128" t="s">
        <v>1615</v>
      </c>
      <c r="AR1128" t="s">
        <v>1616</v>
      </c>
      <c r="AT1128" t="s">
        <v>1617</v>
      </c>
      <c r="AV1128" t="s">
        <v>1618</v>
      </c>
      <c r="AW1128" t="s">
        <v>444</v>
      </c>
      <c r="AX1128" s="4" t="str">
        <f>"93446"</f>
        <v>93446</v>
      </c>
      <c r="AY1128" t="s">
        <v>120</v>
      </c>
      <c r="AZ1128" t="s">
        <v>1619</v>
      </c>
      <c r="BA1128" s="5">
        <v>13217042589</v>
      </c>
      <c r="BC1128" t="s">
        <v>1620</v>
      </c>
      <c r="BD1128" t="s">
        <v>1621</v>
      </c>
      <c r="BG1128" t="s">
        <v>1411</v>
      </c>
      <c r="BH1128" s="1">
        <v>44895.791666666664</v>
      </c>
      <c r="BI1128">
        <v>45</v>
      </c>
      <c r="BJ1128">
        <v>0</v>
      </c>
      <c r="BK1128">
        <v>7.5</v>
      </c>
      <c r="BL1128">
        <v>7.5</v>
      </c>
      <c r="BM1128">
        <v>7.5</v>
      </c>
      <c r="BN1128">
        <v>7.5</v>
      </c>
      <c r="BO1128">
        <v>7.5</v>
      </c>
      <c r="BP1128">
        <v>7.5</v>
      </c>
      <c r="BQ1128" t="str">
        <f>"7:00 AM"</f>
        <v>7:00 AM</v>
      </c>
      <c r="BR1128" t="str">
        <f>"5:00 PM"</f>
        <v>5:00 PM</v>
      </c>
      <c r="BS1128" t="s">
        <v>133</v>
      </c>
      <c r="BT1128">
        <v>0</v>
      </c>
      <c r="BU1128">
        <v>0</v>
      </c>
      <c r="BV1128" t="s">
        <v>134</v>
      </c>
      <c r="BX1128" s="2" t="s">
        <v>8914</v>
      </c>
      <c r="BY1128" t="s">
        <v>7002</v>
      </c>
      <c r="CA1128" t="s">
        <v>7005</v>
      </c>
      <c r="CB1128" t="s">
        <v>1411</v>
      </c>
      <c r="CC1128" s="4" t="str">
        <f>"45370"</f>
        <v>45370</v>
      </c>
      <c r="CD1128" t="s">
        <v>1363</v>
      </c>
      <c r="CE1128" t="s">
        <v>2008</v>
      </c>
      <c r="CF1128" s="6">
        <v>16.8</v>
      </c>
      <c r="CG1128" s="6">
        <v>16.8</v>
      </c>
      <c r="CH1128" s="6">
        <v>25.2</v>
      </c>
      <c r="CI1128" s="6">
        <v>25.2</v>
      </c>
      <c r="CJ1128" t="s">
        <v>137</v>
      </c>
      <c r="CK1128" t="s">
        <v>1623</v>
      </c>
      <c r="CL1128" t="s">
        <v>7006</v>
      </c>
      <c r="CO1128" t="s">
        <v>138</v>
      </c>
      <c r="CP1128" t="s">
        <v>114</v>
      </c>
      <c r="CQ1128" t="s">
        <v>114</v>
      </c>
      <c r="CR1128" t="s">
        <v>114</v>
      </c>
      <c r="CS1128" t="s">
        <v>114</v>
      </c>
      <c r="CT1128" t="s">
        <v>114</v>
      </c>
      <c r="CU1128" t="s">
        <v>114</v>
      </c>
      <c r="CV1128" s="2" t="s">
        <v>7007</v>
      </c>
      <c r="CW1128" s="5" t="str">
        <f>"+19378482226"</f>
        <v>+19378482226</v>
      </c>
      <c r="CX1128" t="s">
        <v>7004</v>
      </c>
      <c r="CY1128" t="s">
        <v>138</v>
      </c>
      <c r="CZ1128" t="s">
        <v>139</v>
      </c>
      <c r="DA1128" t="s">
        <v>134</v>
      </c>
      <c r="DB1128" t="s">
        <v>134</v>
      </c>
      <c r="DC1128" t="s">
        <v>114</v>
      </c>
      <c r="DD1128" t="s">
        <v>134</v>
      </c>
    </row>
    <row r="1129" spans="1:113" ht="15" customHeight="1" x14ac:dyDescent="0.25">
      <c r="A1129" t="s">
        <v>16652</v>
      </c>
      <c r="B1129" t="s">
        <v>113</v>
      </c>
      <c r="C1129" s="1">
        <v>44888.960752777777</v>
      </c>
      <c r="D1129" s="1">
        <v>44917</v>
      </c>
      <c r="E1129" t="s">
        <v>134</v>
      </c>
      <c r="F1129" t="s">
        <v>362</v>
      </c>
      <c r="G1129" t="str">
        <f>"39-3091.00"</f>
        <v>39-3091.00</v>
      </c>
      <c r="H1129" t="s">
        <v>362</v>
      </c>
      <c r="I1129">
        <v>55</v>
      </c>
      <c r="K1129" s="1">
        <v>44963</v>
      </c>
      <c r="L1129" s="1">
        <v>45256</v>
      </c>
      <c r="O1129" t="s">
        <v>199</v>
      </c>
      <c r="P1129" t="s">
        <v>16653</v>
      </c>
      <c r="R1129" t="s">
        <v>16654</v>
      </c>
      <c r="T1129" t="s">
        <v>9030</v>
      </c>
      <c r="U1129" t="s">
        <v>349</v>
      </c>
      <c r="V1129" s="4" t="str">
        <f>"83854"</f>
        <v>83854</v>
      </c>
      <c r="W1129" t="s">
        <v>120</v>
      </c>
      <c r="Y1129" s="5">
        <v>12086606829</v>
      </c>
      <c r="AA1129">
        <v>71399</v>
      </c>
      <c r="AB1129" t="s">
        <v>1579</v>
      </c>
      <c r="AC1129" t="s">
        <v>4128</v>
      </c>
      <c r="AE1129" t="s">
        <v>424</v>
      </c>
      <c r="AF1129" t="s">
        <v>16654</v>
      </c>
      <c r="AH1129" t="s">
        <v>9030</v>
      </c>
      <c r="AI1129" t="s">
        <v>349</v>
      </c>
      <c r="AJ1129" s="4" t="str">
        <f>"83854"</f>
        <v>83854</v>
      </c>
      <c r="AK1129" t="s">
        <v>120</v>
      </c>
      <c r="AM1129" s="5">
        <v>12086606829</v>
      </c>
      <c r="AO1129" t="s">
        <v>16655</v>
      </c>
      <c r="AP1129" t="s">
        <v>122</v>
      </c>
      <c r="AQ1129" t="s">
        <v>2777</v>
      </c>
      <c r="AR1129" t="s">
        <v>2778</v>
      </c>
      <c r="AS1129" t="s">
        <v>371</v>
      </c>
      <c r="AT1129" t="s">
        <v>2779</v>
      </c>
      <c r="AU1129" t="s">
        <v>2780</v>
      </c>
      <c r="AV1129" t="s">
        <v>153</v>
      </c>
      <c r="AW1129" t="s">
        <v>154</v>
      </c>
      <c r="AX1129" s="4" t="str">
        <f>"33431"</f>
        <v>33431</v>
      </c>
      <c r="AY1129" t="s">
        <v>120</v>
      </c>
      <c r="BA1129" s="5">
        <v>15613436900</v>
      </c>
      <c r="BC1129" t="s">
        <v>2781</v>
      </c>
      <c r="BD1129" t="s">
        <v>2782</v>
      </c>
      <c r="BE1129" t="s">
        <v>154</v>
      </c>
      <c r="BF1129" t="s">
        <v>2783</v>
      </c>
      <c r="BG1129" t="s">
        <v>349</v>
      </c>
      <c r="BH1129" s="1">
        <v>44885.791666666664</v>
      </c>
      <c r="BI1129">
        <v>40</v>
      </c>
      <c r="BJ1129">
        <v>8</v>
      </c>
      <c r="BK1129">
        <v>0</v>
      </c>
      <c r="BL1129">
        <v>0</v>
      </c>
      <c r="BM1129">
        <v>8</v>
      </c>
      <c r="BN1129">
        <v>8</v>
      </c>
      <c r="BO1129">
        <v>8</v>
      </c>
      <c r="BP1129">
        <v>8</v>
      </c>
      <c r="BQ1129" t="str">
        <f>"3:00 PM"</f>
        <v>3:00 PM</v>
      </c>
      <c r="BR1129" t="str">
        <f>"11:00 PM"</f>
        <v>11:00 PM</v>
      </c>
      <c r="BS1129" t="s">
        <v>133</v>
      </c>
      <c r="BT1129">
        <v>0</v>
      </c>
      <c r="BU1129">
        <v>0</v>
      </c>
      <c r="BV1129" t="s">
        <v>134</v>
      </c>
      <c r="BX1129" t="s">
        <v>2784</v>
      </c>
      <c r="BY1129" t="s">
        <v>16654</v>
      </c>
      <c r="CA1129" t="s">
        <v>9030</v>
      </c>
      <c r="CB1129" t="s">
        <v>349</v>
      </c>
      <c r="CC1129" s="4" t="str">
        <f>"83854"</f>
        <v>83854</v>
      </c>
      <c r="CD1129" t="s">
        <v>1454</v>
      </c>
      <c r="CE1129" t="s">
        <v>1455</v>
      </c>
      <c r="CF1129" s="6">
        <v>11.11</v>
      </c>
      <c r="CG1129" s="6">
        <v>16.649999999999999</v>
      </c>
      <c r="CH1129" s="6">
        <v>0</v>
      </c>
      <c r="CI1129" s="6">
        <v>0</v>
      </c>
      <c r="CJ1129" t="s">
        <v>137</v>
      </c>
      <c r="CL1129" t="s">
        <v>16656</v>
      </c>
      <c r="CO1129" t="s">
        <v>138</v>
      </c>
      <c r="CP1129" t="s">
        <v>114</v>
      </c>
      <c r="CQ1129" t="s">
        <v>134</v>
      </c>
      <c r="CR1129" t="s">
        <v>134</v>
      </c>
      <c r="CS1129" t="s">
        <v>114</v>
      </c>
      <c r="CT1129" t="s">
        <v>114</v>
      </c>
      <c r="CU1129" t="s">
        <v>114</v>
      </c>
      <c r="CV1129" t="s">
        <v>16657</v>
      </c>
      <c r="CW1129" s="5" t="str">
        <f>"+12086606829"</f>
        <v>+12086606829</v>
      </c>
      <c r="CX1129" t="s">
        <v>16655</v>
      </c>
      <c r="CY1129" t="s">
        <v>138</v>
      </c>
      <c r="CZ1129" t="s">
        <v>139</v>
      </c>
      <c r="DA1129" t="s">
        <v>134</v>
      </c>
      <c r="DB1129" t="s">
        <v>134</v>
      </c>
      <c r="DC1129" t="s">
        <v>114</v>
      </c>
      <c r="DD1129" t="s">
        <v>134</v>
      </c>
    </row>
    <row r="1130" spans="1:113" ht="15" customHeight="1" x14ac:dyDescent="0.25">
      <c r="A1130" t="s">
        <v>7835</v>
      </c>
      <c r="B1130" t="s">
        <v>113</v>
      </c>
      <c r="C1130" s="1">
        <v>44888.759058101852</v>
      </c>
      <c r="D1130" s="1">
        <v>44917</v>
      </c>
      <c r="E1130" t="s">
        <v>134</v>
      </c>
      <c r="F1130" t="s">
        <v>7836</v>
      </c>
      <c r="G1130" t="str">
        <f>"31-1122.00"</f>
        <v>31-1122.00</v>
      </c>
      <c r="H1130" t="s">
        <v>3583</v>
      </c>
      <c r="I1130">
        <v>1000</v>
      </c>
      <c r="K1130" s="1">
        <v>44970</v>
      </c>
      <c r="L1130" s="1">
        <v>45260</v>
      </c>
      <c r="O1130" t="s">
        <v>168</v>
      </c>
      <c r="P1130" t="s">
        <v>7837</v>
      </c>
      <c r="Q1130" t="s">
        <v>7838</v>
      </c>
      <c r="R1130" t="s">
        <v>7839</v>
      </c>
      <c r="T1130" t="s">
        <v>1632</v>
      </c>
      <c r="U1130" t="s">
        <v>792</v>
      </c>
      <c r="V1130" s="4" t="str">
        <f>"98104"</f>
        <v>98104</v>
      </c>
      <c r="W1130" t="s">
        <v>120</v>
      </c>
      <c r="Y1130" s="5">
        <v>12066794181</v>
      </c>
      <c r="AA1130">
        <v>621610</v>
      </c>
      <c r="AB1130" t="s">
        <v>7840</v>
      </c>
      <c r="AC1130" t="s">
        <v>7841</v>
      </c>
      <c r="AD1130" t="s">
        <v>5871</v>
      </c>
      <c r="AE1130" t="s">
        <v>285</v>
      </c>
      <c r="AF1130" t="s">
        <v>7611</v>
      </c>
      <c r="AH1130" t="s">
        <v>7612</v>
      </c>
      <c r="AI1130" t="s">
        <v>792</v>
      </c>
      <c r="AJ1130" s="4" t="str">
        <f>"98104"</f>
        <v>98104</v>
      </c>
      <c r="AK1130" t="s">
        <v>120</v>
      </c>
      <c r="AM1130" s="5">
        <v>12066794181</v>
      </c>
      <c r="AO1130" t="s">
        <v>7616</v>
      </c>
      <c r="AX1130" s="4" t="str">
        <f>""</f>
        <v/>
      </c>
      <c r="BG1130" t="s">
        <v>792</v>
      </c>
      <c r="BH1130" s="1">
        <v>44812.833333333336</v>
      </c>
      <c r="BI1130">
        <v>40</v>
      </c>
      <c r="BJ1130">
        <v>4</v>
      </c>
      <c r="BK1130">
        <v>6</v>
      </c>
      <c r="BL1130">
        <v>6</v>
      </c>
      <c r="BM1130">
        <v>6</v>
      </c>
      <c r="BN1130">
        <v>6</v>
      </c>
      <c r="BO1130">
        <v>6</v>
      </c>
      <c r="BP1130">
        <v>6</v>
      </c>
      <c r="BQ1130" t="str">
        <f>"9:00 AM"</f>
        <v>9:00 AM</v>
      </c>
      <c r="BR1130" t="str">
        <f>"3:00 PM"</f>
        <v>3:00 PM</v>
      </c>
      <c r="BS1130" t="s">
        <v>133</v>
      </c>
      <c r="BT1130">
        <v>0</v>
      </c>
      <c r="BU1130">
        <v>0</v>
      </c>
      <c r="BV1130" t="s">
        <v>134</v>
      </c>
      <c r="BX1130" t="s">
        <v>2314</v>
      </c>
      <c r="BY1130" t="s">
        <v>7611</v>
      </c>
      <c r="CA1130" t="s">
        <v>7612</v>
      </c>
      <c r="CB1130" t="s">
        <v>792</v>
      </c>
      <c r="CC1130" s="4" t="str">
        <f>"98104"</f>
        <v>98104</v>
      </c>
      <c r="CD1130" t="s">
        <v>2679</v>
      </c>
      <c r="CE1130" t="s">
        <v>2680</v>
      </c>
      <c r="CF1130" s="6">
        <v>19.7</v>
      </c>
      <c r="CG1130" s="6">
        <v>22</v>
      </c>
      <c r="CH1130" s="6">
        <v>29.55</v>
      </c>
      <c r="CI1130" s="6">
        <v>33</v>
      </c>
      <c r="CJ1130" t="s">
        <v>137</v>
      </c>
      <c r="CK1130" t="s">
        <v>2314</v>
      </c>
      <c r="CL1130" t="s">
        <v>7842</v>
      </c>
      <c r="CO1130" t="s">
        <v>138</v>
      </c>
      <c r="CP1130" t="s">
        <v>134</v>
      </c>
      <c r="CQ1130" t="s">
        <v>134</v>
      </c>
      <c r="CR1130" t="s">
        <v>114</v>
      </c>
      <c r="CS1130" t="s">
        <v>114</v>
      </c>
      <c r="CT1130" t="s">
        <v>114</v>
      </c>
      <c r="CU1130" t="s">
        <v>114</v>
      </c>
      <c r="CV1130" t="s">
        <v>7843</v>
      </c>
      <c r="CW1130" s="5" t="str">
        <f>"+12066794181"</f>
        <v>+12066794181</v>
      </c>
      <c r="CX1130" t="s">
        <v>7616</v>
      </c>
      <c r="CY1130" t="s">
        <v>7844</v>
      </c>
      <c r="CZ1130" t="s">
        <v>139</v>
      </c>
      <c r="DA1130" t="s">
        <v>134</v>
      </c>
      <c r="DB1130" t="s">
        <v>114</v>
      </c>
      <c r="DC1130" t="s">
        <v>114</v>
      </c>
      <c r="DD1130" t="s">
        <v>134</v>
      </c>
      <c r="DE1130" t="s">
        <v>7620</v>
      </c>
      <c r="DF1130" t="s">
        <v>7614</v>
      </c>
      <c r="DG1130">
        <v>0</v>
      </c>
      <c r="DH1130" t="s">
        <v>7610</v>
      </c>
      <c r="DI1130" t="s">
        <v>7616</v>
      </c>
    </row>
    <row r="1131" spans="1:113" ht="15" customHeight="1" x14ac:dyDescent="0.25">
      <c r="A1131" t="s">
        <v>14746</v>
      </c>
      <c r="B1131" t="s">
        <v>113</v>
      </c>
      <c r="C1131" s="1">
        <v>44887.790768634259</v>
      </c>
      <c r="D1131" s="1">
        <v>44917</v>
      </c>
      <c r="E1131" t="s">
        <v>134</v>
      </c>
      <c r="F1131" t="s">
        <v>14747</v>
      </c>
      <c r="G1131" t="str">
        <f>"49-3021.00"</f>
        <v>49-3021.00</v>
      </c>
      <c r="H1131" t="s">
        <v>14748</v>
      </c>
      <c r="I1131">
        <v>1</v>
      </c>
      <c r="K1131" s="1">
        <v>44965</v>
      </c>
      <c r="L1131" s="1">
        <v>45238</v>
      </c>
      <c r="O1131" t="s">
        <v>168</v>
      </c>
      <c r="P1131" t="s">
        <v>14749</v>
      </c>
      <c r="Q1131" t="s">
        <v>14750</v>
      </c>
      <c r="R1131" t="s">
        <v>14751</v>
      </c>
      <c r="T1131" t="s">
        <v>7906</v>
      </c>
      <c r="U1131" t="s">
        <v>988</v>
      </c>
      <c r="V1131" s="4" t="str">
        <f>"89011"</f>
        <v>89011</v>
      </c>
      <c r="W1131" t="s">
        <v>120</v>
      </c>
      <c r="Y1131" s="5">
        <v>17025586791</v>
      </c>
      <c r="AA1131">
        <v>811121</v>
      </c>
      <c r="AB1131" t="s">
        <v>2033</v>
      </c>
      <c r="AC1131" t="s">
        <v>396</v>
      </c>
      <c r="AE1131" t="s">
        <v>285</v>
      </c>
      <c r="AF1131" t="s">
        <v>14751</v>
      </c>
      <c r="AH1131" t="s">
        <v>7906</v>
      </c>
      <c r="AI1131" t="s">
        <v>988</v>
      </c>
      <c r="AJ1131" s="4" t="str">
        <f>"89011"</f>
        <v>89011</v>
      </c>
      <c r="AK1131" t="s">
        <v>120</v>
      </c>
      <c r="AM1131" s="5">
        <v>17025586791</v>
      </c>
      <c r="AO1131" t="s">
        <v>14752</v>
      </c>
      <c r="AP1131" t="s">
        <v>122</v>
      </c>
      <c r="AQ1131" t="s">
        <v>2249</v>
      </c>
      <c r="AR1131" t="s">
        <v>4471</v>
      </c>
      <c r="AS1131" t="s">
        <v>2980</v>
      </c>
      <c r="AT1131" t="s">
        <v>14753</v>
      </c>
      <c r="AU1131" t="s">
        <v>10150</v>
      </c>
      <c r="AV1131" t="s">
        <v>4699</v>
      </c>
      <c r="AW1131" t="s">
        <v>988</v>
      </c>
      <c r="AX1131" s="4" t="str">
        <f>"89146"</f>
        <v>89146</v>
      </c>
      <c r="AY1131" t="s">
        <v>120</v>
      </c>
      <c r="BA1131" s="5">
        <v>17028989338</v>
      </c>
      <c r="BC1131" t="s">
        <v>14754</v>
      </c>
      <c r="BD1131" t="s">
        <v>14755</v>
      </c>
      <c r="BE1131" t="s">
        <v>988</v>
      </c>
      <c r="BF1131" t="s">
        <v>14756</v>
      </c>
      <c r="BG1131" t="s">
        <v>988</v>
      </c>
      <c r="BH1131" s="1">
        <v>44886.791666666664</v>
      </c>
      <c r="BI1131">
        <v>40</v>
      </c>
      <c r="BJ1131">
        <v>0</v>
      </c>
      <c r="BK1131">
        <v>8</v>
      </c>
      <c r="BL1131">
        <v>8</v>
      </c>
      <c r="BM1131">
        <v>8</v>
      </c>
      <c r="BN1131">
        <v>8</v>
      </c>
      <c r="BO1131">
        <v>8</v>
      </c>
      <c r="BP1131">
        <v>0</v>
      </c>
      <c r="BQ1131" t="str">
        <f>"8:00 AM"</f>
        <v>8:00 AM</v>
      </c>
      <c r="BR1131" t="str">
        <f>"4:00 AM"</f>
        <v>4:00 AM</v>
      </c>
      <c r="BS1131" t="s">
        <v>133</v>
      </c>
      <c r="BT1131">
        <v>0</v>
      </c>
      <c r="BU1131">
        <v>12</v>
      </c>
      <c r="BV1131" t="s">
        <v>134</v>
      </c>
      <c r="BX1131" t="s">
        <v>14757</v>
      </c>
      <c r="BY1131" t="s">
        <v>14751</v>
      </c>
      <c r="CA1131" t="s">
        <v>7906</v>
      </c>
      <c r="CB1131" t="s">
        <v>988</v>
      </c>
      <c r="CC1131" s="4" t="str">
        <f>"89011"</f>
        <v>89011</v>
      </c>
      <c r="CD1131" t="s">
        <v>2493</v>
      </c>
      <c r="CE1131" t="s">
        <v>4388</v>
      </c>
      <c r="CF1131" s="6">
        <v>25.2</v>
      </c>
      <c r="CG1131" s="6">
        <v>25.5</v>
      </c>
      <c r="CH1131" s="6">
        <v>37.799999999999997</v>
      </c>
      <c r="CI1131" s="6">
        <v>38.25</v>
      </c>
      <c r="CJ1131" t="s">
        <v>137</v>
      </c>
      <c r="CK1131" t="s">
        <v>14758</v>
      </c>
      <c r="CL1131" t="s">
        <v>14759</v>
      </c>
      <c r="CO1131" t="s">
        <v>138</v>
      </c>
      <c r="CP1131" t="s">
        <v>134</v>
      </c>
      <c r="CQ1131" t="s">
        <v>134</v>
      </c>
      <c r="CR1131" t="s">
        <v>114</v>
      </c>
      <c r="CS1131" t="s">
        <v>134</v>
      </c>
      <c r="CT1131" t="s">
        <v>134</v>
      </c>
      <c r="CU1131" t="s">
        <v>134</v>
      </c>
      <c r="CV1131" t="s">
        <v>2314</v>
      </c>
      <c r="CW1131" s="5" t="str">
        <f>"+17025586791"</f>
        <v>+17025586791</v>
      </c>
      <c r="CX1131" t="s">
        <v>14760</v>
      </c>
      <c r="CY1131" t="s">
        <v>138</v>
      </c>
      <c r="CZ1131" t="s">
        <v>139</v>
      </c>
      <c r="DA1131" t="s">
        <v>134</v>
      </c>
      <c r="DB1131" t="s">
        <v>134</v>
      </c>
      <c r="DC1131" t="s">
        <v>114</v>
      </c>
      <c r="DD1131" t="s">
        <v>134</v>
      </c>
      <c r="DE1131" t="s">
        <v>2249</v>
      </c>
      <c r="DF1131" t="s">
        <v>975</v>
      </c>
      <c r="DG1131" t="s">
        <v>2795</v>
      </c>
      <c r="DH1131" t="s">
        <v>14755</v>
      </c>
      <c r="DI1131" t="s">
        <v>14754</v>
      </c>
    </row>
    <row r="1132" spans="1:113" ht="15" customHeight="1" x14ac:dyDescent="0.25">
      <c r="A1132" t="s">
        <v>14761</v>
      </c>
      <c r="B1132" t="s">
        <v>113</v>
      </c>
      <c r="C1132" s="1">
        <v>44886.646212731481</v>
      </c>
      <c r="D1132" s="1">
        <v>44917</v>
      </c>
      <c r="E1132" t="s">
        <v>134</v>
      </c>
      <c r="F1132" t="s">
        <v>1994</v>
      </c>
      <c r="G1132" t="str">
        <f>"47-2061.00"</f>
        <v>47-2061.00</v>
      </c>
      <c r="H1132" t="s">
        <v>1625</v>
      </c>
      <c r="I1132">
        <v>50</v>
      </c>
      <c r="K1132" s="1">
        <v>44970</v>
      </c>
      <c r="L1132" s="1">
        <v>45151</v>
      </c>
      <c r="O1132" t="s">
        <v>117</v>
      </c>
      <c r="P1132" t="s">
        <v>14762</v>
      </c>
      <c r="R1132" t="s">
        <v>14763</v>
      </c>
      <c r="T1132" t="s">
        <v>14764</v>
      </c>
      <c r="U1132" t="s">
        <v>119</v>
      </c>
      <c r="V1132" s="4" t="str">
        <f>"28697"</f>
        <v>28697</v>
      </c>
      <c r="W1132" t="s">
        <v>120</v>
      </c>
      <c r="Y1132" s="5">
        <v>13369845095</v>
      </c>
      <c r="AA1132">
        <v>23611</v>
      </c>
      <c r="AB1132" t="s">
        <v>4588</v>
      </c>
      <c r="AC1132" t="s">
        <v>1809</v>
      </c>
      <c r="AE1132" t="s">
        <v>6161</v>
      </c>
      <c r="AF1132" t="s">
        <v>14765</v>
      </c>
      <c r="AH1132" t="s">
        <v>14764</v>
      </c>
      <c r="AI1132" t="s">
        <v>119</v>
      </c>
      <c r="AJ1132" s="4" t="str">
        <f>"28697"</f>
        <v>28697</v>
      </c>
      <c r="AK1132" t="s">
        <v>120</v>
      </c>
      <c r="AM1132" s="5">
        <v>13369845095</v>
      </c>
      <c r="AO1132" t="s">
        <v>14766</v>
      </c>
      <c r="AX1132" s="4" t="str">
        <f>""</f>
        <v/>
      </c>
      <c r="BG1132" t="s">
        <v>119</v>
      </c>
      <c r="BH1132" s="1">
        <v>44885.791666666664</v>
      </c>
      <c r="BI1132">
        <v>40</v>
      </c>
      <c r="BJ1132">
        <v>0</v>
      </c>
      <c r="BK1132">
        <v>8</v>
      </c>
      <c r="BL1132">
        <v>8</v>
      </c>
      <c r="BM1132">
        <v>8</v>
      </c>
      <c r="BN1132">
        <v>8</v>
      </c>
      <c r="BO1132">
        <v>8</v>
      </c>
      <c r="BP1132">
        <v>0</v>
      </c>
      <c r="BQ1132" t="str">
        <f>"9:00 AM"</f>
        <v>9:00 AM</v>
      </c>
      <c r="BR1132" t="str">
        <f>"5:00 PM"</f>
        <v>5:00 PM</v>
      </c>
      <c r="BS1132" t="s">
        <v>133</v>
      </c>
      <c r="BT1132">
        <v>0</v>
      </c>
      <c r="BU1132">
        <v>0</v>
      </c>
      <c r="BV1132" t="s">
        <v>134</v>
      </c>
      <c r="BX1132" t="s">
        <v>2859</v>
      </c>
      <c r="BY1132" t="s">
        <v>14767</v>
      </c>
      <c r="CA1132" t="s">
        <v>9016</v>
      </c>
      <c r="CB1132" t="s">
        <v>119</v>
      </c>
      <c r="CC1132" s="4" t="str">
        <f>"28604"</f>
        <v>28604</v>
      </c>
      <c r="CD1132" t="s">
        <v>4245</v>
      </c>
      <c r="CE1132" t="s">
        <v>4043</v>
      </c>
      <c r="CF1132" s="6">
        <v>16.59</v>
      </c>
      <c r="CG1132" s="6">
        <v>25</v>
      </c>
      <c r="CH1132" s="6">
        <v>24.89</v>
      </c>
      <c r="CI1132" s="6">
        <v>37.5</v>
      </c>
      <c r="CJ1132" t="s">
        <v>137</v>
      </c>
      <c r="CL1132" t="s">
        <v>14768</v>
      </c>
      <c r="CO1132" t="s">
        <v>138</v>
      </c>
      <c r="CP1132" t="s">
        <v>114</v>
      </c>
      <c r="CQ1132" t="s">
        <v>114</v>
      </c>
      <c r="CR1132" t="s">
        <v>134</v>
      </c>
      <c r="CS1132" t="s">
        <v>114</v>
      </c>
      <c r="CT1132" t="s">
        <v>114</v>
      </c>
      <c r="CU1132" t="s">
        <v>114</v>
      </c>
      <c r="CV1132" t="s">
        <v>133</v>
      </c>
      <c r="CW1132" s="5" t="str">
        <f>"+13366673182"</f>
        <v>+13366673182</v>
      </c>
      <c r="CX1132" t="s">
        <v>14766</v>
      </c>
      <c r="CY1132" t="s">
        <v>138</v>
      </c>
      <c r="CZ1132" t="s">
        <v>139</v>
      </c>
      <c r="DA1132" t="s">
        <v>134</v>
      </c>
      <c r="DB1132" t="s">
        <v>134</v>
      </c>
      <c r="DC1132" t="s">
        <v>114</v>
      </c>
      <c r="DD1132" t="s">
        <v>134</v>
      </c>
    </row>
    <row r="1133" spans="1:113" ht="15" customHeight="1" x14ac:dyDescent="0.25">
      <c r="A1133" t="s">
        <v>13260</v>
      </c>
      <c r="B1133" t="s">
        <v>113</v>
      </c>
      <c r="C1133" s="1">
        <v>44864.993277777779</v>
      </c>
      <c r="D1133" s="1">
        <v>44917</v>
      </c>
      <c r="E1133" t="s">
        <v>134</v>
      </c>
      <c r="F1133" t="s">
        <v>4407</v>
      </c>
      <c r="G1133" t="str">
        <f>"37-2012.00"</f>
        <v>37-2012.00</v>
      </c>
      <c r="H1133" t="s">
        <v>116</v>
      </c>
      <c r="I1133">
        <v>50</v>
      </c>
      <c r="K1133" s="1">
        <v>44952</v>
      </c>
      <c r="L1133" s="1">
        <v>45107</v>
      </c>
      <c r="O1133" t="s">
        <v>199</v>
      </c>
      <c r="P1133" t="s">
        <v>10846</v>
      </c>
      <c r="Q1133" t="s">
        <v>10846</v>
      </c>
      <c r="R1133" t="s">
        <v>10847</v>
      </c>
      <c r="T1133" t="s">
        <v>10848</v>
      </c>
      <c r="U1133" t="s">
        <v>281</v>
      </c>
      <c r="V1133" s="4" t="str">
        <f>"02148"</f>
        <v>02148</v>
      </c>
      <c r="W1133" t="s">
        <v>120</v>
      </c>
      <c r="Y1133" s="5">
        <v>14078007628</v>
      </c>
      <c r="AA1133">
        <v>113110</v>
      </c>
      <c r="AB1133" t="s">
        <v>10849</v>
      </c>
      <c r="AC1133" t="s">
        <v>125</v>
      </c>
      <c r="AD1133" t="s">
        <v>10850</v>
      </c>
      <c r="AE1133" t="s">
        <v>4407</v>
      </c>
      <c r="AF1133" t="s">
        <v>10847</v>
      </c>
      <c r="AH1133" t="s">
        <v>10848</v>
      </c>
      <c r="AI1133" t="s">
        <v>281</v>
      </c>
      <c r="AJ1133" s="4" t="str">
        <f>"02148"</f>
        <v>02148</v>
      </c>
      <c r="AK1133" t="s">
        <v>120</v>
      </c>
      <c r="AM1133" s="5">
        <v>14078007628</v>
      </c>
      <c r="AO1133" t="s">
        <v>10851</v>
      </c>
      <c r="AP1133" t="s">
        <v>256</v>
      </c>
      <c r="AQ1133" t="s">
        <v>10849</v>
      </c>
      <c r="AR1133" t="s">
        <v>125</v>
      </c>
      <c r="AS1133" t="s">
        <v>10850</v>
      </c>
      <c r="AT1133" t="s">
        <v>10847</v>
      </c>
      <c r="AV1133" t="s">
        <v>10848</v>
      </c>
      <c r="AW1133" t="s">
        <v>281</v>
      </c>
      <c r="AX1133" s="4" t="str">
        <f>"02148"</f>
        <v>02148</v>
      </c>
      <c r="AY1133" t="s">
        <v>120</v>
      </c>
      <c r="BA1133" s="5">
        <v>14078007628</v>
      </c>
      <c r="BC1133" t="s">
        <v>10851</v>
      </c>
      <c r="BD1133" t="s">
        <v>10846</v>
      </c>
      <c r="BG1133" t="s">
        <v>281</v>
      </c>
      <c r="BH1133" s="1">
        <v>44828.833333333336</v>
      </c>
      <c r="BI1133">
        <v>56</v>
      </c>
      <c r="BJ1133">
        <v>8</v>
      </c>
      <c r="BK1133">
        <v>8</v>
      </c>
      <c r="BL1133">
        <v>8</v>
      </c>
      <c r="BM1133">
        <v>8</v>
      </c>
      <c r="BN1133">
        <v>8</v>
      </c>
      <c r="BO1133">
        <v>8</v>
      </c>
      <c r="BP1133">
        <v>8</v>
      </c>
      <c r="BQ1133" t="str">
        <f>"7:00 AM"</f>
        <v>7:00 AM</v>
      </c>
      <c r="BR1133" t="str">
        <f>"5:00 PM"</f>
        <v>5:00 PM</v>
      </c>
      <c r="BS1133" t="s">
        <v>295</v>
      </c>
      <c r="BT1133">
        <v>1</v>
      </c>
      <c r="BU1133">
        <v>6</v>
      </c>
      <c r="BV1133" t="s">
        <v>134</v>
      </c>
      <c r="BX1133" s="2" t="s">
        <v>13261</v>
      </c>
      <c r="BY1133" t="s">
        <v>13262</v>
      </c>
      <c r="CA1133" t="s">
        <v>13263</v>
      </c>
      <c r="CB1133" t="s">
        <v>281</v>
      </c>
      <c r="CC1133" s="4" t="str">
        <f>"01701"</f>
        <v>01701</v>
      </c>
      <c r="CD1133" t="s">
        <v>13264</v>
      </c>
      <c r="CE1133" t="s">
        <v>2630</v>
      </c>
      <c r="CF1133" s="6">
        <v>18</v>
      </c>
      <c r="CG1133" s="6">
        <v>20</v>
      </c>
      <c r="CH1133" s="6">
        <v>20</v>
      </c>
      <c r="CI1133" s="6">
        <v>22</v>
      </c>
      <c r="CJ1133" t="s">
        <v>137</v>
      </c>
      <c r="CL1133" t="s">
        <v>13265</v>
      </c>
      <c r="CO1133" t="s">
        <v>138</v>
      </c>
      <c r="CP1133" t="s">
        <v>134</v>
      </c>
      <c r="CQ1133" t="s">
        <v>114</v>
      </c>
      <c r="CR1133" t="s">
        <v>114</v>
      </c>
      <c r="CS1133" t="s">
        <v>114</v>
      </c>
      <c r="CT1133" t="s">
        <v>114</v>
      </c>
      <c r="CU1133" t="s">
        <v>114</v>
      </c>
      <c r="CV1133" t="e">
        <f>- Unpaid disciplinary suspensions of One or more full days imposed in good faith for violations of workplace conduct rules, such as harassment and violence, but not rules governing absences, work quality, cash shortages, and damaged equipment (deductions for partial days are not allowed)
 - During the initial or final week of employment, if the employee works less than a full week (both full and partial days)</f>
        <v>#NAME?</v>
      </c>
      <c r="CW1133" s="5" t="str">
        <f>"+14078007628"</f>
        <v>+14078007628</v>
      </c>
      <c r="CX1133" t="s">
        <v>10851</v>
      </c>
      <c r="CY1133" t="s">
        <v>138</v>
      </c>
      <c r="CZ1133" t="s">
        <v>139</v>
      </c>
      <c r="DA1133" t="s">
        <v>134</v>
      </c>
      <c r="DB1133" t="s">
        <v>114</v>
      </c>
      <c r="DC1133" t="s">
        <v>114</v>
      </c>
      <c r="DD1133" t="s">
        <v>134</v>
      </c>
    </row>
    <row r="1134" spans="1:113" ht="15" customHeight="1" x14ac:dyDescent="0.25">
      <c r="A1134" t="s">
        <v>16027</v>
      </c>
      <c r="B1134" t="s">
        <v>113</v>
      </c>
      <c r="C1134" s="1">
        <v>44883.465191203701</v>
      </c>
      <c r="D1134" s="1">
        <v>44916</v>
      </c>
      <c r="E1134" t="s">
        <v>134</v>
      </c>
      <c r="F1134" t="s">
        <v>16028</v>
      </c>
      <c r="G1134" t="str">
        <f>"37-3011.00"</f>
        <v>37-3011.00</v>
      </c>
      <c r="H1134" t="s">
        <v>335</v>
      </c>
      <c r="I1134">
        <v>8</v>
      </c>
      <c r="K1134" s="1">
        <v>44973</v>
      </c>
      <c r="L1134" s="1">
        <v>45275</v>
      </c>
      <c r="O1134" t="s">
        <v>117</v>
      </c>
      <c r="P1134" t="s">
        <v>16029</v>
      </c>
      <c r="R1134" t="s">
        <v>16030</v>
      </c>
      <c r="T1134" t="s">
        <v>5507</v>
      </c>
      <c r="U1134" t="s">
        <v>214</v>
      </c>
      <c r="V1134" s="4" t="str">
        <f>"70555"</f>
        <v>70555</v>
      </c>
      <c r="W1134" t="s">
        <v>120</v>
      </c>
      <c r="Y1134" s="5">
        <v>13372571230</v>
      </c>
      <c r="AA1134">
        <v>561730</v>
      </c>
      <c r="AB1134" t="s">
        <v>338</v>
      </c>
      <c r="AC1134" t="s">
        <v>2210</v>
      </c>
      <c r="AE1134" t="s">
        <v>424</v>
      </c>
      <c r="AF1134" t="s">
        <v>16030</v>
      </c>
      <c r="AH1134" t="s">
        <v>5507</v>
      </c>
      <c r="AI1134" t="s">
        <v>214</v>
      </c>
      <c r="AJ1134" s="4" t="str">
        <f>"70555"</f>
        <v>70555</v>
      </c>
      <c r="AK1134" t="s">
        <v>120</v>
      </c>
      <c r="AM1134" s="5">
        <v>13372571230</v>
      </c>
      <c r="AO1134" t="s">
        <v>16031</v>
      </c>
      <c r="AP1134" t="s">
        <v>122</v>
      </c>
      <c r="AQ1134" t="s">
        <v>7153</v>
      </c>
      <c r="AR1134" t="s">
        <v>2317</v>
      </c>
      <c r="AS1134" t="s">
        <v>7154</v>
      </c>
      <c r="AT1134" t="s">
        <v>4175</v>
      </c>
      <c r="AV1134" t="s">
        <v>4176</v>
      </c>
      <c r="AW1134" t="s">
        <v>214</v>
      </c>
      <c r="AX1134" s="4" t="str">
        <f>"70601"</f>
        <v>70601</v>
      </c>
      <c r="AY1134" t="s">
        <v>120</v>
      </c>
      <c r="BA1134" s="5">
        <v>14699407805</v>
      </c>
      <c r="BC1134" t="s">
        <v>7156</v>
      </c>
      <c r="BD1134" t="s">
        <v>4177</v>
      </c>
      <c r="BE1134" t="s">
        <v>214</v>
      </c>
      <c r="BF1134" t="s">
        <v>3912</v>
      </c>
      <c r="BG1134" t="s">
        <v>214</v>
      </c>
      <c r="BH1134" s="1">
        <v>44878.791666666664</v>
      </c>
      <c r="BI1134">
        <v>40</v>
      </c>
      <c r="BJ1134">
        <v>0</v>
      </c>
      <c r="BK1134">
        <v>8</v>
      </c>
      <c r="BL1134">
        <v>8</v>
      </c>
      <c r="BM1134">
        <v>8</v>
      </c>
      <c r="BN1134">
        <v>8</v>
      </c>
      <c r="BO1134">
        <v>8</v>
      </c>
      <c r="BP1134">
        <v>0</v>
      </c>
      <c r="BQ1134" t="str">
        <f>"6:00 AM"</f>
        <v>6:00 AM</v>
      </c>
      <c r="BR1134" t="str">
        <f>"3:00 PM"</f>
        <v>3:00 PM</v>
      </c>
      <c r="BS1134" t="s">
        <v>133</v>
      </c>
      <c r="BT1134">
        <v>0</v>
      </c>
      <c r="BU1134">
        <v>3</v>
      </c>
      <c r="BV1134" t="s">
        <v>134</v>
      </c>
      <c r="BX1134" s="2" t="s">
        <v>16032</v>
      </c>
      <c r="BY1134" t="s">
        <v>16030</v>
      </c>
      <c r="CA1134" t="s">
        <v>5507</v>
      </c>
      <c r="CB1134" t="s">
        <v>214</v>
      </c>
      <c r="CC1134" s="4" t="str">
        <f>"70555"</f>
        <v>70555</v>
      </c>
      <c r="CD1134" t="s">
        <v>1821</v>
      </c>
      <c r="CE1134" t="s">
        <v>1822</v>
      </c>
      <c r="CF1134" s="6">
        <v>14.34</v>
      </c>
      <c r="CH1134" s="6">
        <v>21.51</v>
      </c>
      <c r="CJ1134" t="s">
        <v>137</v>
      </c>
      <c r="CK1134" t="s">
        <v>16033</v>
      </c>
      <c r="CL1134" t="s">
        <v>16034</v>
      </c>
      <c r="CO1134" t="s">
        <v>138</v>
      </c>
      <c r="CP1134" t="s">
        <v>114</v>
      </c>
      <c r="CQ1134" t="s">
        <v>114</v>
      </c>
      <c r="CR1134" t="s">
        <v>114</v>
      </c>
      <c r="CS1134" t="s">
        <v>134</v>
      </c>
      <c r="CT1134" t="s">
        <v>114</v>
      </c>
      <c r="CU1134" t="s">
        <v>134</v>
      </c>
      <c r="CV1134" t="s">
        <v>16035</v>
      </c>
      <c r="CW1134" s="5" t="str">
        <f>"+13376545627"</f>
        <v>+13376545627</v>
      </c>
      <c r="CX1134" t="s">
        <v>16031</v>
      </c>
      <c r="CY1134" t="s">
        <v>138</v>
      </c>
      <c r="CZ1134" t="s">
        <v>139</v>
      </c>
      <c r="DA1134" t="s">
        <v>134</v>
      </c>
      <c r="DB1134" t="s">
        <v>114</v>
      </c>
      <c r="DC1134" t="s">
        <v>114</v>
      </c>
      <c r="DD1134" t="s">
        <v>134</v>
      </c>
      <c r="DE1134" t="s">
        <v>1509</v>
      </c>
      <c r="DF1134" t="s">
        <v>7157</v>
      </c>
      <c r="DH1134" t="s">
        <v>4177</v>
      </c>
      <c r="DI1134" t="s">
        <v>7158</v>
      </c>
    </row>
    <row r="1135" spans="1:113" ht="15" customHeight="1" x14ac:dyDescent="0.25">
      <c r="A1135" t="s">
        <v>14017</v>
      </c>
      <c r="B1135" t="s">
        <v>113</v>
      </c>
      <c r="C1135" s="1">
        <v>44883.422884375002</v>
      </c>
      <c r="D1135" s="1">
        <v>44916</v>
      </c>
      <c r="E1135" t="s">
        <v>134</v>
      </c>
      <c r="F1135" t="s">
        <v>334</v>
      </c>
      <c r="G1135" t="str">
        <f>"37-3011.00"</f>
        <v>37-3011.00</v>
      </c>
      <c r="H1135" t="s">
        <v>335</v>
      </c>
      <c r="I1135">
        <v>5</v>
      </c>
      <c r="K1135" s="1">
        <v>44973</v>
      </c>
      <c r="L1135" s="1">
        <v>45275</v>
      </c>
      <c r="O1135" t="s">
        <v>117</v>
      </c>
      <c r="P1135" t="s">
        <v>13446</v>
      </c>
      <c r="R1135" t="s">
        <v>13447</v>
      </c>
      <c r="T1135" t="s">
        <v>13448</v>
      </c>
      <c r="U1135" t="s">
        <v>697</v>
      </c>
      <c r="V1135" s="4" t="str">
        <f>"63366"</f>
        <v>63366</v>
      </c>
      <c r="W1135" t="s">
        <v>120</v>
      </c>
      <c r="Y1135" s="5">
        <v>13142808738</v>
      </c>
      <c r="AA1135">
        <v>56173</v>
      </c>
      <c r="AB1135" t="s">
        <v>1588</v>
      </c>
      <c r="AC1135" t="s">
        <v>1580</v>
      </c>
      <c r="AE1135" t="s">
        <v>6161</v>
      </c>
      <c r="AF1135" t="s">
        <v>13447</v>
      </c>
      <c r="AH1135" t="s">
        <v>13448</v>
      </c>
      <c r="AI1135" t="s">
        <v>697</v>
      </c>
      <c r="AJ1135" s="4" t="str">
        <f>"63366"</f>
        <v>63366</v>
      </c>
      <c r="AK1135" t="s">
        <v>120</v>
      </c>
      <c r="AM1135" s="5">
        <v>13142808735</v>
      </c>
      <c r="AO1135" t="s">
        <v>13449</v>
      </c>
      <c r="AP1135" t="s">
        <v>122</v>
      </c>
      <c r="AQ1135" t="s">
        <v>1867</v>
      </c>
      <c r="AR1135" t="s">
        <v>1868</v>
      </c>
      <c r="AS1135" t="s">
        <v>1869</v>
      </c>
      <c r="AT1135" t="s">
        <v>1870</v>
      </c>
      <c r="AU1135" t="s">
        <v>1871</v>
      </c>
      <c r="AV1135" t="s">
        <v>1872</v>
      </c>
      <c r="AW1135" t="s">
        <v>1003</v>
      </c>
      <c r="AX1135" s="4" t="str">
        <f>"08034"</f>
        <v>08034</v>
      </c>
      <c r="AY1135" t="s">
        <v>120</v>
      </c>
      <c r="AZ1135" t="s">
        <v>1873</v>
      </c>
      <c r="BA1135" s="5">
        <v>18562819750</v>
      </c>
      <c r="BC1135" t="s">
        <v>1874</v>
      </c>
      <c r="BD1135" t="s">
        <v>1875</v>
      </c>
      <c r="BE1135" t="s">
        <v>1003</v>
      </c>
      <c r="BF1135" t="s">
        <v>1876</v>
      </c>
      <c r="BG1135" t="s">
        <v>697</v>
      </c>
      <c r="BH1135" s="1">
        <v>44879.791666666664</v>
      </c>
      <c r="BI1135">
        <v>40</v>
      </c>
      <c r="BJ1135">
        <v>0</v>
      </c>
      <c r="BK1135">
        <v>8</v>
      </c>
      <c r="BL1135">
        <v>8</v>
      </c>
      <c r="BM1135">
        <v>8</v>
      </c>
      <c r="BN1135">
        <v>8</v>
      </c>
      <c r="BO1135">
        <v>8</v>
      </c>
      <c r="BP1135">
        <v>0</v>
      </c>
      <c r="BQ1135" t="str">
        <f>"7:30 AM"</f>
        <v>7:30 AM</v>
      </c>
      <c r="BR1135" t="str">
        <f>"4:30 PM"</f>
        <v>4:30 PM</v>
      </c>
      <c r="BS1135" t="s">
        <v>133</v>
      </c>
      <c r="BT1135">
        <v>0</v>
      </c>
      <c r="BU1135">
        <v>0</v>
      </c>
      <c r="BV1135" t="s">
        <v>134</v>
      </c>
      <c r="BX1135" s="2" t="s">
        <v>14018</v>
      </c>
      <c r="BY1135" t="s">
        <v>13447</v>
      </c>
      <c r="CA1135" t="s">
        <v>13448</v>
      </c>
      <c r="CB1135" t="s">
        <v>697</v>
      </c>
      <c r="CC1135" s="4" t="str">
        <f>"63366"</f>
        <v>63366</v>
      </c>
      <c r="CD1135" t="s">
        <v>1962</v>
      </c>
      <c r="CE1135" t="s">
        <v>713</v>
      </c>
      <c r="CF1135" s="6">
        <v>16.96</v>
      </c>
      <c r="CG1135" s="6">
        <v>25.44</v>
      </c>
      <c r="CH1135" s="6">
        <v>25.44</v>
      </c>
      <c r="CI1135" s="6">
        <v>25.44</v>
      </c>
      <c r="CJ1135" t="s">
        <v>137</v>
      </c>
      <c r="CK1135" t="s">
        <v>2624</v>
      </c>
      <c r="CL1135" t="s">
        <v>13450</v>
      </c>
      <c r="CO1135" t="s">
        <v>138</v>
      </c>
      <c r="CP1135" t="s">
        <v>114</v>
      </c>
      <c r="CQ1135" t="s">
        <v>114</v>
      </c>
      <c r="CR1135" t="s">
        <v>114</v>
      </c>
      <c r="CS1135" t="s">
        <v>114</v>
      </c>
      <c r="CT1135" t="s">
        <v>114</v>
      </c>
      <c r="CU1135" t="s">
        <v>114</v>
      </c>
      <c r="CV1135" t="s">
        <v>13451</v>
      </c>
      <c r="CW1135" s="5" t="str">
        <f>"+13142808738"</f>
        <v>+13142808738</v>
      </c>
      <c r="CX1135" t="s">
        <v>13449</v>
      </c>
      <c r="CY1135" t="s">
        <v>138</v>
      </c>
      <c r="CZ1135" t="s">
        <v>139</v>
      </c>
      <c r="DA1135" t="s">
        <v>134</v>
      </c>
      <c r="DB1135" t="s">
        <v>114</v>
      </c>
      <c r="DC1135" t="s">
        <v>114</v>
      </c>
      <c r="DD1135" t="s">
        <v>134</v>
      </c>
    </row>
    <row r="1136" spans="1:113" ht="15" customHeight="1" x14ac:dyDescent="0.25">
      <c r="A1136" t="s">
        <v>3872</v>
      </c>
      <c r="B1136" t="s">
        <v>113</v>
      </c>
      <c r="C1136" s="1">
        <v>44881.945709259257</v>
      </c>
      <c r="D1136" s="1">
        <v>44916</v>
      </c>
      <c r="E1136" t="s">
        <v>134</v>
      </c>
      <c r="F1136" t="s">
        <v>3873</v>
      </c>
      <c r="G1136" t="str">
        <f>"43-6014.00"</f>
        <v>43-6014.00</v>
      </c>
      <c r="H1136" t="s">
        <v>3874</v>
      </c>
      <c r="I1136">
        <v>20</v>
      </c>
      <c r="K1136" s="1">
        <v>44971</v>
      </c>
      <c r="L1136" s="1">
        <v>45260</v>
      </c>
      <c r="O1136" t="s">
        <v>199</v>
      </c>
      <c r="P1136" t="s">
        <v>3875</v>
      </c>
      <c r="R1136" t="s">
        <v>3876</v>
      </c>
      <c r="T1136" t="s">
        <v>3877</v>
      </c>
      <c r="U1136" t="s">
        <v>154</v>
      </c>
      <c r="V1136" s="4" t="str">
        <f>"33409"</f>
        <v>33409</v>
      </c>
      <c r="W1136" t="s">
        <v>120</v>
      </c>
      <c r="Y1136" s="5">
        <v>18443739635</v>
      </c>
      <c r="AA1136">
        <v>561410</v>
      </c>
      <c r="AB1136" t="s">
        <v>3878</v>
      </c>
      <c r="AC1136" t="s">
        <v>3879</v>
      </c>
      <c r="AD1136" t="s">
        <v>1020</v>
      </c>
      <c r="AE1136" t="s">
        <v>1150</v>
      </c>
      <c r="AF1136" t="s">
        <v>3876</v>
      </c>
      <c r="AH1136" t="s">
        <v>3877</v>
      </c>
      <c r="AI1136" t="s">
        <v>154</v>
      </c>
      <c r="AJ1136" s="4" t="str">
        <f>"33409"</f>
        <v>33409</v>
      </c>
      <c r="AK1136" t="s">
        <v>120</v>
      </c>
      <c r="AM1136" s="5">
        <v>18443739635</v>
      </c>
      <c r="AO1136" t="s">
        <v>3880</v>
      </c>
      <c r="AX1136" s="4" t="str">
        <f>""</f>
        <v/>
      </c>
      <c r="BG1136" t="s">
        <v>154</v>
      </c>
      <c r="BH1136" s="1">
        <v>45047.833333333336</v>
      </c>
      <c r="BI1136">
        <v>35</v>
      </c>
      <c r="BJ1136">
        <v>0</v>
      </c>
      <c r="BK1136">
        <v>7</v>
      </c>
      <c r="BL1136">
        <v>7</v>
      </c>
      <c r="BM1136">
        <v>7</v>
      </c>
      <c r="BN1136">
        <v>7</v>
      </c>
      <c r="BO1136">
        <v>7</v>
      </c>
      <c r="BP1136">
        <v>0</v>
      </c>
      <c r="BQ1136" t="str">
        <f>"9:00 AM"</f>
        <v>9:00 AM</v>
      </c>
      <c r="BR1136" t="str">
        <f>"5:00 PM"</f>
        <v>5:00 PM</v>
      </c>
      <c r="BS1136" t="s">
        <v>295</v>
      </c>
      <c r="BT1136">
        <v>1</v>
      </c>
      <c r="BU1136">
        <v>1</v>
      </c>
      <c r="BV1136" t="s">
        <v>134</v>
      </c>
      <c r="BX1136" t="s">
        <v>3881</v>
      </c>
      <c r="BY1136" t="s">
        <v>3876</v>
      </c>
      <c r="CA1136" t="s">
        <v>3877</v>
      </c>
      <c r="CB1136" t="s">
        <v>154</v>
      </c>
      <c r="CC1136" s="4" t="str">
        <f>"33409"</f>
        <v>33409</v>
      </c>
      <c r="CD1136" t="s">
        <v>3882</v>
      </c>
      <c r="CE1136" t="s">
        <v>1742</v>
      </c>
      <c r="CF1136" s="6">
        <v>18.95</v>
      </c>
      <c r="CG1136" s="6">
        <v>18.95</v>
      </c>
      <c r="CJ1136" t="s">
        <v>137</v>
      </c>
      <c r="CL1136" t="s">
        <v>3883</v>
      </c>
      <c r="CO1136" t="s">
        <v>138</v>
      </c>
      <c r="CP1136" t="s">
        <v>134</v>
      </c>
      <c r="CQ1136" t="s">
        <v>134</v>
      </c>
      <c r="CR1136" t="s">
        <v>134</v>
      </c>
      <c r="CS1136" t="s">
        <v>134</v>
      </c>
      <c r="CT1136" t="s">
        <v>114</v>
      </c>
      <c r="CU1136" t="s">
        <v>134</v>
      </c>
      <c r="CV1136" t="s">
        <v>3884</v>
      </c>
      <c r="CW1136" s="5" t="str">
        <f>"N/A"</f>
        <v>N/A</v>
      </c>
      <c r="CX1136" t="s">
        <v>3885</v>
      </c>
      <c r="CY1136" t="s">
        <v>3886</v>
      </c>
      <c r="CZ1136" t="s">
        <v>139</v>
      </c>
      <c r="DA1136" t="s">
        <v>134</v>
      </c>
      <c r="DB1136" t="s">
        <v>134</v>
      </c>
      <c r="DC1136" t="s">
        <v>114</v>
      </c>
      <c r="DD1136" t="s">
        <v>134</v>
      </c>
    </row>
    <row r="1137" spans="1:113" ht="15" customHeight="1" x14ac:dyDescent="0.25">
      <c r="A1137" t="s">
        <v>8926</v>
      </c>
      <c r="B1137" t="s">
        <v>113</v>
      </c>
      <c r="C1137" s="1">
        <v>44886.587887268521</v>
      </c>
      <c r="D1137" s="1">
        <v>44915</v>
      </c>
      <c r="E1137" t="s">
        <v>134</v>
      </c>
      <c r="F1137" t="s">
        <v>8927</v>
      </c>
      <c r="G1137" t="str">
        <f>"35-1011.00"</f>
        <v>35-1011.00</v>
      </c>
      <c r="H1137" t="s">
        <v>3202</v>
      </c>
      <c r="I1137">
        <v>2</v>
      </c>
      <c r="K1137" s="1">
        <v>45229</v>
      </c>
      <c r="L1137" s="1">
        <v>45229</v>
      </c>
      <c r="O1137" t="s">
        <v>3130</v>
      </c>
      <c r="P1137" t="s">
        <v>8928</v>
      </c>
      <c r="R1137" t="s">
        <v>8929</v>
      </c>
      <c r="T1137" t="s">
        <v>8930</v>
      </c>
      <c r="U1137" t="s">
        <v>444</v>
      </c>
      <c r="V1137" s="4" t="str">
        <f>"95991"</f>
        <v>95991</v>
      </c>
      <c r="W1137" t="s">
        <v>120</v>
      </c>
      <c r="X1137" t="s">
        <v>8931</v>
      </c>
      <c r="Y1137" s="5">
        <v>15307779696</v>
      </c>
      <c r="AA1137">
        <v>722511</v>
      </c>
      <c r="AB1137" t="s">
        <v>8932</v>
      </c>
      <c r="AC1137" t="s">
        <v>5842</v>
      </c>
      <c r="AD1137" t="s">
        <v>259</v>
      </c>
      <c r="AE1137" t="s">
        <v>424</v>
      </c>
      <c r="AF1137" t="s">
        <v>8933</v>
      </c>
      <c r="AH1137" t="s">
        <v>8930</v>
      </c>
      <c r="AI1137" t="s">
        <v>444</v>
      </c>
      <c r="AJ1137" s="4" t="str">
        <f>"95993"</f>
        <v>95993</v>
      </c>
      <c r="AK1137" t="s">
        <v>120</v>
      </c>
      <c r="AL1137" t="s">
        <v>8931</v>
      </c>
      <c r="AM1137" s="5">
        <v>15307016778</v>
      </c>
      <c r="AO1137" t="s">
        <v>8934</v>
      </c>
      <c r="AX1137" s="4" t="str">
        <f>""</f>
        <v/>
      </c>
      <c r="BG1137" t="s">
        <v>444</v>
      </c>
      <c r="BH1137" s="1">
        <v>44795.833333333336</v>
      </c>
      <c r="BI1137">
        <v>40</v>
      </c>
      <c r="BJ1137">
        <v>8</v>
      </c>
      <c r="BK1137">
        <v>0</v>
      </c>
      <c r="BL1137">
        <v>8</v>
      </c>
      <c r="BM1137">
        <v>8</v>
      </c>
      <c r="BN1137">
        <v>8</v>
      </c>
      <c r="BO1137">
        <v>8</v>
      </c>
      <c r="BP1137">
        <v>0</v>
      </c>
      <c r="BQ1137" t="str">
        <f>"10:00 AM"</f>
        <v>10:00 AM</v>
      </c>
      <c r="BR1137" t="str">
        <f>"6:00 PM"</f>
        <v>6:00 PM</v>
      </c>
      <c r="BS1137" t="s">
        <v>295</v>
      </c>
      <c r="BT1137">
        <v>1</v>
      </c>
      <c r="BU1137">
        <v>12</v>
      </c>
      <c r="BV1137" t="s">
        <v>114</v>
      </c>
      <c r="BW1137">
        <v>3</v>
      </c>
      <c r="BX1137" t="s">
        <v>8935</v>
      </c>
      <c r="BY1137" t="s">
        <v>8929</v>
      </c>
      <c r="CA1137" t="s">
        <v>8930</v>
      </c>
      <c r="CB1137" t="s">
        <v>444</v>
      </c>
      <c r="CC1137" s="4" t="str">
        <f>"95991"</f>
        <v>95991</v>
      </c>
      <c r="CD1137" t="s">
        <v>8936</v>
      </c>
      <c r="CE1137" t="s">
        <v>8937</v>
      </c>
      <c r="CF1137" s="6">
        <v>20</v>
      </c>
      <c r="CG1137" s="6">
        <v>22</v>
      </c>
      <c r="CH1137" s="6">
        <v>30</v>
      </c>
      <c r="CI1137" s="6">
        <v>34</v>
      </c>
      <c r="CJ1137" t="s">
        <v>137</v>
      </c>
      <c r="CK1137" t="s">
        <v>138</v>
      </c>
      <c r="CL1137" t="s">
        <v>8938</v>
      </c>
      <c r="CO1137" t="s">
        <v>114</v>
      </c>
      <c r="CP1137" t="s">
        <v>134</v>
      </c>
      <c r="CQ1137" t="s">
        <v>114</v>
      </c>
      <c r="CR1137" t="s">
        <v>114</v>
      </c>
      <c r="CS1137" t="s">
        <v>114</v>
      </c>
      <c r="CT1137" t="s">
        <v>114</v>
      </c>
      <c r="CU1137" t="s">
        <v>114</v>
      </c>
      <c r="CV1137" t="s">
        <v>133</v>
      </c>
      <c r="CW1137" s="5" t="str">
        <f>"+15307016778"</f>
        <v>+15307016778</v>
      </c>
      <c r="CX1137" t="s">
        <v>8934</v>
      </c>
      <c r="CY1137" t="s">
        <v>138</v>
      </c>
      <c r="CZ1137" t="s">
        <v>139</v>
      </c>
      <c r="DA1137" t="s">
        <v>134</v>
      </c>
      <c r="DB1137" t="s">
        <v>134</v>
      </c>
      <c r="DC1137" t="s">
        <v>114</v>
      </c>
      <c r="DD1137" t="s">
        <v>134</v>
      </c>
    </row>
    <row r="1138" spans="1:113" ht="15" customHeight="1" x14ac:dyDescent="0.25">
      <c r="A1138" t="s">
        <v>12428</v>
      </c>
      <c r="B1138" t="s">
        <v>113</v>
      </c>
      <c r="C1138" s="1">
        <v>44881.859238541663</v>
      </c>
      <c r="D1138" s="1">
        <v>44915</v>
      </c>
      <c r="E1138" t="s">
        <v>134</v>
      </c>
      <c r="F1138" t="s">
        <v>12429</v>
      </c>
      <c r="G1138" t="str">
        <f>"39-2021.00"</f>
        <v>39-2021.00</v>
      </c>
      <c r="H1138" t="s">
        <v>615</v>
      </c>
      <c r="I1138">
        <v>1</v>
      </c>
      <c r="K1138" s="1">
        <v>44958</v>
      </c>
      <c r="L1138" s="1">
        <v>45292</v>
      </c>
      <c r="O1138" t="s">
        <v>3130</v>
      </c>
      <c r="P1138" t="s">
        <v>12430</v>
      </c>
      <c r="R1138" t="s">
        <v>12431</v>
      </c>
      <c r="T1138" t="s">
        <v>12432</v>
      </c>
      <c r="U1138" t="s">
        <v>697</v>
      </c>
      <c r="V1138" s="4" t="str">
        <f>"65459"</f>
        <v>65459</v>
      </c>
      <c r="W1138" t="s">
        <v>120</v>
      </c>
      <c r="Y1138" s="5">
        <v>16268068305</v>
      </c>
      <c r="AA1138">
        <v>812910</v>
      </c>
      <c r="AB1138" t="s">
        <v>12433</v>
      </c>
      <c r="AC1138" t="s">
        <v>12434</v>
      </c>
      <c r="AE1138" t="s">
        <v>963</v>
      </c>
      <c r="AF1138" t="s">
        <v>12431</v>
      </c>
      <c r="AH1138" t="s">
        <v>5530</v>
      </c>
      <c r="AI1138" t="s">
        <v>697</v>
      </c>
      <c r="AJ1138" s="4" t="str">
        <f>"65459"</f>
        <v>65459</v>
      </c>
      <c r="AK1138" t="s">
        <v>120</v>
      </c>
      <c r="AM1138" s="5">
        <v>16268068305</v>
      </c>
      <c r="AO1138" t="s">
        <v>12435</v>
      </c>
      <c r="AX1138" s="4" t="str">
        <f>""</f>
        <v/>
      </c>
      <c r="BG1138" t="s">
        <v>697</v>
      </c>
      <c r="BH1138" s="1">
        <v>44838.833333333336</v>
      </c>
      <c r="BI1138">
        <v>40</v>
      </c>
      <c r="BJ1138">
        <v>8</v>
      </c>
      <c r="BK1138">
        <v>0</v>
      </c>
      <c r="BL1138">
        <v>0</v>
      </c>
      <c r="BM1138">
        <v>8</v>
      </c>
      <c r="BN1138">
        <v>8</v>
      </c>
      <c r="BO1138">
        <v>8</v>
      </c>
      <c r="BP1138">
        <v>8</v>
      </c>
      <c r="BQ1138" t="str">
        <f>"7:00 AM"</f>
        <v>7:00 AM</v>
      </c>
      <c r="BR1138" t="str">
        <f>"6:00 PM"</f>
        <v>6:00 PM</v>
      </c>
      <c r="BS1138" t="s">
        <v>295</v>
      </c>
      <c r="BT1138">
        <v>1</v>
      </c>
      <c r="BU1138">
        <v>0</v>
      </c>
      <c r="BV1138" t="s">
        <v>134</v>
      </c>
      <c r="BX1138" t="s">
        <v>12436</v>
      </c>
      <c r="BY1138" t="s">
        <v>12431</v>
      </c>
      <c r="CA1138" t="s">
        <v>12432</v>
      </c>
      <c r="CB1138" t="s">
        <v>697</v>
      </c>
      <c r="CC1138" s="4" t="str">
        <f>"65459"</f>
        <v>65459</v>
      </c>
      <c r="CD1138" t="s">
        <v>4412</v>
      </c>
      <c r="CE1138" t="s">
        <v>4051</v>
      </c>
      <c r="CF1138" s="6">
        <v>12.5</v>
      </c>
      <c r="CG1138" s="6">
        <v>15</v>
      </c>
      <c r="CH1138" s="6">
        <v>18.75</v>
      </c>
      <c r="CI1138" s="6">
        <v>22.5</v>
      </c>
      <c r="CJ1138" t="s">
        <v>137</v>
      </c>
      <c r="CK1138" t="s">
        <v>1897</v>
      </c>
      <c r="CL1138" t="s">
        <v>12437</v>
      </c>
      <c r="CO1138" t="s">
        <v>138</v>
      </c>
      <c r="CP1138" t="s">
        <v>134</v>
      </c>
      <c r="CQ1138" t="s">
        <v>114</v>
      </c>
      <c r="CR1138" t="s">
        <v>114</v>
      </c>
      <c r="CS1138" t="s">
        <v>114</v>
      </c>
      <c r="CT1138" t="s">
        <v>114</v>
      </c>
      <c r="CU1138" t="s">
        <v>114</v>
      </c>
      <c r="CV1138" t="s">
        <v>12438</v>
      </c>
      <c r="CW1138" s="5" t="str">
        <f>"+16268068305"</f>
        <v>+16268068305</v>
      </c>
      <c r="CX1138" t="s">
        <v>12435</v>
      </c>
      <c r="CY1138" t="s">
        <v>12439</v>
      </c>
      <c r="CZ1138" t="s">
        <v>139</v>
      </c>
      <c r="DA1138" t="s">
        <v>134</v>
      </c>
      <c r="DB1138" t="s">
        <v>134</v>
      </c>
      <c r="DC1138" t="s">
        <v>114</v>
      </c>
      <c r="DD1138" t="s">
        <v>134</v>
      </c>
    </row>
    <row r="1139" spans="1:113" ht="15" customHeight="1" x14ac:dyDescent="0.25">
      <c r="A1139" t="s">
        <v>1295</v>
      </c>
      <c r="B1139" t="s">
        <v>113</v>
      </c>
      <c r="C1139" s="1">
        <v>44881.520256249998</v>
      </c>
      <c r="D1139" s="1">
        <v>44915</v>
      </c>
      <c r="E1139" t="s">
        <v>134</v>
      </c>
      <c r="F1139" t="s">
        <v>1296</v>
      </c>
      <c r="G1139" t="str">
        <f>"37-3011.00"</f>
        <v>37-3011.00</v>
      </c>
      <c r="H1139" t="s">
        <v>335</v>
      </c>
      <c r="I1139">
        <v>7</v>
      </c>
      <c r="K1139" s="1">
        <v>44958</v>
      </c>
      <c r="L1139" s="1">
        <v>45260</v>
      </c>
      <c r="O1139" t="s">
        <v>199</v>
      </c>
      <c r="P1139" t="s">
        <v>1297</v>
      </c>
      <c r="R1139" t="s">
        <v>1298</v>
      </c>
      <c r="T1139" t="s">
        <v>1299</v>
      </c>
      <c r="U1139" t="s">
        <v>748</v>
      </c>
      <c r="V1139" s="4" t="str">
        <f>"19061"</f>
        <v>19061</v>
      </c>
      <c r="W1139" t="s">
        <v>120</v>
      </c>
      <c r="Y1139" s="5">
        <v>16108001492</v>
      </c>
      <c r="AA1139">
        <v>56173</v>
      </c>
      <c r="AB1139" t="s">
        <v>1300</v>
      </c>
      <c r="AC1139" t="s">
        <v>1301</v>
      </c>
      <c r="AE1139" t="s">
        <v>342</v>
      </c>
      <c r="AF1139" t="s">
        <v>1298</v>
      </c>
      <c r="AH1139" t="s">
        <v>1299</v>
      </c>
      <c r="AI1139" t="s">
        <v>748</v>
      </c>
      <c r="AJ1139" s="4" t="str">
        <f>"19061"</f>
        <v>19061</v>
      </c>
      <c r="AK1139" t="s">
        <v>120</v>
      </c>
      <c r="AM1139" s="5">
        <v>16108001492</v>
      </c>
      <c r="AO1139" t="s">
        <v>1302</v>
      </c>
      <c r="AP1139" t="s">
        <v>122</v>
      </c>
      <c r="AQ1139" t="s">
        <v>1303</v>
      </c>
      <c r="AR1139" t="s">
        <v>1304</v>
      </c>
      <c r="AS1139" t="s">
        <v>532</v>
      </c>
      <c r="AT1139" t="s">
        <v>1305</v>
      </c>
      <c r="AV1139" t="s">
        <v>1306</v>
      </c>
      <c r="AW1139" t="s">
        <v>748</v>
      </c>
      <c r="AX1139" s="4" t="str">
        <f>"19063"</f>
        <v>19063</v>
      </c>
      <c r="AY1139" t="s">
        <v>120</v>
      </c>
      <c r="BA1139" s="5">
        <v>16103585976</v>
      </c>
      <c r="BC1139" t="s">
        <v>1307</v>
      </c>
      <c r="BD1139" t="s">
        <v>1308</v>
      </c>
      <c r="BE1139" t="s">
        <v>748</v>
      </c>
      <c r="BF1139" t="s">
        <v>1309</v>
      </c>
      <c r="BG1139" t="s">
        <v>748</v>
      </c>
      <c r="BH1139" s="1">
        <v>44880.791666666664</v>
      </c>
      <c r="BI1139">
        <v>50</v>
      </c>
      <c r="BJ1139">
        <v>0</v>
      </c>
      <c r="BK1139">
        <v>8</v>
      </c>
      <c r="BL1139">
        <v>8</v>
      </c>
      <c r="BM1139">
        <v>8</v>
      </c>
      <c r="BN1139">
        <v>8</v>
      </c>
      <c r="BO1139">
        <v>8</v>
      </c>
      <c r="BP1139">
        <v>10</v>
      </c>
      <c r="BQ1139" t="str">
        <f>"7:00 AM"</f>
        <v>7:00 AM</v>
      </c>
      <c r="BR1139" t="str">
        <f>"3:30 PM"</f>
        <v>3:30 PM</v>
      </c>
      <c r="BS1139" t="s">
        <v>133</v>
      </c>
      <c r="BT1139">
        <v>0</v>
      </c>
      <c r="BU1139">
        <v>0</v>
      </c>
      <c r="BV1139" t="s">
        <v>134</v>
      </c>
      <c r="BX1139" s="2" t="s">
        <v>1310</v>
      </c>
      <c r="BY1139" t="s">
        <v>1298</v>
      </c>
      <c r="CA1139" t="s">
        <v>1299</v>
      </c>
      <c r="CB1139" t="s">
        <v>748</v>
      </c>
      <c r="CC1139" s="4" t="str">
        <f>"19061"</f>
        <v>19061</v>
      </c>
      <c r="CD1139" t="s">
        <v>1311</v>
      </c>
      <c r="CE1139" t="s">
        <v>1266</v>
      </c>
      <c r="CF1139" s="6">
        <v>17.82</v>
      </c>
      <c r="CG1139" s="6">
        <v>17.82</v>
      </c>
      <c r="CH1139" s="6">
        <v>26.73</v>
      </c>
      <c r="CI1139" s="6">
        <v>26.73</v>
      </c>
      <c r="CJ1139" t="s">
        <v>137</v>
      </c>
      <c r="CL1139" t="s">
        <v>1312</v>
      </c>
      <c r="CO1139" t="s">
        <v>138</v>
      </c>
      <c r="CP1139" t="s">
        <v>114</v>
      </c>
      <c r="CQ1139" t="s">
        <v>114</v>
      </c>
      <c r="CR1139" t="s">
        <v>114</v>
      </c>
      <c r="CS1139" t="s">
        <v>114</v>
      </c>
      <c r="CT1139" t="s">
        <v>114</v>
      </c>
      <c r="CU1139" t="s">
        <v>134</v>
      </c>
      <c r="CV1139" t="s">
        <v>1313</v>
      </c>
      <c r="CW1139" s="5" t="str">
        <f>"+16108001492"</f>
        <v>+16108001492</v>
      </c>
      <c r="CX1139" t="s">
        <v>1302</v>
      </c>
      <c r="CY1139" t="s">
        <v>138</v>
      </c>
      <c r="CZ1139" t="s">
        <v>139</v>
      </c>
      <c r="DA1139" t="s">
        <v>134</v>
      </c>
      <c r="DB1139" t="s">
        <v>134</v>
      </c>
      <c r="DC1139" t="s">
        <v>114</v>
      </c>
      <c r="DD1139" t="s">
        <v>134</v>
      </c>
    </row>
    <row r="1140" spans="1:113" ht="15" customHeight="1" x14ac:dyDescent="0.25">
      <c r="A1140" t="s">
        <v>3840</v>
      </c>
      <c r="B1140" t="s">
        <v>113</v>
      </c>
      <c r="C1140" s="1">
        <v>44854.524232986114</v>
      </c>
      <c r="D1140" s="1">
        <v>44915</v>
      </c>
      <c r="E1140" t="s">
        <v>134</v>
      </c>
      <c r="F1140" t="s">
        <v>3841</v>
      </c>
      <c r="G1140" t="str">
        <f>"39-5012.00"</f>
        <v>39-5012.00</v>
      </c>
      <c r="H1140" t="s">
        <v>3842</v>
      </c>
      <c r="I1140">
        <v>4</v>
      </c>
      <c r="K1140" s="1">
        <v>44929</v>
      </c>
      <c r="L1140" s="1">
        <v>45172</v>
      </c>
      <c r="O1140" t="s">
        <v>117</v>
      </c>
      <c r="P1140" t="s">
        <v>3843</v>
      </c>
      <c r="R1140" t="s">
        <v>3844</v>
      </c>
      <c r="T1140" t="s">
        <v>3845</v>
      </c>
      <c r="U1140" t="s">
        <v>1361</v>
      </c>
      <c r="V1140" s="4" t="str">
        <f>"39567"</f>
        <v>39567</v>
      </c>
      <c r="W1140" t="s">
        <v>120</v>
      </c>
      <c r="Y1140" s="5">
        <v>12512590991</v>
      </c>
      <c r="AA1140">
        <v>812112</v>
      </c>
      <c r="AB1140" t="s">
        <v>3498</v>
      </c>
      <c r="AC1140" t="s">
        <v>3846</v>
      </c>
      <c r="AE1140" t="s">
        <v>963</v>
      </c>
      <c r="AF1140" t="s">
        <v>3844</v>
      </c>
      <c r="AH1140" t="s">
        <v>3845</v>
      </c>
      <c r="AI1140" t="s">
        <v>1361</v>
      </c>
      <c r="AJ1140" s="4" t="str">
        <f>"39567"</f>
        <v>39567</v>
      </c>
      <c r="AK1140" t="s">
        <v>120</v>
      </c>
      <c r="AM1140" s="5">
        <v>12512590991</v>
      </c>
      <c r="AO1140" t="s">
        <v>3847</v>
      </c>
      <c r="AX1140" s="4" t="str">
        <f>""</f>
        <v/>
      </c>
      <c r="BG1140" t="s">
        <v>1361</v>
      </c>
      <c r="BH1140" s="1">
        <v>44825.833333333336</v>
      </c>
      <c r="BI1140">
        <v>42</v>
      </c>
      <c r="BJ1140">
        <v>1</v>
      </c>
      <c r="BK1140">
        <v>8</v>
      </c>
      <c r="BL1140">
        <v>8</v>
      </c>
      <c r="BM1140">
        <v>8</v>
      </c>
      <c r="BN1140">
        <v>8</v>
      </c>
      <c r="BO1140">
        <v>8</v>
      </c>
      <c r="BP1140">
        <v>1</v>
      </c>
      <c r="BQ1140" t="str">
        <f>"8:00 AM"</f>
        <v>8:00 AM</v>
      </c>
      <c r="BR1140" t="str">
        <f>"5:00 PM"</f>
        <v>5:00 PM</v>
      </c>
      <c r="BS1140" t="s">
        <v>295</v>
      </c>
      <c r="BT1140">
        <v>1</v>
      </c>
      <c r="BU1140">
        <v>12</v>
      </c>
      <c r="BV1140" t="s">
        <v>134</v>
      </c>
      <c r="BX1140" t="s">
        <v>3848</v>
      </c>
      <c r="BY1140" t="s">
        <v>3849</v>
      </c>
      <c r="CA1140" t="s">
        <v>3845</v>
      </c>
      <c r="CB1140" t="s">
        <v>1361</v>
      </c>
      <c r="CC1140" s="4" t="str">
        <f>"39567"</f>
        <v>39567</v>
      </c>
      <c r="CD1140" t="s">
        <v>1116</v>
      </c>
      <c r="CE1140" t="s">
        <v>3850</v>
      </c>
      <c r="CF1140" s="6">
        <v>14.19</v>
      </c>
      <c r="CH1140" s="6">
        <v>21.28</v>
      </c>
      <c r="CJ1140" t="s">
        <v>137</v>
      </c>
      <c r="CL1140" t="s">
        <v>3851</v>
      </c>
      <c r="CO1140" t="s">
        <v>138</v>
      </c>
      <c r="CP1140" t="s">
        <v>134</v>
      </c>
      <c r="CQ1140" t="s">
        <v>114</v>
      </c>
      <c r="CR1140" t="s">
        <v>134</v>
      </c>
      <c r="CS1140" t="s">
        <v>114</v>
      </c>
      <c r="CT1140" t="s">
        <v>114</v>
      </c>
      <c r="CU1140" t="s">
        <v>114</v>
      </c>
      <c r="CV1140" s="2" t="s">
        <v>3852</v>
      </c>
      <c r="CW1140" s="5" t="str">
        <f>"+12512500991"</f>
        <v>+12512500991</v>
      </c>
      <c r="CX1140" t="s">
        <v>3847</v>
      </c>
      <c r="CY1140" t="s">
        <v>138</v>
      </c>
      <c r="CZ1140" t="s">
        <v>139</v>
      </c>
      <c r="DA1140" t="s">
        <v>134</v>
      </c>
      <c r="DB1140" t="s">
        <v>134</v>
      </c>
      <c r="DC1140" t="s">
        <v>114</v>
      </c>
      <c r="DD1140" t="s">
        <v>134</v>
      </c>
    </row>
    <row r="1141" spans="1:113" ht="15" customHeight="1" x14ac:dyDescent="0.25">
      <c r="A1141" t="s">
        <v>5461</v>
      </c>
      <c r="B1141" t="s">
        <v>113</v>
      </c>
      <c r="C1141" s="1">
        <v>44860.938459375</v>
      </c>
      <c r="D1141" s="1">
        <v>44914</v>
      </c>
      <c r="E1141" t="s">
        <v>134</v>
      </c>
      <c r="F1141" t="s">
        <v>2320</v>
      </c>
      <c r="G1141" t="str">
        <f>"37-3011.00"</f>
        <v>37-3011.00</v>
      </c>
      <c r="H1141" t="s">
        <v>335</v>
      </c>
      <c r="I1141">
        <v>10</v>
      </c>
      <c r="K1141" s="1">
        <v>44935</v>
      </c>
      <c r="L1141" s="1">
        <v>44986</v>
      </c>
      <c r="O1141" t="s">
        <v>199</v>
      </c>
      <c r="P1141" t="s">
        <v>5462</v>
      </c>
      <c r="Q1141" t="s">
        <v>5463</v>
      </c>
      <c r="R1141" t="s">
        <v>5464</v>
      </c>
      <c r="T1141" t="s">
        <v>1545</v>
      </c>
      <c r="U1141" t="s">
        <v>232</v>
      </c>
      <c r="V1141" s="4" t="str">
        <f>"77092"</f>
        <v>77092</v>
      </c>
      <c r="W1141" t="s">
        <v>120</v>
      </c>
      <c r="Y1141" s="5">
        <v>17136889377</v>
      </c>
      <c r="AA1141">
        <v>56173</v>
      </c>
      <c r="AB1141" t="s">
        <v>5465</v>
      </c>
      <c r="AC1141" t="s">
        <v>5466</v>
      </c>
      <c r="AD1141" t="s">
        <v>520</v>
      </c>
      <c r="AE1141" t="s">
        <v>1526</v>
      </c>
      <c r="AF1141" t="s">
        <v>5464</v>
      </c>
      <c r="AH1141" t="s">
        <v>1545</v>
      </c>
      <c r="AI1141" t="s">
        <v>232</v>
      </c>
      <c r="AJ1141" s="4" t="str">
        <f>"77092"</f>
        <v>77092</v>
      </c>
      <c r="AK1141" t="s">
        <v>120</v>
      </c>
      <c r="AM1141" s="5">
        <v>17136889377</v>
      </c>
      <c r="AO1141" t="s">
        <v>138</v>
      </c>
      <c r="AP1141" t="s">
        <v>122</v>
      </c>
      <c r="AQ1141" t="s">
        <v>864</v>
      </c>
      <c r="AR1141" t="s">
        <v>865</v>
      </c>
      <c r="AS1141" t="s">
        <v>370</v>
      </c>
      <c r="AT1141" t="s">
        <v>3908</v>
      </c>
      <c r="AV1141" t="s">
        <v>684</v>
      </c>
      <c r="AW1141" t="s">
        <v>232</v>
      </c>
      <c r="AX1141" s="4" t="str">
        <f>"78705"</f>
        <v>78705</v>
      </c>
      <c r="AY1141" t="s">
        <v>120</v>
      </c>
      <c r="BA1141" s="5">
        <v>15123470007</v>
      </c>
      <c r="BC1141" t="s">
        <v>868</v>
      </c>
      <c r="BD1141" t="s">
        <v>4251</v>
      </c>
      <c r="BE1141" t="s">
        <v>232</v>
      </c>
      <c r="BF1141" t="s">
        <v>870</v>
      </c>
      <c r="BG1141" t="s">
        <v>232</v>
      </c>
      <c r="BH1141" s="1">
        <v>44859.833333333336</v>
      </c>
      <c r="BI1141">
        <v>40</v>
      </c>
      <c r="BJ1141">
        <v>0</v>
      </c>
      <c r="BK1141">
        <v>8</v>
      </c>
      <c r="BL1141">
        <v>8</v>
      </c>
      <c r="BM1141">
        <v>8</v>
      </c>
      <c r="BN1141">
        <v>8</v>
      </c>
      <c r="BO1141">
        <v>8</v>
      </c>
      <c r="BP1141">
        <v>0</v>
      </c>
      <c r="BQ1141" t="str">
        <f>"7:00 AM"</f>
        <v>7:00 AM</v>
      </c>
      <c r="BR1141" t="str">
        <f>"4:00 PM"</f>
        <v>4:00 PM</v>
      </c>
      <c r="BS1141" t="s">
        <v>133</v>
      </c>
      <c r="BT1141">
        <v>0</v>
      </c>
      <c r="BU1141">
        <v>0</v>
      </c>
      <c r="BV1141" t="s">
        <v>134</v>
      </c>
      <c r="BX1141" s="2" t="s">
        <v>5467</v>
      </c>
      <c r="BY1141" t="s">
        <v>5468</v>
      </c>
      <c r="CA1141" t="s">
        <v>1545</v>
      </c>
      <c r="CB1141" t="s">
        <v>232</v>
      </c>
      <c r="CC1141" s="4" t="str">
        <f>"77092"</f>
        <v>77092</v>
      </c>
      <c r="CD1141" t="s">
        <v>3290</v>
      </c>
      <c r="CE1141" t="s">
        <v>873</v>
      </c>
      <c r="CF1141" s="6">
        <v>15.56</v>
      </c>
      <c r="CG1141" s="6">
        <v>15.56</v>
      </c>
      <c r="CH1141" s="6">
        <v>23.34</v>
      </c>
      <c r="CI1141" s="6">
        <v>23.34</v>
      </c>
      <c r="CJ1141" t="s">
        <v>137</v>
      </c>
      <c r="CL1141" t="s">
        <v>5469</v>
      </c>
      <c r="CO1141" t="s">
        <v>138</v>
      </c>
      <c r="CP1141" t="s">
        <v>114</v>
      </c>
      <c r="CQ1141" t="s">
        <v>114</v>
      </c>
      <c r="CR1141" t="s">
        <v>114</v>
      </c>
      <c r="CS1141" t="s">
        <v>114</v>
      </c>
      <c r="CT1141" t="s">
        <v>114</v>
      </c>
      <c r="CU1141" t="s">
        <v>134</v>
      </c>
      <c r="CV1141" t="s">
        <v>5470</v>
      </c>
      <c r="CW1141" s="5" t="str">
        <f>"+17136889377"</f>
        <v>+17136889377</v>
      </c>
      <c r="CX1141" t="s">
        <v>5471</v>
      </c>
      <c r="CY1141" t="s">
        <v>138</v>
      </c>
      <c r="CZ1141" t="s">
        <v>139</v>
      </c>
      <c r="DA1141" t="s">
        <v>134</v>
      </c>
      <c r="DB1141" t="s">
        <v>134</v>
      </c>
      <c r="DC1141" t="s">
        <v>114</v>
      </c>
      <c r="DD1141" t="s">
        <v>134</v>
      </c>
    </row>
    <row r="1142" spans="1:113" ht="15" customHeight="1" x14ac:dyDescent="0.25">
      <c r="A1142" t="s">
        <v>9859</v>
      </c>
      <c r="B1142" t="s">
        <v>113</v>
      </c>
      <c r="C1142" s="1">
        <v>44854.542547453704</v>
      </c>
      <c r="D1142" s="1">
        <v>44914</v>
      </c>
      <c r="E1142" t="s">
        <v>134</v>
      </c>
      <c r="F1142" t="s">
        <v>9860</v>
      </c>
      <c r="G1142" t="str">
        <f>"37-3011.00"</f>
        <v>37-3011.00</v>
      </c>
      <c r="H1142" t="s">
        <v>335</v>
      </c>
      <c r="I1142">
        <v>3</v>
      </c>
      <c r="K1142" s="1">
        <v>44941</v>
      </c>
      <c r="L1142" s="1">
        <v>45214</v>
      </c>
      <c r="O1142" t="s">
        <v>199</v>
      </c>
      <c r="P1142" t="s">
        <v>9861</v>
      </c>
      <c r="Q1142" t="s">
        <v>9862</v>
      </c>
      <c r="R1142" t="s">
        <v>9863</v>
      </c>
      <c r="T1142" t="s">
        <v>9864</v>
      </c>
      <c r="U1142" t="s">
        <v>748</v>
      </c>
      <c r="V1142" s="4" t="str">
        <f>"15012"</f>
        <v>15012</v>
      </c>
      <c r="W1142" t="s">
        <v>120</v>
      </c>
      <c r="Y1142" s="5">
        <v>17249298123</v>
      </c>
      <c r="AA1142">
        <v>1114</v>
      </c>
      <c r="AB1142" t="s">
        <v>9865</v>
      </c>
      <c r="AC1142" t="s">
        <v>536</v>
      </c>
      <c r="AE1142" t="s">
        <v>424</v>
      </c>
      <c r="AF1142" t="s">
        <v>9863</v>
      </c>
      <c r="AH1142" t="s">
        <v>9864</v>
      </c>
      <c r="AI1142" t="s">
        <v>748</v>
      </c>
      <c r="AJ1142" s="4" t="str">
        <f>"15012"</f>
        <v>15012</v>
      </c>
      <c r="AK1142" t="s">
        <v>120</v>
      </c>
      <c r="AM1142" s="5">
        <v>17243226351</v>
      </c>
      <c r="AO1142" t="s">
        <v>9866</v>
      </c>
      <c r="AP1142" t="s">
        <v>122</v>
      </c>
      <c r="AQ1142" t="s">
        <v>1677</v>
      </c>
      <c r="AR1142" t="s">
        <v>9867</v>
      </c>
      <c r="AS1142" t="s">
        <v>9868</v>
      </c>
      <c r="AT1142" t="s">
        <v>9869</v>
      </c>
      <c r="AU1142" t="s">
        <v>9870</v>
      </c>
      <c r="AV1142" t="s">
        <v>684</v>
      </c>
      <c r="AW1142" t="s">
        <v>232</v>
      </c>
      <c r="AX1142" s="4" t="str">
        <f>"78746"</f>
        <v>78746</v>
      </c>
      <c r="AY1142" t="s">
        <v>120</v>
      </c>
      <c r="BA1142" s="5">
        <v>15128524162</v>
      </c>
      <c r="BC1142" t="s">
        <v>9871</v>
      </c>
      <c r="BD1142" t="s">
        <v>9872</v>
      </c>
      <c r="BE1142" t="s">
        <v>444</v>
      </c>
      <c r="BF1142" t="s">
        <v>322</v>
      </c>
      <c r="BG1142" t="s">
        <v>748</v>
      </c>
      <c r="BH1142" s="1">
        <v>44853.833333333336</v>
      </c>
      <c r="BI1142">
        <v>40</v>
      </c>
      <c r="BJ1142">
        <v>0</v>
      </c>
      <c r="BK1142">
        <v>8</v>
      </c>
      <c r="BL1142">
        <v>8</v>
      </c>
      <c r="BM1142">
        <v>8</v>
      </c>
      <c r="BN1142">
        <v>8</v>
      </c>
      <c r="BO1142">
        <v>8</v>
      </c>
      <c r="BP1142">
        <v>0</v>
      </c>
      <c r="BQ1142" t="str">
        <f>"8:00 AM"</f>
        <v>8:00 AM</v>
      </c>
      <c r="BR1142" t="str">
        <f>"4:00 PM"</f>
        <v>4:00 PM</v>
      </c>
      <c r="BS1142" t="s">
        <v>133</v>
      </c>
      <c r="BT1142">
        <v>0</v>
      </c>
      <c r="BU1142">
        <v>0</v>
      </c>
      <c r="BV1142" t="s">
        <v>134</v>
      </c>
      <c r="BX1142" s="2" t="s">
        <v>9873</v>
      </c>
      <c r="BY1142" t="s">
        <v>9863</v>
      </c>
      <c r="CA1142" t="s">
        <v>9864</v>
      </c>
      <c r="CB1142" t="s">
        <v>748</v>
      </c>
      <c r="CC1142" s="4" t="str">
        <f>"15012"</f>
        <v>15012</v>
      </c>
      <c r="CD1142" t="s">
        <v>1622</v>
      </c>
      <c r="CE1142" t="s">
        <v>1346</v>
      </c>
      <c r="CF1142" s="6">
        <v>15.95</v>
      </c>
      <c r="CH1142" s="6">
        <v>23.93</v>
      </c>
      <c r="CJ1142" t="s">
        <v>137</v>
      </c>
      <c r="CL1142" t="s">
        <v>9874</v>
      </c>
      <c r="CO1142" t="s">
        <v>138</v>
      </c>
      <c r="CP1142" t="s">
        <v>114</v>
      </c>
      <c r="CQ1142" t="s">
        <v>114</v>
      </c>
      <c r="CR1142" t="s">
        <v>114</v>
      </c>
      <c r="CS1142" t="s">
        <v>114</v>
      </c>
      <c r="CT1142" t="s">
        <v>114</v>
      </c>
      <c r="CU1142" t="s">
        <v>134</v>
      </c>
      <c r="CV1142" t="s">
        <v>2154</v>
      </c>
      <c r="CW1142" s="5" t="str">
        <f>"+17243226351"</f>
        <v>+17243226351</v>
      </c>
      <c r="CX1142" t="s">
        <v>9866</v>
      </c>
      <c r="CY1142" t="s">
        <v>138</v>
      </c>
      <c r="CZ1142" t="s">
        <v>139</v>
      </c>
      <c r="DA1142" t="s">
        <v>134</v>
      </c>
      <c r="DB1142" t="s">
        <v>134</v>
      </c>
      <c r="DC1142" t="s">
        <v>114</v>
      </c>
      <c r="DD1142" t="s">
        <v>134</v>
      </c>
      <c r="DE1142" t="s">
        <v>1677</v>
      </c>
      <c r="DF1142" t="s">
        <v>9867</v>
      </c>
      <c r="DH1142" t="s">
        <v>9872</v>
      </c>
      <c r="DI1142" t="s">
        <v>9871</v>
      </c>
    </row>
    <row r="1143" spans="1:113" ht="15" customHeight="1" x14ac:dyDescent="0.25">
      <c r="A1143" t="s">
        <v>8883</v>
      </c>
      <c r="B1143" t="s">
        <v>113</v>
      </c>
      <c r="C1143" s="1">
        <v>44852.847507638886</v>
      </c>
      <c r="D1143" s="1">
        <v>44914</v>
      </c>
      <c r="E1143" t="s">
        <v>134</v>
      </c>
      <c r="F1143" t="s">
        <v>8116</v>
      </c>
      <c r="G1143" t="str">
        <f>"37-2011"</f>
        <v>37-2011</v>
      </c>
      <c r="H1143" t="s">
        <v>8884</v>
      </c>
      <c r="I1143">
        <v>35</v>
      </c>
      <c r="K1143" s="1">
        <v>44958</v>
      </c>
      <c r="L1143" s="1">
        <v>45231</v>
      </c>
      <c r="O1143" t="s">
        <v>199</v>
      </c>
      <c r="P1143" t="s">
        <v>8885</v>
      </c>
      <c r="R1143" t="s">
        <v>8886</v>
      </c>
      <c r="T1143" t="s">
        <v>8887</v>
      </c>
      <c r="U1143" t="s">
        <v>2842</v>
      </c>
      <c r="V1143" s="4" t="str">
        <f>"06066"</f>
        <v>06066</v>
      </c>
      <c r="W1143" t="s">
        <v>120</v>
      </c>
      <c r="Y1143" s="5" t="s">
        <v>8888</v>
      </c>
      <c r="AA1143">
        <v>561790</v>
      </c>
      <c r="AB1143" t="s">
        <v>8889</v>
      </c>
      <c r="AC1143" t="s">
        <v>8890</v>
      </c>
      <c r="AE1143" t="s">
        <v>1065</v>
      </c>
      <c r="AF1143" t="s">
        <v>8886</v>
      </c>
      <c r="AH1143" t="s">
        <v>8887</v>
      </c>
      <c r="AI1143" t="s">
        <v>2842</v>
      </c>
      <c r="AJ1143" s="4" t="str">
        <f>"06066"</f>
        <v>06066</v>
      </c>
      <c r="AK1143" t="s">
        <v>120</v>
      </c>
      <c r="AM1143" s="5" t="s">
        <v>8888</v>
      </c>
      <c r="AO1143" t="s">
        <v>8891</v>
      </c>
      <c r="AX1143" s="4" t="str">
        <f>""</f>
        <v/>
      </c>
      <c r="BG1143" t="s">
        <v>2842</v>
      </c>
      <c r="BH1143" s="1">
        <v>44869.833333333336</v>
      </c>
      <c r="BI1143">
        <v>50</v>
      </c>
      <c r="BJ1143">
        <v>0</v>
      </c>
      <c r="BK1143">
        <v>10</v>
      </c>
      <c r="BL1143">
        <v>10</v>
      </c>
      <c r="BM1143">
        <v>10</v>
      </c>
      <c r="BN1143">
        <v>10</v>
      </c>
      <c r="BO1143">
        <v>10</v>
      </c>
      <c r="BP1143">
        <v>0</v>
      </c>
      <c r="BQ1143" t="str">
        <f>"7:00 AM"</f>
        <v>7:00 AM</v>
      </c>
      <c r="BR1143" t="str">
        <f>"6:00 PM"</f>
        <v>6:00 PM</v>
      </c>
      <c r="BS1143" t="s">
        <v>133</v>
      </c>
      <c r="BT1143">
        <v>1</v>
      </c>
      <c r="BU1143">
        <v>0</v>
      </c>
      <c r="BV1143" t="s">
        <v>134</v>
      </c>
      <c r="BX1143" t="s">
        <v>219</v>
      </c>
      <c r="BY1143" t="s">
        <v>8886</v>
      </c>
      <c r="CA1143" t="s">
        <v>8887</v>
      </c>
      <c r="CB1143" t="s">
        <v>2842</v>
      </c>
      <c r="CC1143" s="4" t="str">
        <f>"06066"</f>
        <v>06066</v>
      </c>
      <c r="CD1143" t="s">
        <v>8892</v>
      </c>
      <c r="CE1143" t="s">
        <v>8893</v>
      </c>
      <c r="CF1143" s="6">
        <v>17.989999999999998</v>
      </c>
      <c r="CG1143" s="6">
        <v>19.100000000000001</v>
      </c>
      <c r="CH1143" s="6">
        <v>26.99</v>
      </c>
      <c r="CI1143" s="6">
        <v>28.65</v>
      </c>
      <c r="CJ1143" t="s">
        <v>137</v>
      </c>
      <c r="CL1143" t="s">
        <v>8894</v>
      </c>
      <c r="CO1143" t="s">
        <v>138</v>
      </c>
      <c r="CP1143" t="s">
        <v>134</v>
      </c>
      <c r="CQ1143" t="s">
        <v>114</v>
      </c>
      <c r="CR1143" t="s">
        <v>114</v>
      </c>
      <c r="CS1143" t="s">
        <v>114</v>
      </c>
      <c r="CT1143" t="s">
        <v>114</v>
      </c>
      <c r="CU1143" t="s">
        <v>134</v>
      </c>
      <c r="CV1143" t="s">
        <v>8895</v>
      </c>
      <c r="CW1143" s="5" t="str">
        <f>"1-860-870-1085"</f>
        <v>1-860-870-1085</v>
      </c>
      <c r="CX1143" t="s">
        <v>8896</v>
      </c>
      <c r="CY1143" t="s">
        <v>8897</v>
      </c>
      <c r="CZ1143" t="s">
        <v>139</v>
      </c>
      <c r="DA1143" t="s">
        <v>134</v>
      </c>
      <c r="DB1143" t="s">
        <v>134</v>
      </c>
      <c r="DC1143" t="s">
        <v>114</v>
      </c>
    </row>
    <row r="1144" spans="1:113" ht="15" customHeight="1" x14ac:dyDescent="0.25">
      <c r="A1144" t="s">
        <v>11015</v>
      </c>
      <c r="B1144" t="s">
        <v>113</v>
      </c>
      <c r="C1144" s="1">
        <v>44881.589480208335</v>
      </c>
      <c r="D1144" s="1">
        <v>44911</v>
      </c>
      <c r="E1144" t="s">
        <v>134</v>
      </c>
      <c r="F1144" t="s">
        <v>5872</v>
      </c>
      <c r="G1144" t="str">
        <f>"37-3011.00"</f>
        <v>37-3011.00</v>
      </c>
      <c r="H1144" t="s">
        <v>335</v>
      </c>
      <c r="I1144">
        <v>12</v>
      </c>
      <c r="K1144" s="1">
        <v>44970</v>
      </c>
      <c r="L1144" s="1">
        <v>45272</v>
      </c>
      <c r="O1144" t="s">
        <v>199</v>
      </c>
      <c r="P1144" t="s">
        <v>11016</v>
      </c>
      <c r="R1144" t="s">
        <v>11017</v>
      </c>
      <c r="T1144" t="s">
        <v>1097</v>
      </c>
      <c r="U1144" t="s">
        <v>154</v>
      </c>
      <c r="V1144" s="4" t="str">
        <f>"33556"</f>
        <v>33556</v>
      </c>
      <c r="W1144" t="s">
        <v>120</v>
      </c>
      <c r="Y1144" s="5">
        <v>18139264544</v>
      </c>
      <c r="AA1144">
        <v>561730</v>
      </c>
      <c r="AB1144" t="s">
        <v>5946</v>
      </c>
      <c r="AC1144" t="s">
        <v>1469</v>
      </c>
      <c r="AD1144" t="s">
        <v>1458</v>
      </c>
      <c r="AE1144" t="s">
        <v>424</v>
      </c>
      <c r="AF1144" t="s">
        <v>11017</v>
      </c>
      <c r="AH1144" t="s">
        <v>1097</v>
      </c>
      <c r="AI1144" t="s">
        <v>154</v>
      </c>
      <c r="AJ1144" s="4" t="str">
        <f>"33556"</f>
        <v>33556</v>
      </c>
      <c r="AK1144" t="s">
        <v>120</v>
      </c>
      <c r="AM1144" s="5">
        <v>18139264544</v>
      </c>
      <c r="AO1144" t="s">
        <v>11018</v>
      </c>
      <c r="AX1144" s="4" t="str">
        <f>""</f>
        <v/>
      </c>
      <c r="BG1144" t="s">
        <v>154</v>
      </c>
      <c r="BH1144" s="1">
        <v>44823.833333333336</v>
      </c>
      <c r="BI1144">
        <v>48</v>
      </c>
      <c r="BJ1144">
        <v>0</v>
      </c>
      <c r="BK1144">
        <v>8</v>
      </c>
      <c r="BL1144">
        <v>8</v>
      </c>
      <c r="BM1144">
        <v>8</v>
      </c>
      <c r="BN1144">
        <v>8</v>
      </c>
      <c r="BO1144">
        <v>8</v>
      </c>
      <c r="BP1144">
        <v>8</v>
      </c>
      <c r="BQ1144" t="str">
        <f>"6:00 AM"</f>
        <v>6:00 AM</v>
      </c>
      <c r="BR1144" t="str">
        <f>"3:00 PM"</f>
        <v>3:00 PM</v>
      </c>
      <c r="BS1144" t="s">
        <v>133</v>
      </c>
      <c r="BT1144">
        <v>0</v>
      </c>
      <c r="BU1144">
        <v>0</v>
      </c>
      <c r="BV1144" t="s">
        <v>134</v>
      </c>
      <c r="BX1144" t="s">
        <v>138</v>
      </c>
      <c r="BY1144" t="s">
        <v>11017</v>
      </c>
      <c r="CA1144" t="s">
        <v>1097</v>
      </c>
      <c r="CB1144" t="s">
        <v>154</v>
      </c>
      <c r="CC1144" s="4" t="str">
        <f>"33556"</f>
        <v>33556</v>
      </c>
      <c r="CD1144" t="s">
        <v>2262</v>
      </c>
      <c r="CE1144" t="s">
        <v>567</v>
      </c>
      <c r="CF1144" s="6">
        <v>14.84</v>
      </c>
      <c r="CJ1144" t="s">
        <v>137</v>
      </c>
      <c r="CL1144" t="s">
        <v>11019</v>
      </c>
      <c r="CO1144" t="s">
        <v>138</v>
      </c>
      <c r="CP1144" t="s">
        <v>134</v>
      </c>
      <c r="CQ1144" t="s">
        <v>114</v>
      </c>
      <c r="CR1144" t="s">
        <v>134</v>
      </c>
      <c r="CS1144" t="s">
        <v>114</v>
      </c>
      <c r="CT1144" t="s">
        <v>114</v>
      </c>
      <c r="CU1144" t="s">
        <v>134</v>
      </c>
      <c r="CV1144" s="2" t="s">
        <v>11020</v>
      </c>
      <c r="CW1144" s="5" t="str">
        <f>"+18139264544"</f>
        <v>+18139264544</v>
      </c>
      <c r="CX1144" t="s">
        <v>11021</v>
      </c>
      <c r="CY1144" t="s">
        <v>11022</v>
      </c>
      <c r="CZ1144" t="s">
        <v>139</v>
      </c>
      <c r="DA1144" t="s">
        <v>134</v>
      </c>
      <c r="DB1144" t="s">
        <v>134</v>
      </c>
      <c r="DC1144" t="s">
        <v>114</v>
      </c>
      <c r="DD1144" t="s">
        <v>134</v>
      </c>
    </row>
    <row r="1145" spans="1:113" ht="15" customHeight="1" x14ac:dyDescent="0.25">
      <c r="A1145" t="s">
        <v>14941</v>
      </c>
      <c r="B1145" t="s">
        <v>113</v>
      </c>
      <c r="C1145" s="1">
        <v>44881.012516666669</v>
      </c>
      <c r="D1145" s="1">
        <v>44911</v>
      </c>
      <c r="E1145" t="s">
        <v>134</v>
      </c>
      <c r="F1145" t="s">
        <v>2676</v>
      </c>
      <c r="G1145" t="str">
        <f>"39-9011.01"</f>
        <v>39-9011.01</v>
      </c>
      <c r="H1145" t="s">
        <v>2677</v>
      </c>
      <c r="I1145">
        <v>1</v>
      </c>
      <c r="K1145" s="1">
        <v>44956</v>
      </c>
      <c r="L1145" s="1">
        <v>45231</v>
      </c>
      <c r="O1145" t="s">
        <v>3130</v>
      </c>
      <c r="P1145" t="s">
        <v>2676</v>
      </c>
      <c r="R1145" t="s">
        <v>14942</v>
      </c>
      <c r="T1145" t="s">
        <v>14943</v>
      </c>
      <c r="U1145" t="s">
        <v>444</v>
      </c>
      <c r="V1145" s="4" t="str">
        <f>"92040"</f>
        <v>92040</v>
      </c>
      <c r="W1145" t="s">
        <v>120</v>
      </c>
      <c r="Y1145" s="5">
        <v>12245451690</v>
      </c>
      <c r="AA1145">
        <v>814110</v>
      </c>
      <c r="AB1145" t="s">
        <v>14944</v>
      </c>
      <c r="AC1145" t="s">
        <v>4618</v>
      </c>
      <c r="AD1145" t="s">
        <v>14945</v>
      </c>
      <c r="AE1145" t="s">
        <v>14946</v>
      </c>
      <c r="AF1145" t="s">
        <v>14942</v>
      </c>
      <c r="AH1145" t="s">
        <v>14943</v>
      </c>
      <c r="AI1145" t="s">
        <v>444</v>
      </c>
      <c r="AJ1145" s="4" t="str">
        <f>"92040"</f>
        <v>92040</v>
      </c>
      <c r="AK1145" t="s">
        <v>120</v>
      </c>
      <c r="AM1145" s="5">
        <v>12245451690</v>
      </c>
      <c r="AO1145" t="s">
        <v>14947</v>
      </c>
      <c r="AX1145" s="4" t="str">
        <f>""</f>
        <v/>
      </c>
      <c r="BG1145" t="s">
        <v>444</v>
      </c>
      <c r="BH1145" s="1">
        <v>44861.833333333336</v>
      </c>
      <c r="BI1145">
        <v>48</v>
      </c>
      <c r="BJ1145">
        <v>14</v>
      </c>
      <c r="BK1145">
        <v>4</v>
      </c>
      <c r="BL1145">
        <v>4</v>
      </c>
      <c r="BM1145">
        <v>4</v>
      </c>
      <c r="BN1145">
        <v>4</v>
      </c>
      <c r="BO1145">
        <v>4</v>
      </c>
      <c r="BP1145">
        <v>14</v>
      </c>
      <c r="BQ1145" t="str">
        <f>"6:00 AM"</f>
        <v>6:00 AM</v>
      </c>
      <c r="BR1145" t="str">
        <f>"8:08 AM"</f>
        <v>8:08 AM</v>
      </c>
      <c r="BS1145" t="s">
        <v>133</v>
      </c>
      <c r="BT1145">
        <v>0</v>
      </c>
      <c r="BU1145">
        <v>0</v>
      </c>
      <c r="BV1145" t="s">
        <v>134</v>
      </c>
      <c r="BX1145" s="2" t="s">
        <v>14948</v>
      </c>
      <c r="BY1145" t="s">
        <v>14942</v>
      </c>
      <c r="CA1145" t="s">
        <v>14943</v>
      </c>
      <c r="CB1145" t="s">
        <v>444</v>
      </c>
      <c r="CC1145" s="4" t="str">
        <f>"92040"</f>
        <v>92040</v>
      </c>
      <c r="CD1145" t="s">
        <v>5868</v>
      </c>
      <c r="CE1145" t="s">
        <v>5869</v>
      </c>
      <c r="CF1145" s="6">
        <v>16.79</v>
      </c>
      <c r="CG1145" s="6">
        <v>20</v>
      </c>
      <c r="CJ1145" t="s">
        <v>137</v>
      </c>
      <c r="CL1145" t="s">
        <v>14949</v>
      </c>
      <c r="CO1145" t="s">
        <v>138</v>
      </c>
      <c r="CP1145" t="s">
        <v>134</v>
      </c>
      <c r="CQ1145" t="s">
        <v>134</v>
      </c>
      <c r="CR1145" t="s">
        <v>134</v>
      </c>
      <c r="CS1145" t="s">
        <v>114</v>
      </c>
      <c r="CT1145" t="s">
        <v>114</v>
      </c>
      <c r="CU1145" t="s">
        <v>114</v>
      </c>
      <c r="CV1145" t="s">
        <v>133</v>
      </c>
      <c r="CW1145" s="5" t="str">
        <f>"+12245451690"</f>
        <v>+12245451690</v>
      </c>
      <c r="CX1145" t="s">
        <v>14947</v>
      </c>
      <c r="CY1145" t="s">
        <v>138</v>
      </c>
      <c r="CZ1145" t="s">
        <v>139</v>
      </c>
      <c r="DA1145" t="s">
        <v>134</v>
      </c>
      <c r="DB1145" t="s">
        <v>134</v>
      </c>
      <c r="DC1145" t="s">
        <v>114</v>
      </c>
      <c r="DD1145" t="s">
        <v>134</v>
      </c>
    </row>
    <row r="1146" spans="1:113" ht="15" customHeight="1" x14ac:dyDescent="0.25">
      <c r="A1146" t="s">
        <v>16161</v>
      </c>
      <c r="B1146" t="s">
        <v>113</v>
      </c>
      <c r="C1146" s="1">
        <v>44879.64553263889</v>
      </c>
      <c r="D1146" s="1">
        <v>44911</v>
      </c>
      <c r="E1146" t="s">
        <v>114</v>
      </c>
      <c r="F1146" t="s">
        <v>16162</v>
      </c>
      <c r="G1146" t="str">
        <f>"13-1121.00"</f>
        <v>13-1121.00</v>
      </c>
      <c r="H1146" t="s">
        <v>16163</v>
      </c>
      <c r="I1146">
        <v>1</v>
      </c>
      <c r="K1146" s="1">
        <v>44879</v>
      </c>
      <c r="L1146" s="1">
        <v>45077</v>
      </c>
      <c r="O1146" t="s">
        <v>3130</v>
      </c>
      <c r="P1146" t="s">
        <v>16164</v>
      </c>
      <c r="Q1146" t="s">
        <v>16165</v>
      </c>
      <c r="R1146" t="s">
        <v>16166</v>
      </c>
      <c r="T1146" t="s">
        <v>16167</v>
      </c>
      <c r="U1146" t="s">
        <v>1147</v>
      </c>
      <c r="V1146" s="4" t="str">
        <f>"54247"</f>
        <v>54247</v>
      </c>
      <c r="W1146" t="s">
        <v>120</v>
      </c>
      <c r="Y1146" s="5">
        <v>19200794487</v>
      </c>
      <c r="AA1146">
        <v>722511</v>
      </c>
      <c r="AB1146" t="s">
        <v>16168</v>
      </c>
      <c r="AC1146" t="s">
        <v>16169</v>
      </c>
      <c r="AE1146" t="s">
        <v>16170</v>
      </c>
      <c r="AF1146" t="s">
        <v>16166</v>
      </c>
      <c r="AH1146" t="s">
        <v>16167</v>
      </c>
      <c r="AI1146" t="s">
        <v>1147</v>
      </c>
      <c r="AJ1146" s="4" t="str">
        <f>"54247"</f>
        <v>54247</v>
      </c>
      <c r="AK1146" t="s">
        <v>120</v>
      </c>
      <c r="AM1146" s="5">
        <v>19207944879</v>
      </c>
      <c r="AO1146" t="s">
        <v>16171</v>
      </c>
      <c r="AX1146" s="4" t="str">
        <f>""</f>
        <v/>
      </c>
      <c r="BG1146" t="s">
        <v>1147</v>
      </c>
      <c r="BH1146" s="1">
        <v>44763.833333333336</v>
      </c>
      <c r="BI1146">
        <v>45</v>
      </c>
      <c r="BJ1146">
        <v>5</v>
      </c>
      <c r="BK1146">
        <v>0</v>
      </c>
      <c r="BL1146">
        <v>8</v>
      </c>
      <c r="BM1146">
        <v>8</v>
      </c>
      <c r="BN1146">
        <v>8</v>
      </c>
      <c r="BO1146">
        <v>8</v>
      </c>
      <c r="BP1146">
        <v>8</v>
      </c>
      <c r="BQ1146" t="str">
        <f>"10:00 AM"</f>
        <v>10:00 AM</v>
      </c>
      <c r="BR1146" t="str">
        <f>"8:00 PM"</f>
        <v>8:00 PM</v>
      </c>
      <c r="BS1146" t="s">
        <v>133</v>
      </c>
      <c r="BT1146">
        <v>1</v>
      </c>
      <c r="BU1146">
        <v>1</v>
      </c>
      <c r="BV1146" t="s">
        <v>134</v>
      </c>
      <c r="BX1146" t="s">
        <v>16172</v>
      </c>
      <c r="BY1146" t="s">
        <v>16166</v>
      </c>
      <c r="CA1146" t="s">
        <v>16167</v>
      </c>
      <c r="CB1146" t="s">
        <v>1147</v>
      </c>
      <c r="CC1146" s="4" t="str">
        <f>"54247"</f>
        <v>54247</v>
      </c>
      <c r="CD1146" t="s">
        <v>16173</v>
      </c>
      <c r="CE1146" t="s">
        <v>1164</v>
      </c>
      <c r="CF1146" s="6">
        <v>7.25</v>
      </c>
      <c r="CG1146" s="6">
        <v>7.5</v>
      </c>
      <c r="CH1146" s="6">
        <v>3.63</v>
      </c>
      <c r="CI1146" s="6">
        <v>3.75</v>
      </c>
      <c r="CJ1146" t="s">
        <v>137</v>
      </c>
      <c r="CK1146" t="s">
        <v>16174</v>
      </c>
      <c r="CL1146" t="s">
        <v>16175</v>
      </c>
      <c r="CO1146" t="s">
        <v>114</v>
      </c>
      <c r="CP1146" t="s">
        <v>134</v>
      </c>
      <c r="CQ1146" t="s">
        <v>134</v>
      </c>
      <c r="CR1146" t="s">
        <v>114</v>
      </c>
      <c r="CS1146" t="s">
        <v>114</v>
      </c>
      <c r="CT1146" t="s">
        <v>114</v>
      </c>
      <c r="CU1146" t="s">
        <v>114</v>
      </c>
      <c r="CV1146" t="s">
        <v>133</v>
      </c>
      <c r="CW1146" s="5" t="str">
        <f>"+19207944879"</f>
        <v>+19207944879</v>
      </c>
      <c r="CX1146" t="s">
        <v>16171</v>
      </c>
      <c r="CY1146" t="s">
        <v>138</v>
      </c>
      <c r="CZ1146" t="s">
        <v>139</v>
      </c>
      <c r="DA1146" t="s">
        <v>134</v>
      </c>
      <c r="DB1146" t="s">
        <v>134</v>
      </c>
      <c r="DC1146" t="s">
        <v>114</v>
      </c>
      <c r="DD1146" t="s">
        <v>134</v>
      </c>
    </row>
    <row r="1147" spans="1:113" ht="15" customHeight="1" x14ac:dyDescent="0.25">
      <c r="A1147" t="s">
        <v>4728</v>
      </c>
      <c r="B1147" t="s">
        <v>113</v>
      </c>
      <c r="C1147" s="1">
        <v>44875.992846412038</v>
      </c>
      <c r="D1147" s="1">
        <v>44911</v>
      </c>
      <c r="E1147" t="s">
        <v>114</v>
      </c>
      <c r="F1147" t="s">
        <v>4729</v>
      </c>
      <c r="G1147" t="str">
        <f>"37-2011.00"</f>
        <v>37-2011.00</v>
      </c>
      <c r="H1147" t="s">
        <v>672</v>
      </c>
      <c r="I1147">
        <v>1</v>
      </c>
      <c r="K1147" s="1">
        <v>44951</v>
      </c>
      <c r="L1147" s="1">
        <v>46053</v>
      </c>
      <c r="O1147" t="s">
        <v>168</v>
      </c>
      <c r="P1147" t="s">
        <v>4730</v>
      </c>
      <c r="Q1147" t="s">
        <v>4731</v>
      </c>
      <c r="R1147" t="s">
        <v>4732</v>
      </c>
      <c r="T1147" t="s">
        <v>4733</v>
      </c>
      <c r="U1147" t="s">
        <v>821</v>
      </c>
      <c r="V1147" s="4" t="str">
        <f>"99723"</f>
        <v>99723</v>
      </c>
      <c r="W1147" t="s">
        <v>120</v>
      </c>
      <c r="Y1147" s="5">
        <v>19078308410</v>
      </c>
      <c r="AA1147">
        <v>561720</v>
      </c>
      <c r="AB1147" t="s">
        <v>4734</v>
      </c>
      <c r="AC1147" t="s">
        <v>4735</v>
      </c>
      <c r="AD1147" t="s">
        <v>4736</v>
      </c>
      <c r="AE1147" t="s">
        <v>4737</v>
      </c>
      <c r="AF1147" t="s">
        <v>4738</v>
      </c>
      <c r="AH1147" t="s">
        <v>4739</v>
      </c>
      <c r="AI1147" t="s">
        <v>444</v>
      </c>
      <c r="AJ1147" s="4" t="str">
        <f>"91977-6516"</f>
        <v>91977-6516</v>
      </c>
      <c r="AK1147" t="s">
        <v>120</v>
      </c>
      <c r="AM1147" s="5">
        <v>16197190812</v>
      </c>
      <c r="AO1147" t="s">
        <v>4740</v>
      </c>
      <c r="AX1147" s="4" t="str">
        <f>""</f>
        <v/>
      </c>
      <c r="BG1147" t="s">
        <v>821</v>
      </c>
      <c r="BH1147" s="1">
        <v>44868.833333333336</v>
      </c>
      <c r="BI1147">
        <v>35</v>
      </c>
      <c r="BJ1147">
        <v>5</v>
      </c>
      <c r="BK1147">
        <v>5</v>
      </c>
      <c r="BL1147">
        <v>5</v>
      </c>
      <c r="BM1147">
        <v>5</v>
      </c>
      <c r="BN1147">
        <v>5</v>
      </c>
      <c r="BO1147">
        <v>5</v>
      </c>
      <c r="BP1147">
        <v>5</v>
      </c>
      <c r="BQ1147" t="str">
        <f>"6:37 PM"</f>
        <v>6:37 PM</v>
      </c>
      <c r="BR1147" t="str">
        <f>"11:37 PM"</f>
        <v>11:37 PM</v>
      </c>
      <c r="BS1147" t="s">
        <v>133</v>
      </c>
      <c r="BT1147">
        <v>2</v>
      </c>
      <c r="BU1147">
        <v>0</v>
      </c>
      <c r="BV1147" t="s">
        <v>134</v>
      </c>
      <c r="BX1147" t="s">
        <v>4741</v>
      </c>
      <c r="BY1147" t="s">
        <v>4742</v>
      </c>
      <c r="BZ1147" t="s">
        <v>4743</v>
      </c>
      <c r="CA1147" t="s">
        <v>4733</v>
      </c>
      <c r="CB1147" t="s">
        <v>821</v>
      </c>
      <c r="CC1147" s="4" t="str">
        <f>"99723"</f>
        <v>99723</v>
      </c>
      <c r="CD1147" t="s">
        <v>4744</v>
      </c>
      <c r="CE1147" t="s">
        <v>832</v>
      </c>
      <c r="CF1147" s="6">
        <v>18</v>
      </c>
      <c r="CG1147" s="6">
        <v>20</v>
      </c>
      <c r="CH1147" s="6">
        <v>27</v>
      </c>
      <c r="CI1147" s="6">
        <v>30</v>
      </c>
      <c r="CJ1147" t="s">
        <v>137</v>
      </c>
      <c r="CL1147" t="s">
        <v>4745</v>
      </c>
      <c r="CO1147" t="s">
        <v>138</v>
      </c>
      <c r="CP1147" t="s">
        <v>134</v>
      </c>
      <c r="CQ1147" t="s">
        <v>114</v>
      </c>
      <c r="CR1147" t="s">
        <v>114</v>
      </c>
      <c r="CS1147" t="s">
        <v>114</v>
      </c>
      <c r="CT1147" t="s">
        <v>114</v>
      </c>
      <c r="CU1147" t="s">
        <v>114</v>
      </c>
      <c r="CV1147" t="s">
        <v>4746</v>
      </c>
      <c r="CW1147" s="5" t="str">
        <f>"+19078308410"</f>
        <v>+19078308410</v>
      </c>
      <c r="CX1147" t="s">
        <v>4740</v>
      </c>
      <c r="CY1147" t="s">
        <v>138</v>
      </c>
      <c r="CZ1147" t="s">
        <v>139</v>
      </c>
      <c r="DA1147" t="s">
        <v>134</v>
      </c>
      <c r="DB1147" t="s">
        <v>134</v>
      </c>
      <c r="DC1147" t="s">
        <v>114</v>
      </c>
      <c r="DD1147" t="s">
        <v>134</v>
      </c>
    </row>
    <row r="1148" spans="1:113" ht="15" customHeight="1" x14ac:dyDescent="0.25">
      <c r="A1148" t="s">
        <v>7222</v>
      </c>
      <c r="B1148" t="s">
        <v>113</v>
      </c>
      <c r="C1148" s="1">
        <v>44867.956195370367</v>
      </c>
      <c r="D1148" s="1">
        <v>44911</v>
      </c>
      <c r="E1148" t="s">
        <v>134</v>
      </c>
      <c r="F1148" t="s">
        <v>7223</v>
      </c>
      <c r="G1148" t="str">
        <f>"35-3021.00"</f>
        <v>35-3021.00</v>
      </c>
      <c r="H1148" t="s">
        <v>7224</v>
      </c>
      <c r="I1148">
        <v>3</v>
      </c>
      <c r="K1148" s="1">
        <v>44942</v>
      </c>
      <c r="L1148" s="1">
        <v>45290</v>
      </c>
      <c r="O1148" t="s">
        <v>3130</v>
      </c>
      <c r="P1148" t="s">
        <v>7225</v>
      </c>
      <c r="Q1148" t="s">
        <v>7226</v>
      </c>
      <c r="R1148" t="s">
        <v>7227</v>
      </c>
      <c r="T1148" t="s">
        <v>2728</v>
      </c>
      <c r="U1148" t="s">
        <v>184</v>
      </c>
      <c r="V1148" s="4" t="str">
        <f>"62959"</f>
        <v>62959</v>
      </c>
      <c r="W1148" t="s">
        <v>120</v>
      </c>
      <c r="Y1148" s="5">
        <v>16189979399</v>
      </c>
      <c r="AA1148">
        <v>722511</v>
      </c>
      <c r="AB1148" t="s">
        <v>2139</v>
      </c>
      <c r="AC1148" t="s">
        <v>1510</v>
      </c>
      <c r="AD1148" t="s">
        <v>7228</v>
      </c>
      <c r="AE1148" t="s">
        <v>7229</v>
      </c>
      <c r="AF1148" t="s">
        <v>7230</v>
      </c>
      <c r="AH1148" t="s">
        <v>7231</v>
      </c>
      <c r="AI1148" t="s">
        <v>184</v>
      </c>
      <c r="AJ1148" s="4" t="str">
        <f>"62918"</f>
        <v>62918</v>
      </c>
      <c r="AK1148" t="s">
        <v>120</v>
      </c>
      <c r="AM1148" s="5">
        <v>16183036398</v>
      </c>
      <c r="AO1148" t="s">
        <v>7232</v>
      </c>
      <c r="AX1148" s="4" t="str">
        <f>""</f>
        <v/>
      </c>
      <c r="BG1148" t="s">
        <v>184</v>
      </c>
      <c r="BH1148" s="1">
        <v>44866.833333333336</v>
      </c>
      <c r="BI1148">
        <v>48</v>
      </c>
      <c r="BJ1148">
        <v>0</v>
      </c>
      <c r="BK1148">
        <v>8</v>
      </c>
      <c r="BL1148">
        <v>8</v>
      </c>
      <c r="BM1148">
        <v>8</v>
      </c>
      <c r="BN1148">
        <v>8</v>
      </c>
      <c r="BO1148">
        <v>8</v>
      </c>
      <c r="BP1148">
        <v>8</v>
      </c>
      <c r="BQ1148" t="str">
        <f>"9:00 AM"</f>
        <v>9:00 AM</v>
      </c>
      <c r="BR1148" t="str">
        <f>"8:00 PM"</f>
        <v>8:00 PM</v>
      </c>
      <c r="BS1148" t="s">
        <v>133</v>
      </c>
      <c r="BT1148">
        <v>0</v>
      </c>
      <c r="BU1148">
        <v>0</v>
      </c>
      <c r="BV1148" t="s">
        <v>114</v>
      </c>
      <c r="BW1148">
        <v>1</v>
      </c>
      <c r="BX1148" t="s">
        <v>7233</v>
      </c>
      <c r="BY1148" t="s">
        <v>7234</v>
      </c>
      <c r="CA1148" t="s">
        <v>2561</v>
      </c>
      <c r="CB1148" t="s">
        <v>184</v>
      </c>
      <c r="CC1148" s="4" t="str">
        <f>"62946"</f>
        <v>62946</v>
      </c>
      <c r="CD1148" t="s">
        <v>7235</v>
      </c>
      <c r="CE1148" t="s">
        <v>7236</v>
      </c>
      <c r="CF1148" s="6">
        <v>12</v>
      </c>
      <c r="CG1148" s="6">
        <v>15</v>
      </c>
      <c r="CH1148" s="6">
        <v>18</v>
      </c>
      <c r="CI1148" s="6">
        <v>22.5</v>
      </c>
      <c r="CJ1148" t="s">
        <v>2625</v>
      </c>
      <c r="CL1148" t="s">
        <v>7237</v>
      </c>
      <c r="CO1148" t="s">
        <v>138</v>
      </c>
      <c r="CP1148" t="s">
        <v>114</v>
      </c>
      <c r="CQ1148" t="s">
        <v>114</v>
      </c>
      <c r="CR1148" t="s">
        <v>114</v>
      </c>
      <c r="CS1148" t="s">
        <v>114</v>
      </c>
      <c r="CT1148" t="s">
        <v>114</v>
      </c>
      <c r="CU1148" t="s">
        <v>114</v>
      </c>
      <c r="CV1148" t="s">
        <v>7238</v>
      </c>
      <c r="CW1148" s="5" t="str">
        <f>"+16189979399"</f>
        <v>+16189979399</v>
      </c>
      <c r="CX1148" t="s">
        <v>7239</v>
      </c>
      <c r="CY1148" t="s">
        <v>7240</v>
      </c>
      <c r="CZ1148" t="s">
        <v>139</v>
      </c>
      <c r="DA1148" t="s">
        <v>134</v>
      </c>
      <c r="DB1148" t="s">
        <v>134</v>
      </c>
      <c r="DC1148" t="s">
        <v>114</v>
      </c>
      <c r="DD1148" t="s">
        <v>134</v>
      </c>
    </row>
    <row r="1149" spans="1:113" ht="15" customHeight="1" x14ac:dyDescent="0.25">
      <c r="A1149" t="s">
        <v>13459</v>
      </c>
      <c r="B1149" t="s">
        <v>113</v>
      </c>
      <c r="C1149" s="1">
        <v>44880.283134837962</v>
      </c>
      <c r="D1149" s="1">
        <v>44910</v>
      </c>
      <c r="E1149" t="s">
        <v>134</v>
      </c>
      <c r="F1149" t="s">
        <v>13460</v>
      </c>
      <c r="G1149" t="str">
        <f>"31-9011.00"</f>
        <v>31-9011.00</v>
      </c>
      <c r="H1149" t="s">
        <v>4107</v>
      </c>
      <c r="I1149">
        <v>4</v>
      </c>
      <c r="K1149" s="1">
        <v>44956</v>
      </c>
      <c r="L1149" s="1">
        <v>45245</v>
      </c>
      <c r="O1149" t="s">
        <v>117</v>
      </c>
      <c r="P1149" t="s">
        <v>13461</v>
      </c>
      <c r="Q1149" t="s">
        <v>13462</v>
      </c>
      <c r="R1149" t="s">
        <v>13463</v>
      </c>
      <c r="T1149" t="s">
        <v>2857</v>
      </c>
      <c r="U1149" t="s">
        <v>119</v>
      </c>
      <c r="V1149" s="4" t="str">
        <f>"28209"</f>
        <v>28209</v>
      </c>
      <c r="W1149" t="s">
        <v>120</v>
      </c>
      <c r="Y1149" s="5">
        <v>17049979917</v>
      </c>
      <c r="AA1149">
        <v>621399</v>
      </c>
      <c r="AB1149" t="s">
        <v>13464</v>
      </c>
      <c r="AC1149" t="s">
        <v>13465</v>
      </c>
      <c r="AD1149" t="s">
        <v>13466</v>
      </c>
      <c r="AE1149" t="s">
        <v>285</v>
      </c>
      <c r="AF1149" t="s">
        <v>13467</v>
      </c>
      <c r="AH1149" t="s">
        <v>974</v>
      </c>
      <c r="AI1149" t="s">
        <v>154</v>
      </c>
      <c r="AJ1149" s="4" t="str">
        <f>"33607"</f>
        <v>33607</v>
      </c>
      <c r="AK1149" t="s">
        <v>120</v>
      </c>
      <c r="AM1149" s="5">
        <v>19802307089</v>
      </c>
      <c r="AO1149" t="s">
        <v>13468</v>
      </c>
      <c r="AX1149" s="4" t="str">
        <f>""</f>
        <v/>
      </c>
      <c r="BG1149" t="s">
        <v>119</v>
      </c>
      <c r="BH1149" s="1">
        <v>44879.791666666664</v>
      </c>
      <c r="BI1149">
        <v>40</v>
      </c>
      <c r="BJ1149">
        <v>8</v>
      </c>
      <c r="BK1149">
        <v>8</v>
      </c>
      <c r="BL1149">
        <v>0</v>
      </c>
      <c r="BM1149">
        <v>0</v>
      </c>
      <c r="BN1149">
        <v>8</v>
      </c>
      <c r="BO1149">
        <v>8</v>
      </c>
      <c r="BP1149">
        <v>8</v>
      </c>
      <c r="BQ1149" t="str">
        <f>"10:00 AM"</f>
        <v>10:00 AM</v>
      </c>
      <c r="BR1149" t="str">
        <f>"6:00 PM"</f>
        <v>6:00 PM</v>
      </c>
      <c r="BS1149" t="s">
        <v>8789</v>
      </c>
      <c r="BT1149">
        <v>6</v>
      </c>
      <c r="BU1149">
        <v>1</v>
      </c>
      <c r="BV1149" t="s">
        <v>134</v>
      </c>
      <c r="BX1149" s="2" t="s">
        <v>13469</v>
      </c>
      <c r="BY1149" t="s">
        <v>13463</v>
      </c>
      <c r="CA1149" t="s">
        <v>2857</v>
      </c>
      <c r="CB1149" t="s">
        <v>119</v>
      </c>
      <c r="CC1149" s="4" t="str">
        <f>"28209"</f>
        <v>28209</v>
      </c>
      <c r="CD1149" t="s">
        <v>1403</v>
      </c>
      <c r="CE1149" t="s">
        <v>1404</v>
      </c>
      <c r="CF1149" s="6">
        <v>22.07</v>
      </c>
      <c r="CG1149" s="6">
        <v>25</v>
      </c>
      <c r="CH1149" s="6">
        <v>1.5</v>
      </c>
      <c r="CI1149" s="6">
        <v>1.5</v>
      </c>
      <c r="CJ1149" t="s">
        <v>137</v>
      </c>
      <c r="CK1149" t="s">
        <v>13470</v>
      </c>
      <c r="CL1149" t="s">
        <v>13471</v>
      </c>
      <c r="CO1149" t="s">
        <v>138</v>
      </c>
      <c r="CP1149" t="s">
        <v>134</v>
      </c>
      <c r="CQ1149" t="s">
        <v>114</v>
      </c>
      <c r="CR1149" t="s">
        <v>134</v>
      </c>
      <c r="CS1149" t="s">
        <v>114</v>
      </c>
      <c r="CT1149" t="s">
        <v>114</v>
      </c>
      <c r="CU1149" t="s">
        <v>114</v>
      </c>
      <c r="CV1149" t="s">
        <v>138</v>
      </c>
      <c r="CW1149" s="5" t="str">
        <f>"+19179294713"</f>
        <v>+19179294713</v>
      </c>
      <c r="CX1149" t="s">
        <v>13472</v>
      </c>
      <c r="CY1149" t="s">
        <v>13473</v>
      </c>
      <c r="CZ1149" t="s">
        <v>139</v>
      </c>
      <c r="DA1149" t="s">
        <v>134</v>
      </c>
      <c r="DB1149" t="s">
        <v>134</v>
      </c>
      <c r="DC1149" t="s">
        <v>114</v>
      </c>
      <c r="DD1149" t="s">
        <v>134</v>
      </c>
      <c r="DE1149" t="s">
        <v>13474</v>
      </c>
      <c r="DF1149" t="s">
        <v>13475</v>
      </c>
      <c r="DG1149" t="s">
        <v>13476</v>
      </c>
      <c r="DH1149" t="s">
        <v>13477</v>
      </c>
      <c r="DI1149" t="s">
        <v>13478</v>
      </c>
    </row>
    <row r="1150" spans="1:113" ht="15" customHeight="1" x14ac:dyDescent="0.25">
      <c r="A1150" t="s">
        <v>16160</v>
      </c>
      <c r="B1150" t="s">
        <v>113</v>
      </c>
      <c r="C1150" s="1">
        <v>44879.674998032409</v>
      </c>
      <c r="D1150" s="1">
        <v>44910</v>
      </c>
      <c r="E1150" t="s">
        <v>134</v>
      </c>
      <c r="F1150" t="s">
        <v>1296</v>
      </c>
      <c r="G1150" t="str">
        <f>"37-3011.00"</f>
        <v>37-3011.00</v>
      </c>
      <c r="H1150" t="s">
        <v>335</v>
      </c>
      <c r="I1150">
        <v>12</v>
      </c>
      <c r="K1150" s="1">
        <v>44958</v>
      </c>
      <c r="L1150" s="1">
        <v>45260</v>
      </c>
      <c r="O1150" t="s">
        <v>199</v>
      </c>
      <c r="P1150" t="s">
        <v>2073</v>
      </c>
      <c r="R1150" t="s">
        <v>2074</v>
      </c>
      <c r="T1150" t="s">
        <v>2075</v>
      </c>
      <c r="U1150" t="s">
        <v>748</v>
      </c>
      <c r="V1150" s="4" t="str">
        <f>"19390"</f>
        <v>19390</v>
      </c>
      <c r="W1150" t="s">
        <v>120</v>
      </c>
      <c r="Y1150" s="5">
        <v>14849852343</v>
      </c>
      <c r="AA1150">
        <v>56173</v>
      </c>
      <c r="AB1150" t="s">
        <v>2076</v>
      </c>
      <c r="AC1150" t="s">
        <v>2077</v>
      </c>
      <c r="AE1150" t="s">
        <v>342</v>
      </c>
      <c r="AF1150" t="s">
        <v>2074</v>
      </c>
      <c r="AH1150" t="s">
        <v>2075</v>
      </c>
      <c r="AI1150" t="s">
        <v>748</v>
      </c>
      <c r="AJ1150" s="4" t="str">
        <f>"19390"</f>
        <v>19390</v>
      </c>
      <c r="AK1150" t="s">
        <v>120</v>
      </c>
      <c r="AM1150" s="5">
        <v>14849852343</v>
      </c>
      <c r="AO1150" t="s">
        <v>2078</v>
      </c>
      <c r="AP1150" t="s">
        <v>122</v>
      </c>
      <c r="AQ1150" t="s">
        <v>1303</v>
      </c>
      <c r="AR1150" t="s">
        <v>1304</v>
      </c>
      <c r="AS1150" t="s">
        <v>532</v>
      </c>
      <c r="AT1150" t="s">
        <v>1305</v>
      </c>
      <c r="AV1150" t="s">
        <v>1306</v>
      </c>
      <c r="AW1150" t="s">
        <v>748</v>
      </c>
      <c r="AX1150" s="4" t="str">
        <f>"19063"</f>
        <v>19063</v>
      </c>
      <c r="AY1150" t="s">
        <v>120</v>
      </c>
      <c r="BA1150" s="5">
        <v>16103585976</v>
      </c>
      <c r="BC1150" t="s">
        <v>1307</v>
      </c>
      <c r="BD1150" t="s">
        <v>1308</v>
      </c>
      <c r="BE1150" t="s">
        <v>748</v>
      </c>
      <c r="BF1150" t="s">
        <v>1309</v>
      </c>
      <c r="BG1150" t="s">
        <v>748</v>
      </c>
      <c r="BH1150" s="1">
        <v>44878.791666666664</v>
      </c>
      <c r="BI1150">
        <v>50</v>
      </c>
      <c r="BJ1150">
        <v>0</v>
      </c>
      <c r="BK1150">
        <v>8</v>
      </c>
      <c r="BL1150">
        <v>8</v>
      </c>
      <c r="BM1150">
        <v>8</v>
      </c>
      <c r="BN1150">
        <v>8</v>
      </c>
      <c r="BO1150">
        <v>8</v>
      </c>
      <c r="BP1150">
        <v>10</v>
      </c>
      <c r="BQ1150" t="str">
        <f>"7:00 AM"</f>
        <v>7:00 AM</v>
      </c>
      <c r="BR1150" t="str">
        <f>"3:30 PM"</f>
        <v>3:30 PM</v>
      </c>
      <c r="BS1150" t="s">
        <v>133</v>
      </c>
      <c r="BT1150">
        <v>0</v>
      </c>
      <c r="BU1150">
        <v>0</v>
      </c>
      <c r="BV1150" t="s">
        <v>134</v>
      </c>
      <c r="BX1150" s="2" t="s">
        <v>1310</v>
      </c>
      <c r="BY1150" t="s">
        <v>2079</v>
      </c>
      <c r="CA1150" t="s">
        <v>2075</v>
      </c>
      <c r="CB1150" t="s">
        <v>748</v>
      </c>
      <c r="CC1150" s="4" t="str">
        <f>"19390"</f>
        <v>19390</v>
      </c>
      <c r="CD1150" t="s">
        <v>1265</v>
      </c>
      <c r="CE1150" t="s">
        <v>1266</v>
      </c>
      <c r="CF1150" s="6">
        <v>17.82</v>
      </c>
      <c r="CG1150" s="6">
        <v>17.82</v>
      </c>
      <c r="CH1150" s="6">
        <v>26.73</v>
      </c>
      <c r="CI1150" s="6">
        <v>26.73</v>
      </c>
      <c r="CJ1150" t="s">
        <v>137</v>
      </c>
      <c r="CL1150" t="s">
        <v>2080</v>
      </c>
      <c r="CO1150" t="s">
        <v>138</v>
      </c>
      <c r="CP1150" t="s">
        <v>114</v>
      </c>
      <c r="CQ1150" t="s">
        <v>114</v>
      </c>
      <c r="CR1150" t="s">
        <v>114</v>
      </c>
      <c r="CS1150" t="s">
        <v>114</v>
      </c>
      <c r="CT1150" t="s">
        <v>114</v>
      </c>
      <c r="CU1150" t="s">
        <v>134</v>
      </c>
      <c r="CV1150" t="s">
        <v>1313</v>
      </c>
      <c r="CW1150" s="5" t="str">
        <f>"+14849852343"</f>
        <v>+14849852343</v>
      </c>
      <c r="CX1150" t="s">
        <v>2078</v>
      </c>
      <c r="CY1150" t="s">
        <v>138</v>
      </c>
      <c r="CZ1150" t="s">
        <v>139</v>
      </c>
      <c r="DA1150" t="s">
        <v>134</v>
      </c>
      <c r="DB1150" t="s">
        <v>134</v>
      </c>
      <c r="DC1150" t="s">
        <v>114</v>
      </c>
      <c r="DD1150" t="s">
        <v>134</v>
      </c>
    </row>
    <row r="1151" spans="1:113" ht="15" customHeight="1" x14ac:dyDescent="0.25">
      <c r="A1151" t="s">
        <v>15607</v>
      </c>
      <c r="B1151" t="s">
        <v>113</v>
      </c>
      <c r="C1151" s="1">
        <v>44868.598212731478</v>
      </c>
      <c r="D1151" s="1">
        <v>44910</v>
      </c>
      <c r="E1151" t="s">
        <v>134</v>
      </c>
      <c r="F1151" t="s">
        <v>115</v>
      </c>
      <c r="G1151" t="str">
        <f>"37-2012.00"</f>
        <v>37-2012.00</v>
      </c>
      <c r="H1151" t="s">
        <v>116</v>
      </c>
      <c r="I1151">
        <v>5</v>
      </c>
      <c r="K1151" s="1">
        <v>44958</v>
      </c>
      <c r="L1151" s="1">
        <v>45230</v>
      </c>
      <c r="O1151" t="s">
        <v>117</v>
      </c>
      <c r="P1151" t="s">
        <v>2396</v>
      </c>
      <c r="Q1151" t="s">
        <v>12739</v>
      </c>
      <c r="R1151" t="s">
        <v>2397</v>
      </c>
      <c r="T1151" t="s">
        <v>2398</v>
      </c>
      <c r="U1151" t="s">
        <v>1361</v>
      </c>
      <c r="V1151" s="4" t="str">
        <f>"39180"</f>
        <v>39180</v>
      </c>
      <c r="W1151" t="s">
        <v>120</v>
      </c>
      <c r="Y1151" s="5">
        <v>16016365700</v>
      </c>
      <c r="AA1151">
        <v>72112</v>
      </c>
      <c r="AB1151" t="s">
        <v>2211</v>
      </c>
      <c r="AC1151" t="s">
        <v>2399</v>
      </c>
      <c r="AE1151" t="s">
        <v>845</v>
      </c>
      <c r="AF1151" t="s">
        <v>2397</v>
      </c>
      <c r="AH1151" t="s">
        <v>2398</v>
      </c>
      <c r="AI1151" t="s">
        <v>1361</v>
      </c>
      <c r="AJ1151" s="4" t="str">
        <f>"39180"</f>
        <v>39180</v>
      </c>
      <c r="AK1151" t="s">
        <v>120</v>
      </c>
      <c r="AM1151" s="5">
        <v>16016365700</v>
      </c>
      <c r="AO1151" t="s">
        <v>2400</v>
      </c>
      <c r="AP1151" t="s">
        <v>256</v>
      </c>
      <c r="AQ1151" t="s">
        <v>400</v>
      </c>
      <c r="AR1151" t="s">
        <v>401</v>
      </c>
      <c r="AS1151" t="s">
        <v>397</v>
      </c>
      <c r="AT1151" t="s">
        <v>402</v>
      </c>
      <c r="AU1151" t="s">
        <v>152</v>
      </c>
      <c r="AV1151" t="s">
        <v>403</v>
      </c>
      <c r="AW1151" t="s">
        <v>232</v>
      </c>
      <c r="AX1151" s="4" t="str">
        <f>"75033"</f>
        <v>75033</v>
      </c>
      <c r="AY1151" t="s">
        <v>120</v>
      </c>
      <c r="BA1151" s="5">
        <v>19727789690</v>
      </c>
      <c r="BC1151" t="s">
        <v>1503</v>
      </c>
      <c r="BD1151" t="s">
        <v>405</v>
      </c>
      <c r="BG1151" t="s">
        <v>1361</v>
      </c>
      <c r="BH1151" s="1">
        <v>44867.833333333336</v>
      </c>
      <c r="BI1151">
        <v>40</v>
      </c>
      <c r="BJ1151">
        <v>8</v>
      </c>
      <c r="BK1151">
        <v>8</v>
      </c>
      <c r="BL1151">
        <v>0</v>
      </c>
      <c r="BM1151">
        <v>0</v>
      </c>
      <c r="BN1151">
        <v>8</v>
      </c>
      <c r="BO1151">
        <v>8</v>
      </c>
      <c r="BP1151">
        <v>8</v>
      </c>
      <c r="BQ1151" t="str">
        <f>"7:00 AM"</f>
        <v>7:00 AM</v>
      </c>
      <c r="BR1151" t="str">
        <f>"3:00 PM"</f>
        <v>3:00 PM</v>
      </c>
      <c r="BS1151" t="s">
        <v>133</v>
      </c>
      <c r="BT1151">
        <v>0</v>
      </c>
      <c r="BU1151">
        <v>0</v>
      </c>
      <c r="BV1151" t="s">
        <v>134</v>
      </c>
      <c r="BX1151" s="2" t="s">
        <v>15608</v>
      </c>
      <c r="BY1151" t="s">
        <v>2397</v>
      </c>
      <c r="CA1151" t="s">
        <v>2398</v>
      </c>
      <c r="CB1151" t="s">
        <v>1361</v>
      </c>
      <c r="CC1151" s="4" t="str">
        <f>"39180"</f>
        <v>39180</v>
      </c>
      <c r="CD1151" t="s">
        <v>1535</v>
      </c>
      <c r="CE1151" t="s">
        <v>2402</v>
      </c>
      <c r="CF1151" s="6">
        <v>10</v>
      </c>
      <c r="CH1151" s="6">
        <v>15</v>
      </c>
      <c r="CJ1151" t="s">
        <v>137</v>
      </c>
      <c r="CK1151" t="s">
        <v>909</v>
      </c>
      <c r="CL1151" t="s">
        <v>15513</v>
      </c>
      <c r="CO1151" t="s">
        <v>138</v>
      </c>
      <c r="CP1151" t="s">
        <v>134</v>
      </c>
      <c r="CQ1151" t="s">
        <v>114</v>
      </c>
      <c r="CR1151" t="s">
        <v>114</v>
      </c>
      <c r="CS1151" t="s">
        <v>114</v>
      </c>
      <c r="CT1151" t="s">
        <v>114</v>
      </c>
      <c r="CU1151" t="s">
        <v>114</v>
      </c>
      <c r="CV1151" s="2" t="s">
        <v>15609</v>
      </c>
      <c r="CW1151" s="5" t="str">
        <f>"+16016365700"</f>
        <v>+16016365700</v>
      </c>
      <c r="CX1151" t="s">
        <v>138</v>
      </c>
      <c r="CY1151" t="s">
        <v>12744</v>
      </c>
      <c r="CZ1151" t="s">
        <v>139</v>
      </c>
      <c r="DA1151" t="s">
        <v>134</v>
      </c>
      <c r="DB1151" t="s">
        <v>134</v>
      </c>
      <c r="DC1151" t="s">
        <v>114</v>
      </c>
      <c r="DD1151" t="s">
        <v>134</v>
      </c>
    </row>
    <row r="1152" spans="1:113" ht="15" customHeight="1" x14ac:dyDescent="0.25">
      <c r="A1152" t="s">
        <v>16761</v>
      </c>
      <c r="B1152" t="s">
        <v>113</v>
      </c>
      <c r="C1152" s="1">
        <v>44868.593842824077</v>
      </c>
      <c r="D1152" s="1">
        <v>44910</v>
      </c>
      <c r="E1152" t="s">
        <v>134</v>
      </c>
      <c r="F1152" t="s">
        <v>2394</v>
      </c>
      <c r="G1152" t="str">
        <f>"39-3011.00"</f>
        <v>39-3011.00</v>
      </c>
      <c r="H1152" t="s">
        <v>2395</v>
      </c>
      <c r="I1152">
        <v>10</v>
      </c>
      <c r="K1152" s="1">
        <v>44958</v>
      </c>
      <c r="L1152" s="1">
        <v>45230</v>
      </c>
      <c r="O1152" t="s">
        <v>117</v>
      </c>
      <c r="P1152" t="s">
        <v>2396</v>
      </c>
      <c r="Q1152" t="s">
        <v>12739</v>
      </c>
      <c r="R1152" t="s">
        <v>2397</v>
      </c>
      <c r="T1152" t="s">
        <v>2398</v>
      </c>
      <c r="U1152" t="s">
        <v>1361</v>
      </c>
      <c r="V1152" s="4" t="str">
        <f>"39180"</f>
        <v>39180</v>
      </c>
      <c r="W1152" t="s">
        <v>120</v>
      </c>
      <c r="Y1152" s="5">
        <v>16016365700</v>
      </c>
      <c r="AA1152">
        <v>721120</v>
      </c>
      <c r="AB1152" t="s">
        <v>2211</v>
      </c>
      <c r="AC1152" t="s">
        <v>2399</v>
      </c>
      <c r="AE1152" t="s">
        <v>845</v>
      </c>
      <c r="AF1152" t="s">
        <v>2397</v>
      </c>
      <c r="AH1152" t="s">
        <v>2398</v>
      </c>
      <c r="AI1152" t="s">
        <v>1361</v>
      </c>
      <c r="AJ1152" s="4" t="str">
        <f>"39180"</f>
        <v>39180</v>
      </c>
      <c r="AK1152" t="s">
        <v>120</v>
      </c>
      <c r="AM1152" s="5">
        <v>16016365700</v>
      </c>
      <c r="AO1152" t="s">
        <v>2400</v>
      </c>
      <c r="AP1152" t="s">
        <v>256</v>
      </c>
      <c r="AQ1152" t="s">
        <v>400</v>
      </c>
      <c r="AR1152" t="s">
        <v>401</v>
      </c>
      <c r="AS1152" t="s">
        <v>397</v>
      </c>
      <c r="AT1152" t="s">
        <v>402</v>
      </c>
      <c r="AU1152" t="s">
        <v>152</v>
      </c>
      <c r="AV1152" t="s">
        <v>403</v>
      </c>
      <c r="AW1152" t="s">
        <v>232</v>
      </c>
      <c r="AX1152" s="4" t="str">
        <f>"75033"</f>
        <v>75033</v>
      </c>
      <c r="AY1152" t="s">
        <v>120</v>
      </c>
      <c r="BA1152" s="5">
        <v>19727789690</v>
      </c>
      <c r="BC1152" t="s">
        <v>1503</v>
      </c>
      <c r="BD1152" t="s">
        <v>405</v>
      </c>
      <c r="BG1152" t="s">
        <v>1361</v>
      </c>
      <c r="BH1152" s="1">
        <v>44867.833333333336</v>
      </c>
      <c r="BI1152">
        <v>40</v>
      </c>
      <c r="BJ1152">
        <v>8</v>
      </c>
      <c r="BK1152">
        <v>8</v>
      </c>
      <c r="BL1152">
        <v>0</v>
      </c>
      <c r="BM1152">
        <v>0</v>
      </c>
      <c r="BN1152">
        <v>8</v>
      </c>
      <c r="BO1152">
        <v>8</v>
      </c>
      <c r="BP1152">
        <v>8</v>
      </c>
      <c r="BQ1152" t="str">
        <f>"7:00 AM"</f>
        <v>7:00 AM</v>
      </c>
      <c r="BR1152" t="str">
        <f>"3:00 PM"</f>
        <v>3:00 PM</v>
      </c>
      <c r="BS1152" t="s">
        <v>133</v>
      </c>
      <c r="BT1152">
        <v>0</v>
      </c>
      <c r="BU1152">
        <v>0</v>
      </c>
      <c r="BV1152" t="s">
        <v>134</v>
      </c>
      <c r="BX1152" s="2" t="s">
        <v>16762</v>
      </c>
      <c r="BY1152" t="s">
        <v>2401</v>
      </c>
      <c r="CA1152" t="s">
        <v>2398</v>
      </c>
      <c r="CB1152" t="s">
        <v>1361</v>
      </c>
      <c r="CC1152" s="4" t="str">
        <f>"39180"</f>
        <v>39180</v>
      </c>
      <c r="CD1152" t="s">
        <v>1535</v>
      </c>
      <c r="CE1152" t="s">
        <v>2402</v>
      </c>
      <c r="CF1152" s="6">
        <v>9.4600000000000009</v>
      </c>
      <c r="CH1152" s="6">
        <v>14.19</v>
      </c>
      <c r="CJ1152" t="s">
        <v>137</v>
      </c>
      <c r="CK1152" t="s">
        <v>16763</v>
      </c>
      <c r="CL1152" t="s">
        <v>2403</v>
      </c>
      <c r="CO1152" t="s">
        <v>138</v>
      </c>
      <c r="CP1152" t="s">
        <v>134</v>
      </c>
      <c r="CQ1152" t="s">
        <v>114</v>
      </c>
      <c r="CR1152" t="s">
        <v>114</v>
      </c>
      <c r="CS1152" t="s">
        <v>114</v>
      </c>
      <c r="CT1152" t="s">
        <v>114</v>
      </c>
      <c r="CU1152" t="s">
        <v>114</v>
      </c>
      <c r="CV1152" t="s">
        <v>12743</v>
      </c>
      <c r="CW1152" s="5" t="str">
        <f>"+16016365700"</f>
        <v>+16016365700</v>
      </c>
      <c r="CX1152" t="s">
        <v>138</v>
      </c>
      <c r="CY1152" t="s">
        <v>12744</v>
      </c>
      <c r="CZ1152" t="s">
        <v>139</v>
      </c>
      <c r="DA1152" t="s">
        <v>134</v>
      </c>
      <c r="DB1152" t="s">
        <v>134</v>
      </c>
      <c r="DC1152" t="s">
        <v>114</v>
      </c>
      <c r="DD1152" t="s">
        <v>134</v>
      </c>
    </row>
    <row r="1153" spans="1:113" ht="15" customHeight="1" x14ac:dyDescent="0.25">
      <c r="A1153" t="s">
        <v>12738</v>
      </c>
      <c r="B1153" t="s">
        <v>113</v>
      </c>
      <c r="C1153" s="1">
        <v>44868.551091435183</v>
      </c>
      <c r="D1153" s="1">
        <v>44910</v>
      </c>
      <c r="E1153" t="s">
        <v>134</v>
      </c>
      <c r="F1153" t="s">
        <v>1331</v>
      </c>
      <c r="G1153" t="str">
        <f>"35-2014.00"</f>
        <v>35-2014.00</v>
      </c>
      <c r="H1153" t="s">
        <v>915</v>
      </c>
      <c r="I1153">
        <v>3</v>
      </c>
      <c r="K1153" s="1">
        <v>44958</v>
      </c>
      <c r="L1153" s="1">
        <v>45230</v>
      </c>
      <c r="O1153" t="s">
        <v>117</v>
      </c>
      <c r="P1153" t="s">
        <v>2396</v>
      </c>
      <c r="Q1153" t="s">
        <v>12739</v>
      </c>
      <c r="R1153" t="s">
        <v>2397</v>
      </c>
      <c r="T1153" t="s">
        <v>12740</v>
      </c>
      <c r="U1153" t="s">
        <v>1361</v>
      </c>
      <c r="V1153" s="4" t="str">
        <f>"39180"</f>
        <v>39180</v>
      </c>
      <c r="W1153" t="s">
        <v>120</v>
      </c>
      <c r="Y1153" s="5">
        <v>16016365700</v>
      </c>
      <c r="AA1153">
        <v>721120</v>
      </c>
      <c r="AB1153" t="s">
        <v>2211</v>
      </c>
      <c r="AC1153" t="s">
        <v>2399</v>
      </c>
      <c r="AE1153" t="s">
        <v>845</v>
      </c>
      <c r="AF1153" t="s">
        <v>2397</v>
      </c>
      <c r="AH1153" t="s">
        <v>2398</v>
      </c>
      <c r="AI1153" t="s">
        <v>1361</v>
      </c>
      <c r="AJ1153" s="4" t="str">
        <f>"39180"</f>
        <v>39180</v>
      </c>
      <c r="AK1153" t="s">
        <v>120</v>
      </c>
      <c r="AM1153" s="5">
        <v>16016365700</v>
      </c>
      <c r="AO1153" t="s">
        <v>2400</v>
      </c>
      <c r="AP1153" t="s">
        <v>256</v>
      </c>
      <c r="AQ1153" t="s">
        <v>400</v>
      </c>
      <c r="AR1153" t="s">
        <v>401</v>
      </c>
      <c r="AS1153" t="s">
        <v>397</v>
      </c>
      <c r="AT1153" t="s">
        <v>402</v>
      </c>
      <c r="AU1153" t="s">
        <v>152</v>
      </c>
      <c r="AV1153" t="s">
        <v>403</v>
      </c>
      <c r="AW1153" t="s">
        <v>232</v>
      </c>
      <c r="AX1153" s="4" t="str">
        <f>"75033"</f>
        <v>75033</v>
      </c>
      <c r="AY1153" t="s">
        <v>120</v>
      </c>
      <c r="BA1153" s="5">
        <v>19727789690</v>
      </c>
      <c r="BC1153" t="s">
        <v>1503</v>
      </c>
      <c r="BD1153" t="s">
        <v>405</v>
      </c>
      <c r="BG1153" t="s">
        <v>1361</v>
      </c>
      <c r="BH1153" s="1">
        <v>44867.833333333336</v>
      </c>
      <c r="BI1153">
        <v>40</v>
      </c>
      <c r="BJ1153">
        <v>8</v>
      </c>
      <c r="BK1153">
        <v>8</v>
      </c>
      <c r="BL1153">
        <v>0</v>
      </c>
      <c r="BM1153">
        <v>0</v>
      </c>
      <c r="BN1153">
        <v>8</v>
      </c>
      <c r="BO1153">
        <v>8</v>
      </c>
      <c r="BP1153">
        <v>8</v>
      </c>
      <c r="BQ1153" t="str">
        <f>"7:00 AM"</f>
        <v>7:00 AM</v>
      </c>
      <c r="BR1153" t="str">
        <f>"3:00 PM"</f>
        <v>3:00 PM</v>
      </c>
      <c r="BS1153" t="s">
        <v>133</v>
      </c>
      <c r="BT1153">
        <v>0</v>
      </c>
      <c r="BU1153">
        <v>0</v>
      </c>
      <c r="BV1153" t="s">
        <v>134</v>
      </c>
      <c r="BX1153" s="2" t="s">
        <v>12741</v>
      </c>
      <c r="BY1153" t="s">
        <v>2397</v>
      </c>
      <c r="CA1153" t="s">
        <v>2398</v>
      </c>
      <c r="CB1153" t="s">
        <v>1361</v>
      </c>
      <c r="CC1153" s="4" t="str">
        <f>"39180"</f>
        <v>39180</v>
      </c>
      <c r="CD1153" t="s">
        <v>1535</v>
      </c>
      <c r="CE1153" t="s">
        <v>2402</v>
      </c>
      <c r="CF1153" s="6">
        <v>11.02</v>
      </c>
      <c r="CH1153" s="6">
        <v>16.53</v>
      </c>
      <c r="CJ1153" t="s">
        <v>137</v>
      </c>
      <c r="CK1153" t="s">
        <v>909</v>
      </c>
      <c r="CL1153" t="s">
        <v>12742</v>
      </c>
      <c r="CO1153" t="s">
        <v>138</v>
      </c>
      <c r="CP1153" t="s">
        <v>134</v>
      </c>
      <c r="CQ1153" t="s">
        <v>114</v>
      </c>
      <c r="CR1153" t="s">
        <v>114</v>
      </c>
      <c r="CS1153" t="s">
        <v>114</v>
      </c>
      <c r="CT1153" t="s">
        <v>114</v>
      </c>
      <c r="CU1153" t="s">
        <v>114</v>
      </c>
      <c r="CV1153" t="s">
        <v>12743</v>
      </c>
      <c r="CW1153" s="5" t="str">
        <f>"+16016365700"</f>
        <v>+16016365700</v>
      </c>
      <c r="CX1153" t="s">
        <v>138</v>
      </c>
      <c r="CY1153" t="s">
        <v>12744</v>
      </c>
      <c r="CZ1153" t="s">
        <v>139</v>
      </c>
      <c r="DA1153" t="s">
        <v>134</v>
      </c>
      <c r="DB1153" t="s">
        <v>134</v>
      </c>
      <c r="DC1153" t="s">
        <v>114</v>
      </c>
      <c r="DD1153" t="s">
        <v>134</v>
      </c>
    </row>
    <row r="1154" spans="1:113" ht="15" customHeight="1" x14ac:dyDescent="0.25">
      <c r="A1154" t="s">
        <v>11035</v>
      </c>
      <c r="B1154" t="s">
        <v>113</v>
      </c>
      <c r="C1154" s="1">
        <v>44865.574077083336</v>
      </c>
      <c r="D1154" s="1">
        <v>44910</v>
      </c>
      <c r="E1154" t="s">
        <v>134</v>
      </c>
      <c r="F1154" t="s">
        <v>2251</v>
      </c>
      <c r="G1154" t="str">
        <f>"35-2021.00"</f>
        <v>35-2021.00</v>
      </c>
      <c r="H1154" t="s">
        <v>718</v>
      </c>
      <c r="I1154">
        <v>3</v>
      </c>
      <c r="K1154" s="1">
        <v>44940</v>
      </c>
      <c r="L1154" s="1">
        <v>45213</v>
      </c>
      <c r="O1154" t="s">
        <v>199</v>
      </c>
      <c r="P1154" t="s">
        <v>11036</v>
      </c>
      <c r="Q1154" t="s">
        <v>138</v>
      </c>
      <c r="R1154" t="s">
        <v>11037</v>
      </c>
      <c r="T1154" t="s">
        <v>11038</v>
      </c>
      <c r="U1154" t="s">
        <v>181</v>
      </c>
      <c r="V1154" s="4" t="str">
        <f>"81067"</f>
        <v>81067</v>
      </c>
      <c r="W1154" t="s">
        <v>120</v>
      </c>
      <c r="Y1154" s="5">
        <v>17199800982</v>
      </c>
      <c r="AA1154">
        <v>115115</v>
      </c>
      <c r="AB1154" t="s">
        <v>6231</v>
      </c>
      <c r="AC1154" t="s">
        <v>11039</v>
      </c>
      <c r="AD1154" t="s">
        <v>1751</v>
      </c>
      <c r="AE1154" t="s">
        <v>11040</v>
      </c>
      <c r="AF1154" t="s">
        <v>11037</v>
      </c>
      <c r="AH1154" t="s">
        <v>11038</v>
      </c>
      <c r="AI1154" t="s">
        <v>181</v>
      </c>
      <c r="AJ1154" s="4" t="str">
        <f>"81067"</f>
        <v>81067</v>
      </c>
      <c r="AK1154" t="s">
        <v>120</v>
      </c>
      <c r="AM1154" s="5">
        <v>17199800982</v>
      </c>
      <c r="AO1154" t="s">
        <v>11041</v>
      </c>
      <c r="AX1154" s="4" t="str">
        <f>""</f>
        <v/>
      </c>
      <c r="BG1154" t="s">
        <v>181</v>
      </c>
      <c r="BH1154" s="1">
        <v>44863.833333333336</v>
      </c>
      <c r="BI1154">
        <v>35</v>
      </c>
      <c r="BJ1154">
        <v>5</v>
      </c>
      <c r="BK1154">
        <v>5</v>
      </c>
      <c r="BL1154">
        <v>5</v>
      </c>
      <c r="BM1154">
        <v>5</v>
      </c>
      <c r="BN1154">
        <v>5</v>
      </c>
      <c r="BO1154">
        <v>5</v>
      </c>
      <c r="BP1154">
        <v>5</v>
      </c>
      <c r="BQ1154" t="str">
        <f>"5:30 AM"</f>
        <v>5:30 AM</v>
      </c>
      <c r="BR1154" t="str">
        <f>"11:00 AM"</f>
        <v>11:00 AM</v>
      </c>
      <c r="BS1154" t="s">
        <v>133</v>
      </c>
      <c r="BT1154">
        <v>0</v>
      </c>
      <c r="BU1154">
        <v>0</v>
      </c>
      <c r="BV1154" t="s">
        <v>134</v>
      </c>
      <c r="BX1154" t="s">
        <v>138</v>
      </c>
      <c r="BY1154" t="s">
        <v>11042</v>
      </c>
      <c r="CA1154" t="s">
        <v>11038</v>
      </c>
      <c r="CB1154" t="s">
        <v>181</v>
      </c>
      <c r="CC1154" s="4" t="str">
        <f>"81067"</f>
        <v>81067</v>
      </c>
      <c r="CD1154" t="s">
        <v>5661</v>
      </c>
      <c r="CE1154" t="s">
        <v>5603</v>
      </c>
      <c r="CF1154" s="6">
        <v>15.31</v>
      </c>
      <c r="CG1154" s="6">
        <v>15.31</v>
      </c>
      <c r="CH1154" s="6">
        <v>0</v>
      </c>
      <c r="CI1154" s="6">
        <v>0</v>
      </c>
      <c r="CJ1154" t="s">
        <v>137</v>
      </c>
      <c r="CL1154" t="s">
        <v>11043</v>
      </c>
      <c r="CO1154" t="s">
        <v>138</v>
      </c>
      <c r="CP1154" t="s">
        <v>134</v>
      </c>
      <c r="CQ1154" t="s">
        <v>114</v>
      </c>
      <c r="CR1154" t="s">
        <v>134</v>
      </c>
      <c r="CS1154" t="s">
        <v>114</v>
      </c>
      <c r="CT1154" t="s">
        <v>114</v>
      </c>
      <c r="CU1154" t="s">
        <v>114</v>
      </c>
      <c r="CV1154" t="s">
        <v>11044</v>
      </c>
      <c r="CW1154" s="5" t="str">
        <f>"+17199800982"</f>
        <v>+17199800982</v>
      </c>
      <c r="CX1154" t="s">
        <v>11041</v>
      </c>
      <c r="CY1154" t="s">
        <v>138</v>
      </c>
      <c r="CZ1154" t="s">
        <v>5804</v>
      </c>
      <c r="DA1154" t="s">
        <v>114</v>
      </c>
      <c r="DB1154" t="s">
        <v>134</v>
      </c>
      <c r="DC1154" t="s">
        <v>114</v>
      </c>
      <c r="DD1154" t="s">
        <v>114</v>
      </c>
      <c r="DE1154" t="s">
        <v>6231</v>
      </c>
      <c r="DF1154" t="s">
        <v>11039</v>
      </c>
      <c r="DG1154" t="s">
        <v>1857</v>
      </c>
      <c r="DH1154" t="s">
        <v>11036</v>
      </c>
      <c r="DI1154" t="s">
        <v>11041</v>
      </c>
    </row>
    <row r="1155" spans="1:113" ht="15" customHeight="1" x14ac:dyDescent="0.25">
      <c r="A1155" t="s">
        <v>4653</v>
      </c>
      <c r="B1155" t="s">
        <v>113</v>
      </c>
      <c r="C1155" s="1">
        <v>44856.779239699077</v>
      </c>
      <c r="D1155" s="1">
        <v>44910</v>
      </c>
      <c r="E1155" t="s">
        <v>134</v>
      </c>
      <c r="F1155" t="s">
        <v>4654</v>
      </c>
      <c r="G1155" t="str">
        <f>"47-2061.00"</f>
        <v>47-2061.00</v>
      </c>
      <c r="H1155" t="s">
        <v>1625</v>
      </c>
      <c r="I1155">
        <v>10</v>
      </c>
      <c r="K1155" s="1">
        <v>44946</v>
      </c>
      <c r="L1155" s="1">
        <v>45189</v>
      </c>
      <c r="O1155" t="s">
        <v>117</v>
      </c>
      <c r="P1155" t="s">
        <v>4655</v>
      </c>
      <c r="R1155" t="s">
        <v>4656</v>
      </c>
      <c r="S1155" t="s">
        <v>4657</v>
      </c>
      <c r="T1155" t="s">
        <v>4658</v>
      </c>
      <c r="U1155" t="s">
        <v>232</v>
      </c>
      <c r="V1155" s="4" t="str">
        <f>"78852"</f>
        <v>78852</v>
      </c>
      <c r="W1155" t="s">
        <v>120</v>
      </c>
      <c r="Y1155" s="5">
        <v>18303353737</v>
      </c>
      <c r="AA1155">
        <v>237310</v>
      </c>
      <c r="AB1155" t="s">
        <v>4659</v>
      </c>
      <c r="AC1155" t="s">
        <v>4660</v>
      </c>
      <c r="AE1155" t="s">
        <v>424</v>
      </c>
      <c r="AF1155" t="s">
        <v>4656</v>
      </c>
      <c r="AH1155" t="s">
        <v>4658</v>
      </c>
      <c r="AI1155" t="s">
        <v>232</v>
      </c>
      <c r="AJ1155" s="4" t="str">
        <f>"78852"</f>
        <v>78852</v>
      </c>
      <c r="AK1155" t="s">
        <v>120</v>
      </c>
      <c r="AM1155" s="5">
        <v>18303353737</v>
      </c>
      <c r="AO1155" t="s">
        <v>4661</v>
      </c>
      <c r="AP1155" t="s">
        <v>256</v>
      </c>
      <c r="AQ1155" t="s">
        <v>2911</v>
      </c>
      <c r="AR1155" t="s">
        <v>4179</v>
      </c>
      <c r="AT1155" t="s">
        <v>4662</v>
      </c>
      <c r="AV1155" t="s">
        <v>4658</v>
      </c>
      <c r="AW1155" t="s">
        <v>232</v>
      </c>
      <c r="AX1155" s="4" t="str">
        <f>"78852"</f>
        <v>78852</v>
      </c>
      <c r="AY1155" t="s">
        <v>120</v>
      </c>
      <c r="BA1155" s="5" t="s">
        <v>4663</v>
      </c>
      <c r="BC1155" t="s">
        <v>4664</v>
      </c>
      <c r="BD1155" t="s">
        <v>4665</v>
      </c>
      <c r="BG1155" t="s">
        <v>232</v>
      </c>
      <c r="BH1155" s="1">
        <v>44855.833333333336</v>
      </c>
      <c r="BI1155">
        <v>40</v>
      </c>
      <c r="BJ1155">
        <v>0</v>
      </c>
      <c r="BK1155">
        <v>8</v>
      </c>
      <c r="BL1155">
        <v>8</v>
      </c>
      <c r="BM1155">
        <v>8</v>
      </c>
      <c r="BN1155">
        <v>8</v>
      </c>
      <c r="BO1155">
        <v>8</v>
      </c>
      <c r="BP1155">
        <v>0</v>
      </c>
      <c r="BQ1155" t="str">
        <f>"8:00 AM"</f>
        <v>8:00 AM</v>
      </c>
      <c r="BR1155" t="str">
        <f>"5:00 PM"</f>
        <v>5:00 PM</v>
      </c>
      <c r="BS1155" t="s">
        <v>133</v>
      </c>
      <c r="BT1155">
        <v>0</v>
      </c>
      <c r="BU1155">
        <v>0</v>
      </c>
      <c r="BV1155" t="s">
        <v>134</v>
      </c>
      <c r="BX1155" t="s">
        <v>4666</v>
      </c>
      <c r="BY1155" t="s">
        <v>4667</v>
      </c>
      <c r="BZ1155" t="s">
        <v>138</v>
      </c>
      <c r="CA1155" t="s">
        <v>4668</v>
      </c>
      <c r="CB1155" t="s">
        <v>232</v>
      </c>
      <c r="CC1155" s="4" t="str">
        <f>"78829"</f>
        <v>78829</v>
      </c>
      <c r="CD1155" t="s">
        <v>4669</v>
      </c>
      <c r="CE1155" t="s">
        <v>4670</v>
      </c>
      <c r="CF1155" s="6">
        <v>15.7</v>
      </c>
      <c r="CG1155" s="6">
        <v>16.7</v>
      </c>
      <c r="CH1155" s="6">
        <v>23.55</v>
      </c>
      <c r="CI1155" s="6">
        <v>25.05</v>
      </c>
      <c r="CJ1155" t="s">
        <v>137</v>
      </c>
      <c r="CK1155" t="s">
        <v>138</v>
      </c>
      <c r="CL1155" t="s">
        <v>4671</v>
      </c>
      <c r="CO1155" t="s">
        <v>138</v>
      </c>
      <c r="CP1155" t="s">
        <v>134</v>
      </c>
      <c r="CQ1155" t="s">
        <v>114</v>
      </c>
      <c r="CR1155" t="s">
        <v>134</v>
      </c>
      <c r="CS1155" t="s">
        <v>134</v>
      </c>
      <c r="CT1155" t="s">
        <v>114</v>
      </c>
      <c r="CU1155" t="s">
        <v>134</v>
      </c>
      <c r="CV1155" s="2" t="s">
        <v>4672</v>
      </c>
      <c r="CW1155" s="5" t="str">
        <f>"+18303353737"</f>
        <v>+18303353737</v>
      </c>
      <c r="CX1155" t="s">
        <v>4664</v>
      </c>
      <c r="CY1155" t="s">
        <v>138</v>
      </c>
      <c r="CZ1155" t="s">
        <v>139</v>
      </c>
      <c r="DA1155" t="s">
        <v>134</v>
      </c>
      <c r="DB1155" t="s">
        <v>134</v>
      </c>
      <c r="DC1155" t="s">
        <v>114</v>
      </c>
      <c r="DD1155" t="s">
        <v>134</v>
      </c>
      <c r="DE1155" t="s">
        <v>4673</v>
      </c>
      <c r="DF1155" t="s">
        <v>4674</v>
      </c>
      <c r="DH1155" t="s">
        <v>4675</v>
      </c>
      <c r="DI1155" t="s">
        <v>4664</v>
      </c>
    </row>
    <row r="1156" spans="1:113" ht="15" customHeight="1" x14ac:dyDescent="0.25">
      <c r="A1156" t="s">
        <v>8182</v>
      </c>
      <c r="B1156" t="s">
        <v>113</v>
      </c>
      <c r="C1156" s="1">
        <v>44868.591771990737</v>
      </c>
      <c r="D1156" s="1">
        <v>44909</v>
      </c>
      <c r="E1156" t="s">
        <v>114</v>
      </c>
      <c r="F1156" t="s">
        <v>8183</v>
      </c>
      <c r="G1156" t="str">
        <f>"53-7062.00"</f>
        <v>53-7062.00</v>
      </c>
      <c r="H1156" t="s">
        <v>8184</v>
      </c>
      <c r="I1156">
        <v>6</v>
      </c>
      <c r="K1156" s="1">
        <v>44910</v>
      </c>
      <c r="L1156" s="1">
        <v>45274</v>
      </c>
      <c r="O1156" t="s">
        <v>117</v>
      </c>
      <c r="P1156" t="s">
        <v>8185</v>
      </c>
      <c r="Q1156" t="s">
        <v>8149</v>
      </c>
      <c r="R1156" t="s">
        <v>8186</v>
      </c>
      <c r="T1156" t="s">
        <v>4470</v>
      </c>
      <c r="U1156" t="s">
        <v>2057</v>
      </c>
      <c r="V1156" s="4" t="str">
        <f>"57105"</f>
        <v>57105</v>
      </c>
      <c r="W1156" t="s">
        <v>120</v>
      </c>
      <c r="Y1156" s="5" t="s">
        <v>8187</v>
      </c>
      <c r="AA1156">
        <v>532289</v>
      </c>
      <c r="AB1156" t="s">
        <v>8150</v>
      </c>
      <c r="AC1156" t="s">
        <v>8151</v>
      </c>
      <c r="AD1156" t="s">
        <v>138</v>
      </c>
      <c r="AE1156" t="s">
        <v>424</v>
      </c>
      <c r="AF1156" t="s">
        <v>8152</v>
      </c>
      <c r="AG1156" t="s">
        <v>138</v>
      </c>
      <c r="AH1156" t="s">
        <v>4470</v>
      </c>
      <c r="AI1156" t="s">
        <v>2057</v>
      </c>
      <c r="AJ1156" s="4" t="str">
        <f>"57105"</f>
        <v>57105</v>
      </c>
      <c r="AK1156" t="s">
        <v>120</v>
      </c>
      <c r="AM1156" s="5" t="s">
        <v>8188</v>
      </c>
      <c r="AN1156" t="s">
        <v>138</v>
      </c>
      <c r="AO1156" t="s">
        <v>8153</v>
      </c>
      <c r="AX1156" s="4" t="str">
        <f>""</f>
        <v/>
      </c>
      <c r="BG1156" t="s">
        <v>2057</v>
      </c>
      <c r="BH1156" s="1">
        <v>44860.833333333336</v>
      </c>
      <c r="BI1156">
        <v>40</v>
      </c>
      <c r="BJ1156">
        <v>0</v>
      </c>
      <c r="BK1156">
        <v>8</v>
      </c>
      <c r="BL1156">
        <v>8</v>
      </c>
      <c r="BM1156">
        <v>8</v>
      </c>
      <c r="BN1156">
        <v>8</v>
      </c>
      <c r="BO1156">
        <v>8</v>
      </c>
      <c r="BP1156">
        <v>0</v>
      </c>
      <c r="BQ1156" t="str">
        <f>"8:00 AM"</f>
        <v>8:00 AM</v>
      </c>
      <c r="BR1156" t="str">
        <f>"5:00 PM"</f>
        <v>5:00 PM</v>
      </c>
      <c r="BS1156" t="s">
        <v>133</v>
      </c>
      <c r="BT1156">
        <v>0</v>
      </c>
      <c r="BU1156">
        <v>3</v>
      </c>
      <c r="BV1156" t="s">
        <v>134</v>
      </c>
      <c r="BX1156" t="s">
        <v>8189</v>
      </c>
      <c r="BY1156" t="s">
        <v>8152</v>
      </c>
      <c r="CA1156" t="s">
        <v>4470</v>
      </c>
      <c r="CB1156" t="s">
        <v>2057</v>
      </c>
      <c r="CC1156" s="4" t="str">
        <f>"57105"</f>
        <v>57105</v>
      </c>
      <c r="CD1156" t="s">
        <v>4472</v>
      </c>
      <c r="CE1156" t="s">
        <v>8190</v>
      </c>
      <c r="CF1156" s="6">
        <v>16</v>
      </c>
      <c r="CG1156" s="6">
        <v>17</v>
      </c>
      <c r="CH1156" s="6">
        <v>24</v>
      </c>
      <c r="CI1156" s="6">
        <v>26</v>
      </c>
      <c r="CJ1156" t="s">
        <v>137</v>
      </c>
      <c r="CL1156" t="s">
        <v>8154</v>
      </c>
      <c r="CO1156" t="s">
        <v>114</v>
      </c>
      <c r="CP1156" t="s">
        <v>114</v>
      </c>
      <c r="CQ1156" t="s">
        <v>114</v>
      </c>
      <c r="CR1156" t="s">
        <v>114</v>
      </c>
      <c r="CS1156" t="s">
        <v>114</v>
      </c>
      <c r="CT1156" t="s">
        <v>114</v>
      </c>
      <c r="CU1156" t="s">
        <v>114</v>
      </c>
      <c r="CV1156" t="s">
        <v>138</v>
      </c>
      <c r="CW1156" s="5" t="str">
        <f>"605-332-4222"</f>
        <v>605-332-4222</v>
      </c>
      <c r="CX1156" t="s">
        <v>8191</v>
      </c>
      <c r="CY1156" t="s">
        <v>8192</v>
      </c>
      <c r="CZ1156" t="s">
        <v>139</v>
      </c>
      <c r="DA1156" t="s">
        <v>134</v>
      </c>
      <c r="DB1156" t="s">
        <v>134</v>
      </c>
      <c r="DC1156" t="s">
        <v>114</v>
      </c>
      <c r="DD1156" t="s">
        <v>134</v>
      </c>
    </row>
    <row r="1157" spans="1:113" ht="15" customHeight="1" x14ac:dyDescent="0.25">
      <c r="A1157" t="s">
        <v>8230</v>
      </c>
      <c r="B1157" t="s">
        <v>113</v>
      </c>
      <c r="C1157" s="1">
        <v>44860.673245717589</v>
      </c>
      <c r="D1157" s="1">
        <v>44909</v>
      </c>
      <c r="E1157" t="s">
        <v>114</v>
      </c>
      <c r="F1157" t="s">
        <v>8231</v>
      </c>
      <c r="G1157" t="str">
        <f>"53-7062.00"</f>
        <v>53-7062.00</v>
      </c>
      <c r="H1157" t="s">
        <v>245</v>
      </c>
      <c r="I1157">
        <v>50</v>
      </c>
      <c r="K1157" s="1">
        <v>44935</v>
      </c>
      <c r="L1157" s="1">
        <v>45208</v>
      </c>
      <c r="O1157" t="s">
        <v>199</v>
      </c>
      <c r="P1157" t="s">
        <v>8232</v>
      </c>
      <c r="R1157" t="s">
        <v>6168</v>
      </c>
      <c r="S1157" t="s">
        <v>8233</v>
      </c>
      <c r="T1157" t="s">
        <v>8234</v>
      </c>
      <c r="U1157" t="s">
        <v>748</v>
      </c>
      <c r="V1157" s="4" t="str">
        <f>"18109"</f>
        <v>18109</v>
      </c>
      <c r="W1157" t="s">
        <v>120</v>
      </c>
      <c r="X1157" t="s">
        <v>6169</v>
      </c>
      <c r="Y1157" s="5">
        <v>14845453070</v>
      </c>
      <c r="AA1157">
        <v>813910</v>
      </c>
      <c r="AB1157" t="s">
        <v>3903</v>
      </c>
      <c r="AC1157" t="s">
        <v>3904</v>
      </c>
      <c r="AE1157" t="s">
        <v>285</v>
      </c>
      <c r="AF1157" t="s">
        <v>8235</v>
      </c>
      <c r="AG1157" t="s">
        <v>8233</v>
      </c>
      <c r="AH1157" t="s">
        <v>8236</v>
      </c>
      <c r="AI1157" t="s">
        <v>748</v>
      </c>
      <c r="AJ1157" s="4" t="str">
        <f>"18109"</f>
        <v>18109</v>
      </c>
      <c r="AK1157" t="s">
        <v>120</v>
      </c>
      <c r="AL1157" t="s">
        <v>6169</v>
      </c>
      <c r="AM1157" s="5">
        <v>14845453070</v>
      </c>
      <c r="AO1157" t="s">
        <v>8237</v>
      </c>
      <c r="AX1157" s="4" t="str">
        <f>""</f>
        <v/>
      </c>
      <c r="BG1157" t="s">
        <v>748</v>
      </c>
      <c r="BH1157" s="1">
        <v>44802.833333333336</v>
      </c>
      <c r="BI1157">
        <v>35</v>
      </c>
      <c r="BJ1157">
        <v>0</v>
      </c>
      <c r="BK1157">
        <v>7</v>
      </c>
      <c r="BL1157">
        <v>7</v>
      </c>
      <c r="BM1157">
        <v>7</v>
      </c>
      <c r="BN1157">
        <v>7</v>
      </c>
      <c r="BO1157">
        <v>7</v>
      </c>
      <c r="BP1157">
        <v>0</v>
      </c>
      <c r="BQ1157" t="str">
        <f>"7:00 AM"</f>
        <v>7:00 AM</v>
      </c>
      <c r="BR1157" t="str">
        <f>"2:00 PM"</f>
        <v>2:00 PM</v>
      </c>
      <c r="BS1157" t="s">
        <v>133</v>
      </c>
      <c r="BT1157">
        <v>0</v>
      </c>
      <c r="BU1157">
        <v>3</v>
      </c>
      <c r="BV1157" t="s">
        <v>134</v>
      </c>
      <c r="BX1157" t="s">
        <v>8238</v>
      </c>
      <c r="BY1157" t="s">
        <v>6168</v>
      </c>
      <c r="BZ1157" t="s">
        <v>8233</v>
      </c>
      <c r="CA1157" t="s">
        <v>8234</v>
      </c>
      <c r="CB1157" t="s">
        <v>748</v>
      </c>
      <c r="CC1157" s="4" t="str">
        <f>"18109"</f>
        <v>18109</v>
      </c>
      <c r="CD1157" t="s">
        <v>3906</v>
      </c>
      <c r="CE1157" t="s">
        <v>3907</v>
      </c>
      <c r="CF1157" s="6">
        <v>15</v>
      </c>
      <c r="CG1157" s="6">
        <v>17</v>
      </c>
      <c r="CJ1157" t="s">
        <v>137</v>
      </c>
      <c r="CL1157" t="s">
        <v>8239</v>
      </c>
      <c r="CO1157" t="s">
        <v>138</v>
      </c>
      <c r="CP1157" t="s">
        <v>134</v>
      </c>
      <c r="CQ1157" t="s">
        <v>114</v>
      </c>
      <c r="CR1157" t="s">
        <v>114</v>
      </c>
      <c r="CS1157" t="s">
        <v>114</v>
      </c>
      <c r="CT1157" t="s">
        <v>114</v>
      </c>
      <c r="CU1157" t="s">
        <v>134</v>
      </c>
      <c r="CV1157" t="s">
        <v>2314</v>
      </c>
      <c r="CW1157" s="5" t="str">
        <f>"+14845453070"</f>
        <v>+14845453070</v>
      </c>
      <c r="CX1157" t="s">
        <v>8237</v>
      </c>
      <c r="CY1157" t="s">
        <v>138</v>
      </c>
      <c r="CZ1157" t="s">
        <v>139</v>
      </c>
      <c r="DA1157" t="s">
        <v>134</v>
      </c>
      <c r="DB1157" t="s">
        <v>134</v>
      </c>
      <c r="DC1157" t="s">
        <v>114</v>
      </c>
      <c r="DD1157" t="s">
        <v>134</v>
      </c>
      <c r="DE1157" t="s">
        <v>3903</v>
      </c>
      <c r="DF1157" t="s">
        <v>3904</v>
      </c>
      <c r="DH1157" t="s">
        <v>6167</v>
      </c>
      <c r="DI1157" t="s">
        <v>3905</v>
      </c>
    </row>
    <row r="1158" spans="1:113" ht="15" customHeight="1" x14ac:dyDescent="0.25">
      <c r="A1158" t="s">
        <v>3031</v>
      </c>
      <c r="B1158" t="s">
        <v>113</v>
      </c>
      <c r="C1158" s="1">
        <v>44852.647814583332</v>
      </c>
      <c r="D1158" s="1">
        <v>44909</v>
      </c>
      <c r="E1158" t="s">
        <v>114</v>
      </c>
      <c r="F1158" t="s">
        <v>2144</v>
      </c>
      <c r="G1158" t="str">
        <f>"35-2021.00"</f>
        <v>35-2021.00</v>
      </c>
      <c r="H1158" t="s">
        <v>718</v>
      </c>
      <c r="I1158">
        <v>2</v>
      </c>
      <c r="K1158" s="1">
        <v>44935</v>
      </c>
      <c r="L1158" s="1">
        <v>45107</v>
      </c>
      <c r="O1158" t="s">
        <v>117</v>
      </c>
      <c r="P1158" t="s">
        <v>3032</v>
      </c>
      <c r="Q1158" t="s">
        <v>3033</v>
      </c>
      <c r="R1158" t="s">
        <v>3034</v>
      </c>
      <c r="S1158" t="s">
        <v>3035</v>
      </c>
      <c r="T1158" t="s">
        <v>128</v>
      </c>
      <c r="U1158" t="s">
        <v>129</v>
      </c>
      <c r="V1158" s="4" t="str">
        <f>"30338"</f>
        <v>30338</v>
      </c>
      <c r="W1158" t="s">
        <v>120</v>
      </c>
      <c r="X1158" t="s">
        <v>3036</v>
      </c>
      <c r="Y1158" s="5">
        <v>17706950606</v>
      </c>
      <c r="AA1158">
        <v>722511</v>
      </c>
      <c r="AB1158" t="s">
        <v>3037</v>
      </c>
      <c r="AC1158" t="s">
        <v>3038</v>
      </c>
      <c r="AE1158" t="s">
        <v>424</v>
      </c>
      <c r="AF1158" t="s">
        <v>3034</v>
      </c>
      <c r="AG1158" t="s">
        <v>3035</v>
      </c>
      <c r="AH1158" t="s">
        <v>3039</v>
      </c>
      <c r="AI1158" t="s">
        <v>129</v>
      </c>
      <c r="AJ1158" s="4" t="str">
        <f>"30338"</f>
        <v>30338</v>
      </c>
      <c r="AK1158" t="s">
        <v>120</v>
      </c>
      <c r="AL1158" t="s">
        <v>3036</v>
      </c>
      <c r="AM1158" s="5">
        <v>17706950606</v>
      </c>
      <c r="AO1158" t="s">
        <v>3040</v>
      </c>
      <c r="AX1158" s="4" t="str">
        <f>""</f>
        <v/>
      </c>
      <c r="BG1158" t="s">
        <v>129</v>
      </c>
      <c r="BH1158" s="1">
        <v>44808.833333333336</v>
      </c>
      <c r="BI1158">
        <v>40</v>
      </c>
      <c r="BJ1158">
        <v>0</v>
      </c>
      <c r="BK1158">
        <v>8</v>
      </c>
      <c r="BL1158">
        <v>0</v>
      </c>
      <c r="BM1158">
        <v>8</v>
      </c>
      <c r="BN1158">
        <v>8</v>
      </c>
      <c r="BO1158">
        <v>8</v>
      </c>
      <c r="BP1158">
        <v>8</v>
      </c>
      <c r="BQ1158" t="str">
        <f>"3:00 PM"</f>
        <v>3:00 PM</v>
      </c>
      <c r="BR1158" t="str">
        <f>"11:00 PM"</f>
        <v>11:00 PM</v>
      </c>
      <c r="BS1158" t="s">
        <v>133</v>
      </c>
      <c r="BT1158">
        <v>0</v>
      </c>
      <c r="BU1158">
        <v>0</v>
      </c>
      <c r="BV1158" t="s">
        <v>134</v>
      </c>
      <c r="BX1158" t="s">
        <v>138</v>
      </c>
      <c r="BY1158" t="s">
        <v>3041</v>
      </c>
      <c r="BZ1158" t="s">
        <v>3035</v>
      </c>
      <c r="CA1158" t="s">
        <v>128</v>
      </c>
      <c r="CB1158" t="s">
        <v>129</v>
      </c>
      <c r="CC1158" s="4" t="str">
        <f>"30338"</f>
        <v>30338</v>
      </c>
      <c r="CD1158" t="s">
        <v>1497</v>
      </c>
      <c r="CE1158" t="s">
        <v>908</v>
      </c>
      <c r="CF1158" s="6">
        <v>13.06</v>
      </c>
      <c r="CH1158" s="6">
        <v>19.59</v>
      </c>
      <c r="CJ1158" t="s">
        <v>137</v>
      </c>
      <c r="CK1158" t="s">
        <v>1897</v>
      </c>
      <c r="CL1158" t="s">
        <v>3042</v>
      </c>
      <c r="CO1158" t="s">
        <v>138</v>
      </c>
      <c r="CP1158" t="s">
        <v>134</v>
      </c>
      <c r="CQ1158" t="s">
        <v>114</v>
      </c>
      <c r="CR1158" t="s">
        <v>114</v>
      </c>
      <c r="CS1158" t="s">
        <v>114</v>
      </c>
      <c r="CT1158" t="s">
        <v>114</v>
      </c>
      <c r="CU1158" t="s">
        <v>114</v>
      </c>
      <c r="CV1158" t="s">
        <v>3043</v>
      </c>
      <c r="CW1158" s="5" t="str">
        <f>"+19176644874"</f>
        <v>+19176644874</v>
      </c>
      <c r="CX1158" t="s">
        <v>3044</v>
      </c>
      <c r="CY1158" t="s">
        <v>3045</v>
      </c>
      <c r="CZ1158" t="s">
        <v>139</v>
      </c>
      <c r="DA1158" t="s">
        <v>134</v>
      </c>
      <c r="DB1158" t="s">
        <v>134</v>
      </c>
      <c r="DC1158" t="s">
        <v>114</v>
      </c>
      <c r="DD1158" t="s">
        <v>134</v>
      </c>
      <c r="DE1158" t="s">
        <v>3037</v>
      </c>
      <c r="DF1158" t="s">
        <v>3038</v>
      </c>
      <c r="DG1158" t="s">
        <v>259</v>
      </c>
      <c r="DH1158" t="s">
        <v>3032</v>
      </c>
      <c r="DI1158" t="s">
        <v>3040</v>
      </c>
    </row>
    <row r="1159" spans="1:113" ht="15" customHeight="1" x14ac:dyDescent="0.25">
      <c r="A1159" t="s">
        <v>4783</v>
      </c>
      <c r="B1159" t="s">
        <v>113</v>
      </c>
      <c r="C1159" s="1">
        <v>44876.381353124998</v>
      </c>
      <c r="D1159" s="1">
        <v>44908</v>
      </c>
      <c r="E1159" t="s">
        <v>134</v>
      </c>
      <c r="F1159" t="s">
        <v>4784</v>
      </c>
      <c r="G1159" t="str">
        <f>"53-3031.00"</f>
        <v>53-3031.00</v>
      </c>
      <c r="H1159" t="s">
        <v>1896</v>
      </c>
      <c r="I1159">
        <v>1</v>
      </c>
      <c r="K1159" s="1">
        <v>44958</v>
      </c>
      <c r="L1159" s="1">
        <v>45260</v>
      </c>
      <c r="O1159" t="s">
        <v>117</v>
      </c>
      <c r="P1159" t="s">
        <v>4785</v>
      </c>
      <c r="R1159" t="s">
        <v>4786</v>
      </c>
      <c r="T1159" t="s">
        <v>4270</v>
      </c>
      <c r="U1159" t="s">
        <v>479</v>
      </c>
      <c r="V1159" s="4" t="str">
        <f>"22079"</f>
        <v>22079</v>
      </c>
      <c r="W1159" t="s">
        <v>120</v>
      </c>
      <c r="Y1159" s="5">
        <v>15713920959</v>
      </c>
      <c r="AA1159">
        <v>42442</v>
      </c>
      <c r="AB1159" t="s">
        <v>4787</v>
      </c>
      <c r="AC1159" t="s">
        <v>2293</v>
      </c>
      <c r="AD1159" t="s">
        <v>2477</v>
      </c>
      <c r="AE1159" t="s">
        <v>252</v>
      </c>
      <c r="AF1159" t="s">
        <v>4786</v>
      </c>
      <c r="AH1159" t="s">
        <v>4270</v>
      </c>
      <c r="AI1159" t="s">
        <v>479</v>
      </c>
      <c r="AJ1159" s="4" t="str">
        <f>"22079"</f>
        <v>22079</v>
      </c>
      <c r="AK1159" t="s">
        <v>120</v>
      </c>
      <c r="AM1159" s="5">
        <v>15713920959</v>
      </c>
      <c r="AO1159" t="s">
        <v>4788</v>
      </c>
      <c r="AX1159" s="4" t="str">
        <f>""</f>
        <v/>
      </c>
      <c r="BG1159" t="s">
        <v>479</v>
      </c>
      <c r="BH1159" s="1">
        <v>44874.791666666664</v>
      </c>
      <c r="BI1159">
        <v>40</v>
      </c>
      <c r="BJ1159">
        <v>0</v>
      </c>
      <c r="BK1159">
        <v>8</v>
      </c>
      <c r="BL1159">
        <v>8</v>
      </c>
      <c r="BM1159">
        <v>8</v>
      </c>
      <c r="BN1159">
        <v>8</v>
      </c>
      <c r="BO1159">
        <v>8</v>
      </c>
      <c r="BP1159">
        <v>0</v>
      </c>
      <c r="BQ1159" t="str">
        <f>"7:00 AM"</f>
        <v>7:00 AM</v>
      </c>
      <c r="BR1159" t="str">
        <f>"3:00 PM"</f>
        <v>3:00 PM</v>
      </c>
      <c r="BS1159" t="s">
        <v>133</v>
      </c>
      <c r="BT1159">
        <v>1</v>
      </c>
      <c r="BU1159">
        <v>6</v>
      </c>
      <c r="BV1159" t="s">
        <v>134</v>
      </c>
      <c r="BX1159" s="2" t="s">
        <v>4789</v>
      </c>
      <c r="BY1159" t="s">
        <v>4790</v>
      </c>
      <c r="CA1159" t="s">
        <v>4791</v>
      </c>
      <c r="CB1159" t="s">
        <v>339</v>
      </c>
      <c r="CC1159" s="4" t="str">
        <f>"20781"</f>
        <v>20781</v>
      </c>
      <c r="CD1159" t="s">
        <v>1102</v>
      </c>
      <c r="CE1159" t="s">
        <v>355</v>
      </c>
      <c r="CF1159" s="6">
        <v>14.7</v>
      </c>
      <c r="CG1159" s="6">
        <v>14.7</v>
      </c>
      <c r="CH1159" s="6">
        <v>22.05</v>
      </c>
      <c r="CI1159" s="6">
        <v>22.05</v>
      </c>
      <c r="CJ1159" t="s">
        <v>3503</v>
      </c>
      <c r="CK1159" t="s">
        <v>133</v>
      </c>
      <c r="CL1159" t="s">
        <v>4792</v>
      </c>
      <c r="CO1159" t="s">
        <v>138</v>
      </c>
      <c r="CP1159" t="s">
        <v>134</v>
      </c>
      <c r="CQ1159" t="s">
        <v>114</v>
      </c>
      <c r="CR1159" t="s">
        <v>114</v>
      </c>
      <c r="CS1159" t="s">
        <v>114</v>
      </c>
      <c r="CT1159" t="s">
        <v>114</v>
      </c>
      <c r="CU1159" t="s">
        <v>114</v>
      </c>
      <c r="CV1159" s="2" t="s">
        <v>4793</v>
      </c>
      <c r="CW1159" s="5" t="str">
        <f>"N/A"</f>
        <v>N/A</v>
      </c>
      <c r="CX1159" t="s">
        <v>4788</v>
      </c>
      <c r="CY1159" t="s">
        <v>4794</v>
      </c>
      <c r="CZ1159" t="s">
        <v>139</v>
      </c>
      <c r="DA1159" t="s">
        <v>134</v>
      </c>
      <c r="DB1159" t="s">
        <v>134</v>
      </c>
      <c r="DC1159" t="s">
        <v>114</v>
      </c>
      <c r="DD1159" t="s">
        <v>134</v>
      </c>
    </row>
    <row r="1160" spans="1:113" ht="15" customHeight="1" x14ac:dyDescent="0.25">
      <c r="A1160" t="s">
        <v>16219</v>
      </c>
      <c r="B1160" t="s">
        <v>113</v>
      </c>
      <c r="C1160" s="1">
        <v>44874.782496990738</v>
      </c>
      <c r="D1160" s="1">
        <v>44908</v>
      </c>
      <c r="E1160" t="s">
        <v>134</v>
      </c>
      <c r="F1160" t="s">
        <v>12278</v>
      </c>
      <c r="G1160" t="str">
        <f>"49-2021.00"</f>
        <v>49-2021.00</v>
      </c>
      <c r="H1160" t="s">
        <v>2671</v>
      </c>
      <c r="I1160">
        <v>21</v>
      </c>
      <c r="K1160" s="1">
        <v>44956</v>
      </c>
      <c r="L1160" s="1">
        <v>45241</v>
      </c>
      <c r="O1160" t="s">
        <v>117</v>
      </c>
      <c r="P1160" t="s">
        <v>12279</v>
      </c>
      <c r="Q1160" t="s">
        <v>12280</v>
      </c>
      <c r="R1160" t="s">
        <v>12281</v>
      </c>
      <c r="T1160" t="s">
        <v>12286</v>
      </c>
      <c r="U1160" t="s">
        <v>444</v>
      </c>
      <c r="V1160" s="4" t="str">
        <f>"93105"</f>
        <v>93105</v>
      </c>
      <c r="W1160" t="s">
        <v>120</v>
      </c>
      <c r="Y1160" s="5">
        <v>18054489426</v>
      </c>
      <c r="AA1160">
        <v>238210</v>
      </c>
      <c r="AB1160" t="s">
        <v>12283</v>
      </c>
      <c r="AC1160" t="s">
        <v>12284</v>
      </c>
      <c r="AD1160" t="s">
        <v>12285</v>
      </c>
      <c r="AE1160" t="s">
        <v>342</v>
      </c>
      <c r="AF1160" t="s">
        <v>12281</v>
      </c>
      <c r="AH1160" t="s">
        <v>12286</v>
      </c>
      <c r="AI1160" t="s">
        <v>444</v>
      </c>
      <c r="AJ1160" s="4" t="str">
        <f>"93105"</f>
        <v>93105</v>
      </c>
      <c r="AK1160" t="s">
        <v>120</v>
      </c>
      <c r="AM1160" s="5">
        <v>18054489426</v>
      </c>
      <c r="AO1160" t="s">
        <v>12287</v>
      </c>
      <c r="AX1160" s="4" t="str">
        <f>""</f>
        <v/>
      </c>
      <c r="BG1160" t="s">
        <v>792</v>
      </c>
      <c r="BH1160" s="1">
        <v>44873.791666666664</v>
      </c>
      <c r="BI1160">
        <v>40</v>
      </c>
      <c r="BJ1160">
        <v>0</v>
      </c>
      <c r="BK1160">
        <v>8</v>
      </c>
      <c r="BL1160">
        <v>8</v>
      </c>
      <c r="BM1160">
        <v>8</v>
      </c>
      <c r="BN1160">
        <v>8</v>
      </c>
      <c r="BO1160">
        <v>8</v>
      </c>
      <c r="BP1160">
        <v>0</v>
      </c>
      <c r="BQ1160" t="str">
        <f>"8:00 AM"</f>
        <v>8:00 AM</v>
      </c>
      <c r="BR1160" t="str">
        <f>"5:00 PM"</f>
        <v>5:00 PM</v>
      </c>
      <c r="BS1160" t="s">
        <v>133</v>
      </c>
      <c r="BT1160">
        <v>12</v>
      </c>
      <c r="BU1160">
        <v>24</v>
      </c>
      <c r="BV1160" t="s">
        <v>134</v>
      </c>
      <c r="BX1160" s="2" t="s">
        <v>16220</v>
      </c>
      <c r="BY1160" t="s">
        <v>12289</v>
      </c>
      <c r="CA1160" t="s">
        <v>7176</v>
      </c>
      <c r="CB1160" t="s">
        <v>792</v>
      </c>
      <c r="CC1160" s="4" t="str">
        <f>"98072"</f>
        <v>98072</v>
      </c>
      <c r="CD1160" t="s">
        <v>2679</v>
      </c>
      <c r="CE1160" t="s">
        <v>2680</v>
      </c>
      <c r="CF1160" s="6">
        <v>37.54</v>
      </c>
      <c r="CH1160" s="6">
        <v>56.31</v>
      </c>
      <c r="CJ1160" t="s">
        <v>137</v>
      </c>
      <c r="CL1160" t="s">
        <v>12291</v>
      </c>
      <c r="CO1160" t="s">
        <v>138</v>
      </c>
      <c r="CP1160" t="s">
        <v>134</v>
      </c>
      <c r="CQ1160" t="s">
        <v>114</v>
      </c>
      <c r="CR1160" t="s">
        <v>114</v>
      </c>
      <c r="CS1160" t="s">
        <v>114</v>
      </c>
      <c r="CT1160" t="s">
        <v>114</v>
      </c>
      <c r="CU1160" t="s">
        <v>114</v>
      </c>
      <c r="CV1160" s="2" t="s">
        <v>16221</v>
      </c>
      <c r="CW1160" s="5" t="str">
        <f>"+18054489426"</f>
        <v>+18054489426</v>
      </c>
      <c r="CX1160" t="s">
        <v>12287</v>
      </c>
      <c r="CY1160" t="s">
        <v>138</v>
      </c>
      <c r="CZ1160" t="s">
        <v>139</v>
      </c>
      <c r="DA1160" t="s">
        <v>134</v>
      </c>
      <c r="DB1160" t="s">
        <v>134</v>
      </c>
      <c r="DC1160" t="s">
        <v>114</v>
      </c>
      <c r="DD1160" t="s">
        <v>134</v>
      </c>
      <c r="DE1160" t="s">
        <v>12283</v>
      </c>
      <c r="DF1160" t="s">
        <v>12284</v>
      </c>
      <c r="DH1160" t="s">
        <v>12279</v>
      </c>
      <c r="DI1160" t="s">
        <v>12287</v>
      </c>
    </row>
    <row r="1161" spans="1:113" ht="15" customHeight="1" x14ac:dyDescent="0.25">
      <c r="A1161" t="s">
        <v>15633</v>
      </c>
      <c r="B1161" t="s">
        <v>113</v>
      </c>
      <c r="C1161" s="1">
        <v>44870.658303472221</v>
      </c>
      <c r="D1161" s="1">
        <v>44908</v>
      </c>
      <c r="E1161" t="s">
        <v>134</v>
      </c>
      <c r="F1161" t="s">
        <v>1683</v>
      </c>
      <c r="G1161" t="str">
        <f>"53-3032.00"</f>
        <v>53-3032.00</v>
      </c>
      <c r="H1161" t="s">
        <v>227</v>
      </c>
      <c r="I1161">
        <v>4</v>
      </c>
      <c r="K1161" s="1">
        <v>44957</v>
      </c>
      <c r="L1161" s="1">
        <v>45200</v>
      </c>
      <c r="O1161" t="s">
        <v>199</v>
      </c>
      <c r="P1161" t="s">
        <v>15634</v>
      </c>
      <c r="Q1161" t="s">
        <v>15635</v>
      </c>
      <c r="R1161" t="s">
        <v>15636</v>
      </c>
      <c r="T1161" t="s">
        <v>15637</v>
      </c>
      <c r="U1161" t="s">
        <v>444</v>
      </c>
      <c r="V1161" s="4" t="str">
        <f>"91911"</f>
        <v>91911</v>
      </c>
      <c r="W1161" t="s">
        <v>120</v>
      </c>
      <c r="X1161" t="s">
        <v>5867</v>
      </c>
      <c r="Y1161" s="5">
        <v>16194266992</v>
      </c>
      <c r="AA1161">
        <v>424470</v>
      </c>
      <c r="AB1161" t="s">
        <v>14173</v>
      </c>
      <c r="AC1161" t="s">
        <v>422</v>
      </c>
      <c r="AD1161" t="s">
        <v>1458</v>
      </c>
      <c r="AE1161" t="s">
        <v>424</v>
      </c>
      <c r="AF1161" t="s">
        <v>15638</v>
      </c>
      <c r="AH1161" t="s">
        <v>15637</v>
      </c>
      <c r="AI1161" t="s">
        <v>444</v>
      </c>
      <c r="AJ1161" s="4" t="str">
        <f>"91911"</f>
        <v>91911</v>
      </c>
      <c r="AK1161" t="s">
        <v>120</v>
      </c>
      <c r="AM1161" s="5">
        <v>16194266992</v>
      </c>
      <c r="AN1161">
        <v>113</v>
      </c>
      <c r="AO1161" t="s">
        <v>15639</v>
      </c>
      <c r="AP1161" t="s">
        <v>122</v>
      </c>
      <c r="AQ1161" t="s">
        <v>15640</v>
      </c>
      <c r="AR1161" t="s">
        <v>536</v>
      </c>
      <c r="AS1161" t="s">
        <v>15641</v>
      </c>
      <c r="AT1161" t="s">
        <v>15642</v>
      </c>
      <c r="AV1161" t="s">
        <v>5867</v>
      </c>
      <c r="AW1161" t="s">
        <v>444</v>
      </c>
      <c r="AX1161" s="4" t="str">
        <f>"92102"</f>
        <v>92102</v>
      </c>
      <c r="AY1161" t="s">
        <v>120</v>
      </c>
      <c r="BA1161" s="5">
        <v>16192350010</v>
      </c>
      <c r="BC1161" t="s">
        <v>15643</v>
      </c>
      <c r="BD1161" t="s">
        <v>15644</v>
      </c>
      <c r="BE1161" t="s">
        <v>444</v>
      </c>
      <c r="BF1161" t="s">
        <v>15645</v>
      </c>
      <c r="BG1161" t="s">
        <v>444</v>
      </c>
      <c r="BH1161" s="1">
        <v>44861.833333333336</v>
      </c>
      <c r="BI1161">
        <v>40</v>
      </c>
      <c r="BJ1161">
        <v>0</v>
      </c>
      <c r="BK1161">
        <v>8</v>
      </c>
      <c r="BL1161">
        <v>8</v>
      </c>
      <c r="BM1161">
        <v>8</v>
      </c>
      <c r="BN1161">
        <v>8</v>
      </c>
      <c r="BO1161">
        <v>8</v>
      </c>
      <c r="BP1161">
        <v>0</v>
      </c>
      <c r="BQ1161" t="str">
        <f>"7:00 AM"</f>
        <v>7:00 AM</v>
      </c>
      <c r="BR1161" t="str">
        <f>"4:00 PM"</f>
        <v>4:00 PM</v>
      </c>
      <c r="BS1161" t="s">
        <v>133</v>
      </c>
      <c r="BT1161">
        <v>0</v>
      </c>
      <c r="BU1161">
        <v>12</v>
      </c>
      <c r="BV1161" t="s">
        <v>134</v>
      </c>
      <c r="BX1161" s="2" t="s">
        <v>15646</v>
      </c>
      <c r="BY1161" t="s">
        <v>15647</v>
      </c>
      <c r="CA1161" t="s">
        <v>15637</v>
      </c>
      <c r="CB1161" t="s">
        <v>444</v>
      </c>
      <c r="CC1161" s="4" t="str">
        <f>"91911"</f>
        <v>91911</v>
      </c>
      <c r="CD1161" t="s">
        <v>5868</v>
      </c>
      <c r="CE1161" t="s">
        <v>5869</v>
      </c>
      <c r="CF1161" s="6">
        <v>25</v>
      </c>
      <c r="CG1161" s="6">
        <v>25</v>
      </c>
      <c r="CH1161" s="6">
        <v>37.5</v>
      </c>
      <c r="CI1161" s="6">
        <v>37.5</v>
      </c>
      <c r="CJ1161" t="s">
        <v>137</v>
      </c>
      <c r="CK1161" t="s">
        <v>138</v>
      </c>
      <c r="CL1161" t="s">
        <v>15648</v>
      </c>
      <c r="CO1161" t="s">
        <v>138</v>
      </c>
      <c r="CP1161" t="s">
        <v>114</v>
      </c>
      <c r="CQ1161" t="s">
        <v>134</v>
      </c>
      <c r="CR1161" t="s">
        <v>114</v>
      </c>
      <c r="CS1161" t="s">
        <v>134</v>
      </c>
      <c r="CT1161" t="s">
        <v>114</v>
      </c>
      <c r="CU1161" t="s">
        <v>134</v>
      </c>
      <c r="CV1161" t="s">
        <v>2314</v>
      </c>
      <c r="CW1161" s="5" t="str">
        <f>"+16194266992"</f>
        <v>+16194266992</v>
      </c>
      <c r="CX1161" t="s">
        <v>15639</v>
      </c>
      <c r="CY1161" t="s">
        <v>15649</v>
      </c>
      <c r="CZ1161" t="s">
        <v>139</v>
      </c>
      <c r="DA1161" t="s">
        <v>134</v>
      </c>
      <c r="DB1161" t="s">
        <v>134</v>
      </c>
      <c r="DC1161" t="s">
        <v>114</v>
      </c>
      <c r="DD1161" t="s">
        <v>134</v>
      </c>
      <c r="DE1161" t="s">
        <v>15640</v>
      </c>
      <c r="DF1161" t="s">
        <v>536</v>
      </c>
      <c r="DG1161" t="s">
        <v>4044</v>
      </c>
      <c r="DH1161" t="s">
        <v>15644</v>
      </c>
      <c r="DI1161" t="s">
        <v>15643</v>
      </c>
    </row>
    <row r="1162" spans="1:113" ht="15" customHeight="1" x14ac:dyDescent="0.25">
      <c r="A1162" t="s">
        <v>14232</v>
      </c>
      <c r="B1162" t="s">
        <v>113</v>
      </c>
      <c r="C1162" s="1">
        <v>44834.883872453705</v>
      </c>
      <c r="D1162" s="1">
        <v>44908</v>
      </c>
      <c r="E1162" t="s">
        <v>134</v>
      </c>
      <c r="F1162" t="s">
        <v>1595</v>
      </c>
      <c r="G1162" t="str">
        <f>"35-2014.00"</f>
        <v>35-2014.00</v>
      </c>
      <c r="H1162" t="s">
        <v>915</v>
      </c>
      <c r="I1162">
        <v>4</v>
      </c>
      <c r="K1162" s="1">
        <v>44911</v>
      </c>
      <c r="L1162" s="1">
        <v>44927</v>
      </c>
      <c r="O1162" t="s">
        <v>168</v>
      </c>
      <c r="P1162" t="s">
        <v>14233</v>
      </c>
      <c r="Q1162" t="s">
        <v>14234</v>
      </c>
      <c r="R1162" t="s">
        <v>14235</v>
      </c>
      <c r="T1162" t="s">
        <v>4164</v>
      </c>
      <c r="U1162" t="s">
        <v>394</v>
      </c>
      <c r="V1162" s="4" t="str">
        <f>"29607"</f>
        <v>29607</v>
      </c>
      <c r="W1162" t="s">
        <v>120</v>
      </c>
      <c r="Y1162" s="5">
        <v>18642033353</v>
      </c>
      <c r="AA1162">
        <v>7225</v>
      </c>
      <c r="AB1162" t="s">
        <v>14236</v>
      </c>
      <c r="AC1162" t="s">
        <v>14237</v>
      </c>
      <c r="AE1162" t="s">
        <v>4535</v>
      </c>
      <c r="AF1162" t="s">
        <v>14238</v>
      </c>
      <c r="AH1162" t="s">
        <v>4164</v>
      </c>
      <c r="AI1162" t="s">
        <v>394</v>
      </c>
      <c r="AJ1162" s="4" t="str">
        <f>"29607"</f>
        <v>29607</v>
      </c>
      <c r="AK1162" t="s">
        <v>120</v>
      </c>
      <c r="AM1162" s="5">
        <v>18642033353</v>
      </c>
      <c r="AO1162" t="s">
        <v>14239</v>
      </c>
      <c r="AX1162" s="4" t="str">
        <f>""</f>
        <v/>
      </c>
      <c r="BG1162" t="s">
        <v>394</v>
      </c>
      <c r="BH1162" s="1">
        <v>44822.833333333336</v>
      </c>
      <c r="BI1162">
        <v>60</v>
      </c>
      <c r="BJ1162">
        <v>10</v>
      </c>
      <c r="BK1162">
        <v>0</v>
      </c>
      <c r="BL1162">
        <v>10</v>
      </c>
      <c r="BM1162">
        <v>10</v>
      </c>
      <c r="BN1162">
        <v>10</v>
      </c>
      <c r="BO1162">
        <v>10</v>
      </c>
      <c r="BP1162">
        <v>10</v>
      </c>
      <c r="BQ1162" t="str">
        <f>"11:30 AM"</f>
        <v>11:30 AM</v>
      </c>
      <c r="BR1162" t="str">
        <f>"10:00 PM"</f>
        <v>10:00 PM</v>
      </c>
      <c r="BS1162" t="s">
        <v>295</v>
      </c>
      <c r="BT1162">
        <v>0</v>
      </c>
      <c r="BU1162">
        <v>6</v>
      </c>
      <c r="BV1162" t="s">
        <v>134</v>
      </c>
      <c r="BX1162" t="s">
        <v>14240</v>
      </c>
      <c r="BY1162" t="s">
        <v>14241</v>
      </c>
      <c r="CA1162" t="s">
        <v>4164</v>
      </c>
      <c r="CB1162" t="s">
        <v>394</v>
      </c>
      <c r="CC1162" s="4" t="str">
        <f>"29607"</f>
        <v>29607</v>
      </c>
      <c r="CD1162" t="s">
        <v>4164</v>
      </c>
      <c r="CE1162" t="s">
        <v>4165</v>
      </c>
      <c r="CF1162" s="6">
        <v>14.5</v>
      </c>
      <c r="CG1162" s="6">
        <v>14.5</v>
      </c>
      <c r="CH1162" s="6">
        <v>21.75</v>
      </c>
      <c r="CI1162" s="6">
        <v>21.75</v>
      </c>
      <c r="CJ1162" t="s">
        <v>137</v>
      </c>
      <c r="CL1162" t="s">
        <v>14242</v>
      </c>
      <c r="CO1162" t="s">
        <v>138</v>
      </c>
      <c r="CP1162" t="s">
        <v>134</v>
      </c>
      <c r="CQ1162" t="s">
        <v>134</v>
      </c>
      <c r="CR1162" t="s">
        <v>114</v>
      </c>
      <c r="CS1162" t="s">
        <v>114</v>
      </c>
      <c r="CT1162" t="s">
        <v>114</v>
      </c>
      <c r="CU1162" t="s">
        <v>114</v>
      </c>
      <c r="CV1162" t="s">
        <v>14243</v>
      </c>
      <c r="CW1162" s="5" t="str">
        <f>"+18642033353"</f>
        <v>+18642033353</v>
      </c>
      <c r="CX1162" t="s">
        <v>14239</v>
      </c>
      <c r="CY1162" t="s">
        <v>138</v>
      </c>
      <c r="CZ1162" t="s">
        <v>139</v>
      </c>
      <c r="DA1162" t="s">
        <v>134</v>
      </c>
      <c r="DB1162" t="s">
        <v>134</v>
      </c>
      <c r="DC1162" t="s">
        <v>114</v>
      </c>
      <c r="DD1162" t="s">
        <v>134</v>
      </c>
      <c r="DE1162" t="s">
        <v>7598</v>
      </c>
      <c r="DF1162" t="s">
        <v>11712</v>
      </c>
      <c r="DG1162" t="s">
        <v>177</v>
      </c>
      <c r="DH1162" t="s">
        <v>14244</v>
      </c>
      <c r="DI1162" t="s">
        <v>14245</v>
      </c>
    </row>
    <row r="1163" spans="1:113" ht="15" customHeight="1" x14ac:dyDescent="0.25">
      <c r="A1163" t="s">
        <v>12790</v>
      </c>
      <c r="B1163" t="s">
        <v>113</v>
      </c>
      <c r="C1163" s="1">
        <v>44872.008106365742</v>
      </c>
      <c r="D1163" s="1">
        <v>44907</v>
      </c>
      <c r="E1163" t="s">
        <v>134</v>
      </c>
      <c r="F1163" t="s">
        <v>12791</v>
      </c>
      <c r="G1163" t="str">
        <f>"39-9032.00"</f>
        <v>39-9032.00</v>
      </c>
      <c r="H1163" t="s">
        <v>4287</v>
      </c>
      <c r="I1163">
        <v>8</v>
      </c>
      <c r="K1163" s="1">
        <v>44958</v>
      </c>
      <c r="L1163" s="1">
        <v>45198</v>
      </c>
      <c r="O1163" t="s">
        <v>199</v>
      </c>
      <c r="P1163" t="s">
        <v>12792</v>
      </c>
      <c r="R1163" t="s">
        <v>12793</v>
      </c>
      <c r="S1163" t="s">
        <v>347</v>
      </c>
      <c r="T1163" t="s">
        <v>1633</v>
      </c>
      <c r="U1163" t="s">
        <v>281</v>
      </c>
      <c r="V1163" s="4" t="str">
        <f>"01902"</f>
        <v>01902</v>
      </c>
      <c r="W1163" t="s">
        <v>120</v>
      </c>
      <c r="Y1163" s="5">
        <v>19784068528</v>
      </c>
      <c r="AA1163">
        <v>813410</v>
      </c>
      <c r="AB1163" t="s">
        <v>12794</v>
      </c>
      <c r="AC1163" t="s">
        <v>10999</v>
      </c>
      <c r="AE1163" t="s">
        <v>342</v>
      </c>
      <c r="AF1163" t="s">
        <v>12793</v>
      </c>
      <c r="AG1163" t="s">
        <v>347</v>
      </c>
      <c r="AH1163" t="s">
        <v>1633</v>
      </c>
      <c r="AI1163" t="s">
        <v>281</v>
      </c>
      <c r="AJ1163" s="4" t="str">
        <f>"01902"</f>
        <v>01902</v>
      </c>
      <c r="AK1163" t="s">
        <v>120</v>
      </c>
      <c r="AM1163" s="5">
        <v>19784068528</v>
      </c>
      <c r="AO1163" t="s">
        <v>12795</v>
      </c>
      <c r="AX1163" s="4" t="str">
        <f>""</f>
        <v/>
      </c>
      <c r="BG1163" t="s">
        <v>281</v>
      </c>
      <c r="BH1163" s="1">
        <v>44870.833333333336</v>
      </c>
      <c r="BI1163">
        <v>35</v>
      </c>
      <c r="BJ1163">
        <v>0</v>
      </c>
      <c r="BK1163">
        <v>6</v>
      </c>
      <c r="BL1163">
        <v>6</v>
      </c>
      <c r="BM1163">
        <v>6</v>
      </c>
      <c r="BN1163">
        <v>6</v>
      </c>
      <c r="BO1163">
        <v>6</v>
      </c>
      <c r="BP1163">
        <v>5</v>
      </c>
      <c r="BQ1163" t="str">
        <f>"9:00 AM"</f>
        <v>9:00 AM</v>
      </c>
      <c r="BR1163" t="str">
        <f>"3:00 PM"</f>
        <v>3:00 PM</v>
      </c>
      <c r="BS1163" t="s">
        <v>295</v>
      </c>
      <c r="BT1163">
        <v>0</v>
      </c>
      <c r="BU1163">
        <v>0</v>
      </c>
      <c r="BV1163" t="s">
        <v>134</v>
      </c>
      <c r="BX1163" t="s">
        <v>2859</v>
      </c>
      <c r="BY1163" t="s">
        <v>12793</v>
      </c>
      <c r="BZ1163" t="s">
        <v>347</v>
      </c>
      <c r="CA1163" t="s">
        <v>1633</v>
      </c>
      <c r="CB1163" t="s">
        <v>281</v>
      </c>
      <c r="CC1163" s="4" t="str">
        <f>"01902"</f>
        <v>01902</v>
      </c>
      <c r="CD1163" t="s">
        <v>851</v>
      </c>
      <c r="CE1163" t="s">
        <v>2630</v>
      </c>
      <c r="CF1163" s="6">
        <v>17.760000000000002</v>
      </c>
      <c r="CG1163" s="6">
        <v>17.760000000000002</v>
      </c>
      <c r="CJ1163" t="s">
        <v>137</v>
      </c>
      <c r="CL1163" t="s">
        <v>12796</v>
      </c>
      <c r="CO1163" t="s">
        <v>138</v>
      </c>
      <c r="CP1163" t="s">
        <v>134</v>
      </c>
      <c r="CQ1163" t="s">
        <v>134</v>
      </c>
      <c r="CR1163" t="s">
        <v>134</v>
      </c>
      <c r="CS1163" t="s">
        <v>114</v>
      </c>
      <c r="CT1163" t="s">
        <v>114</v>
      </c>
      <c r="CU1163" t="s">
        <v>114</v>
      </c>
      <c r="CV1163" t="s">
        <v>12797</v>
      </c>
      <c r="CW1163" s="5" t="str">
        <f>"+19784068528"</f>
        <v>+19784068528</v>
      </c>
      <c r="CX1163" t="s">
        <v>12795</v>
      </c>
      <c r="CY1163" t="s">
        <v>12798</v>
      </c>
      <c r="CZ1163" t="s">
        <v>139</v>
      </c>
      <c r="DA1163" t="s">
        <v>134</v>
      </c>
      <c r="DB1163" t="s">
        <v>134</v>
      </c>
      <c r="DC1163" t="s">
        <v>114</v>
      </c>
      <c r="DD1163" t="s">
        <v>134</v>
      </c>
    </row>
    <row r="1164" spans="1:113" ht="15" customHeight="1" x14ac:dyDescent="0.25">
      <c r="A1164" t="s">
        <v>13541</v>
      </c>
      <c r="B1164" t="s">
        <v>113</v>
      </c>
      <c r="C1164" s="1">
        <v>44871.740014699077</v>
      </c>
      <c r="D1164" s="1">
        <v>44907</v>
      </c>
      <c r="E1164" t="s">
        <v>134</v>
      </c>
      <c r="F1164" t="s">
        <v>8125</v>
      </c>
      <c r="G1164" t="str">
        <f>"49-9071.00"</f>
        <v>49-9071.00</v>
      </c>
      <c r="H1164" t="s">
        <v>2375</v>
      </c>
      <c r="I1164">
        <v>10</v>
      </c>
      <c r="K1164" s="1">
        <v>44958</v>
      </c>
      <c r="L1164" s="1">
        <v>45231</v>
      </c>
      <c r="O1164" t="s">
        <v>199</v>
      </c>
      <c r="P1164" t="s">
        <v>13542</v>
      </c>
      <c r="R1164" t="s">
        <v>13543</v>
      </c>
      <c r="T1164" t="s">
        <v>10078</v>
      </c>
      <c r="U1164" t="s">
        <v>1411</v>
      </c>
      <c r="V1164" s="4" t="str">
        <f>"43017"</f>
        <v>43017</v>
      </c>
      <c r="W1164" t="s">
        <v>120</v>
      </c>
      <c r="Y1164" s="5">
        <v>16149234000</v>
      </c>
      <c r="AA1164">
        <v>531130</v>
      </c>
      <c r="AB1164" t="s">
        <v>13544</v>
      </c>
      <c r="AC1164" t="s">
        <v>975</v>
      </c>
      <c r="AE1164" t="s">
        <v>4593</v>
      </c>
      <c r="AF1164" t="s">
        <v>13545</v>
      </c>
      <c r="AH1164" t="s">
        <v>10078</v>
      </c>
      <c r="AI1164" t="s">
        <v>1411</v>
      </c>
      <c r="AJ1164" s="4" t="str">
        <f>"43017"</f>
        <v>43017</v>
      </c>
      <c r="AK1164" t="s">
        <v>120</v>
      </c>
      <c r="AM1164" s="5">
        <v>16149234055</v>
      </c>
      <c r="AO1164" t="s">
        <v>13546</v>
      </c>
      <c r="AX1164" s="4" t="str">
        <f>""</f>
        <v/>
      </c>
      <c r="BG1164" t="s">
        <v>1411</v>
      </c>
      <c r="BH1164" s="1">
        <v>44870.833333333336</v>
      </c>
      <c r="BI1164">
        <v>40</v>
      </c>
      <c r="BJ1164">
        <v>0</v>
      </c>
      <c r="BK1164">
        <v>8</v>
      </c>
      <c r="BL1164">
        <v>8</v>
      </c>
      <c r="BM1164">
        <v>8</v>
      </c>
      <c r="BN1164">
        <v>8</v>
      </c>
      <c r="BO1164">
        <v>8</v>
      </c>
      <c r="BP1164">
        <v>0</v>
      </c>
      <c r="BQ1164" t="str">
        <f>"8:00 AM"</f>
        <v>8:00 AM</v>
      </c>
      <c r="BR1164" t="str">
        <f>"4:00 PM"</f>
        <v>4:00 PM</v>
      </c>
      <c r="BS1164" t="s">
        <v>295</v>
      </c>
      <c r="BT1164">
        <v>1</v>
      </c>
      <c r="BU1164">
        <v>6</v>
      </c>
      <c r="BV1164" t="s">
        <v>134</v>
      </c>
      <c r="BX1164" s="2" t="s">
        <v>13547</v>
      </c>
      <c r="BY1164" t="s">
        <v>13548</v>
      </c>
      <c r="BZ1164" t="s">
        <v>13548</v>
      </c>
      <c r="CA1164" t="s">
        <v>13549</v>
      </c>
      <c r="CB1164" t="s">
        <v>1411</v>
      </c>
      <c r="CC1164" s="4" t="str">
        <f>"45305"</f>
        <v>45305</v>
      </c>
      <c r="CD1164" t="s">
        <v>1363</v>
      </c>
      <c r="CE1164" t="s">
        <v>2008</v>
      </c>
      <c r="CF1164" s="6">
        <v>21.76</v>
      </c>
      <c r="CG1164" s="6">
        <v>21.76</v>
      </c>
      <c r="CH1164" s="6">
        <v>32.64</v>
      </c>
      <c r="CI1164" s="6">
        <v>32.64</v>
      </c>
      <c r="CJ1164" t="s">
        <v>137</v>
      </c>
      <c r="CK1164" t="s">
        <v>13550</v>
      </c>
      <c r="CL1164" t="s">
        <v>13551</v>
      </c>
      <c r="CO1164" t="s">
        <v>138</v>
      </c>
      <c r="CP1164" t="s">
        <v>114</v>
      </c>
      <c r="CQ1164" t="s">
        <v>114</v>
      </c>
      <c r="CR1164" t="s">
        <v>134</v>
      </c>
      <c r="CS1164" t="s">
        <v>114</v>
      </c>
      <c r="CT1164" t="s">
        <v>114</v>
      </c>
      <c r="CU1164" t="s">
        <v>114</v>
      </c>
      <c r="CV1164" t="s">
        <v>13552</v>
      </c>
      <c r="CW1164" s="5" t="str">
        <f>"+16149234054"</f>
        <v>+16149234054</v>
      </c>
      <c r="CX1164" t="s">
        <v>13553</v>
      </c>
      <c r="CY1164" t="s">
        <v>138</v>
      </c>
      <c r="CZ1164" t="s">
        <v>139</v>
      </c>
      <c r="DA1164" t="s">
        <v>134</v>
      </c>
      <c r="DB1164" t="s">
        <v>134</v>
      </c>
      <c r="DC1164" t="s">
        <v>114</v>
      </c>
      <c r="DD1164" t="s">
        <v>134</v>
      </c>
    </row>
    <row r="1165" spans="1:113" ht="15" customHeight="1" x14ac:dyDescent="0.25">
      <c r="A1165" t="s">
        <v>11890</v>
      </c>
      <c r="B1165" t="s">
        <v>113</v>
      </c>
      <c r="C1165" s="1">
        <v>44847.779124074077</v>
      </c>
      <c r="D1165" s="1">
        <v>44907</v>
      </c>
      <c r="E1165" t="s">
        <v>114</v>
      </c>
      <c r="F1165" t="s">
        <v>1331</v>
      </c>
      <c r="G1165" t="str">
        <f>"35-2015.00"</f>
        <v>35-2015.00</v>
      </c>
      <c r="H1165" t="s">
        <v>2019</v>
      </c>
      <c r="I1165">
        <v>20</v>
      </c>
      <c r="K1165" s="1">
        <v>44928</v>
      </c>
      <c r="L1165" s="1">
        <v>45047</v>
      </c>
      <c r="O1165" t="s">
        <v>117</v>
      </c>
      <c r="P1165" t="s">
        <v>11891</v>
      </c>
      <c r="Q1165" t="s">
        <v>11892</v>
      </c>
      <c r="R1165" t="s">
        <v>11893</v>
      </c>
      <c r="T1165" t="s">
        <v>6982</v>
      </c>
      <c r="U1165" t="s">
        <v>232</v>
      </c>
      <c r="V1165" s="4" t="str">
        <f>"78164"</f>
        <v>78164</v>
      </c>
      <c r="W1165" t="s">
        <v>120</v>
      </c>
      <c r="Y1165" s="5">
        <v>13615649504</v>
      </c>
      <c r="AA1165">
        <v>447110</v>
      </c>
      <c r="AB1165" t="s">
        <v>11894</v>
      </c>
      <c r="AC1165" t="s">
        <v>5235</v>
      </c>
      <c r="AE1165" t="s">
        <v>11895</v>
      </c>
      <c r="AF1165" t="s">
        <v>11893</v>
      </c>
      <c r="AH1165" t="s">
        <v>6982</v>
      </c>
      <c r="AI1165" t="s">
        <v>232</v>
      </c>
      <c r="AJ1165" s="4" t="str">
        <f>"78164"</f>
        <v>78164</v>
      </c>
      <c r="AK1165" t="s">
        <v>120</v>
      </c>
      <c r="AM1165" s="5">
        <v>13615649504</v>
      </c>
      <c r="AO1165" t="s">
        <v>11896</v>
      </c>
      <c r="AP1165" t="s">
        <v>122</v>
      </c>
      <c r="AQ1165" t="s">
        <v>6997</v>
      </c>
      <c r="AR1165" t="s">
        <v>1125</v>
      </c>
      <c r="AS1165" t="s">
        <v>3634</v>
      </c>
      <c r="AT1165" t="s">
        <v>10426</v>
      </c>
      <c r="AV1165" t="s">
        <v>2108</v>
      </c>
      <c r="AW1165" t="s">
        <v>232</v>
      </c>
      <c r="AX1165" s="4" t="str">
        <f>"78278"</f>
        <v>78278</v>
      </c>
      <c r="AY1165" t="s">
        <v>120</v>
      </c>
      <c r="BA1165" s="5">
        <v>12102513972</v>
      </c>
      <c r="BC1165" t="s">
        <v>6998</v>
      </c>
      <c r="BD1165" t="s">
        <v>10427</v>
      </c>
      <c r="BE1165" t="s">
        <v>232</v>
      </c>
      <c r="BF1165" t="s">
        <v>11897</v>
      </c>
      <c r="BG1165" t="s">
        <v>232</v>
      </c>
      <c r="BH1165" s="1">
        <v>44846.833333333336</v>
      </c>
      <c r="BI1165">
        <v>54</v>
      </c>
      <c r="BJ1165">
        <v>0</v>
      </c>
      <c r="BK1165">
        <v>9</v>
      </c>
      <c r="BL1165">
        <v>9</v>
      </c>
      <c r="BM1165">
        <v>9</v>
      </c>
      <c r="BN1165">
        <v>9</v>
      </c>
      <c r="BO1165">
        <v>9</v>
      </c>
      <c r="BP1165">
        <v>9</v>
      </c>
      <c r="BQ1165" t="str">
        <f>"5:00 AM"</f>
        <v>5:00 AM</v>
      </c>
      <c r="BR1165" t="str">
        <f>"2:00 PM"</f>
        <v>2:00 PM</v>
      </c>
      <c r="BS1165" t="s">
        <v>133</v>
      </c>
      <c r="BT1165">
        <v>0</v>
      </c>
      <c r="BU1165">
        <v>0</v>
      </c>
      <c r="BV1165" t="s">
        <v>134</v>
      </c>
      <c r="BX1165" t="s">
        <v>138</v>
      </c>
      <c r="BY1165" t="s">
        <v>11898</v>
      </c>
      <c r="CA1165" t="s">
        <v>11899</v>
      </c>
      <c r="CB1165" t="s">
        <v>232</v>
      </c>
      <c r="CC1165" s="4" t="str">
        <f>"78956"</f>
        <v>78956</v>
      </c>
      <c r="CD1165" t="s">
        <v>1707</v>
      </c>
      <c r="CE1165" t="s">
        <v>1550</v>
      </c>
      <c r="CF1165" s="6">
        <v>12.48</v>
      </c>
      <c r="CH1165" s="6">
        <v>18.72</v>
      </c>
      <c r="CJ1165" t="s">
        <v>137</v>
      </c>
      <c r="CL1165" t="s">
        <v>11900</v>
      </c>
      <c r="CO1165" t="s">
        <v>138</v>
      </c>
      <c r="CP1165" t="s">
        <v>134</v>
      </c>
      <c r="CQ1165" t="s">
        <v>134</v>
      </c>
      <c r="CR1165" t="s">
        <v>114</v>
      </c>
      <c r="CS1165" t="s">
        <v>114</v>
      </c>
      <c r="CT1165" t="s">
        <v>114</v>
      </c>
      <c r="CU1165" t="s">
        <v>134</v>
      </c>
      <c r="CV1165" s="2" t="s">
        <v>11901</v>
      </c>
      <c r="CW1165" s="5" t="str">
        <f>"+13615649504"</f>
        <v>+13615649504</v>
      </c>
      <c r="CX1165" t="s">
        <v>11896</v>
      </c>
      <c r="CY1165" t="s">
        <v>138</v>
      </c>
      <c r="CZ1165" t="s">
        <v>139</v>
      </c>
      <c r="DA1165" t="s">
        <v>134</v>
      </c>
      <c r="DB1165" t="s">
        <v>134</v>
      </c>
      <c r="DC1165" t="s">
        <v>114</v>
      </c>
      <c r="DD1165" t="s">
        <v>134</v>
      </c>
    </row>
    <row r="1166" spans="1:113" ht="15" customHeight="1" x14ac:dyDescent="0.25">
      <c r="A1166" t="s">
        <v>16795</v>
      </c>
      <c r="B1166" t="s">
        <v>113</v>
      </c>
      <c r="C1166" s="1">
        <v>44878.868394560188</v>
      </c>
      <c r="D1166" s="1">
        <v>44904</v>
      </c>
      <c r="E1166" t="s">
        <v>134</v>
      </c>
      <c r="F1166" t="s">
        <v>115</v>
      </c>
      <c r="G1166" t="str">
        <f>"37-2012.00"</f>
        <v>37-2012.00</v>
      </c>
      <c r="H1166" t="s">
        <v>116</v>
      </c>
      <c r="I1166">
        <v>2</v>
      </c>
      <c r="K1166" s="1">
        <v>44958</v>
      </c>
      <c r="L1166" s="1">
        <v>45260</v>
      </c>
      <c r="O1166" t="s">
        <v>199</v>
      </c>
      <c r="P1166" t="s">
        <v>16796</v>
      </c>
      <c r="Q1166" t="s">
        <v>16796</v>
      </c>
      <c r="R1166" t="s">
        <v>16797</v>
      </c>
      <c r="T1166" t="s">
        <v>16798</v>
      </c>
      <c r="U1166" t="s">
        <v>420</v>
      </c>
      <c r="V1166" s="4" t="str">
        <f>"84773"</f>
        <v>84773</v>
      </c>
      <c r="W1166" t="s">
        <v>120</v>
      </c>
      <c r="Y1166" s="5">
        <v>14352195530</v>
      </c>
      <c r="AA1166">
        <v>56172</v>
      </c>
      <c r="AB1166" t="s">
        <v>5957</v>
      </c>
      <c r="AC1166" t="s">
        <v>9957</v>
      </c>
      <c r="AE1166" t="s">
        <v>424</v>
      </c>
      <c r="AF1166" t="s">
        <v>16799</v>
      </c>
      <c r="AH1166" t="s">
        <v>16798</v>
      </c>
      <c r="AI1166" t="s">
        <v>420</v>
      </c>
      <c r="AJ1166" s="4" t="str">
        <f>"84773"</f>
        <v>84773</v>
      </c>
      <c r="AK1166" t="s">
        <v>120</v>
      </c>
      <c r="AM1166" s="5">
        <v>14352195530</v>
      </c>
      <c r="AO1166" t="s">
        <v>16800</v>
      </c>
      <c r="AX1166" s="4" t="str">
        <f>""</f>
        <v/>
      </c>
      <c r="BG1166" t="s">
        <v>420</v>
      </c>
      <c r="BH1166" s="1">
        <v>44822.833333333336</v>
      </c>
      <c r="BI1166">
        <v>40</v>
      </c>
      <c r="BJ1166">
        <v>8</v>
      </c>
      <c r="BK1166">
        <v>8</v>
      </c>
      <c r="BL1166">
        <v>8</v>
      </c>
      <c r="BM1166">
        <v>0</v>
      </c>
      <c r="BN1166">
        <v>8</v>
      </c>
      <c r="BO1166">
        <v>0</v>
      </c>
      <c r="BP1166">
        <v>8</v>
      </c>
      <c r="BQ1166" t="str">
        <f>"10:00 AM"</f>
        <v>10:00 AM</v>
      </c>
      <c r="BR1166" t="str">
        <f>"7:00 PM"</f>
        <v>7:00 PM</v>
      </c>
      <c r="BS1166" t="s">
        <v>295</v>
      </c>
      <c r="BT1166">
        <v>1</v>
      </c>
      <c r="BU1166">
        <v>0</v>
      </c>
      <c r="BV1166" t="s">
        <v>134</v>
      </c>
      <c r="BX1166" t="s">
        <v>16801</v>
      </c>
      <c r="BY1166" t="s">
        <v>16799</v>
      </c>
      <c r="CA1166" t="s">
        <v>16798</v>
      </c>
      <c r="CB1166" t="s">
        <v>420</v>
      </c>
      <c r="CC1166" s="4" t="str">
        <f>"84773"</f>
        <v>84773</v>
      </c>
      <c r="CD1166" t="s">
        <v>2201</v>
      </c>
      <c r="CE1166" t="s">
        <v>4402</v>
      </c>
      <c r="CF1166" s="6">
        <v>12.53</v>
      </c>
      <c r="CG1166" s="6">
        <v>15</v>
      </c>
      <c r="CH1166" s="6">
        <v>18.79</v>
      </c>
      <c r="CI1166" s="6">
        <v>22.5</v>
      </c>
      <c r="CJ1166" t="s">
        <v>137</v>
      </c>
      <c r="CL1166" t="s">
        <v>16802</v>
      </c>
      <c r="CO1166" t="s">
        <v>138</v>
      </c>
      <c r="CP1166" t="s">
        <v>134</v>
      </c>
      <c r="CQ1166" t="s">
        <v>114</v>
      </c>
      <c r="CR1166" t="s">
        <v>114</v>
      </c>
      <c r="CS1166" t="s">
        <v>114</v>
      </c>
      <c r="CT1166" t="s">
        <v>114</v>
      </c>
      <c r="CU1166" t="s">
        <v>114</v>
      </c>
      <c r="CV1166" t="s">
        <v>16803</v>
      </c>
      <c r="CW1166" s="5" t="str">
        <f>"+14352195530"</f>
        <v>+14352195530</v>
      </c>
      <c r="CX1166" t="s">
        <v>16804</v>
      </c>
      <c r="CY1166" t="s">
        <v>138</v>
      </c>
      <c r="CZ1166" t="s">
        <v>139</v>
      </c>
      <c r="DA1166" t="s">
        <v>134</v>
      </c>
      <c r="DB1166" t="s">
        <v>134</v>
      </c>
      <c r="DC1166" t="s">
        <v>114</v>
      </c>
      <c r="DD1166" t="s">
        <v>134</v>
      </c>
      <c r="DE1166" t="s">
        <v>8163</v>
      </c>
      <c r="DF1166" t="s">
        <v>16805</v>
      </c>
      <c r="DH1166" t="s">
        <v>16796</v>
      </c>
      <c r="DI1166" t="s">
        <v>16804</v>
      </c>
    </row>
    <row r="1167" spans="1:113" ht="15" customHeight="1" x14ac:dyDescent="0.25">
      <c r="A1167" t="s">
        <v>12776</v>
      </c>
      <c r="B1167" t="s">
        <v>113</v>
      </c>
      <c r="C1167" s="1">
        <v>44868.396239236114</v>
      </c>
      <c r="D1167" s="1">
        <v>44903</v>
      </c>
      <c r="E1167" t="s">
        <v>114</v>
      </c>
      <c r="F1167" t="s">
        <v>12777</v>
      </c>
      <c r="G1167" t="str">
        <f>"53-3033.00"</f>
        <v>53-3033.00</v>
      </c>
      <c r="H1167" t="s">
        <v>4259</v>
      </c>
      <c r="I1167">
        <v>5</v>
      </c>
      <c r="K1167" s="1">
        <v>44944</v>
      </c>
      <c r="L1167" s="1">
        <v>45184</v>
      </c>
      <c r="O1167" t="s">
        <v>199</v>
      </c>
      <c r="P1167" t="s">
        <v>12778</v>
      </c>
      <c r="R1167" t="s">
        <v>12779</v>
      </c>
      <c r="T1167" t="s">
        <v>2731</v>
      </c>
      <c r="U1167" t="s">
        <v>848</v>
      </c>
      <c r="V1167" s="4" t="str">
        <f>"10452"</f>
        <v>10452</v>
      </c>
      <c r="W1167" t="s">
        <v>120</v>
      </c>
      <c r="X1167" t="s">
        <v>12780</v>
      </c>
      <c r="Y1167" s="5">
        <v>16463224995</v>
      </c>
      <c r="AA1167">
        <v>49211</v>
      </c>
      <c r="AB1167" t="s">
        <v>12781</v>
      </c>
      <c r="AC1167" t="s">
        <v>924</v>
      </c>
      <c r="AE1167" t="s">
        <v>700</v>
      </c>
      <c r="AF1167" t="s">
        <v>12782</v>
      </c>
      <c r="AH1167" t="s">
        <v>8029</v>
      </c>
      <c r="AI1167" t="s">
        <v>848</v>
      </c>
      <c r="AJ1167" s="4" t="str">
        <f>"10033"</f>
        <v>10033</v>
      </c>
      <c r="AK1167" t="s">
        <v>120</v>
      </c>
      <c r="AM1167" s="5">
        <v>16463224995</v>
      </c>
      <c r="AO1167" t="s">
        <v>12783</v>
      </c>
      <c r="AX1167" s="4" t="str">
        <f>""</f>
        <v/>
      </c>
      <c r="BG1167" t="s">
        <v>848</v>
      </c>
      <c r="BH1167" s="1">
        <v>44727.833333333336</v>
      </c>
      <c r="BI1167">
        <v>40</v>
      </c>
      <c r="BJ1167">
        <v>0</v>
      </c>
      <c r="BK1167">
        <v>8</v>
      </c>
      <c r="BL1167">
        <v>8</v>
      </c>
      <c r="BM1167">
        <v>8</v>
      </c>
      <c r="BN1167">
        <v>8</v>
      </c>
      <c r="BO1167">
        <v>8</v>
      </c>
      <c r="BP1167">
        <v>0</v>
      </c>
      <c r="BQ1167" t="str">
        <f>"7:05 AM"</f>
        <v>7:05 AM</v>
      </c>
      <c r="BR1167" t="str">
        <f>"3:05 PM"</f>
        <v>3:05 PM</v>
      </c>
      <c r="BS1167" t="s">
        <v>133</v>
      </c>
      <c r="BT1167">
        <v>1</v>
      </c>
      <c r="BU1167">
        <v>0</v>
      </c>
      <c r="BV1167" t="s">
        <v>134</v>
      </c>
      <c r="BX1167" s="2" t="s">
        <v>12784</v>
      </c>
      <c r="BY1167" t="s">
        <v>12785</v>
      </c>
      <c r="CA1167" t="s">
        <v>12786</v>
      </c>
      <c r="CB1167" t="s">
        <v>1003</v>
      </c>
      <c r="CC1167" s="4" t="str">
        <f>"07094"</f>
        <v>07094</v>
      </c>
      <c r="CD1167" t="s">
        <v>4491</v>
      </c>
      <c r="CE1167" t="s">
        <v>1009</v>
      </c>
      <c r="CF1167" s="6">
        <v>16</v>
      </c>
      <c r="CG1167" s="6">
        <v>19</v>
      </c>
      <c r="CH1167" s="6">
        <v>24</v>
      </c>
      <c r="CI1167" s="6">
        <v>27</v>
      </c>
      <c r="CJ1167" t="s">
        <v>137</v>
      </c>
      <c r="CL1167" t="s">
        <v>12787</v>
      </c>
      <c r="CO1167" t="s">
        <v>138</v>
      </c>
      <c r="CP1167" t="s">
        <v>114</v>
      </c>
      <c r="CQ1167" t="s">
        <v>114</v>
      </c>
      <c r="CR1167" t="s">
        <v>114</v>
      </c>
      <c r="CS1167" t="s">
        <v>114</v>
      </c>
      <c r="CT1167" t="s">
        <v>114</v>
      </c>
      <c r="CU1167" t="s">
        <v>114</v>
      </c>
      <c r="CV1167" t="s">
        <v>12788</v>
      </c>
      <c r="CW1167" s="5" t="str">
        <f>"+16463224995"</f>
        <v>+16463224995</v>
      </c>
      <c r="CX1167" t="s">
        <v>12783</v>
      </c>
      <c r="CY1167" t="s">
        <v>138</v>
      </c>
      <c r="CZ1167" t="s">
        <v>139</v>
      </c>
      <c r="DA1167" t="s">
        <v>134</v>
      </c>
      <c r="DB1167" t="s">
        <v>134</v>
      </c>
      <c r="DC1167" t="s">
        <v>114</v>
      </c>
      <c r="DD1167" t="s">
        <v>134</v>
      </c>
      <c r="DE1167" t="s">
        <v>4673</v>
      </c>
      <c r="DF1167" t="s">
        <v>11742</v>
      </c>
      <c r="DH1167" t="s">
        <v>12789</v>
      </c>
      <c r="DI1167" t="s">
        <v>12783</v>
      </c>
    </row>
    <row r="1168" spans="1:113" ht="15" customHeight="1" x14ac:dyDescent="0.25">
      <c r="A1168" t="s">
        <v>9341</v>
      </c>
      <c r="B1168" t="s">
        <v>113</v>
      </c>
      <c r="C1168" s="1">
        <v>44867.573436342595</v>
      </c>
      <c r="D1168" s="1">
        <v>44903</v>
      </c>
      <c r="E1168" t="s">
        <v>134</v>
      </c>
      <c r="F1168" t="s">
        <v>1391</v>
      </c>
      <c r="G1168" t="str">
        <f>"53-7062.04"</f>
        <v>53-7062.04</v>
      </c>
      <c r="H1168" t="s">
        <v>245</v>
      </c>
      <c r="I1168">
        <v>3</v>
      </c>
      <c r="K1168" s="1">
        <v>44942</v>
      </c>
      <c r="L1168" s="1">
        <v>45260</v>
      </c>
      <c r="O1168" t="s">
        <v>117</v>
      </c>
      <c r="P1168" t="s">
        <v>9342</v>
      </c>
      <c r="R1168" t="s">
        <v>9343</v>
      </c>
      <c r="T1168" t="s">
        <v>9344</v>
      </c>
      <c r="U1168" t="s">
        <v>619</v>
      </c>
      <c r="V1168" s="4" t="str">
        <f>"42301"</f>
        <v>42301</v>
      </c>
      <c r="W1168" t="s">
        <v>120</v>
      </c>
      <c r="Y1168" s="5">
        <v>12709260406</v>
      </c>
      <c r="AA1168">
        <v>5629</v>
      </c>
      <c r="AB1168" t="s">
        <v>9345</v>
      </c>
      <c r="AC1168" t="s">
        <v>2389</v>
      </c>
      <c r="AD1168" t="s">
        <v>367</v>
      </c>
      <c r="AE1168" t="s">
        <v>252</v>
      </c>
      <c r="AF1168" t="s">
        <v>9343</v>
      </c>
      <c r="AH1168" t="s">
        <v>9344</v>
      </c>
      <c r="AI1168" t="s">
        <v>619</v>
      </c>
      <c r="AJ1168" s="4" t="str">
        <f>"42301"</f>
        <v>42301</v>
      </c>
      <c r="AK1168" t="s">
        <v>120</v>
      </c>
      <c r="AM1168" s="5">
        <v>12709260406</v>
      </c>
      <c r="AO1168" t="s">
        <v>9346</v>
      </c>
      <c r="AX1168" s="4" t="str">
        <f>""</f>
        <v/>
      </c>
      <c r="BG1168" t="s">
        <v>619</v>
      </c>
      <c r="BH1168" s="1">
        <v>44802.833333333336</v>
      </c>
      <c r="BI1168">
        <v>40</v>
      </c>
      <c r="BJ1168">
        <v>0</v>
      </c>
      <c r="BK1168">
        <v>8</v>
      </c>
      <c r="BL1168">
        <v>8</v>
      </c>
      <c r="BM1168">
        <v>8</v>
      </c>
      <c r="BN1168">
        <v>8</v>
      </c>
      <c r="BO1168">
        <v>8</v>
      </c>
      <c r="BP1168">
        <v>0</v>
      </c>
      <c r="BQ1168" t="str">
        <f>"7:30 AM"</f>
        <v>7:30 AM</v>
      </c>
      <c r="BR1168" t="str">
        <f>"4:00 PM"</f>
        <v>4:00 PM</v>
      </c>
      <c r="BS1168" t="s">
        <v>133</v>
      </c>
      <c r="BT1168">
        <v>0</v>
      </c>
      <c r="BU1168">
        <v>0</v>
      </c>
      <c r="BV1168" t="s">
        <v>134</v>
      </c>
      <c r="BX1168" s="2" t="s">
        <v>9347</v>
      </c>
      <c r="BY1168" t="s">
        <v>9348</v>
      </c>
      <c r="CA1168" t="s">
        <v>9344</v>
      </c>
      <c r="CB1168" t="s">
        <v>619</v>
      </c>
      <c r="CC1168" s="4" t="str">
        <f>"42301"</f>
        <v>42301</v>
      </c>
      <c r="CD1168" t="s">
        <v>9042</v>
      </c>
      <c r="CE1168" t="s">
        <v>9043</v>
      </c>
      <c r="CF1168" s="6">
        <v>16.89</v>
      </c>
      <c r="CG1168" s="6">
        <v>17</v>
      </c>
      <c r="CH1168" s="6">
        <v>25.34</v>
      </c>
      <c r="CI1168" s="6">
        <v>25.5</v>
      </c>
      <c r="CJ1168" t="s">
        <v>137</v>
      </c>
      <c r="CL1168" t="s">
        <v>9349</v>
      </c>
      <c r="CO1168" t="s">
        <v>138</v>
      </c>
      <c r="CP1168" t="s">
        <v>134</v>
      </c>
      <c r="CQ1168" t="s">
        <v>134</v>
      </c>
      <c r="CR1168" t="s">
        <v>114</v>
      </c>
      <c r="CS1168" t="s">
        <v>114</v>
      </c>
      <c r="CT1168" t="s">
        <v>114</v>
      </c>
      <c r="CU1168" t="s">
        <v>134</v>
      </c>
      <c r="CV1168" t="s">
        <v>133</v>
      </c>
      <c r="CW1168" s="5" t="str">
        <f>"+12709257745"</f>
        <v>+12709257745</v>
      </c>
      <c r="CX1168" t="s">
        <v>9350</v>
      </c>
      <c r="CY1168" t="s">
        <v>9351</v>
      </c>
      <c r="CZ1168" t="s">
        <v>139</v>
      </c>
      <c r="DA1168" t="s">
        <v>134</v>
      </c>
      <c r="DB1168" t="s">
        <v>114</v>
      </c>
      <c r="DC1168" t="s">
        <v>114</v>
      </c>
      <c r="DD1168" t="s">
        <v>134</v>
      </c>
    </row>
    <row r="1169" spans="1:113" ht="15" customHeight="1" x14ac:dyDescent="0.25">
      <c r="A1169" t="s">
        <v>8251</v>
      </c>
      <c r="B1169" t="s">
        <v>113</v>
      </c>
      <c r="C1169" s="1">
        <v>44838.576655555553</v>
      </c>
      <c r="D1169" s="1">
        <v>44903</v>
      </c>
      <c r="E1169" t="s">
        <v>134</v>
      </c>
      <c r="F1169" t="s">
        <v>1376</v>
      </c>
      <c r="G1169" t="str">
        <f>"37-2011.00"</f>
        <v>37-2011.00</v>
      </c>
      <c r="H1169" t="s">
        <v>672</v>
      </c>
      <c r="I1169">
        <v>8</v>
      </c>
      <c r="K1169" s="1">
        <v>44913</v>
      </c>
      <c r="L1169" s="1">
        <v>45016</v>
      </c>
      <c r="O1169" t="s">
        <v>199</v>
      </c>
      <c r="P1169" t="s">
        <v>8252</v>
      </c>
      <c r="R1169" t="s">
        <v>8253</v>
      </c>
      <c r="T1169" t="s">
        <v>8254</v>
      </c>
      <c r="U1169" t="s">
        <v>184</v>
      </c>
      <c r="V1169" s="4" t="str">
        <f>"60540"</f>
        <v>60540</v>
      </c>
      <c r="W1169" t="s">
        <v>120</v>
      </c>
      <c r="Y1169" s="5">
        <v>16306646963</v>
      </c>
      <c r="AA1169">
        <v>56173</v>
      </c>
      <c r="AB1169" t="s">
        <v>8255</v>
      </c>
      <c r="AC1169" t="s">
        <v>8256</v>
      </c>
      <c r="AD1169" t="s">
        <v>3559</v>
      </c>
      <c r="AE1169" t="s">
        <v>424</v>
      </c>
      <c r="AF1169" t="s">
        <v>8253</v>
      </c>
      <c r="AH1169" t="s">
        <v>8254</v>
      </c>
      <c r="AI1169" t="s">
        <v>184</v>
      </c>
      <c r="AJ1169" s="4" t="str">
        <f>"60540"</f>
        <v>60540</v>
      </c>
      <c r="AK1169" t="s">
        <v>120</v>
      </c>
      <c r="AM1169" s="5">
        <v>16308856370</v>
      </c>
      <c r="AO1169" t="s">
        <v>138</v>
      </c>
      <c r="AP1169" t="s">
        <v>122</v>
      </c>
      <c r="AQ1169" t="s">
        <v>864</v>
      </c>
      <c r="AR1169" t="s">
        <v>865</v>
      </c>
      <c r="AS1169" t="s">
        <v>370</v>
      </c>
      <c r="AT1169" t="s">
        <v>2109</v>
      </c>
      <c r="AV1169" t="s">
        <v>684</v>
      </c>
      <c r="AW1169" t="s">
        <v>232</v>
      </c>
      <c r="AX1169" s="4" t="str">
        <f>"78748"</f>
        <v>78748</v>
      </c>
      <c r="AY1169" t="s">
        <v>120</v>
      </c>
      <c r="BA1169" s="5">
        <v>15123470007</v>
      </c>
      <c r="BC1169" t="s">
        <v>2110</v>
      </c>
      <c r="BD1169" t="s">
        <v>2111</v>
      </c>
      <c r="BE1169" t="s">
        <v>232</v>
      </c>
      <c r="BF1169" t="s">
        <v>870</v>
      </c>
      <c r="BG1169" t="s">
        <v>184</v>
      </c>
      <c r="BH1169" s="1">
        <v>44837.833333333336</v>
      </c>
      <c r="BI1169">
        <v>40</v>
      </c>
      <c r="BJ1169">
        <v>0</v>
      </c>
      <c r="BK1169">
        <v>8</v>
      </c>
      <c r="BL1169">
        <v>8</v>
      </c>
      <c r="BM1169">
        <v>8</v>
      </c>
      <c r="BN1169">
        <v>8</v>
      </c>
      <c r="BO1169">
        <v>8</v>
      </c>
      <c r="BP1169">
        <v>0</v>
      </c>
      <c r="BQ1169" t="str">
        <f>"7:00 AM"</f>
        <v>7:00 AM</v>
      </c>
      <c r="BR1169" t="str">
        <f>"4:00 PM"</f>
        <v>4:00 PM</v>
      </c>
      <c r="BS1169" t="s">
        <v>133</v>
      </c>
      <c r="BT1169">
        <v>0</v>
      </c>
      <c r="BU1169">
        <v>3</v>
      </c>
      <c r="BV1169" t="s">
        <v>134</v>
      </c>
      <c r="BX1169" t="s">
        <v>138</v>
      </c>
      <c r="BY1169" t="s">
        <v>8257</v>
      </c>
      <c r="CA1169" t="s">
        <v>8254</v>
      </c>
      <c r="CB1169" t="s">
        <v>184</v>
      </c>
      <c r="CC1169" s="4" t="str">
        <f>"60565"</f>
        <v>60565</v>
      </c>
      <c r="CD1169" t="s">
        <v>2586</v>
      </c>
      <c r="CE1169" t="s">
        <v>1556</v>
      </c>
      <c r="CF1169" s="6">
        <v>16.329999999999998</v>
      </c>
      <c r="CH1169" s="6">
        <v>24.5</v>
      </c>
      <c r="CJ1169" t="s">
        <v>137</v>
      </c>
      <c r="CK1169" t="s">
        <v>6918</v>
      </c>
      <c r="CL1169" t="s">
        <v>8258</v>
      </c>
      <c r="CO1169" t="s">
        <v>138</v>
      </c>
      <c r="CP1169" t="s">
        <v>114</v>
      </c>
      <c r="CQ1169" t="s">
        <v>114</v>
      </c>
      <c r="CR1169" t="s">
        <v>114</v>
      </c>
      <c r="CS1169" t="s">
        <v>114</v>
      </c>
      <c r="CT1169" t="s">
        <v>114</v>
      </c>
      <c r="CU1169" t="s">
        <v>134</v>
      </c>
      <c r="CV1169" s="2" t="s">
        <v>8259</v>
      </c>
      <c r="CW1169" s="5" t="str">
        <f>"+16306646963"</f>
        <v>+16306646963</v>
      </c>
      <c r="CX1169" t="s">
        <v>8260</v>
      </c>
      <c r="CY1169" t="s">
        <v>138</v>
      </c>
      <c r="CZ1169" t="s">
        <v>139</v>
      </c>
      <c r="DA1169" t="s">
        <v>134</v>
      </c>
      <c r="DB1169" t="s">
        <v>134</v>
      </c>
      <c r="DC1169" t="s">
        <v>114</v>
      </c>
      <c r="DD1169" t="s">
        <v>134</v>
      </c>
    </row>
    <row r="1170" spans="1:113" ht="15" customHeight="1" x14ac:dyDescent="0.25">
      <c r="A1170" t="s">
        <v>13531</v>
      </c>
      <c r="B1170" t="s">
        <v>113</v>
      </c>
      <c r="C1170" s="1">
        <v>44869.077367824073</v>
      </c>
      <c r="D1170" s="1">
        <v>44902</v>
      </c>
      <c r="E1170" t="s">
        <v>114</v>
      </c>
      <c r="F1170" t="s">
        <v>13532</v>
      </c>
      <c r="G1170" t="str">
        <f>"31-1122.00"</f>
        <v>31-1122.00</v>
      </c>
      <c r="H1170" t="s">
        <v>3583</v>
      </c>
      <c r="I1170">
        <v>3</v>
      </c>
      <c r="K1170" s="1">
        <v>44944</v>
      </c>
      <c r="L1170" s="1">
        <v>44972</v>
      </c>
      <c r="O1170" t="s">
        <v>168</v>
      </c>
      <c r="P1170" t="s">
        <v>13533</v>
      </c>
      <c r="Q1170" t="s">
        <v>13534</v>
      </c>
      <c r="R1170" t="s">
        <v>4738</v>
      </c>
      <c r="T1170" t="s">
        <v>4739</v>
      </c>
      <c r="U1170" t="s">
        <v>444</v>
      </c>
      <c r="V1170" s="4" t="str">
        <f>"91977-6516"</f>
        <v>91977-6516</v>
      </c>
      <c r="W1170" t="s">
        <v>120</v>
      </c>
      <c r="Y1170" s="5">
        <v>16197190812</v>
      </c>
      <c r="AA1170">
        <v>623990</v>
      </c>
      <c r="AB1170" t="s">
        <v>4734</v>
      </c>
      <c r="AC1170" t="s">
        <v>4735</v>
      </c>
      <c r="AE1170" t="s">
        <v>6161</v>
      </c>
      <c r="AF1170" t="s">
        <v>4738</v>
      </c>
      <c r="AH1170" t="s">
        <v>4739</v>
      </c>
      <c r="AI1170" t="s">
        <v>444</v>
      </c>
      <c r="AJ1170" s="4" t="str">
        <f>"91977-6516"</f>
        <v>91977-6516</v>
      </c>
      <c r="AK1170" t="s">
        <v>120</v>
      </c>
      <c r="AM1170" s="5">
        <v>16197190812</v>
      </c>
      <c r="AO1170" t="s">
        <v>4740</v>
      </c>
      <c r="AX1170" s="4" t="str">
        <f>""</f>
        <v/>
      </c>
      <c r="BG1170" t="s">
        <v>444</v>
      </c>
      <c r="BH1170" s="1">
        <v>44866.833333333336</v>
      </c>
      <c r="BI1170">
        <v>35</v>
      </c>
      <c r="BJ1170">
        <v>5</v>
      </c>
      <c r="BK1170">
        <v>5</v>
      </c>
      <c r="BL1170">
        <v>5</v>
      </c>
      <c r="BM1170">
        <v>5</v>
      </c>
      <c r="BN1170">
        <v>5</v>
      </c>
      <c r="BO1170">
        <v>5</v>
      </c>
      <c r="BP1170">
        <v>5</v>
      </c>
      <c r="BQ1170" t="str">
        <f>"6:53 AM"</f>
        <v>6:53 AM</v>
      </c>
      <c r="BR1170" t="str">
        <f>"10:53 AM"</f>
        <v>10:53 AM</v>
      </c>
      <c r="BS1170" t="s">
        <v>295</v>
      </c>
      <c r="BT1170">
        <v>3</v>
      </c>
      <c r="BU1170">
        <v>6</v>
      </c>
      <c r="BV1170" t="s">
        <v>134</v>
      </c>
      <c r="BX1170" s="2" t="s">
        <v>13535</v>
      </c>
      <c r="BY1170" t="s">
        <v>13536</v>
      </c>
      <c r="CA1170" t="s">
        <v>4739</v>
      </c>
      <c r="CB1170" t="s">
        <v>444</v>
      </c>
      <c r="CC1170" s="4" t="str">
        <f>"91977-6516"</f>
        <v>91977-6516</v>
      </c>
      <c r="CD1170" t="s">
        <v>5868</v>
      </c>
      <c r="CE1170" t="s">
        <v>5869</v>
      </c>
      <c r="CF1170" s="6">
        <v>15.3</v>
      </c>
      <c r="CG1170" s="6">
        <v>16</v>
      </c>
      <c r="CH1170" s="6">
        <v>22.95</v>
      </c>
      <c r="CI1170" s="6">
        <v>24</v>
      </c>
      <c r="CJ1170" t="s">
        <v>137</v>
      </c>
      <c r="CL1170" t="s">
        <v>13537</v>
      </c>
      <c r="CO1170" t="s">
        <v>138</v>
      </c>
      <c r="CP1170" t="s">
        <v>134</v>
      </c>
      <c r="CQ1170" t="s">
        <v>134</v>
      </c>
      <c r="CR1170" t="s">
        <v>114</v>
      </c>
      <c r="CS1170" t="s">
        <v>114</v>
      </c>
      <c r="CT1170" t="s">
        <v>114</v>
      </c>
      <c r="CU1170" t="s">
        <v>134</v>
      </c>
      <c r="CV1170" t="s">
        <v>13538</v>
      </c>
      <c r="CW1170" s="5" t="str">
        <f>"+16192781811"</f>
        <v>+16192781811</v>
      </c>
      <c r="CX1170" t="s">
        <v>13539</v>
      </c>
      <c r="CY1170" t="s">
        <v>138</v>
      </c>
      <c r="CZ1170" t="s">
        <v>139</v>
      </c>
      <c r="DA1170" t="s">
        <v>134</v>
      </c>
      <c r="DB1170" t="s">
        <v>134</v>
      </c>
      <c r="DC1170" t="s">
        <v>114</v>
      </c>
      <c r="DD1170" t="s">
        <v>134</v>
      </c>
      <c r="DE1170" t="s">
        <v>4734</v>
      </c>
      <c r="DF1170" t="s">
        <v>4735</v>
      </c>
      <c r="DG1170" t="s">
        <v>2149</v>
      </c>
      <c r="DH1170" t="s">
        <v>13540</v>
      </c>
      <c r="DI1170" t="s">
        <v>4740</v>
      </c>
    </row>
    <row r="1171" spans="1:113" ht="15" customHeight="1" x14ac:dyDescent="0.25">
      <c r="A1171" t="s">
        <v>12811</v>
      </c>
      <c r="B1171" t="s">
        <v>113</v>
      </c>
      <c r="C1171" s="1">
        <v>44868.670026157408</v>
      </c>
      <c r="D1171" s="1">
        <v>44902</v>
      </c>
      <c r="E1171" t="s">
        <v>134</v>
      </c>
      <c r="F1171" t="s">
        <v>334</v>
      </c>
      <c r="G1171" t="str">
        <f>"37-3011.00"</f>
        <v>37-3011.00</v>
      </c>
      <c r="H1171" t="s">
        <v>335</v>
      </c>
      <c r="I1171">
        <v>20</v>
      </c>
      <c r="K1171" s="1">
        <v>44958</v>
      </c>
      <c r="L1171" s="1">
        <v>45260</v>
      </c>
      <c r="O1171" t="s">
        <v>199</v>
      </c>
      <c r="P1171" t="s">
        <v>12812</v>
      </c>
      <c r="Q1171" t="s">
        <v>12813</v>
      </c>
      <c r="R1171" t="s">
        <v>12814</v>
      </c>
      <c r="T1171" t="s">
        <v>4480</v>
      </c>
      <c r="U1171" t="s">
        <v>697</v>
      </c>
      <c r="V1171" s="4" t="str">
        <f>"65203"</f>
        <v>65203</v>
      </c>
      <c r="W1171" t="s">
        <v>120</v>
      </c>
      <c r="Y1171" s="5">
        <v>15734458100</v>
      </c>
      <c r="AA1171">
        <v>56173</v>
      </c>
      <c r="AB1171" t="s">
        <v>12815</v>
      </c>
      <c r="AC1171" t="s">
        <v>6988</v>
      </c>
      <c r="AE1171" t="s">
        <v>1567</v>
      </c>
      <c r="AF1171" t="s">
        <v>12814</v>
      </c>
      <c r="AH1171" t="s">
        <v>4480</v>
      </c>
      <c r="AI1171" t="s">
        <v>697</v>
      </c>
      <c r="AJ1171" s="4" t="str">
        <f>"65203"</f>
        <v>65203</v>
      </c>
      <c r="AK1171" t="s">
        <v>120</v>
      </c>
      <c r="AM1171" s="5">
        <v>15734458100</v>
      </c>
      <c r="AO1171" t="s">
        <v>138</v>
      </c>
      <c r="AP1171" t="s">
        <v>256</v>
      </c>
      <c r="AQ1171" t="s">
        <v>3181</v>
      </c>
      <c r="AR1171" t="s">
        <v>3182</v>
      </c>
      <c r="AT1171" t="s">
        <v>346</v>
      </c>
      <c r="AU1171" t="s">
        <v>347</v>
      </c>
      <c r="AV1171" t="s">
        <v>348</v>
      </c>
      <c r="AW1171" t="s">
        <v>349</v>
      </c>
      <c r="AX1171" s="4" t="str">
        <f>"83814"</f>
        <v>83814</v>
      </c>
      <c r="AY1171" t="s">
        <v>120</v>
      </c>
      <c r="BA1171" s="5">
        <v>12087772654</v>
      </c>
      <c r="BC1171" t="s">
        <v>3183</v>
      </c>
      <c r="BD1171" t="s">
        <v>351</v>
      </c>
      <c r="BG1171" t="s">
        <v>697</v>
      </c>
      <c r="BH1171" s="1">
        <v>44852.833333333336</v>
      </c>
      <c r="BI1171">
        <v>40</v>
      </c>
      <c r="BJ1171">
        <v>0</v>
      </c>
      <c r="BK1171">
        <v>8</v>
      </c>
      <c r="BL1171">
        <v>8</v>
      </c>
      <c r="BM1171">
        <v>8</v>
      </c>
      <c r="BN1171">
        <v>8</v>
      </c>
      <c r="BO1171">
        <v>8</v>
      </c>
      <c r="BP1171">
        <v>0</v>
      </c>
      <c r="BQ1171" t="str">
        <f>"8:00 AM"</f>
        <v>8:00 AM</v>
      </c>
      <c r="BR1171" t="str">
        <f>"5:00 PM"</f>
        <v>5:00 PM</v>
      </c>
      <c r="BS1171" t="s">
        <v>133</v>
      </c>
      <c r="BT1171">
        <v>0</v>
      </c>
      <c r="BU1171">
        <v>0</v>
      </c>
      <c r="BV1171" t="s">
        <v>134</v>
      </c>
      <c r="BX1171" s="2" t="s">
        <v>7050</v>
      </c>
      <c r="BY1171" t="s">
        <v>12814</v>
      </c>
      <c r="CA1171" t="s">
        <v>4480</v>
      </c>
      <c r="CB1171" t="s">
        <v>697</v>
      </c>
      <c r="CC1171" s="4" t="str">
        <f>"65203"</f>
        <v>65203</v>
      </c>
      <c r="CD1171" t="s">
        <v>3822</v>
      </c>
      <c r="CE1171" t="s">
        <v>4250</v>
      </c>
      <c r="CF1171" s="6">
        <v>14.37</v>
      </c>
      <c r="CG1171" s="6">
        <v>19.5</v>
      </c>
      <c r="CH1171" s="6">
        <v>21.56</v>
      </c>
      <c r="CI1171" s="6">
        <v>29.25</v>
      </c>
      <c r="CJ1171" t="s">
        <v>137</v>
      </c>
      <c r="CK1171" t="s">
        <v>356</v>
      </c>
      <c r="CL1171" t="s">
        <v>12816</v>
      </c>
      <c r="CO1171" t="s">
        <v>138</v>
      </c>
      <c r="CP1171" t="s">
        <v>134</v>
      </c>
      <c r="CQ1171" t="s">
        <v>134</v>
      </c>
      <c r="CR1171" t="s">
        <v>114</v>
      </c>
      <c r="CS1171" t="s">
        <v>114</v>
      </c>
      <c r="CT1171" t="s">
        <v>114</v>
      </c>
      <c r="CU1171" t="s">
        <v>134</v>
      </c>
      <c r="CV1171" t="s">
        <v>358</v>
      </c>
      <c r="CW1171" s="5" t="str">
        <f>"+15734458100"</f>
        <v>+15734458100</v>
      </c>
      <c r="CX1171" t="s">
        <v>12817</v>
      </c>
      <c r="CY1171" t="s">
        <v>138</v>
      </c>
      <c r="CZ1171" t="s">
        <v>139</v>
      </c>
      <c r="DA1171" t="s">
        <v>134</v>
      </c>
      <c r="DB1171" t="s">
        <v>134</v>
      </c>
      <c r="DC1171" t="s">
        <v>114</v>
      </c>
      <c r="DD1171" t="s">
        <v>134</v>
      </c>
    </row>
    <row r="1172" spans="1:113" ht="15" customHeight="1" x14ac:dyDescent="0.25">
      <c r="A1172" t="s">
        <v>13555</v>
      </c>
      <c r="B1172" t="s">
        <v>113</v>
      </c>
      <c r="C1172" s="1">
        <v>44867.014623958334</v>
      </c>
      <c r="D1172" s="1">
        <v>44901</v>
      </c>
      <c r="E1172" t="s">
        <v>134</v>
      </c>
      <c r="F1172" t="s">
        <v>13556</v>
      </c>
      <c r="G1172" t="str">
        <f>"53-3033.00"</f>
        <v>53-3033.00</v>
      </c>
      <c r="H1172" t="s">
        <v>4259</v>
      </c>
      <c r="I1172">
        <v>3</v>
      </c>
      <c r="K1172" s="1">
        <v>44954</v>
      </c>
      <c r="L1172" s="1">
        <v>45199</v>
      </c>
      <c r="O1172" t="s">
        <v>199</v>
      </c>
      <c r="P1172" t="s">
        <v>13557</v>
      </c>
      <c r="R1172" t="s">
        <v>13558</v>
      </c>
      <c r="S1172" t="s">
        <v>13559</v>
      </c>
      <c r="T1172" t="s">
        <v>13560</v>
      </c>
      <c r="U1172" t="s">
        <v>154</v>
      </c>
      <c r="V1172" s="4" t="str">
        <f>"33068"</f>
        <v>33068</v>
      </c>
      <c r="W1172" t="s">
        <v>120</v>
      </c>
      <c r="Y1172" s="5">
        <v>19548715211</v>
      </c>
      <c r="AA1172">
        <v>4841</v>
      </c>
      <c r="AB1172" t="s">
        <v>13561</v>
      </c>
      <c r="AC1172" t="s">
        <v>13562</v>
      </c>
      <c r="AE1172" t="s">
        <v>252</v>
      </c>
      <c r="AF1172" t="s">
        <v>13558</v>
      </c>
      <c r="AG1172" t="s">
        <v>13559</v>
      </c>
      <c r="AH1172" t="s">
        <v>13560</v>
      </c>
      <c r="AI1172" t="s">
        <v>154</v>
      </c>
      <c r="AJ1172" s="4" t="str">
        <f>"33068"</f>
        <v>33068</v>
      </c>
      <c r="AK1172" t="s">
        <v>120</v>
      </c>
      <c r="AM1172" s="5">
        <v>19548715211</v>
      </c>
      <c r="AO1172" t="s">
        <v>13563</v>
      </c>
      <c r="AX1172" s="4" t="str">
        <f>""</f>
        <v/>
      </c>
      <c r="BG1172" t="s">
        <v>154</v>
      </c>
      <c r="BH1172" s="1">
        <v>44362.833333333336</v>
      </c>
      <c r="BI1172">
        <v>40</v>
      </c>
      <c r="BJ1172">
        <v>0</v>
      </c>
      <c r="BK1172">
        <v>8</v>
      </c>
      <c r="BL1172">
        <v>8</v>
      </c>
      <c r="BM1172">
        <v>8</v>
      </c>
      <c r="BN1172">
        <v>8</v>
      </c>
      <c r="BO1172">
        <v>8</v>
      </c>
      <c r="BP1172">
        <v>0</v>
      </c>
      <c r="BQ1172" t="str">
        <f>"6:00 AM"</f>
        <v>6:00 AM</v>
      </c>
      <c r="BR1172" t="str">
        <f>"2:00 PM"</f>
        <v>2:00 PM</v>
      </c>
      <c r="BS1172" t="s">
        <v>133</v>
      </c>
      <c r="BT1172">
        <v>6</v>
      </c>
      <c r="BU1172">
        <v>6</v>
      </c>
      <c r="BV1172" t="s">
        <v>134</v>
      </c>
      <c r="BX1172" t="s">
        <v>13564</v>
      </c>
      <c r="BY1172" t="s">
        <v>13565</v>
      </c>
      <c r="BZ1172" t="s">
        <v>13559</v>
      </c>
      <c r="CA1172" t="s">
        <v>13566</v>
      </c>
      <c r="CB1172" t="s">
        <v>154</v>
      </c>
      <c r="CC1172" s="4" t="str">
        <f>"33068"</f>
        <v>33068</v>
      </c>
      <c r="CD1172" t="s">
        <v>2313</v>
      </c>
      <c r="CE1172" t="s">
        <v>1742</v>
      </c>
      <c r="CF1172" s="6">
        <v>16</v>
      </c>
      <c r="CG1172" s="6">
        <v>18</v>
      </c>
      <c r="CJ1172" t="s">
        <v>137</v>
      </c>
      <c r="CL1172" t="s">
        <v>13567</v>
      </c>
      <c r="CO1172" t="s">
        <v>138</v>
      </c>
      <c r="CP1172" t="s">
        <v>134</v>
      </c>
      <c r="CQ1172" t="s">
        <v>114</v>
      </c>
      <c r="CR1172" t="s">
        <v>134</v>
      </c>
      <c r="CS1172" t="s">
        <v>114</v>
      </c>
      <c r="CT1172" t="s">
        <v>114</v>
      </c>
      <c r="CU1172" t="s">
        <v>114</v>
      </c>
      <c r="CV1172" t="s">
        <v>133</v>
      </c>
      <c r="CW1172" s="5" t="str">
        <f>"+19548715211"</f>
        <v>+19548715211</v>
      </c>
      <c r="CX1172" t="s">
        <v>13568</v>
      </c>
      <c r="CY1172" t="s">
        <v>138</v>
      </c>
      <c r="CZ1172" t="s">
        <v>139</v>
      </c>
      <c r="DA1172" t="s">
        <v>134</v>
      </c>
      <c r="DB1172" t="s">
        <v>134</v>
      </c>
      <c r="DC1172" t="s">
        <v>114</v>
      </c>
      <c r="DD1172" t="s">
        <v>134</v>
      </c>
      <c r="DE1172" t="s">
        <v>13569</v>
      </c>
      <c r="DF1172" t="s">
        <v>13570</v>
      </c>
      <c r="DH1172" t="s">
        <v>13571</v>
      </c>
      <c r="DI1172" t="s">
        <v>13568</v>
      </c>
    </row>
    <row r="1173" spans="1:113" ht="15" customHeight="1" x14ac:dyDescent="0.25">
      <c r="A1173" t="s">
        <v>8447</v>
      </c>
      <c r="B1173" t="s">
        <v>113</v>
      </c>
      <c r="C1173" s="1">
        <v>44866.991173726849</v>
      </c>
      <c r="D1173" s="1">
        <v>44901</v>
      </c>
      <c r="E1173" t="s">
        <v>134</v>
      </c>
      <c r="F1173" t="s">
        <v>2714</v>
      </c>
      <c r="G1173" t="str">
        <f>"47-2061.00"</f>
        <v>47-2061.00</v>
      </c>
      <c r="H1173" t="s">
        <v>1625</v>
      </c>
      <c r="I1173">
        <v>20</v>
      </c>
      <c r="K1173" s="1">
        <v>44941</v>
      </c>
      <c r="L1173" s="1">
        <v>45214</v>
      </c>
      <c r="O1173" t="s">
        <v>117</v>
      </c>
      <c r="P1173" t="s">
        <v>8032</v>
      </c>
      <c r="R1173" t="s">
        <v>8033</v>
      </c>
      <c r="T1173" t="s">
        <v>8034</v>
      </c>
      <c r="U1173" t="s">
        <v>1279</v>
      </c>
      <c r="V1173" s="4" t="str">
        <f>"67226"</f>
        <v>67226</v>
      </c>
      <c r="W1173" t="s">
        <v>120</v>
      </c>
      <c r="Y1173" s="5">
        <v>13163472727</v>
      </c>
      <c r="AA1173">
        <v>238310</v>
      </c>
      <c r="AB1173" t="s">
        <v>8035</v>
      </c>
      <c r="AC1173" t="s">
        <v>8036</v>
      </c>
      <c r="AE1173" t="s">
        <v>8037</v>
      </c>
      <c r="AF1173" t="s">
        <v>8038</v>
      </c>
      <c r="AH1173" t="s">
        <v>8034</v>
      </c>
      <c r="AI1173" t="s">
        <v>1279</v>
      </c>
      <c r="AJ1173" s="4" t="str">
        <f>"67226"</f>
        <v>67226</v>
      </c>
      <c r="AK1173" t="s">
        <v>120</v>
      </c>
      <c r="AM1173" s="5">
        <v>13163472727</v>
      </c>
      <c r="AO1173" t="s">
        <v>8039</v>
      </c>
      <c r="AX1173" s="4" t="str">
        <f>""</f>
        <v/>
      </c>
      <c r="BG1173" t="s">
        <v>1279</v>
      </c>
      <c r="BH1173" s="1">
        <v>44865.833333333336</v>
      </c>
      <c r="BI1173">
        <v>40</v>
      </c>
      <c r="BJ1173">
        <v>0</v>
      </c>
      <c r="BK1173">
        <v>8</v>
      </c>
      <c r="BL1173">
        <v>8</v>
      </c>
      <c r="BM1173">
        <v>8</v>
      </c>
      <c r="BN1173">
        <v>8</v>
      </c>
      <c r="BO1173">
        <v>8</v>
      </c>
      <c r="BP1173">
        <v>0</v>
      </c>
      <c r="BQ1173" t="str">
        <f>"7:00 AM"</f>
        <v>7:00 AM</v>
      </c>
      <c r="BR1173" t="str">
        <f>"3:00 PM"</f>
        <v>3:00 PM</v>
      </c>
      <c r="BS1173" t="s">
        <v>133</v>
      </c>
      <c r="BT1173">
        <v>0</v>
      </c>
      <c r="BU1173">
        <v>3</v>
      </c>
      <c r="BV1173" t="s">
        <v>134</v>
      </c>
      <c r="BX1173" s="2" t="s">
        <v>8040</v>
      </c>
      <c r="BY1173" t="s">
        <v>8038</v>
      </c>
      <c r="CA1173" t="s">
        <v>8034</v>
      </c>
      <c r="CB1173" t="s">
        <v>1279</v>
      </c>
      <c r="CC1173" s="4" t="str">
        <f>"67226"</f>
        <v>67226</v>
      </c>
      <c r="CD1173" t="s">
        <v>4216</v>
      </c>
      <c r="CE1173" t="s">
        <v>4217</v>
      </c>
      <c r="CF1173" s="6">
        <v>17.75</v>
      </c>
      <c r="CG1173" s="6">
        <v>17.75</v>
      </c>
      <c r="CH1173" s="6">
        <v>26.63</v>
      </c>
      <c r="CI1173" s="6">
        <v>26.63</v>
      </c>
      <c r="CJ1173" t="s">
        <v>137</v>
      </c>
      <c r="CK1173" t="s">
        <v>8448</v>
      </c>
      <c r="CL1173" t="s">
        <v>8041</v>
      </c>
      <c r="CO1173" t="s">
        <v>138</v>
      </c>
      <c r="CP1173" t="s">
        <v>134</v>
      </c>
      <c r="CQ1173" t="s">
        <v>134</v>
      </c>
      <c r="CR1173" t="s">
        <v>114</v>
      </c>
      <c r="CS1173" t="s">
        <v>114</v>
      </c>
      <c r="CT1173" t="s">
        <v>114</v>
      </c>
      <c r="CU1173" t="s">
        <v>114</v>
      </c>
      <c r="CV1173" t="s">
        <v>8449</v>
      </c>
      <c r="CW1173" s="5" t="str">
        <f>"+13163472727"</f>
        <v>+13163472727</v>
      </c>
      <c r="CX1173" t="s">
        <v>8039</v>
      </c>
      <c r="CY1173" t="s">
        <v>138</v>
      </c>
      <c r="CZ1173" t="s">
        <v>139</v>
      </c>
      <c r="DA1173" t="s">
        <v>134</v>
      </c>
      <c r="DB1173" t="s">
        <v>114</v>
      </c>
      <c r="DC1173" t="s">
        <v>114</v>
      </c>
      <c r="DD1173" t="s">
        <v>134</v>
      </c>
    </row>
    <row r="1174" spans="1:113" ht="15" customHeight="1" x14ac:dyDescent="0.25">
      <c r="A1174" t="s">
        <v>11200</v>
      </c>
      <c r="B1174" t="s">
        <v>113</v>
      </c>
      <c r="C1174" s="1">
        <v>44866.482605324076</v>
      </c>
      <c r="D1174" s="1">
        <v>44901</v>
      </c>
      <c r="E1174" t="s">
        <v>134</v>
      </c>
      <c r="F1174" t="s">
        <v>3712</v>
      </c>
      <c r="G1174" t="str">
        <f>"51-9199.00"</f>
        <v>51-9199.00</v>
      </c>
      <c r="H1174" t="s">
        <v>11201</v>
      </c>
      <c r="I1174">
        <v>10</v>
      </c>
      <c r="K1174" s="1">
        <v>44941</v>
      </c>
      <c r="L1174" s="1">
        <v>45292</v>
      </c>
      <c r="O1174" t="s">
        <v>117</v>
      </c>
      <c r="P1174" t="s">
        <v>11202</v>
      </c>
      <c r="Q1174" t="s">
        <v>11203</v>
      </c>
      <c r="R1174" t="s">
        <v>11204</v>
      </c>
      <c r="S1174" t="s">
        <v>11205</v>
      </c>
      <c r="T1174" t="s">
        <v>11206</v>
      </c>
      <c r="U1174" t="s">
        <v>319</v>
      </c>
      <c r="V1174" s="4" t="str">
        <f>"56542"</f>
        <v>56542</v>
      </c>
      <c r="W1174" t="s">
        <v>120</v>
      </c>
      <c r="Y1174" s="5">
        <v>12184351997</v>
      </c>
      <c r="Z1174">
        <v>210</v>
      </c>
      <c r="AA1174">
        <v>311423</v>
      </c>
      <c r="AB1174" t="s">
        <v>11207</v>
      </c>
      <c r="AC1174" t="s">
        <v>5533</v>
      </c>
      <c r="AE1174" t="s">
        <v>474</v>
      </c>
      <c r="AF1174" t="s">
        <v>11208</v>
      </c>
      <c r="AG1174" t="s">
        <v>11205</v>
      </c>
      <c r="AH1174" t="s">
        <v>11206</v>
      </c>
      <c r="AI1174" t="s">
        <v>319</v>
      </c>
      <c r="AJ1174" s="4" t="str">
        <f>"56542"</f>
        <v>56542</v>
      </c>
      <c r="AK1174" t="s">
        <v>120</v>
      </c>
      <c r="AM1174" s="5">
        <v>12184351997</v>
      </c>
      <c r="AN1174">
        <v>210</v>
      </c>
      <c r="AO1174" t="s">
        <v>11209</v>
      </c>
      <c r="AX1174" s="4" t="str">
        <f>""</f>
        <v/>
      </c>
      <c r="BG1174" t="s">
        <v>319</v>
      </c>
      <c r="BH1174" s="1">
        <v>44817.833333333336</v>
      </c>
      <c r="BI1174">
        <v>56</v>
      </c>
      <c r="BJ1174">
        <v>8</v>
      </c>
      <c r="BK1174">
        <v>8</v>
      </c>
      <c r="BL1174">
        <v>8</v>
      </c>
      <c r="BM1174">
        <v>8</v>
      </c>
      <c r="BN1174">
        <v>8</v>
      </c>
      <c r="BO1174">
        <v>8</v>
      </c>
      <c r="BP1174">
        <v>8</v>
      </c>
      <c r="BQ1174" t="str">
        <f>"3:00 PM"</f>
        <v>3:00 PM</v>
      </c>
      <c r="BR1174" t="str">
        <f>"11:00 PM"</f>
        <v>11:00 PM</v>
      </c>
      <c r="BS1174" t="s">
        <v>133</v>
      </c>
      <c r="BT1174">
        <v>0</v>
      </c>
      <c r="BU1174">
        <v>0</v>
      </c>
      <c r="BV1174" t="s">
        <v>134</v>
      </c>
      <c r="BX1174" t="s">
        <v>11210</v>
      </c>
      <c r="BY1174" t="s">
        <v>11208</v>
      </c>
      <c r="CA1174" t="s">
        <v>11206</v>
      </c>
      <c r="CB1174" t="s">
        <v>319</v>
      </c>
      <c r="CC1174" s="4" t="str">
        <f>"56542"</f>
        <v>56542</v>
      </c>
      <c r="CD1174" t="s">
        <v>2306</v>
      </c>
      <c r="CE1174" t="s">
        <v>2711</v>
      </c>
      <c r="CF1174" s="6">
        <v>18.59</v>
      </c>
      <c r="CH1174" s="6">
        <v>27.89</v>
      </c>
      <c r="CJ1174" t="s">
        <v>137</v>
      </c>
      <c r="CL1174" t="s">
        <v>11211</v>
      </c>
      <c r="CO1174" t="s">
        <v>138</v>
      </c>
      <c r="CP1174" t="s">
        <v>134</v>
      </c>
      <c r="CQ1174" t="s">
        <v>114</v>
      </c>
      <c r="CR1174" t="s">
        <v>114</v>
      </c>
      <c r="CS1174" t="s">
        <v>114</v>
      </c>
      <c r="CT1174" t="s">
        <v>114</v>
      </c>
      <c r="CU1174" t="s">
        <v>114</v>
      </c>
      <c r="CV1174" s="2" t="s">
        <v>11212</v>
      </c>
      <c r="CW1174" s="5" t="str">
        <f>"+12184351997"</f>
        <v>+12184351997</v>
      </c>
      <c r="CX1174" t="s">
        <v>11209</v>
      </c>
      <c r="CY1174" t="s">
        <v>11213</v>
      </c>
      <c r="CZ1174" t="s">
        <v>139</v>
      </c>
      <c r="DA1174" t="s">
        <v>134</v>
      </c>
      <c r="DB1174" t="s">
        <v>134</v>
      </c>
      <c r="DC1174" t="s">
        <v>114</v>
      </c>
      <c r="DD1174" t="s">
        <v>134</v>
      </c>
    </row>
    <row r="1175" spans="1:113" ht="15" customHeight="1" x14ac:dyDescent="0.25">
      <c r="A1175" t="s">
        <v>16319</v>
      </c>
      <c r="B1175" t="s">
        <v>113</v>
      </c>
      <c r="C1175" s="1">
        <v>44841.769787731479</v>
      </c>
      <c r="D1175" s="1">
        <v>44901</v>
      </c>
      <c r="E1175" t="s">
        <v>134</v>
      </c>
      <c r="F1175" t="s">
        <v>16320</v>
      </c>
      <c r="G1175" t="str">
        <f>"47-3012.00"</f>
        <v>47-3012.00</v>
      </c>
      <c r="H1175" t="s">
        <v>2563</v>
      </c>
      <c r="I1175">
        <v>2</v>
      </c>
      <c r="K1175" s="1">
        <v>44928</v>
      </c>
      <c r="L1175" s="1">
        <v>45199</v>
      </c>
      <c r="O1175" t="s">
        <v>199</v>
      </c>
      <c r="P1175" t="s">
        <v>16321</v>
      </c>
      <c r="R1175" t="s">
        <v>16322</v>
      </c>
      <c r="T1175" t="s">
        <v>16323</v>
      </c>
      <c r="U1175" t="s">
        <v>2929</v>
      </c>
      <c r="V1175" s="4" t="str">
        <f>"25702"</f>
        <v>25702</v>
      </c>
      <c r="W1175" t="s">
        <v>120</v>
      </c>
      <c r="Y1175" s="5">
        <v>13044494009</v>
      </c>
      <c r="AA1175">
        <v>531311</v>
      </c>
      <c r="AB1175" t="s">
        <v>16324</v>
      </c>
      <c r="AC1175" t="s">
        <v>16325</v>
      </c>
      <c r="AE1175" t="s">
        <v>424</v>
      </c>
      <c r="AF1175" t="s">
        <v>16322</v>
      </c>
      <c r="AH1175" t="s">
        <v>16323</v>
      </c>
      <c r="AI1175" t="s">
        <v>2929</v>
      </c>
      <c r="AJ1175" s="4" t="str">
        <f>"25702"</f>
        <v>25702</v>
      </c>
      <c r="AK1175" t="s">
        <v>120</v>
      </c>
      <c r="AM1175" s="5">
        <v>13044494009</v>
      </c>
      <c r="AO1175" t="s">
        <v>16326</v>
      </c>
      <c r="AP1175" t="s">
        <v>256</v>
      </c>
      <c r="AQ1175" t="s">
        <v>1968</v>
      </c>
      <c r="AR1175" t="s">
        <v>1967</v>
      </c>
      <c r="AT1175" t="s">
        <v>1969</v>
      </c>
      <c r="AU1175" t="s">
        <v>1430</v>
      </c>
      <c r="AV1175" t="s">
        <v>1970</v>
      </c>
      <c r="AW1175" t="s">
        <v>1411</v>
      </c>
      <c r="AX1175" s="4" t="str">
        <f>"45241"</f>
        <v>45241</v>
      </c>
      <c r="AY1175" t="s">
        <v>120</v>
      </c>
      <c r="BA1175" s="5">
        <v>15132504948</v>
      </c>
      <c r="BC1175" t="s">
        <v>1971</v>
      </c>
      <c r="BD1175" t="s">
        <v>16327</v>
      </c>
      <c r="BG1175" t="s">
        <v>2929</v>
      </c>
      <c r="BH1175" s="1">
        <v>44840.833333333336</v>
      </c>
      <c r="BI1175">
        <v>40</v>
      </c>
      <c r="BJ1175">
        <v>0</v>
      </c>
      <c r="BK1175">
        <v>8</v>
      </c>
      <c r="BL1175">
        <v>8</v>
      </c>
      <c r="BM1175">
        <v>8</v>
      </c>
      <c r="BN1175">
        <v>8</v>
      </c>
      <c r="BO1175">
        <v>8</v>
      </c>
      <c r="BP1175">
        <v>0</v>
      </c>
      <c r="BQ1175" t="str">
        <f>"8:00 AM"</f>
        <v>8:00 AM</v>
      </c>
      <c r="BR1175" t="str">
        <f>"5:00 PM"</f>
        <v>5:00 PM</v>
      </c>
      <c r="BS1175" t="s">
        <v>133</v>
      </c>
      <c r="BT1175">
        <v>0</v>
      </c>
      <c r="BU1175">
        <v>12</v>
      </c>
      <c r="BV1175" t="s">
        <v>134</v>
      </c>
      <c r="BX1175" s="2" t="s">
        <v>16328</v>
      </c>
      <c r="BY1175" t="s">
        <v>16329</v>
      </c>
      <c r="CA1175" t="s">
        <v>16323</v>
      </c>
      <c r="CB1175" t="s">
        <v>2929</v>
      </c>
      <c r="CC1175" s="4" t="str">
        <f>"25705"</f>
        <v>25705</v>
      </c>
      <c r="CD1175" t="s">
        <v>10089</v>
      </c>
      <c r="CE1175" t="s">
        <v>3838</v>
      </c>
      <c r="CF1175" s="6">
        <v>17.2</v>
      </c>
      <c r="CG1175" s="6">
        <v>17.2</v>
      </c>
      <c r="CH1175" s="6">
        <v>25.8</v>
      </c>
      <c r="CI1175" s="6">
        <v>25.8</v>
      </c>
      <c r="CJ1175" t="s">
        <v>137</v>
      </c>
      <c r="CK1175" t="s">
        <v>16330</v>
      </c>
      <c r="CL1175" t="s">
        <v>16331</v>
      </c>
      <c r="CO1175" t="s">
        <v>138</v>
      </c>
      <c r="CP1175" t="s">
        <v>114</v>
      </c>
      <c r="CQ1175" t="s">
        <v>114</v>
      </c>
      <c r="CR1175" t="s">
        <v>114</v>
      </c>
      <c r="CS1175" t="s">
        <v>114</v>
      </c>
      <c r="CT1175" t="s">
        <v>114</v>
      </c>
      <c r="CU1175" t="s">
        <v>114</v>
      </c>
      <c r="CV1175" s="2" t="s">
        <v>16332</v>
      </c>
      <c r="CW1175" s="5" t="str">
        <f>"+13304494009"</f>
        <v>+13304494009</v>
      </c>
      <c r="CX1175" t="s">
        <v>16326</v>
      </c>
      <c r="CY1175" t="s">
        <v>138</v>
      </c>
      <c r="CZ1175" t="s">
        <v>139</v>
      </c>
      <c r="DA1175" t="s">
        <v>134</v>
      </c>
      <c r="DB1175" t="s">
        <v>114</v>
      </c>
      <c r="DC1175" t="s">
        <v>114</v>
      </c>
      <c r="DD1175" t="s">
        <v>134</v>
      </c>
    </row>
    <row r="1176" spans="1:113" ht="15" customHeight="1" x14ac:dyDescent="0.25">
      <c r="A1176" t="s">
        <v>8398</v>
      </c>
      <c r="B1176" t="s">
        <v>113</v>
      </c>
      <c r="C1176" s="1">
        <v>44867.735840046298</v>
      </c>
      <c r="D1176" s="1">
        <v>44900</v>
      </c>
      <c r="E1176" t="s">
        <v>134</v>
      </c>
      <c r="F1176" t="s">
        <v>8399</v>
      </c>
      <c r="G1176" t="str">
        <f>"31-1122.00"</f>
        <v>31-1122.00</v>
      </c>
      <c r="H1176" t="s">
        <v>3583</v>
      </c>
      <c r="I1176">
        <v>4</v>
      </c>
      <c r="K1176" s="1">
        <v>44942</v>
      </c>
      <c r="L1176" s="1">
        <v>45200</v>
      </c>
      <c r="O1176" t="s">
        <v>117</v>
      </c>
      <c r="P1176" t="s">
        <v>8400</v>
      </c>
      <c r="R1176" t="s">
        <v>8401</v>
      </c>
      <c r="T1176" t="s">
        <v>8402</v>
      </c>
      <c r="U1176" t="s">
        <v>154</v>
      </c>
      <c r="V1176" s="4" t="str">
        <f>"33162"</f>
        <v>33162</v>
      </c>
      <c r="W1176" t="s">
        <v>120</v>
      </c>
      <c r="Y1176" s="5">
        <v>19545910178</v>
      </c>
      <c r="AA1176">
        <v>623311</v>
      </c>
      <c r="AB1176" t="s">
        <v>8403</v>
      </c>
      <c r="AC1176" t="s">
        <v>2216</v>
      </c>
      <c r="AE1176" t="s">
        <v>1419</v>
      </c>
      <c r="AF1176" t="s">
        <v>8401</v>
      </c>
      <c r="AH1176" t="s">
        <v>8402</v>
      </c>
      <c r="AI1176" t="s">
        <v>154</v>
      </c>
      <c r="AJ1176" s="4" t="str">
        <f>"33162"</f>
        <v>33162</v>
      </c>
      <c r="AK1176" t="s">
        <v>120</v>
      </c>
      <c r="AM1176" s="5">
        <v>19545910178</v>
      </c>
      <c r="AO1176" t="s">
        <v>8404</v>
      </c>
      <c r="AX1176" s="4" t="str">
        <f>""</f>
        <v/>
      </c>
      <c r="BG1176" t="s">
        <v>154</v>
      </c>
      <c r="BH1176" s="1">
        <v>44823.833333333336</v>
      </c>
      <c r="BI1176">
        <v>40</v>
      </c>
      <c r="BJ1176">
        <v>8</v>
      </c>
      <c r="BK1176">
        <v>8</v>
      </c>
      <c r="BL1176">
        <v>8</v>
      </c>
      <c r="BM1176">
        <v>8</v>
      </c>
      <c r="BN1176">
        <v>8</v>
      </c>
      <c r="BO1176">
        <v>0</v>
      </c>
      <c r="BP1176">
        <v>0</v>
      </c>
      <c r="BQ1176" t="str">
        <f>"9:00 AM"</f>
        <v>9:00 AM</v>
      </c>
      <c r="BR1176" t="str">
        <f>"5:00 PM"</f>
        <v>5:00 PM</v>
      </c>
      <c r="BS1176" t="s">
        <v>133</v>
      </c>
      <c r="BT1176">
        <v>0</v>
      </c>
      <c r="BU1176">
        <v>0</v>
      </c>
      <c r="BV1176" t="s">
        <v>134</v>
      </c>
      <c r="BX1176" t="s">
        <v>8405</v>
      </c>
      <c r="BY1176" t="s">
        <v>8401</v>
      </c>
      <c r="CA1176" t="s">
        <v>8402</v>
      </c>
      <c r="CB1176" t="s">
        <v>154</v>
      </c>
      <c r="CC1176" s="4" t="str">
        <f>"33162"</f>
        <v>33162</v>
      </c>
      <c r="CD1176" t="s">
        <v>1741</v>
      </c>
      <c r="CE1176" t="s">
        <v>1742</v>
      </c>
      <c r="CF1176" s="6">
        <v>12.45</v>
      </c>
      <c r="CG1176" s="6">
        <v>13.1</v>
      </c>
      <c r="CJ1176" t="s">
        <v>137</v>
      </c>
      <c r="CL1176" t="s">
        <v>8406</v>
      </c>
      <c r="CO1176" t="s">
        <v>138</v>
      </c>
      <c r="CP1176" t="s">
        <v>134</v>
      </c>
      <c r="CQ1176" t="s">
        <v>134</v>
      </c>
      <c r="CR1176" t="s">
        <v>134</v>
      </c>
      <c r="CS1176" t="s">
        <v>114</v>
      </c>
      <c r="CT1176" t="s">
        <v>114</v>
      </c>
      <c r="CU1176" t="s">
        <v>134</v>
      </c>
      <c r="CV1176" t="s">
        <v>1574</v>
      </c>
      <c r="CW1176" s="5" t="str">
        <f>"+19545910178"</f>
        <v>+19545910178</v>
      </c>
      <c r="CX1176" t="s">
        <v>8404</v>
      </c>
      <c r="CY1176" t="s">
        <v>138</v>
      </c>
      <c r="CZ1176" t="s">
        <v>139</v>
      </c>
      <c r="DA1176" t="s">
        <v>134</v>
      </c>
      <c r="DB1176" t="s">
        <v>134</v>
      </c>
      <c r="DC1176" t="s">
        <v>114</v>
      </c>
      <c r="DD1176" t="s">
        <v>134</v>
      </c>
    </row>
    <row r="1177" spans="1:113" ht="15" customHeight="1" x14ac:dyDescent="0.25">
      <c r="A1177" t="s">
        <v>8349</v>
      </c>
      <c r="B1177" t="s">
        <v>113</v>
      </c>
      <c r="C1177" s="1">
        <v>44866.766562500001</v>
      </c>
      <c r="D1177" s="1">
        <v>44900</v>
      </c>
      <c r="E1177" t="s">
        <v>134</v>
      </c>
      <c r="F1177" t="s">
        <v>1683</v>
      </c>
      <c r="G1177" t="str">
        <f>"53-3032.00"</f>
        <v>53-3032.00</v>
      </c>
      <c r="H1177" t="s">
        <v>227</v>
      </c>
      <c r="I1177">
        <v>4</v>
      </c>
      <c r="K1177" s="1">
        <v>44941</v>
      </c>
      <c r="L1177" s="1">
        <v>45016</v>
      </c>
      <c r="O1177" t="s">
        <v>117</v>
      </c>
      <c r="P1177" t="s">
        <v>8350</v>
      </c>
      <c r="R1177" t="s">
        <v>8351</v>
      </c>
      <c r="T1177" t="s">
        <v>1339</v>
      </c>
      <c r="U1177" t="s">
        <v>154</v>
      </c>
      <c r="V1177" s="4" t="str">
        <f>"32824"</f>
        <v>32824</v>
      </c>
      <c r="W1177" t="s">
        <v>120</v>
      </c>
      <c r="Y1177" s="5">
        <v>13214024636</v>
      </c>
      <c r="AA1177">
        <v>484121</v>
      </c>
      <c r="AB1177" t="s">
        <v>8352</v>
      </c>
      <c r="AC1177" t="s">
        <v>2093</v>
      </c>
      <c r="AE1177" t="s">
        <v>8353</v>
      </c>
      <c r="AF1177" t="s">
        <v>8351</v>
      </c>
      <c r="AH1177" t="s">
        <v>1339</v>
      </c>
      <c r="AI1177" t="s">
        <v>154</v>
      </c>
      <c r="AJ1177" s="4" t="str">
        <f>"32824"</f>
        <v>32824</v>
      </c>
      <c r="AK1177" t="s">
        <v>120</v>
      </c>
      <c r="AM1177" s="5">
        <v>13214024636</v>
      </c>
      <c r="AO1177" t="s">
        <v>8354</v>
      </c>
      <c r="AX1177" s="4" t="str">
        <f>""</f>
        <v/>
      </c>
      <c r="BG1177" t="s">
        <v>154</v>
      </c>
      <c r="BH1177" s="1">
        <v>44865.833333333336</v>
      </c>
      <c r="BI1177">
        <v>70</v>
      </c>
      <c r="BJ1177">
        <v>0</v>
      </c>
      <c r="BK1177">
        <v>0</v>
      </c>
      <c r="BL1177">
        <v>14</v>
      </c>
      <c r="BM1177">
        <v>14</v>
      </c>
      <c r="BN1177">
        <v>14</v>
      </c>
      <c r="BO1177">
        <v>14</v>
      </c>
      <c r="BP1177">
        <v>14</v>
      </c>
      <c r="BQ1177" t="str">
        <f>"2:30 AM"</f>
        <v>2:30 AM</v>
      </c>
      <c r="BR1177" t="str">
        <f>"1:00 PM"</f>
        <v>1:00 PM</v>
      </c>
      <c r="BS1177" t="s">
        <v>133</v>
      </c>
      <c r="BT1177">
        <v>2</v>
      </c>
      <c r="BU1177">
        <v>12</v>
      </c>
      <c r="BV1177" t="s">
        <v>134</v>
      </c>
      <c r="BX1177" s="2" t="s">
        <v>8355</v>
      </c>
      <c r="BY1177" t="s">
        <v>8356</v>
      </c>
      <c r="CA1177" t="s">
        <v>1339</v>
      </c>
      <c r="CB1177" t="s">
        <v>154</v>
      </c>
      <c r="CC1177" s="4" t="str">
        <f>"32809"</f>
        <v>32809</v>
      </c>
      <c r="CD1177" t="s">
        <v>2302</v>
      </c>
      <c r="CE1177" t="s">
        <v>3159</v>
      </c>
      <c r="CF1177" s="6">
        <v>15.2</v>
      </c>
      <c r="CG1177" s="6">
        <v>22.14</v>
      </c>
      <c r="CJ1177" t="s">
        <v>137</v>
      </c>
      <c r="CK1177" t="s">
        <v>8357</v>
      </c>
      <c r="CL1177" t="s">
        <v>8358</v>
      </c>
      <c r="CO1177" t="s">
        <v>138</v>
      </c>
      <c r="CP1177" t="s">
        <v>134</v>
      </c>
      <c r="CQ1177" t="s">
        <v>134</v>
      </c>
      <c r="CR1177" t="s">
        <v>134</v>
      </c>
      <c r="CS1177" t="s">
        <v>114</v>
      </c>
      <c r="CT1177" t="s">
        <v>114</v>
      </c>
      <c r="CU1177" t="s">
        <v>134</v>
      </c>
      <c r="CV1177" t="s">
        <v>8359</v>
      </c>
      <c r="CW1177" s="5" t="str">
        <f>"+13214024636"</f>
        <v>+13214024636</v>
      </c>
      <c r="CX1177" t="s">
        <v>8354</v>
      </c>
      <c r="CY1177" t="s">
        <v>138</v>
      </c>
      <c r="CZ1177" t="s">
        <v>139</v>
      </c>
      <c r="DA1177" t="s">
        <v>134</v>
      </c>
      <c r="DB1177" t="s">
        <v>134</v>
      </c>
      <c r="DC1177" t="s">
        <v>114</v>
      </c>
      <c r="DD1177" t="s">
        <v>134</v>
      </c>
      <c r="DE1177" t="s">
        <v>8352</v>
      </c>
      <c r="DF1177" t="s">
        <v>2093</v>
      </c>
      <c r="DH1177" t="s">
        <v>8350</v>
      </c>
      <c r="DI1177" t="s">
        <v>8360</v>
      </c>
    </row>
    <row r="1178" spans="1:113" ht="15" customHeight="1" x14ac:dyDescent="0.25">
      <c r="A1178" t="s">
        <v>8367</v>
      </c>
      <c r="B1178" t="s">
        <v>113</v>
      </c>
      <c r="C1178" s="1">
        <v>44858.698020254633</v>
      </c>
      <c r="D1178" s="1">
        <v>44900</v>
      </c>
      <c r="E1178" t="s">
        <v>134</v>
      </c>
      <c r="F1178" t="s">
        <v>8368</v>
      </c>
      <c r="G1178" t="str">
        <f>"53-7064.00"</f>
        <v>53-7064.00</v>
      </c>
      <c r="H1178" t="s">
        <v>4749</v>
      </c>
      <c r="I1178">
        <v>4</v>
      </c>
      <c r="K1178" s="1">
        <v>44944</v>
      </c>
      <c r="L1178" s="1">
        <v>45217</v>
      </c>
      <c r="O1178" t="s">
        <v>117</v>
      </c>
      <c r="P1178" t="s">
        <v>8369</v>
      </c>
      <c r="Q1178" t="s">
        <v>8370</v>
      </c>
      <c r="R1178" t="s">
        <v>8371</v>
      </c>
      <c r="T1178" t="s">
        <v>8372</v>
      </c>
      <c r="U1178" t="s">
        <v>1411</v>
      </c>
      <c r="V1178" s="4" t="str">
        <f>"43952"</f>
        <v>43952</v>
      </c>
      <c r="W1178" t="s">
        <v>120</v>
      </c>
      <c r="Y1178" s="5">
        <v>17402829776</v>
      </c>
      <c r="AA1178">
        <v>32518</v>
      </c>
      <c r="AB1178" t="s">
        <v>8373</v>
      </c>
      <c r="AC1178" t="s">
        <v>8374</v>
      </c>
      <c r="AD1178" t="s">
        <v>8375</v>
      </c>
      <c r="AE1178" t="s">
        <v>1849</v>
      </c>
      <c r="AF1178" t="s">
        <v>8371</v>
      </c>
      <c r="AH1178" t="s">
        <v>8372</v>
      </c>
      <c r="AI1178" t="s">
        <v>1411</v>
      </c>
      <c r="AJ1178" s="4" t="str">
        <f>"43952"</f>
        <v>43952</v>
      </c>
      <c r="AK1178" t="s">
        <v>120</v>
      </c>
      <c r="AM1178" s="5">
        <v>17402829776</v>
      </c>
      <c r="AN1178">
        <v>217</v>
      </c>
      <c r="AO1178" t="s">
        <v>8376</v>
      </c>
      <c r="AP1178" t="s">
        <v>256</v>
      </c>
      <c r="AQ1178" t="s">
        <v>2495</v>
      </c>
      <c r="AR1178" t="s">
        <v>2496</v>
      </c>
      <c r="AS1178" t="s">
        <v>1723</v>
      </c>
      <c r="AT1178" t="s">
        <v>2497</v>
      </c>
      <c r="AU1178" t="s">
        <v>2498</v>
      </c>
      <c r="AV1178" t="s">
        <v>2499</v>
      </c>
      <c r="AW1178" t="s">
        <v>1411</v>
      </c>
      <c r="AX1178" s="4" t="str">
        <f>"44053"</f>
        <v>44053</v>
      </c>
      <c r="AY1178" t="s">
        <v>120</v>
      </c>
      <c r="BA1178" s="5">
        <v>14409874000</v>
      </c>
      <c r="BC1178" t="s">
        <v>2500</v>
      </c>
      <c r="BD1178" t="s">
        <v>2501</v>
      </c>
      <c r="BG1178" t="s">
        <v>1411</v>
      </c>
      <c r="BH1178" s="1">
        <v>44857.833333333336</v>
      </c>
      <c r="BI1178">
        <v>40</v>
      </c>
      <c r="BJ1178">
        <v>0</v>
      </c>
      <c r="BK1178">
        <v>8</v>
      </c>
      <c r="BL1178">
        <v>8</v>
      </c>
      <c r="BM1178">
        <v>8</v>
      </c>
      <c r="BN1178">
        <v>8</v>
      </c>
      <c r="BO1178">
        <v>8</v>
      </c>
      <c r="BP1178">
        <v>0</v>
      </c>
      <c r="BQ1178" t="str">
        <f>"6:00 AM"</f>
        <v>6:00 AM</v>
      </c>
      <c r="BR1178" t="str">
        <f>"2:30 PM"</f>
        <v>2:30 PM</v>
      </c>
      <c r="BS1178" t="s">
        <v>133</v>
      </c>
      <c r="BT1178">
        <v>0</v>
      </c>
      <c r="BU1178">
        <v>0</v>
      </c>
      <c r="BV1178" t="s">
        <v>134</v>
      </c>
      <c r="BX1178" s="2" t="s">
        <v>8377</v>
      </c>
      <c r="BY1178" t="s">
        <v>8371</v>
      </c>
      <c r="CA1178" t="s">
        <v>8378</v>
      </c>
      <c r="CB1178" t="s">
        <v>1411</v>
      </c>
      <c r="CC1178" s="4" t="str">
        <f>"43952"</f>
        <v>43952</v>
      </c>
      <c r="CD1178" t="s">
        <v>1387</v>
      </c>
      <c r="CE1178" t="s">
        <v>8379</v>
      </c>
      <c r="CF1178" s="6">
        <v>15.88</v>
      </c>
      <c r="CG1178" s="6">
        <v>15.88</v>
      </c>
      <c r="CH1178" s="6">
        <v>23.82</v>
      </c>
      <c r="CI1178" s="6">
        <v>23.82</v>
      </c>
      <c r="CJ1178" t="s">
        <v>137</v>
      </c>
      <c r="CK1178" t="s">
        <v>8380</v>
      </c>
      <c r="CL1178" t="s">
        <v>8381</v>
      </c>
      <c r="CO1178" t="s">
        <v>138</v>
      </c>
      <c r="CP1178" t="s">
        <v>134</v>
      </c>
      <c r="CQ1178" t="s">
        <v>114</v>
      </c>
      <c r="CR1178" t="s">
        <v>114</v>
      </c>
      <c r="CS1178" t="s">
        <v>114</v>
      </c>
      <c r="CT1178" t="s">
        <v>114</v>
      </c>
      <c r="CU1178" t="s">
        <v>114</v>
      </c>
      <c r="CV1178" t="s">
        <v>8382</v>
      </c>
      <c r="CW1178" s="5" t="str">
        <f>"+17402829776"</f>
        <v>+17402829776</v>
      </c>
      <c r="CX1178" t="s">
        <v>8376</v>
      </c>
      <c r="CY1178" t="s">
        <v>8383</v>
      </c>
      <c r="CZ1178" t="s">
        <v>139</v>
      </c>
      <c r="DA1178" t="s">
        <v>134</v>
      </c>
      <c r="DB1178" t="s">
        <v>114</v>
      </c>
      <c r="DC1178" t="s">
        <v>114</v>
      </c>
      <c r="DD1178" t="s">
        <v>134</v>
      </c>
    </row>
    <row r="1179" spans="1:113" ht="15" customHeight="1" x14ac:dyDescent="0.25">
      <c r="A1179" t="s">
        <v>14287</v>
      </c>
      <c r="B1179" t="s">
        <v>113</v>
      </c>
      <c r="C1179" s="1">
        <v>44858.963932523147</v>
      </c>
      <c r="D1179" s="1">
        <v>44897</v>
      </c>
      <c r="E1179" t="s">
        <v>134</v>
      </c>
      <c r="F1179" t="s">
        <v>14288</v>
      </c>
      <c r="G1179" t="str">
        <f>"35-2014.00"</f>
        <v>35-2014.00</v>
      </c>
      <c r="H1179" t="s">
        <v>915</v>
      </c>
      <c r="I1179">
        <v>2</v>
      </c>
      <c r="K1179" s="1">
        <v>44935</v>
      </c>
      <c r="L1179" s="1">
        <v>45078</v>
      </c>
      <c r="O1179" t="s">
        <v>199</v>
      </c>
      <c r="P1179" t="s">
        <v>13692</v>
      </c>
      <c r="Q1179" t="s">
        <v>13693</v>
      </c>
      <c r="R1179" t="s">
        <v>13694</v>
      </c>
      <c r="T1179" t="s">
        <v>2855</v>
      </c>
      <c r="U1179" t="s">
        <v>2842</v>
      </c>
      <c r="V1179" s="4" t="str">
        <f>"06901"</f>
        <v>06901</v>
      </c>
      <c r="W1179" t="s">
        <v>120</v>
      </c>
      <c r="Y1179" s="5">
        <v>12033482300</v>
      </c>
      <c r="AA1179">
        <v>722511</v>
      </c>
      <c r="AB1179" t="s">
        <v>1751</v>
      </c>
      <c r="AC1179" t="s">
        <v>13695</v>
      </c>
      <c r="AE1179" t="s">
        <v>13696</v>
      </c>
      <c r="AF1179" t="s">
        <v>13697</v>
      </c>
      <c r="AG1179" t="s">
        <v>13698</v>
      </c>
      <c r="AH1179" t="s">
        <v>6602</v>
      </c>
      <c r="AI1179" t="s">
        <v>848</v>
      </c>
      <c r="AJ1179" s="4" t="str">
        <f>"11373"</f>
        <v>11373</v>
      </c>
      <c r="AK1179" t="s">
        <v>120</v>
      </c>
      <c r="AM1179" s="5">
        <v>16464688701</v>
      </c>
      <c r="AO1179" t="s">
        <v>13699</v>
      </c>
      <c r="AX1179" s="4" t="str">
        <f>""</f>
        <v/>
      </c>
      <c r="BG1179" t="s">
        <v>2842</v>
      </c>
      <c r="BH1179" s="1">
        <v>44752.833333333336</v>
      </c>
      <c r="BI1179">
        <v>48</v>
      </c>
      <c r="BJ1179">
        <v>8</v>
      </c>
      <c r="BK1179">
        <v>6</v>
      </c>
      <c r="BL1179">
        <v>6</v>
      </c>
      <c r="BM1179">
        <v>6</v>
      </c>
      <c r="BN1179">
        <v>6</v>
      </c>
      <c r="BO1179">
        <v>8</v>
      </c>
      <c r="BP1179">
        <v>8</v>
      </c>
      <c r="BQ1179" t="str">
        <f>"11:30 AM"</f>
        <v>11:30 AM</v>
      </c>
      <c r="BR1179" t="str">
        <f>"10:00 PM"</f>
        <v>10:00 PM</v>
      </c>
      <c r="BS1179" t="s">
        <v>295</v>
      </c>
      <c r="BT1179">
        <v>12</v>
      </c>
      <c r="BU1179">
        <v>12</v>
      </c>
      <c r="BV1179" t="s">
        <v>134</v>
      </c>
      <c r="BX1179" s="2" t="s">
        <v>14289</v>
      </c>
      <c r="BY1179" t="s">
        <v>13694</v>
      </c>
      <c r="CA1179" t="s">
        <v>2855</v>
      </c>
      <c r="CB1179" t="s">
        <v>2842</v>
      </c>
      <c r="CC1179" s="4" t="str">
        <f>"06901"</f>
        <v>06901</v>
      </c>
      <c r="CD1179" t="s">
        <v>9158</v>
      </c>
      <c r="CE1179" t="s">
        <v>9159</v>
      </c>
      <c r="CF1179" s="6">
        <v>19.16</v>
      </c>
      <c r="CG1179" s="6">
        <v>19.16</v>
      </c>
      <c r="CJ1179" t="s">
        <v>137</v>
      </c>
      <c r="CL1179" t="s">
        <v>14290</v>
      </c>
      <c r="CO1179" t="s">
        <v>138</v>
      </c>
      <c r="CP1179" t="s">
        <v>134</v>
      </c>
      <c r="CQ1179" t="s">
        <v>134</v>
      </c>
      <c r="CR1179" t="s">
        <v>114</v>
      </c>
      <c r="CS1179" t="s">
        <v>114</v>
      </c>
      <c r="CT1179" t="s">
        <v>114</v>
      </c>
      <c r="CU1179" t="s">
        <v>134</v>
      </c>
      <c r="CV1179" t="s">
        <v>1574</v>
      </c>
      <c r="CW1179" s="5" t="str">
        <f>"+12038039900"</f>
        <v>+12038039900</v>
      </c>
      <c r="CX1179" t="s">
        <v>138</v>
      </c>
      <c r="CY1179" t="s">
        <v>13702</v>
      </c>
      <c r="CZ1179" t="s">
        <v>139</v>
      </c>
      <c r="DA1179" t="s">
        <v>134</v>
      </c>
      <c r="DB1179" t="s">
        <v>134</v>
      </c>
      <c r="DC1179" t="s">
        <v>114</v>
      </c>
      <c r="DD1179" t="s">
        <v>134</v>
      </c>
    </row>
    <row r="1180" spans="1:113" ht="15" customHeight="1" x14ac:dyDescent="0.25">
      <c r="A1180" t="s">
        <v>8440</v>
      </c>
      <c r="B1180" t="s">
        <v>113</v>
      </c>
      <c r="C1180" s="1">
        <v>44858.684514930559</v>
      </c>
      <c r="D1180" s="1">
        <v>44897</v>
      </c>
      <c r="E1180" t="s">
        <v>134</v>
      </c>
      <c r="F1180" t="s">
        <v>8441</v>
      </c>
      <c r="G1180" t="str">
        <f>"49-9071.00"</f>
        <v>49-9071.00</v>
      </c>
      <c r="H1180" t="s">
        <v>2375</v>
      </c>
      <c r="I1180">
        <v>1</v>
      </c>
      <c r="K1180" s="1">
        <v>44944</v>
      </c>
      <c r="L1180" s="1">
        <v>45217</v>
      </c>
      <c r="O1180" t="s">
        <v>117</v>
      </c>
      <c r="P1180" t="s">
        <v>8369</v>
      </c>
      <c r="Q1180" t="s">
        <v>8370</v>
      </c>
      <c r="R1180" t="s">
        <v>8371</v>
      </c>
      <c r="T1180" t="s">
        <v>8372</v>
      </c>
      <c r="U1180" t="s">
        <v>1411</v>
      </c>
      <c r="V1180" s="4" t="str">
        <f>"43952"</f>
        <v>43952</v>
      </c>
      <c r="W1180" t="s">
        <v>120</v>
      </c>
      <c r="Y1180" s="5">
        <v>17402829776</v>
      </c>
      <c r="AA1180">
        <v>32518</v>
      </c>
      <c r="AB1180" t="s">
        <v>8373</v>
      </c>
      <c r="AC1180" t="s">
        <v>8374</v>
      </c>
      <c r="AD1180" t="s">
        <v>8375</v>
      </c>
      <c r="AE1180" t="s">
        <v>1849</v>
      </c>
      <c r="AF1180" t="s">
        <v>8371</v>
      </c>
      <c r="AH1180" t="s">
        <v>8372</v>
      </c>
      <c r="AI1180" t="s">
        <v>1411</v>
      </c>
      <c r="AJ1180" s="4" t="str">
        <f>"43952"</f>
        <v>43952</v>
      </c>
      <c r="AK1180" t="s">
        <v>120</v>
      </c>
      <c r="AM1180" s="5">
        <v>17402829776</v>
      </c>
      <c r="AN1180">
        <v>217</v>
      </c>
      <c r="AO1180" t="s">
        <v>8442</v>
      </c>
      <c r="AP1180" t="s">
        <v>256</v>
      </c>
      <c r="AQ1180" t="s">
        <v>2495</v>
      </c>
      <c r="AR1180" t="s">
        <v>2496</v>
      </c>
      <c r="AS1180" t="s">
        <v>1723</v>
      </c>
      <c r="AT1180" t="s">
        <v>2497</v>
      </c>
      <c r="AU1180" t="s">
        <v>2498</v>
      </c>
      <c r="AV1180" t="s">
        <v>2499</v>
      </c>
      <c r="AW1180" t="s">
        <v>1411</v>
      </c>
      <c r="AX1180" s="4" t="str">
        <f>"44053"</f>
        <v>44053</v>
      </c>
      <c r="AY1180" t="s">
        <v>120</v>
      </c>
      <c r="BA1180" s="5">
        <v>14409874000</v>
      </c>
      <c r="BC1180" t="s">
        <v>2500</v>
      </c>
      <c r="BD1180" t="s">
        <v>2501</v>
      </c>
      <c r="BG1180" t="s">
        <v>1411</v>
      </c>
      <c r="BH1180" s="1">
        <v>44857.833333333336</v>
      </c>
      <c r="BI1180">
        <v>40</v>
      </c>
      <c r="BJ1180">
        <v>0</v>
      </c>
      <c r="BK1180">
        <v>8</v>
      </c>
      <c r="BL1180">
        <v>8</v>
      </c>
      <c r="BM1180">
        <v>8</v>
      </c>
      <c r="BN1180">
        <v>8</v>
      </c>
      <c r="BO1180">
        <v>8</v>
      </c>
      <c r="BP1180">
        <v>0</v>
      </c>
      <c r="BQ1180" t="str">
        <f>"6:00 AM"</f>
        <v>6:00 AM</v>
      </c>
      <c r="BR1180" t="str">
        <f>"2:30 PM"</f>
        <v>2:30 PM</v>
      </c>
      <c r="BS1180" t="s">
        <v>133</v>
      </c>
      <c r="BT1180">
        <v>0</v>
      </c>
      <c r="BU1180">
        <v>0</v>
      </c>
      <c r="BV1180" t="s">
        <v>134</v>
      </c>
      <c r="BX1180" s="2" t="s">
        <v>8443</v>
      </c>
      <c r="BY1180" t="s">
        <v>8371</v>
      </c>
      <c r="CA1180" t="s">
        <v>8372</v>
      </c>
      <c r="CB1180" t="s">
        <v>1411</v>
      </c>
      <c r="CC1180" s="4" t="str">
        <f>"43952"</f>
        <v>43952</v>
      </c>
      <c r="CD1180" t="s">
        <v>1387</v>
      </c>
      <c r="CE1180" t="s">
        <v>8379</v>
      </c>
      <c r="CF1180" s="6">
        <v>21.78</v>
      </c>
      <c r="CG1180" s="6">
        <v>21.78</v>
      </c>
      <c r="CH1180" s="6">
        <v>32.67</v>
      </c>
      <c r="CI1180" s="6">
        <v>32.67</v>
      </c>
      <c r="CJ1180" t="s">
        <v>137</v>
      </c>
      <c r="CK1180" t="s">
        <v>8444</v>
      </c>
      <c r="CL1180" t="s">
        <v>8445</v>
      </c>
      <c r="CO1180" t="s">
        <v>138</v>
      </c>
      <c r="CP1180" t="s">
        <v>134</v>
      </c>
      <c r="CQ1180" t="s">
        <v>114</v>
      </c>
      <c r="CR1180" t="s">
        <v>114</v>
      </c>
      <c r="CS1180" t="s">
        <v>114</v>
      </c>
      <c r="CT1180" t="s">
        <v>114</v>
      </c>
      <c r="CU1180" t="s">
        <v>114</v>
      </c>
      <c r="CV1180" t="s">
        <v>8382</v>
      </c>
      <c r="CW1180" s="5" t="str">
        <f>"+17402829776"</f>
        <v>+17402829776</v>
      </c>
      <c r="CX1180" t="s">
        <v>8442</v>
      </c>
      <c r="CY1180" t="s">
        <v>8446</v>
      </c>
      <c r="CZ1180" t="s">
        <v>139</v>
      </c>
      <c r="DA1180" t="s">
        <v>134</v>
      </c>
      <c r="DB1180" t="s">
        <v>114</v>
      </c>
      <c r="DC1180" t="s">
        <v>114</v>
      </c>
      <c r="DD1180" t="s">
        <v>134</v>
      </c>
    </row>
    <row r="1181" spans="1:113" ht="15" customHeight="1" x14ac:dyDescent="0.25">
      <c r="A1181" t="s">
        <v>15070</v>
      </c>
      <c r="B1181" t="s">
        <v>113</v>
      </c>
      <c r="C1181" s="1">
        <v>44853.677037268521</v>
      </c>
      <c r="D1181" s="1">
        <v>44897</v>
      </c>
      <c r="E1181" t="s">
        <v>134</v>
      </c>
      <c r="F1181" t="s">
        <v>2946</v>
      </c>
      <c r="G1181" t="str">
        <f>"47-2061.00"</f>
        <v>47-2061.00</v>
      </c>
      <c r="H1181" t="s">
        <v>1625</v>
      </c>
      <c r="I1181">
        <v>4</v>
      </c>
      <c r="K1181" s="1">
        <v>44928</v>
      </c>
      <c r="L1181" s="1">
        <v>45016</v>
      </c>
      <c r="O1181" t="s">
        <v>199</v>
      </c>
      <c r="P1181" t="s">
        <v>15071</v>
      </c>
      <c r="R1181" t="s">
        <v>15072</v>
      </c>
      <c r="T1181" t="s">
        <v>2584</v>
      </c>
      <c r="U1181" t="s">
        <v>281</v>
      </c>
      <c r="V1181" s="4" t="str">
        <f>"02554"</f>
        <v>02554</v>
      </c>
      <c r="W1181" t="s">
        <v>120</v>
      </c>
      <c r="Y1181" s="5">
        <v>16173720446</v>
      </c>
      <c r="AA1181">
        <v>238110</v>
      </c>
      <c r="AB1181" t="s">
        <v>15073</v>
      </c>
      <c r="AC1181" t="s">
        <v>15074</v>
      </c>
      <c r="AD1181" t="s">
        <v>177</v>
      </c>
      <c r="AE1181" t="s">
        <v>342</v>
      </c>
      <c r="AF1181" t="s">
        <v>15072</v>
      </c>
      <c r="AH1181" t="s">
        <v>2584</v>
      </c>
      <c r="AI1181" t="s">
        <v>281</v>
      </c>
      <c r="AJ1181" s="4" t="str">
        <f>"02554"</f>
        <v>02554</v>
      </c>
      <c r="AK1181" t="s">
        <v>120</v>
      </c>
      <c r="AM1181" s="5">
        <v>16173720446</v>
      </c>
      <c r="AO1181" t="s">
        <v>15075</v>
      </c>
      <c r="AP1181" t="s">
        <v>122</v>
      </c>
      <c r="AQ1181" t="s">
        <v>4211</v>
      </c>
      <c r="AR1181" t="s">
        <v>2093</v>
      </c>
      <c r="AT1181" t="s">
        <v>15076</v>
      </c>
      <c r="AV1181" t="s">
        <v>5650</v>
      </c>
      <c r="AW1181" t="s">
        <v>281</v>
      </c>
      <c r="AX1181" s="4" t="str">
        <f>"02129"</f>
        <v>02129</v>
      </c>
      <c r="AY1181" t="s">
        <v>120</v>
      </c>
      <c r="BA1181" s="5">
        <v>16174268100</v>
      </c>
      <c r="BC1181" t="s">
        <v>15077</v>
      </c>
      <c r="BD1181" t="s">
        <v>15078</v>
      </c>
      <c r="BE1181" t="s">
        <v>281</v>
      </c>
      <c r="BF1181" t="s">
        <v>5651</v>
      </c>
      <c r="BG1181" t="s">
        <v>281</v>
      </c>
      <c r="BH1181" s="1">
        <v>44852.833333333336</v>
      </c>
      <c r="BI1181">
        <v>40</v>
      </c>
      <c r="BJ1181">
        <v>0</v>
      </c>
      <c r="BK1181">
        <v>8</v>
      </c>
      <c r="BL1181">
        <v>8</v>
      </c>
      <c r="BM1181">
        <v>8</v>
      </c>
      <c r="BN1181">
        <v>8</v>
      </c>
      <c r="BO1181">
        <v>8</v>
      </c>
      <c r="BP1181">
        <v>0</v>
      </c>
      <c r="BQ1181" t="str">
        <f>"8:00 AM"</f>
        <v>8:00 AM</v>
      </c>
      <c r="BR1181" t="str">
        <f>"4:00 PM"</f>
        <v>4:00 PM</v>
      </c>
      <c r="BS1181" t="s">
        <v>133</v>
      </c>
      <c r="BT1181">
        <v>0</v>
      </c>
      <c r="BU1181">
        <v>0</v>
      </c>
      <c r="BV1181" t="s">
        <v>134</v>
      </c>
      <c r="BX1181" t="s">
        <v>133</v>
      </c>
      <c r="BY1181" t="s">
        <v>15072</v>
      </c>
      <c r="CA1181" t="s">
        <v>2584</v>
      </c>
      <c r="CB1181" t="s">
        <v>281</v>
      </c>
      <c r="CC1181" s="4" t="str">
        <f>"02554"</f>
        <v>02554</v>
      </c>
      <c r="CD1181" t="s">
        <v>2585</v>
      </c>
      <c r="CE1181" t="s">
        <v>1645</v>
      </c>
      <c r="CF1181" s="6">
        <v>26</v>
      </c>
      <c r="CJ1181" t="s">
        <v>137</v>
      </c>
      <c r="CL1181" t="s">
        <v>15079</v>
      </c>
      <c r="CO1181" t="s">
        <v>138</v>
      </c>
      <c r="CP1181" t="s">
        <v>114</v>
      </c>
      <c r="CQ1181" t="s">
        <v>114</v>
      </c>
      <c r="CR1181" t="s">
        <v>134</v>
      </c>
      <c r="CS1181" t="s">
        <v>114</v>
      </c>
      <c r="CT1181" t="s">
        <v>114</v>
      </c>
      <c r="CU1181" t="s">
        <v>114</v>
      </c>
      <c r="CV1181" t="s">
        <v>133</v>
      </c>
      <c r="CW1181" s="5" t="str">
        <f>"+16173420446"</f>
        <v>+16173420446</v>
      </c>
      <c r="CX1181" t="s">
        <v>15075</v>
      </c>
      <c r="CY1181" t="s">
        <v>138</v>
      </c>
      <c r="CZ1181" t="s">
        <v>139</v>
      </c>
      <c r="DA1181" t="s">
        <v>134</v>
      </c>
      <c r="DB1181" t="s">
        <v>134</v>
      </c>
      <c r="DC1181" t="s">
        <v>114</v>
      </c>
      <c r="DD1181" t="s">
        <v>134</v>
      </c>
    </row>
    <row r="1182" spans="1:113" ht="15" customHeight="1" x14ac:dyDescent="0.25">
      <c r="A1182" t="s">
        <v>11950</v>
      </c>
      <c r="B1182" t="s">
        <v>113</v>
      </c>
      <c r="C1182" s="1">
        <v>44867.734803935185</v>
      </c>
      <c r="D1182" s="1">
        <v>44896</v>
      </c>
      <c r="E1182" t="s">
        <v>134</v>
      </c>
      <c r="F1182" t="s">
        <v>9473</v>
      </c>
      <c r="G1182" t="str">
        <f>"35-1011.00"</f>
        <v>35-1011.00</v>
      </c>
      <c r="H1182" t="s">
        <v>3202</v>
      </c>
      <c r="I1182">
        <v>1</v>
      </c>
      <c r="K1182" s="1">
        <v>44944</v>
      </c>
      <c r="L1182" s="1">
        <v>45208</v>
      </c>
      <c r="O1182" t="s">
        <v>168</v>
      </c>
      <c r="P1182" t="s">
        <v>11490</v>
      </c>
      <c r="Q1182" t="s">
        <v>11491</v>
      </c>
      <c r="R1182" t="s">
        <v>11492</v>
      </c>
      <c r="T1182" t="s">
        <v>11493</v>
      </c>
      <c r="U1182" t="s">
        <v>154</v>
      </c>
      <c r="V1182" s="4" t="str">
        <f>"33076"</f>
        <v>33076</v>
      </c>
      <c r="W1182" t="s">
        <v>120</v>
      </c>
      <c r="Y1182" s="5">
        <v>13059049804</v>
      </c>
      <c r="AA1182">
        <v>722511</v>
      </c>
      <c r="AB1182" t="s">
        <v>11494</v>
      </c>
      <c r="AC1182" t="s">
        <v>4347</v>
      </c>
      <c r="AD1182" t="s">
        <v>4377</v>
      </c>
      <c r="AE1182" t="s">
        <v>285</v>
      </c>
      <c r="AF1182" t="s">
        <v>11495</v>
      </c>
      <c r="AH1182" t="s">
        <v>11493</v>
      </c>
      <c r="AI1182" t="s">
        <v>154</v>
      </c>
      <c r="AJ1182" s="4" t="str">
        <f>"33076"</f>
        <v>33076</v>
      </c>
      <c r="AK1182" t="s">
        <v>120</v>
      </c>
      <c r="AM1182" s="5">
        <v>17865937742</v>
      </c>
      <c r="AO1182" t="s">
        <v>11496</v>
      </c>
      <c r="AX1182" s="4" t="str">
        <f>""</f>
        <v/>
      </c>
      <c r="BG1182" t="s">
        <v>154</v>
      </c>
      <c r="BH1182" s="1">
        <v>44866.833333333336</v>
      </c>
      <c r="BI1182">
        <v>40</v>
      </c>
      <c r="BJ1182">
        <v>8</v>
      </c>
      <c r="BK1182">
        <v>0</v>
      </c>
      <c r="BL1182">
        <v>0</v>
      </c>
      <c r="BM1182">
        <v>8</v>
      </c>
      <c r="BN1182">
        <v>8</v>
      </c>
      <c r="BO1182">
        <v>8</v>
      </c>
      <c r="BP1182">
        <v>8</v>
      </c>
      <c r="BQ1182" t="str">
        <f>"12:00 PM"</f>
        <v>12:00 PM</v>
      </c>
      <c r="BR1182" t="str">
        <f>"8:30 PM"</f>
        <v>8:30 PM</v>
      </c>
      <c r="BS1182" t="s">
        <v>295</v>
      </c>
      <c r="BT1182">
        <v>0</v>
      </c>
      <c r="BU1182">
        <v>24</v>
      </c>
      <c r="BV1182" t="s">
        <v>134</v>
      </c>
      <c r="BX1182" t="s">
        <v>11951</v>
      </c>
      <c r="BY1182" t="s">
        <v>11492</v>
      </c>
      <c r="CA1182" t="s">
        <v>11493</v>
      </c>
      <c r="CB1182" t="s">
        <v>154</v>
      </c>
      <c r="CC1182" s="4" t="str">
        <f>"33076"</f>
        <v>33076</v>
      </c>
      <c r="CD1182" t="s">
        <v>2313</v>
      </c>
      <c r="CE1182" t="s">
        <v>1742</v>
      </c>
      <c r="CF1182" s="6">
        <v>29.05</v>
      </c>
      <c r="CG1182" s="6">
        <v>29.15</v>
      </c>
      <c r="CH1182" s="6">
        <v>43.58</v>
      </c>
      <c r="CI1182" s="6">
        <v>43.73</v>
      </c>
      <c r="CJ1182" t="s">
        <v>137</v>
      </c>
      <c r="CL1182" t="s">
        <v>11498</v>
      </c>
      <c r="CO1182" t="s">
        <v>138</v>
      </c>
      <c r="CP1182" t="s">
        <v>134</v>
      </c>
      <c r="CQ1182" t="s">
        <v>114</v>
      </c>
      <c r="CR1182" t="s">
        <v>114</v>
      </c>
      <c r="CS1182" t="s">
        <v>134</v>
      </c>
      <c r="CT1182" t="s">
        <v>114</v>
      </c>
      <c r="CU1182" t="s">
        <v>114</v>
      </c>
      <c r="CV1182" t="s">
        <v>11952</v>
      </c>
      <c r="CW1182" s="5" t="str">
        <f>"+17865937742"</f>
        <v>+17865937742</v>
      </c>
      <c r="CX1182" t="s">
        <v>11496</v>
      </c>
      <c r="CY1182" t="s">
        <v>138</v>
      </c>
      <c r="CZ1182" t="s">
        <v>139</v>
      </c>
      <c r="DA1182" t="s">
        <v>134</v>
      </c>
      <c r="DB1182" t="s">
        <v>134</v>
      </c>
      <c r="DC1182" t="s">
        <v>114</v>
      </c>
      <c r="DD1182" t="s">
        <v>134</v>
      </c>
    </row>
    <row r="1183" spans="1:113" ht="15" customHeight="1" x14ac:dyDescent="0.25">
      <c r="A1183" t="s">
        <v>16852</v>
      </c>
      <c r="B1183" t="s">
        <v>113</v>
      </c>
      <c r="C1183" s="1">
        <v>44853.992657291667</v>
      </c>
      <c r="D1183" s="1">
        <v>44896</v>
      </c>
      <c r="E1183" t="s">
        <v>134</v>
      </c>
      <c r="F1183" t="s">
        <v>2320</v>
      </c>
      <c r="G1183" t="str">
        <f>"53-7062.00"</f>
        <v>53-7062.00</v>
      </c>
      <c r="H1183" t="s">
        <v>245</v>
      </c>
      <c r="I1183">
        <v>25</v>
      </c>
      <c r="K1183" s="1">
        <v>44928</v>
      </c>
      <c r="L1183" s="1">
        <v>45077</v>
      </c>
      <c r="O1183" t="s">
        <v>117</v>
      </c>
      <c r="P1183" t="s">
        <v>16853</v>
      </c>
      <c r="R1183" t="s">
        <v>16854</v>
      </c>
      <c r="T1183" t="s">
        <v>501</v>
      </c>
      <c r="U1183" t="s">
        <v>214</v>
      </c>
      <c r="V1183" s="4" t="str">
        <f>"70583"</f>
        <v>70583</v>
      </c>
      <c r="W1183" t="s">
        <v>120</v>
      </c>
      <c r="Y1183" s="5">
        <v>13372612459</v>
      </c>
      <c r="AA1183">
        <v>532289</v>
      </c>
      <c r="AB1183" t="s">
        <v>16855</v>
      </c>
      <c r="AC1183" t="s">
        <v>2594</v>
      </c>
      <c r="AE1183" t="s">
        <v>285</v>
      </c>
      <c r="AF1183" t="s">
        <v>16854</v>
      </c>
      <c r="AH1183" t="s">
        <v>501</v>
      </c>
      <c r="AI1183" t="s">
        <v>214</v>
      </c>
      <c r="AJ1183" s="4" t="str">
        <f>"70583"</f>
        <v>70583</v>
      </c>
      <c r="AK1183" t="s">
        <v>120</v>
      </c>
      <c r="AM1183" s="5">
        <v>13372612459</v>
      </c>
      <c r="AO1183" t="s">
        <v>16856</v>
      </c>
      <c r="AP1183" t="s">
        <v>122</v>
      </c>
      <c r="AQ1183" t="s">
        <v>725</v>
      </c>
      <c r="AR1183" t="s">
        <v>726</v>
      </c>
      <c r="AS1183" t="s">
        <v>727</v>
      </c>
      <c r="AT1183" t="s">
        <v>728</v>
      </c>
      <c r="AV1183" t="s">
        <v>730</v>
      </c>
      <c r="AW1183" t="s">
        <v>214</v>
      </c>
      <c r="AX1183" s="4" t="str">
        <f>"70535"</f>
        <v>70535</v>
      </c>
      <c r="AY1183" t="s">
        <v>120</v>
      </c>
      <c r="BA1183" s="5">
        <v>13374663722</v>
      </c>
      <c r="BC1183" t="s">
        <v>731</v>
      </c>
      <c r="BD1183" t="s">
        <v>732</v>
      </c>
      <c r="BE1183" t="s">
        <v>214</v>
      </c>
      <c r="BF1183" t="s">
        <v>733</v>
      </c>
      <c r="BG1183" t="s">
        <v>214</v>
      </c>
      <c r="BH1183" s="1">
        <v>44852.833333333336</v>
      </c>
      <c r="BI1183">
        <v>45</v>
      </c>
      <c r="BJ1183">
        <v>0</v>
      </c>
      <c r="BK1183">
        <v>8</v>
      </c>
      <c r="BL1183">
        <v>8</v>
      </c>
      <c r="BM1183">
        <v>8</v>
      </c>
      <c r="BN1183">
        <v>8</v>
      </c>
      <c r="BO1183">
        <v>8</v>
      </c>
      <c r="BP1183">
        <v>5</v>
      </c>
      <c r="BQ1183" t="str">
        <f>"6:00 AM"</f>
        <v>6:00 AM</v>
      </c>
      <c r="BR1183" t="str">
        <f>"6:00 PM"</f>
        <v>6:00 PM</v>
      </c>
      <c r="BS1183" t="s">
        <v>133</v>
      </c>
      <c r="BT1183">
        <v>0</v>
      </c>
      <c r="BU1183">
        <v>0</v>
      </c>
      <c r="BV1183" t="s">
        <v>134</v>
      </c>
      <c r="BX1183" s="2" t="s">
        <v>16857</v>
      </c>
      <c r="BY1183" t="s">
        <v>16854</v>
      </c>
      <c r="CA1183" t="s">
        <v>501</v>
      </c>
      <c r="CB1183" t="s">
        <v>214</v>
      </c>
      <c r="CC1183" s="4" t="str">
        <f>"70583"</f>
        <v>70583</v>
      </c>
      <c r="CD1183" t="s">
        <v>2595</v>
      </c>
      <c r="CE1183" t="s">
        <v>1822</v>
      </c>
      <c r="CF1183" s="6">
        <v>14.38</v>
      </c>
      <c r="CG1183" s="6">
        <v>14.38</v>
      </c>
      <c r="CH1183" s="6">
        <v>21.57</v>
      </c>
      <c r="CI1183" s="6">
        <v>21.57</v>
      </c>
      <c r="CJ1183" t="s">
        <v>137</v>
      </c>
      <c r="CK1183" t="s">
        <v>16858</v>
      </c>
      <c r="CL1183" t="s">
        <v>16859</v>
      </c>
      <c r="CO1183" t="s">
        <v>138</v>
      </c>
      <c r="CP1183" t="s">
        <v>134</v>
      </c>
      <c r="CQ1183" t="s">
        <v>114</v>
      </c>
      <c r="CR1183" t="s">
        <v>114</v>
      </c>
      <c r="CS1183" t="s">
        <v>114</v>
      </c>
      <c r="CT1183" t="s">
        <v>114</v>
      </c>
      <c r="CU1183" t="s">
        <v>114</v>
      </c>
      <c r="CV1183" t="s">
        <v>16860</v>
      </c>
      <c r="CW1183" s="5" t="str">
        <f>"+13372612459"</f>
        <v>+13372612459</v>
      </c>
      <c r="CX1183" t="s">
        <v>16856</v>
      </c>
      <c r="CY1183" t="s">
        <v>138</v>
      </c>
      <c r="CZ1183" t="s">
        <v>139</v>
      </c>
      <c r="DA1183" t="s">
        <v>134</v>
      </c>
      <c r="DB1183" t="s">
        <v>134</v>
      </c>
      <c r="DC1183" t="s">
        <v>114</v>
      </c>
      <c r="DD1183" t="s">
        <v>134</v>
      </c>
    </row>
    <row r="1184" spans="1:113" ht="15" customHeight="1" x14ac:dyDescent="0.25">
      <c r="A1184" t="s">
        <v>15685</v>
      </c>
      <c r="B1184" t="s">
        <v>113</v>
      </c>
      <c r="C1184" s="1">
        <v>44859.681641550924</v>
      </c>
      <c r="D1184" s="1">
        <v>44895</v>
      </c>
      <c r="E1184" t="s">
        <v>134</v>
      </c>
      <c r="F1184" t="s">
        <v>15686</v>
      </c>
      <c r="G1184" t="str">
        <f>"47-2061.00"</f>
        <v>47-2061.00</v>
      </c>
      <c r="H1184" t="s">
        <v>1625</v>
      </c>
      <c r="I1184">
        <v>1</v>
      </c>
      <c r="K1184" s="1">
        <v>44949</v>
      </c>
      <c r="L1184" s="1">
        <v>45219</v>
      </c>
      <c r="O1184" t="s">
        <v>3130</v>
      </c>
      <c r="P1184" t="s">
        <v>15687</v>
      </c>
      <c r="Q1184" t="s">
        <v>15688</v>
      </c>
      <c r="R1184" t="s">
        <v>15689</v>
      </c>
      <c r="T1184" t="s">
        <v>15690</v>
      </c>
      <c r="U1184" t="s">
        <v>339</v>
      </c>
      <c r="V1184" s="4" t="str">
        <f>"21617"</f>
        <v>21617</v>
      </c>
      <c r="W1184" t="s">
        <v>120</v>
      </c>
      <c r="Y1184" s="5">
        <v>14104904437</v>
      </c>
      <c r="AA1184">
        <v>236118</v>
      </c>
      <c r="AB1184" t="s">
        <v>649</v>
      </c>
      <c r="AC1184" t="s">
        <v>2140</v>
      </c>
      <c r="AD1184" t="s">
        <v>1633</v>
      </c>
      <c r="AE1184" t="s">
        <v>1710</v>
      </c>
      <c r="AF1184" t="s">
        <v>15689</v>
      </c>
      <c r="AH1184" t="s">
        <v>15690</v>
      </c>
      <c r="AI1184" t="s">
        <v>339</v>
      </c>
      <c r="AJ1184" s="4" t="str">
        <f>"21617"</f>
        <v>21617</v>
      </c>
      <c r="AK1184" t="s">
        <v>120</v>
      </c>
      <c r="AL1184">
        <v>21617</v>
      </c>
      <c r="AM1184" s="5">
        <v>14104901857</v>
      </c>
      <c r="AO1184" t="s">
        <v>15691</v>
      </c>
      <c r="AX1184" s="4" t="str">
        <f>""</f>
        <v/>
      </c>
      <c r="BG1184" t="s">
        <v>339</v>
      </c>
      <c r="BH1184" s="1">
        <v>44858.833333333336</v>
      </c>
      <c r="BI1184">
        <v>48</v>
      </c>
      <c r="BJ1184">
        <v>0</v>
      </c>
      <c r="BK1184">
        <v>8</v>
      </c>
      <c r="BL1184">
        <v>8</v>
      </c>
      <c r="BM1184">
        <v>8</v>
      </c>
      <c r="BN1184">
        <v>8</v>
      </c>
      <c r="BO1184">
        <v>8</v>
      </c>
      <c r="BP1184">
        <v>8</v>
      </c>
      <c r="BQ1184" t="str">
        <f>"7:00 AM"</f>
        <v>7:00 AM</v>
      </c>
      <c r="BR1184" t="str">
        <f>"3:00 PM"</f>
        <v>3:00 PM</v>
      </c>
      <c r="BS1184" t="s">
        <v>133</v>
      </c>
      <c r="BT1184">
        <v>0</v>
      </c>
      <c r="BU1184">
        <v>6</v>
      </c>
      <c r="BV1184" t="s">
        <v>134</v>
      </c>
      <c r="BX1184" t="s">
        <v>15692</v>
      </c>
      <c r="BY1184" t="s">
        <v>15689</v>
      </c>
      <c r="CA1184" t="s">
        <v>15690</v>
      </c>
      <c r="CB1184" t="s">
        <v>339</v>
      </c>
      <c r="CC1184" s="4" t="str">
        <f>"21617"</f>
        <v>21617</v>
      </c>
      <c r="CD1184" t="s">
        <v>15693</v>
      </c>
      <c r="CE1184" t="s">
        <v>1673</v>
      </c>
      <c r="CF1184" s="6">
        <v>18.21</v>
      </c>
      <c r="CG1184" s="6">
        <v>18.21</v>
      </c>
      <c r="CH1184" s="6">
        <v>27.32</v>
      </c>
      <c r="CI1184" s="6">
        <v>27.32</v>
      </c>
      <c r="CJ1184" t="s">
        <v>137</v>
      </c>
      <c r="CL1184" t="s">
        <v>15694</v>
      </c>
      <c r="CO1184" t="s">
        <v>138</v>
      </c>
      <c r="CP1184" t="s">
        <v>134</v>
      </c>
      <c r="CQ1184" t="s">
        <v>114</v>
      </c>
      <c r="CR1184" t="s">
        <v>114</v>
      </c>
      <c r="CS1184" t="s">
        <v>114</v>
      </c>
      <c r="CT1184" t="s">
        <v>114</v>
      </c>
      <c r="CU1184" t="s">
        <v>134</v>
      </c>
      <c r="CV1184" t="s">
        <v>15695</v>
      </c>
      <c r="CW1184" s="5" t="str">
        <f>"+14104901857"</f>
        <v>+14104901857</v>
      </c>
      <c r="CX1184" t="s">
        <v>15691</v>
      </c>
      <c r="CY1184" t="s">
        <v>15696</v>
      </c>
      <c r="CZ1184" t="s">
        <v>139</v>
      </c>
      <c r="DA1184" t="s">
        <v>134</v>
      </c>
      <c r="DB1184" t="s">
        <v>134</v>
      </c>
      <c r="DC1184" t="s">
        <v>114</v>
      </c>
      <c r="DD1184" t="s">
        <v>134</v>
      </c>
    </row>
    <row r="1185" spans="1:113" ht="15" customHeight="1" x14ac:dyDescent="0.25">
      <c r="A1185" t="s">
        <v>16263</v>
      </c>
      <c r="B1185" t="s">
        <v>113</v>
      </c>
      <c r="C1185" s="1">
        <v>44859.418867361113</v>
      </c>
      <c r="D1185" s="1">
        <v>44895</v>
      </c>
      <c r="E1185" t="s">
        <v>134</v>
      </c>
      <c r="F1185" t="s">
        <v>16264</v>
      </c>
      <c r="G1185" t="str">
        <f>"37-2011.00"</f>
        <v>37-2011.00</v>
      </c>
      <c r="H1185" t="s">
        <v>672</v>
      </c>
      <c r="I1185">
        <v>1</v>
      </c>
      <c r="K1185" s="1">
        <v>44942</v>
      </c>
      <c r="L1185" s="1">
        <v>45082</v>
      </c>
      <c r="O1185" t="s">
        <v>168</v>
      </c>
      <c r="P1185" t="s">
        <v>16265</v>
      </c>
      <c r="R1185" t="s">
        <v>16266</v>
      </c>
      <c r="T1185" t="s">
        <v>16267</v>
      </c>
      <c r="U1185" t="s">
        <v>129</v>
      </c>
      <c r="V1185" s="4" t="str">
        <f>"30019"</f>
        <v>30019</v>
      </c>
      <c r="W1185" t="s">
        <v>120</v>
      </c>
      <c r="X1185" t="s">
        <v>16268</v>
      </c>
      <c r="Y1185" s="5">
        <v>14049214603</v>
      </c>
      <c r="AA1185">
        <v>56172</v>
      </c>
      <c r="AB1185" t="s">
        <v>16269</v>
      </c>
      <c r="AC1185" t="s">
        <v>16270</v>
      </c>
      <c r="AE1185" t="s">
        <v>963</v>
      </c>
      <c r="AF1185" t="s">
        <v>16266</v>
      </c>
      <c r="AH1185" t="s">
        <v>16267</v>
      </c>
      <c r="AI1185" t="s">
        <v>129</v>
      </c>
      <c r="AJ1185" s="4" t="str">
        <f>"30019"</f>
        <v>30019</v>
      </c>
      <c r="AK1185" t="s">
        <v>120</v>
      </c>
      <c r="AL1185" t="s">
        <v>16268</v>
      </c>
      <c r="AM1185" s="5">
        <v>14049214603</v>
      </c>
      <c r="AO1185" t="s">
        <v>16271</v>
      </c>
      <c r="AX1185" s="4" t="str">
        <f>""</f>
        <v/>
      </c>
      <c r="BG1185" t="s">
        <v>129</v>
      </c>
      <c r="BH1185" s="1">
        <v>44817.833333333336</v>
      </c>
      <c r="BI1185">
        <v>40</v>
      </c>
      <c r="BJ1185">
        <v>0</v>
      </c>
      <c r="BK1185">
        <v>8</v>
      </c>
      <c r="BL1185">
        <v>8</v>
      </c>
      <c r="BM1185">
        <v>8</v>
      </c>
      <c r="BN1185">
        <v>8</v>
      </c>
      <c r="BO1185">
        <v>8</v>
      </c>
      <c r="BP1185">
        <v>0</v>
      </c>
      <c r="BQ1185" t="str">
        <f>"5:00 PM"</f>
        <v>5:00 PM</v>
      </c>
      <c r="BR1185" t="str">
        <f>"1:30 AM"</f>
        <v>1:30 AM</v>
      </c>
      <c r="BS1185" t="s">
        <v>133</v>
      </c>
      <c r="BT1185">
        <v>0</v>
      </c>
      <c r="BU1185">
        <v>0</v>
      </c>
      <c r="BV1185" t="s">
        <v>134</v>
      </c>
      <c r="BX1185" t="s">
        <v>16272</v>
      </c>
      <c r="BY1185" t="s">
        <v>16273</v>
      </c>
      <c r="BZ1185" t="s">
        <v>16274</v>
      </c>
      <c r="CA1185" t="s">
        <v>16275</v>
      </c>
      <c r="CB1185" t="s">
        <v>129</v>
      </c>
      <c r="CC1185" s="4" t="str">
        <f>"30518"</f>
        <v>30518</v>
      </c>
      <c r="CD1185" t="s">
        <v>2560</v>
      </c>
      <c r="CE1185" t="s">
        <v>908</v>
      </c>
      <c r="CF1185" s="6">
        <v>13.95</v>
      </c>
      <c r="CG1185" s="6">
        <v>13.95</v>
      </c>
      <c r="CJ1185" t="s">
        <v>137</v>
      </c>
      <c r="CL1185" t="s">
        <v>16276</v>
      </c>
      <c r="CO1185" t="s">
        <v>138</v>
      </c>
      <c r="CP1185" t="s">
        <v>134</v>
      </c>
      <c r="CQ1185" t="s">
        <v>114</v>
      </c>
      <c r="CR1185" t="s">
        <v>134</v>
      </c>
      <c r="CS1185" t="s">
        <v>114</v>
      </c>
      <c r="CT1185" t="s">
        <v>114</v>
      </c>
      <c r="CU1185" t="s">
        <v>114</v>
      </c>
      <c r="CV1185" t="s">
        <v>133</v>
      </c>
      <c r="CW1185" s="5" t="str">
        <f>"+14049214603"</f>
        <v>+14049214603</v>
      </c>
      <c r="CX1185" t="s">
        <v>16271</v>
      </c>
      <c r="CY1185" t="s">
        <v>138</v>
      </c>
      <c r="CZ1185" t="s">
        <v>139</v>
      </c>
      <c r="DA1185" t="s">
        <v>134</v>
      </c>
      <c r="DB1185" t="s">
        <v>134</v>
      </c>
      <c r="DC1185" t="s">
        <v>114</v>
      </c>
      <c r="DD1185" t="s">
        <v>134</v>
      </c>
    </row>
    <row r="1186" spans="1:113" ht="15" customHeight="1" x14ac:dyDescent="0.25">
      <c r="A1186" t="s">
        <v>16420</v>
      </c>
      <c r="B1186" t="s">
        <v>113</v>
      </c>
      <c r="C1186" s="1">
        <v>44858.974333680555</v>
      </c>
      <c r="D1186" s="1">
        <v>44895</v>
      </c>
      <c r="E1186" t="s">
        <v>134</v>
      </c>
      <c r="F1186" t="s">
        <v>16421</v>
      </c>
      <c r="G1186" t="str">
        <f>"11-9051.00"</f>
        <v>11-9051.00</v>
      </c>
      <c r="H1186" t="s">
        <v>7102</v>
      </c>
      <c r="I1186">
        <v>1</v>
      </c>
      <c r="K1186" s="1">
        <v>44935</v>
      </c>
      <c r="L1186" s="1">
        <v>45138</v>
      </c>
      <c r="O1186" t="s">
        <v>199</v>
      </c>
      <c r="P1186" t="s">
        <v>13692</v>
      </c>
      <c r="Q1186" t="s">
        <v>13693</v>
      </c>
      <c r="R1186" t="s">
        <v>13694</v>
      </c>
      <c r="T1186" t="s">
        <v>2855</v>
      </c>
      <c r="U1186" t="s">
        <v>2842</v>
      </c>
      <c r="V1186" s="4" t="str">
        <f>"06901"</f>
        <v>06901</v>
      </c>
      <c r="W1186" t="s">
        <v>120</v>
      </c>
      <c r="Y1186" s="5">
        <v>12033482300</v>
      </c>
      <c r="AA1186">
        <v>722511</v>
      </c>
      <c r="AB1186" t="s">
        <v>1751</v>
      </c>
      <c r="AC1186" t="s">
        <v>13695</v>
      </c>
      <c r="AE1186" t="s">
        <v>13696</v>
      </c>
      <c r="AF1186" t="s">
        <v>13697</v>
      </c>
      <c r="AG1186" t="s">
        <v>13698</v>
      </c>
      <c r="AH1186" t="s">
        <v>6602</v>
      </c>
      <c r="AI1186" t="s">
        <v>848</v>
      </c>
      <c r="AJ1186" s="4" t="str">
        <f>"11373"</f>
        <v>11373</v>
      </c>
      <c r="AK1186" t="s">
        <v>120</v>
      </c>
      <c r="AM1186" s="5">
        <v>16464688701</v>
      </c>
      <c r="AO1186" t="s">
        <v>13699</v>
      </c>
      <c r="AX1186" s="4" t="str">
        <f>""</f>
        <v/>
      </c>
      <c r="BG1186" t="s">
        <v>2842</v>
      </c>
      <c r="BH1186" s="1">
        <v>44752.833333333336</v>
      </c>
      <c r="BI1186">
        <v>56</v>
      </c>
      <c r="BJ1186">
        <v>8</v>
      </c>
      <c r="BK1186">
        <v>8</v>
      </c>
      <c r="BL1186">
        <v>8</v>
      </c>
      <c r="BM1186">
        <v>8</v>
      </c>
      <c r="BN1186">
        <v>8</v>
      </c>
      <c r="BO1186">
        <v>8</v>
      </c>
      <c r="BP1186">
        <v>8</v>
      </c>
      <c r="BQ1186" t="str">
        <f>"11:00 AM"</f>
        <v>11:00 AM</v>
      </c>
      <c r="BR1186" t="str">
        <f>"10:30 PM"</f>
        <v>10:30 PM</v>
      </c>
      <c r="BS1186" t="s">
        <v>295</v>
      </c>
      <c r="BT1186">
        <v>3</v>
      </c>
      <c r="BU1186">
        <v>12</v>
      </c>
      <c r="BV1186" t="s">
        <v>114</v>
      </c>
      <c r="BW1186">
        <v>15</v>
      </c>
      <c r="BX1186" s="2" t="s">
        <v>16422</v>
      </c>
      <c r="BY1186" t="s">
        <v>13694</v>
      </c>
      <c r="CA1186" t="s">
        <v>2855</v>
      </c>
      <c r="CB1186" t="s">
        <v>2842</v>
      </c>
      <c r="CC1186" s="4" t="str">
        <f>"06901"</f>
        <v>06901</v>
      </c>
      <c r="CD1186" t="s">
        <v>9158</v>
      </c>
      <c r="CE1186" t="s">
        <v>9159</v>
      </c>
      <c r="CF1186" s="6">
        <v>36.909999999999997</v>
      </c>
      <c r="CG1186" s="6">
        <v>36.909999999999997</v>
      </c>
      <c r="CJ1186" t="s">
        <v>137</v>
      </c>
      <c r="CL1186" t="s">
        <v>16423</v>
      </c>
      <c r="CO1186" t="s">
        <v>138</v>
      </c>
      <c r="CP1186" t="s">
        <v>134</v>
      </c>
      <c r="CQ1186" t="s">
        <v>134</v>
      </c>
      <c r="CR1186" t="s">
        <v>114</v>
      </c>
      <c r="CS1186" t="s">
        <v>114</v>
      </c>
      <c r="CT1186" t="s">
        <v>114</v>
      </c>
      <c r="CU1186" t="s">
        <v>134</v>
      </c>
      <c r="CV1186" t="s">
        <v>1574</v>
      </c>
      <c r="CW1186" s="5" t="str">
        <f>"+12038039900"</f>
        <v>+12038039900</v>
      </c>
      <c r="CX1186" t="s">
        <v>138</v>
      </c>
      <c r="CY1186" t="s">
        <v>13702</v>
      </c>
      <c r="CZ1186" t="s">
        <v>139</v>
      </c>
      <c r="DA1186" t="s">
        <v>134</v>
      </c>
      <c r="DB1186" t="s">
        <v>134</v>
      </c>
      <c r="DC1186" t="s">
        <v>114</v>
      </c>
      <c r="DD1186" t="s">
        <v>134</v>
      </c>
    </row>
    <row r="1187" spans="1:113" ht="15" customHeight="1" x14ac:dyDescent="0.25">
      <c r="A1187" t="s">
        <v>3170</v>
      </c>
      <c r="B1187" t="s">
        <v>113</v>
      </c>
      <c r="C1187" s="1">
        <v>44823.430460648146</v>
      </c>
      <c r="D1187" s="1">
        <v>44895</v>
      </c>
      <c r="E1187" t="s">
        <v>134</v>
      </c>
      <c r="F1187" t="s">
        <v>1591</v>
      </c>
      <c r="G1187" t="str">
        <f>"37-2012.00"</f>
        <v>37-2012.00</v>
      </c>
      <c r="H1187" t="s">
        <v>116</v>
      </c>
      <c r="I1187">
        <v>2</v>
      </c>
      <c r="K1187" s="1">
        <v>44898</v>
      </c>
      <c r="L1187" s="1">
        <v>45032</v>
      </c>
      <c r="O1187" t="s">
        <v>199</v>
      </c>
      <c r="P1187" t="s">
        <v>916</v>
      </c>
      <c r="R1187" t="s">
        <v>917</v>
      </c>
      <c r="T1187" t="s">
        <v>918</v>
      </c>
      <c r="U1187" t="s">
        <v>420</v>
      </c>
      <c r="V1187" s="4" t="str">
        <f>"84092"</f>
        <v>84092</v>
      </c>
      <c r="W1187" t="s">
        <v>120</v>
      </c>
      <c r="Y1187" s="5">
        <v>18019103882</v>
      </c>
      <c r="AA1187">
        <v>561720</v>
      </c>
      <c r="AB1187" t="s">
        <v>919</v>
      </c>
      <c r="AC1187" t="s">
        <v>920</v>
      </c>
      <c r="AE1187" t="s">
        <v>921</v>
      </c>
      <c r="AF1187" t="s">
        <v>922</v>
      </c>
      <c r="AH1187" t="s">
        <v>918</v>
      </c>
      <c r="AI1187" t="s">
        <v>420</v>
      </c>
      <c r="AJ1187" s="4" t="str">
        <f>"84092"</f>
        <v>84092</v>
      </c>
      <c r="AK1187" t="s">
        <v>120</v>
      </c>
      <c r="AM1187" s="5">
        <v>18017422300</v>
      </c>
      <c r="AN1187">
        <v>4</v>
      </c>
      <c r="AO1187" t="s">
        <v>923</v>
      </c>
      <c r="AP1187" t="s">
        <v>256</v>
      </c>
      <c r="AQ1187" t="s">
        <v>924</v>
      </c>
      <c r="AR1187" t="s">
        <v>925</v>
      </c>
      <c r="AS1187" t="s">
        <v>926</v>
      </c>
      <c r="AT1187" t="s">
        <v>927</v>
      </c>
      <c r="AU1187" t="s">
        <v>928</v>
      </c>
      <c r="AV1187" t="s">
        <v>929</v>
      </c>
      <c r="AW1187" t="s">
        <v>444</v>
      </c>
      <c r="AX1187" s="4" t="str">
        <f>"92118"</f>
        <v>92118</v>
      </c>
      <c r="AY1187" t="s">
        <v>120</v>
      </c>
      <c r="BA1187" s="5">
        <v>17857600601</v>
      </c>
      <c r="BC1187" t="s">
        <v>930</v>
      </c>
      <c r="BD1187" t="s">
        <v>931</v>
      </c>
      <c r="BG1187" t="s">
        <v>420</v>
      </c>
      <c r="BH1187" s="1">
        <v>44818.833333333336</v>
      </c>
      <c r="BI1187">
        <v>40</v>
      </c>
      <c r="BJ1187">
        <v>0</v>
      </c>
      <c r="BK1187">
        <v>8</v>
      </c>
      <c r="BL1187">
        <v>8</v>
      </c>
      <c r="BM1187">
        <v>8</v>
      </c>
      <c r="BN1187">
        <v>8</v>
      </c>
      <c r="BO1187">
        <v>8</v>
      </c>
      <c r="BP1187">
        <v>0</v>
      </c>
      <c r="BQ1187" t="str">
        <f>"6:30 AM"</f>
        <v>6:30 AM</v>
      </c>
      <c r="BR1187" t="str">
        <f>"2:30 PM"</f>
        <v>2:30 PM</v>
      </c>
      <c r="BS1187" t="s">
        <v>133</v>
      </c>
      <c r="BT1187">
        <v>0</v>
      </c>
      <c r="BU1187">
        <v>3</v>
      </c>
      <c r="BV1187" t="s">
        <v>134</v>
      </c>
      <c r="BX1187" t="s">
        <v>3171</v>
      </c>
      <c r="BY1187" t="s">
        <v>917</v>
      </c>
      <c r="CA1187" t="s">
        <v>3172</v>
      </c>
      <c r="CB1187" t="s">
        <v>420</v>
      </c>
      <c r="CC1187" s="4" t="str">
        <f>"84092"</f>
        <v>84092</v>
      </c>
      <c r="CD1187" t="s">
        <v>688</v>
      </c>
      <c r="CE1187" t="s">
        <v>689</v>
      </c>
      <c r="CF1187" s="6">
        <v>14.47</v>
      </c>
      <c r="CG1187" s="6">
        <v>14.47</v>
      </c>
      <c r="CH1187" s="6">
        <v>21.71</v>
      </c>
      <c r="CI1187" s="6">
        <v>21.71</v>
      </c>
      <c r="CJ1187" t="s">
        <v>137</v>
      </c>
      <c r="CK1187" t="s">
        <v>219</v>
      </c>
      <c r="CL1187" t="s">
        <v>3173</v>
      </c>
      <c r="CO1187" t="s">
        <v>138</v>
      </c>
      <c r="CP1187" t="s">
        <v>134</v>
      </c>
      <c r="CQ1187" t="s">
        <v>134</v>
      </c>
      <c r="CR1187" t="s">
        <v>114</v>
      </c>
      <c r="CS1187" t="s">
        <v>134</v>
      </c>
      <c r="CT1187" t="s">
        <v>114</v>
      </c>
      <c r="CU1187" t="s">
        <v>114</v>
      </c>
      <c r="CV1187" t="s">
        <v>3174</v>
      </c>
      <c r="CW1187" s="5" t="str">
        <f>"+18019103882"</f>
        <v>+18019103882</v>
      </c>
      <c r="CX1187" t="s">
        <v>923</v>
      </c>
      <c r="CY1187" t="s">
        <v>138</v>
      </c>
      <c r="CZ1187" t="s">
        <v>139</v>
      </c>
      <c r="DA1187" t="s">
        <v>134</v>
      </c>
      <c r="DB1187" t="s">
        <v>114</v>
      </c>
      <c r="DC1187" t="s">
        <v>114</v>
      </c>
      <c r="DD1187" t="s">
        <v>134</v>
      </c>
    </row>
    <row r="1188" spans="1:113" ht="15" customHeight="1" x14ac:dyDescent="0.25">
      <c r="A1188" t="s">
        <v>13703</v>
      </c>
      <c r="B1188" t="s">
        <v>113</v>
      </c>
      <c r="C1188" s="1">
        <v>44851.564542939814</v>
      </c>
      <c r="D1188" s="1">
        <v>44894</v>
      </c>
      <c r="E1188" t="s">
        <v>134</v>
      </c>
      <c r="F1188" t="s">
        <v>13704</v>
      </c>
      <c r="G1188" t="str">
        <f>"53-7062.00"</f>
        <v>53-7062.00</v>
      </c>
      <c r="H1188" t="s">
        <v>245</v>
      </c>
      <c r="I1188">
        <v>6</v>
      </c>
      <c r="K1188" s="1">
        <v>44941</v>
      </c>
      <c r="L1188" s="1">
        <v>45282</v>
      </c>
      <c r="O1188" t="s">
        <v>199</v>
      </c>
      <c r="P1188" t="s">
        <v>13705</v>
      </c>
      <c r="Q1188" t="s">
        <v>13706</v>
      </c>
      <c r="R1188" t="s">
        <v>13707</v>
      </c>
      <c r="T1188" t="s">
        <v>5940</v>
      </c>
      <c r="U1188" t="s">
        <v>2371</v>
      </c>
      <c r="V1188" s="4" t="str">
        <f>"46131"</f>
        <v>46131</v>
      </c>
      <c r="W1188" t="s">
        <v>120</v>
      </c>
      <c r="Y1188" s="5">
        <v>13177380005</v>
      </c>
      <c r="Z1188">
        <v>113</v>
      </c>
      <c r="AA1188">
        <v>238160</v>
      </c>
      <c r="AB1188" t="s">
        <v>13708</v>
      </c>
      <c r="AC1188" t="s">
        <v>2628</v>
      </c>
      <c r="AD1188" t="s">
        <v>13709</v>
      </c>
      <c r="AE1188" t="s">
        <v>5968</v>
      </c>
      <c r="AF1188" t="s">
        <v>13710</v>
      </c>
      <c r="AH1188" t="s">
        <v>1679</v>
      </c>
      <c r="AI1188" t="s">
        <v>2371</v>
      </c>
      <c r="AJ1188" s="4" t="str">
        <f>"46131-1490"</f>
        <v>46131-1490</v>
      </c>
      <c r="AK1188" t="s">
        <v>120</v>
      </c>
      <c r="AM1188" s="5">
        <v>13177380005</v>
      </c>
      <c r="AN1188">
        <v>113</v>
      </c>
      <c r="AO1188" t="s">
        <v>13711</v>
      </c>
      <c r="AX1188" s="4" t="str">
        <f>""</f>
        <v/>
      </c>
      <c r="BG1188" t="s">
        <v>2371</v>
      </c>
      <c r="BH1188" s="1">
        <v>44831.833333333336</v>
      </c>
      <c r="BI1188">
        <v>45</v>
      </c>
      <c r="BJ1188">
        <v>0</v>
      </c>
      <c r="BK1188">
        <v>9</v>
      </c>
      <c r="BL1188">
        <v>9</v>
      </c>
      <c r="BM1188">
        <v>9</v>
      </c>
      <c r="BN1188">
        <v>9</v>
      </c>
      <c r="BO1188">
        <v>9</v>
      </c>
      <c r="BP1188">
        <v>0</v>
      </c>
      <c r="BQ1188" t="str">
        <f>"7:00 AM"</f>
        <v>7:00 AM</v>
      </c>
      <c r="BR1188" t="str">
        <f>"5:00 PM"</f>
        <v>5:00 PM</v>
      </c>
      <c r="BS1188" t="s">
        <v>133</v>
      </c>
      <c r="BT1188">
        <v>0</v>
      </c>
      <c r="BU1188">
        <v>12</v>
      </c>
      <c r="BV1188" t="s">
        <v>134</v>
      </c>
      <c r="BX1188" s="2" t="s">
        <v>13712</v>
      </c>
      <c r="BY1188" t="s">
        <v>13713</v>
      </c>
      <c r="CA1188" t="s">
        <v>5940</v>
      </c>
      <c r="CB1188" t="s">
        <v>2371</v>
      </c>
      <c r="CC1188" s="4" t="str">
        <f>"46131"</f>
        <v>46131</v>
      </c>
      <c r="CD1188" t="s">
        <v>1289</v>
      </c>
      <c r="CE1188" t="s">
        <v>2372</v>
      </c>
      <c r="CF1188" s="6">
        <v>16.829999999999998</v>
      </c>
      <c r="CG1188" s="6">
        <v>25.25</v>
      </c>
      <c r="CH1188" s="6">
        <v>24</v>
      </c>
      <c r="CI1188" s="6">
        <v>27</v>
      </c>
      <c r="CJ1188" t="s">
        <v>2625</v>
      </c>
      <c r="CK1188" t="s">
        <v>2314</v>
      </c>
      <c r="CL1188" t="s">
        <v>13714</v>
      </c>
      <c r="CO1188" t="s">
        <v>138</v>
      </c>
      <c r="CP1188" t="s">
        <v>114</v>
      </c>
      <c r="CQ1188" t="s">
        <v>114</v>
      </c>
      <c r="CR1188" t="s">
        <v>114</v>
      </c>
      <c r="CS1188" t="s">
        <v>114</v>
      </c>
      <c r="CT1188" t="s">
        <v>114</v>
      </c>
      <c r="CU1188" t="s">
        <v>114</v>
      </c>
      <c r="CV1188" t="s">
        <v>13715</v>
      </c>
      <c r="CW1188" s="5" t="str">
        <f>"+13177380005"</f>
        <v>+13177380005</v>
      </c>
      <c r="CX1188" t="s">
        <v>13711</v>
      </c>
      <c r="CY1188" t="s">
        <v>138</v>
      </c>
      <c r="CZ1188" t="s">
        <v>139</v>
      </c>
      <c r="DA1188" t="s">
        <v>134</v>
      </c>
      <c r="DB1188" t="s">
        <v>134</v>
      </c>
      <c r="DC1188" t="s">
        <v>114</v>
      </c>
      <c r="DD1188" t="s">
        <v>134</v>
      </c>
      <c r="DE1188" t="s">
        <v>13716</v>
      </c>
      <c r="DF1188" t="s">
        <v>5795</v>
      </c>
      <c r="DG1188" t="s">
        <v>13717</v>
      </c>
      <c r="DH1188" t="s">
        <v>13718</v>
      </c>
      <c r="DI1188" t="s">
        <v>13711</v>
      </c>
    </row>
    <row r="1189" spans="1:113" ht="15" customHeight="1" x14ac:dyDescent="0.25">
      <c r="A1189" t="s">
        <v>275</v>
      </c>
      <c r="B1189" t="s">
        <v>113</v>
      </c>
      <c r="C1189" s="1">
        <v>44848.521916666665</v>
      </c>
      <c r="D1189" s="1">
        <v>44894</v>
      </c>
      <c r="E1189" t="s">
        <v>134</v>
      </c>
      <c r="F1189" t="s">
        <v>276</v>
      </c>
      <c r="G1189" t="str">
        <f>"51-9198.00"</f>
        <v>51-9198.00</v>
      </c>
      <c r="H1189" t="s">
        <v>277</v>
      </c>
      <c r="I1189">
        <v>1</v>
      </c>
      <c r="K1189" s="1">
        <v>44927</v>
      </c>
      <c r="L1189" s="1">
        <v>45291</v>
      </c>
      <c r="O1189" t="s">
        <v>117</v>
      </c>
      <c r="P1189" t="s">
        <v>278</v>
      </c>
      <c r="Q1189" t="s">
        <v>138</v>
      </c>
      <c r="R1189" t="s">
        <v>279</v>
      </c>
      <c r="S1189" t="s">
        <v>138</v>
      </c>
      <c r="T1189" t="s">
        <v>280</v>
      </c>
      <c r="U1189" t="s">
        <v>281</v>
      </c>
      <c r="V1189" s="4" t="str">
        <f>"01001"</f>
        <v>01001</v>
      </c>
      <c r="W1189" t="s">
        <v>120</v>
      </c>
      <c r="X1189" t="s">
        <v>138</v>
      </c>
      <c r="Y1189" s="5">
        <v>14132415529</v>
      </c>
      <c r="AA1189">
        <v>333922</v>
      </c>
      <c r="AB1189" t="s">
        <v>282</v>
      </c>
      <c r="AC1189" t="s">
        <v>283</v>
      </c>
      <c r="AD1189" t="s">
        <v>284</v>
      </c>
      <c r="AE1189" t="s">
        <v>285</v>
      </c>
      <c r="AF1189" t="s">
        <v>279</v>
      </c>
      <c r="AG1189" t="s">
        <v>138</v>
      </c>
      <c r="AH1189" t="s">
        <v>280</v>
      </c>
      <c r="AI1189" t="s">
        <v>281</v>
      </c>
      <c r="AJ1189" s="4" t="str">
        <f>"01001"</f>
        <v>01001</v>
      </c>
      <c r="AK1189" t="s">
        <v>120</v>
      </c>
      <c r="AM1189" s="5">
        <v>14132415529</v>
      </c>
      <c r="AO1189" t="s">
        <v>286</v>
      </c>
      <c r="AP1189" t="s">
        <v>122</v>
      </c>
      <c r="AQ1189" t="s">
        <v>287</v>
      </c>
      <c r="AR1189" t="s">
        <v>288</v>
      </c>
      <c r="AS1189" t="s">
        <v>138</v>
      </c>
      <c r="AT1189" t="s">
        <v>289</v>
      </c>
      <c r="AU1189" t="s">
        <v>290</v>
      </c>
      <c r="AV1189" t="s">
        <v>291</v>
      </c>
      <c r="AW1189" t="s">
        <v>281</v>
      </c>
      <c r="AX1189" s="4" t="str">
        <f>"01144"</f>
        <v>01144</v>
      </c>
      <c r="AY1189" t="s">
        <v>120</v>
      </c>
      <c r="BA1189" s="5">
        <v>14137374753</v>
      </c>
      <c r="BC1189" t="s">
        <v>292</v>
      </c>
      <c r="BD1189" t="s">
        <v>293</v>
      </c>
      <c r="BE1189" t="s">
        <v>281</v>
      </c>
      <c r="BF1189" t="s">
        <v>294</v>
      </c>
      <c r="BG1189" t="s">
        <v>281</v>
      </c>
      <c r="BH1189" s="1">
        <v>44847.833333333336</v>
      </c>
      <c r="BI1189">
        <v>40</v>
      </c>
      <c r="BJ1189">
        <v>0</v>
      </c>
      <c r="BK1189">
        <v>8</v>
      </c>
      <c r="BL1189">
        <v>8</v>
      </c>
      <c r="BM1189">
        <v>8</v>
      </c>
      <c r="BN1189">
        <v>8</v>
      </c>
      <c r="BO1189">
        <v>8</v>
      </c>
      <c r="BP1189">
        <v>0</v>
      </c>
      <c r="BQ1189" t="str">
        <f>"3:00 PM"</f>
        <v>3:00 PM</v>
      </c>
      <c r="BR1189" t="str">
        <f>"11:30 PM"</f>
        <v>11:30 PM</v>
      </c>
      <c r="BS1189" t="s">
        <v>295</v>
      </c>
      <c r="BT1189">
        <v>0</v>
      </c>
      <c r="BU1189">
        <v>0</v>
      </c>
      <c r="BV1189" t="s">
        <v>134</v>
      </c>
      <c r="BX1189" t="s">
        <v>138</v>
      </c>
      <c r="BY1189" t="s">
        <v>279</v>
      </c>
      <c r="BZ1189" t="s">
        <v>138</v>
      </c>
      <c r="CA1189" t="s">
        <v>280</v>
      </c>
      <c r="CB1189" t="s">
        <v>281</v>
      </c>
      <c r="CC1189" s="4" t="str">
        <f>"01001"</f>
        <v>01001</v>
      </c>
      <c r="CD1189" t="s">
        <v>296</v>
      </c>
      <c r="CE1189" t="s">
        <v>297</v>
      </c>
      <c r="CF1189" s="6">
        <v>19.170000000000002</v>
      </c>
      <c r="CG1189" s="6">
        <v>19.170000000000002</v>
      </c>
      <c r="CH1189" s="6">
        <v>28.76</v>
      </c>
      <c r="CI1189" s="6">
        <v>28.76</v>
      </c>
      <c r="CJ1189" t="s">
        <v>137</v>
      </c>
      <c r="CK1189" t="s">
        <v>138</v>
      </c>
      <c r="CL1189" t="s">
        <v>298</v>
      </c>
      <c r="CO1189" t="s">
        <v>138</v>
      </c>
      <c r="CP1189" t="s">
        <v>134</v>
      </c>
      <c r="CQ1189" t="s">
        <v>134</v>
      </c>
      <c r="CR1189" t="s">
        <v>114</v>
      </c>
      <c r="CS1189" t="s">
        <v>114</v>
      </c>
      <c r="CT1189" t="s">
        <v>114</v>
      </c>
      <c r="CU1189" t="s">
        <v>134</v>
      </c>
      <c r="CV1189" s="2" t="s">
        <v>299</v>
      </c>
      <c r="CW1189" s="5" t="str">
        <f>"+14132415529"</f>
        <v>+14132415529</v>
      </c>
      <c r="CX1189" t="s">
        <v>286</v>
      </c>
      <c r="CY1189" t="s">
        <v>300</v>
      </c>
      <c r="CZ1189" t="s">
        <v>139</v>
      </c>
      <c r="DA1189" t="s">
        <v>134</v>
      </c>
      <c r="DB1189" t="s">
        <v>134</v>
      </c>
      <c r="DC1189" t="s">
        <v>114</v>
      </c>
      <c r="DD1189" t="s">
        <v>134</v>
      </c>
    </row>
    <row r="1190" spans="1:113" ht="15" customHeight="1" x14ac:dyDescent="0.25">
      <c r="A1190" t="s">
        <v>14421</v>
      </c>
      <c r="B1190" t="s">
        <v>113</v>
      </c>
      <c r="C1190" s="1">
        <v>44859.820853935184</v>
      </c>
      <c r="D1190" s="1">
        <v>44893</v>
      </c>
      <c r="E1190" t="s">
        <v>134</v>
      </c>
      <c r="F1190" t="s">
        <v>14422</v>
      </c>
      <c r="G1190" t="str">
        <f>"31-1121.00"</f>
        <v>31-1121.00</v>
      </c>
      <c r="H1190" t="s">
        <v>5649</v>
      </c>
      <c r="I1190">
        <v>5</v>
      </c>
      <c r="K1190" s="1">
        <v>44935</v>
      </c>
      <c r="L1190" s="1">
        <v>45238</v>
      </c>
      <c r="O1190" t="s">
        <v>117</v>
      </c>
      <c r="P1190" t="s">
        <v>14423</v>
      </c>
      <c r="Q1190" t="s">
        <v>14424</v>
      </c>
      <c r="R1190" t="s">
        <v>14425</v>
      </c>
      <c r="T1190" t="s">
        <v>118</v>
      </c>
      <c r="U1190" t="s">
        <v>119</v>
      </c>
      <c r="V1190" s="4" t="str">
        <f>"28806"</f>
        <v>28806</v>
      </c>
      <c r="W1190" t="s">
        <v>120</v>
      </c>
      <c r="Y1190" s="5">
        <v>17048137476</v>
      </c>
      <c r="AA1190">
        <v>623311</v>
      </c>
      <c r="AB1190" t="s">
        <v>14426</v>
      </c>
      <c r="AC1190" t="s">
        <v>14427</v>
      </c>
      <c r="AE1190" t="s">
        <v>14428</v>
      </c>
      <c r="AF1190" t="s">
        <v>14425</v>
      </c>
      <c r="AH1190" t="s">
        <v>118</v>
      </c>
      <c r="AI1190" t="s">
        <v>119</v>
      </c>
      <c r="AJ1190" s="4" t="str">
        <f>"28806"</f>
        <v>28806</v>
      </c>
      <c r="AK1190" t="s">
        <v>120</v>
      </c>
      <c r="AM1190" s="5">
        <v>17048137476</v>
      </c>
      <c r="AO1190" t="s">
        <v>14429</v>
      </c>
      <c r="AX1190" s="4" t="str">
        <f>""</f>
        <v/>
      </c>
      <c r="BG1190" t="s">
        <v>119</v>
      </c>
      <c r="BH1190" s="1">
        <v>44858.833333333336</v>
      </c>
      <c r="BI1190">
        <v>48</v>
      </c>
      <c r="BJ1190">
        <v>12</v>
      </c>
      <c r="BK1190">
        <v>12</v>
      </c>
      <c r="BL1190">
        <v>12</v>
      </c>
      <c r="BM1190">
        <v>0</v>
      </c>
      <c r="BN1190">
        <v>0</v>
      </c>
      <c r="BO1190">
        <v>0</v>
      </c>
      <c r="BP1190">
        <v>12</v>
      </c>
      <c r="BQ1190" t="str">
        <f>"7:00 AM"</f>
        <v>7:00 AM</v>
      </c>
      <c r="BR1190" t="str">
        <f>"7:00 PM"</f>
        <v>7:00 PM</v>
      </c>
      <c r="BS1190" t="s">
        <v>295</v>
      </c>
      <c r="BT1190">
        <v>0</v>
      </c>
      <c r="BU1190">
        <v>0</v>
      </c>
      <c r="BV1190" t="s">
        <v>134</v>
      </c>
      <c r="BX1190" s="2" t="s">
        <v>14430</v>
      </c>
      <c r="BY1190" t="s">
        <v>14425</v>
      </c>
      <c r="CA1190" t="s">
        <v>118</v>
      </c>
      <c r="CB1190" t="s">
        <v>119</v>
      </c>
      <c r="CC1190" s="4" t="str">
        <f>"28806"</f>
        <v>28806</v>
      </c>
      <c r="CD1190" t="s">
        <v>135</v>
      </c>
      <c r="CE1190" t="s">
        <v>136</v>
      </c>
      <c r="CF1190" s="6">
        <v>12</v>
      </c>
      <c r="CG1190" s="6">
        <v>12</v>
      </c>
      <c r="CH1190" s="6">
        <v>18</v>
      </c>
      <c r="CI1190" s="6">
        <v>18</v>
      </c>
      <c r="CJ1190" t="s">
        <v>137</v>
      </c>
      <c r="CL1190" t="s">
        <v>14431</v>
      </c>
      <c r="CO1190" t="s">
        <v>138</v>
      </c>
      <c r="CP1190" t="s">
        <v>134</v>
      </c>
      <c r="CQ1190" t="s">
        <v>134</v>
      </c>
      <c r="CR1190" t="s">
        <v>114</v>
      </c>
      <c r="CS1190" t="s">
        <v>114</v>
      </c>
      <c r="CT1190" t="s">
        <v>114</v>
      </c>
      <c r="CU1190" t="s">
        <v>114</v>
      </c>
      <c r="CV1190" s="2" t="s">
        <v>14432</v>
      </c>
      <c r="CW1190" s="5" t="str">
        <f>"+18289804362"</f>
        <v>+18289804362</v>
      </c>
      <c r="CX1190" t="s">
        <v>14433</v>
      </c>
      <c r="CY1190" t="s">
        <v>138</v>
      </c>
      <c r="CZ1190" t="s">
        <v>139</v>
      </c>
      <c r="DA1190" t="s">
        <v>134</v>
      </c>
      <c r="DB1190" t="s">
        <v>134</v>
      </c>
      <c r="DC1190" t="s">
        <v>114</v>
      </c>
      <c r="DD1190" t="s">
        <v>134</v>
      </c>
    </row>
    <row r="1191" spans="1:113" ht="15" customHeight="1" x14ac:dyDescent="0.25">
      <c r="A1191" t="s">
        <v>13691</v>
      </c>
      <c r="B1191" t="s">
        <v>113</v>
      </c>
      <c r="C1191" s="1">
        <v>44858.96946886574</v>
      </c>
      <c r="D1191" s="1">
        <v>44893</v>
      </c>
      <c r="E1191" t="s">
        <v>134</v>
      </c>
      <c r="F1191" t="s">
        <v>3925</v>
      </c>
      <c r="G1191" t="str">
        <f>"35-3011.00"</f>
        <v>35-3011.00</v>
      </c>
      <c r="H1191" t="s">
        <v>956</v>
      </c>
      <c r="I1191">
        <v>1</v>
      </c>
      <c r="K1191" s="1">
        <v>44935</v>
      </c>
      <c r="L1191" s="1">
        <v>45169</v>
      </c>
      <c r="O1191" t="s">
        <v>199</v>
      </c>
      <c r="P1191" t="s">
        <v>13692</v>
      </c>
      <c r="Q1191" t="s">
        <v>13693</v>
      </c>
      <c r="R1191" t="s">
        <v>13694</v>
      </c>
      <c r="T1191" t="s">
        <v>2855</v>
      </c>
      <c r="U1191" t="s">
        <v>2842</v>
      </c>
      <c r="V1191" s="4" t="str">
        <f>"06901"</f>
        <v>06901</v>
      </c>
      <c r="W1191" t="s">
        <v>120</v>
      </c>
      <c r="Y1191" s="5">
        <v>12033482300</v>
      </c>
      <c r="AA1191">
        <v>722511</v>
      </c>
      <c r="AB1191" t="s">
        <v>1751</v>
      </c>
      <c r="AC1191" t="s">
        <v>13695</v>
      </c>
      <c r="AE1191" t="s">
        <v>13696</v>
      </c>
      <c r="AF1191" t="s">
        <v>13697</v>
      </c>
      <c r="AG1191" t="s">
        <v>13698</v>
      </c>
      <c r="AH1191" t="s">
        <v>6602</v>
      </c>
      <c r="AI1191" t="s">
        <v>848</v>
      </c>
      <c r="AJ1191" s="4" t="str">
        <f>"11373"</f>
        <v>11373</v>
      </c>
      <c r="AK1191" t="s">
        <v>120</v>
      </c>
      <c r="AM1191" s="5">
        <v>16464688701</v>
      </c>
      <c r="AO1191" t="s">
        <v>13699</v>
      </c>
      <c r="AX1191" s="4" t="str">
        <f>""</f>
        <v/>
      </c>
      <c r="BG1191" t="s">
        <v>2842</v>
      </c>
      <c r="BH1191" s="1">
        <v>44752.833333333336</v>
      </c>
      <c r="BI1191">
        <v>48</v>
      </c>
      <c r="BJ1191">
        <v>8</v>
      </c>
      <c r="BK1191">
        <v>6</v>
      </c>
      <c r="BL1191">
        <v>6</v>
      </c>
      <c r="BM1191">
        <v>6</v>
      </c>
      <c r="BN1191">
        <v>6</v>
      </c>
      <c r="BO1191">
        <v>8</v>
      </c>
      <c r="BP1191">
        <v>8</v>
      </c>
      <c r="BQ1191" t="str">
        <f>"11:30 AM"</f>
        <v>11:30 AM</v>
      </c>
      <c r="BR1191" t="str">
        <f>"10:00 PM"</f>
        <v>10:00 PM</v>
      </c>
      <c r="BS1191" t="s">
        <v>295</v>
      </c>
      <c r="BT1191">
        <v>1</v>
      </c>
      <c r="BU1191">
        <v>6</v>
      </c>
      <c r="BV1191" t="s">
        <v>134</v>
      </c>
      <c r="BX1191" s="2" t="s">
        <v>13700</v>
      </c>
      <c r="BY1191" t="s">
        <v>13694</v>
      </c>
      <c r="CA1191" t="s">
        <v>2855</v>
      </c>
      <c r="CB1191" t="s">
        <v>2842</v>
      </c>
      <c r="CC1191" s="4" t="str">
        <f>"06901"</f>
        <v>06901</v>
      </c>
      <c r="CD1191" t="s">
        <v>9158</v>
      </c>
      <c r="CE1191" t="s">
        <v>9159</v>
      </c>
      <c r="CF1191" s="6">
        <v>17.93</v>
      </c>
      <c r="CG1191" s="6">
        <v>17.93</v>
      </c>
      <c r="CJ1191" t="s">
        <v>137</v>
      </c>
      <c r="CL1191" t="s">
        <v>13701</v>
      </c>
      <c r="CO1191" t="s">
        <v>138</v>
      </c>
      <c r="CP1191" t="s">
        <v>134</v>
      </c>
      <c r="CQ1191" t="s">
        <v>134</v>
      </c>
      <c r="CR1191" t="s">
        <v>114</v>
      </c>
      <c r="CS1191" t="s">
        <v>114</v>
      </c>
      <c r="CT1191" t="s">
        <v>114</v>
      </c>
      <c r="CU1191" t="s">
        <v>134</v>
      </c>
      <c r="CV1191" t="s">
        <v>1574</v>
      </c>
      <c r="CW1191" s="5" t="str">
        <f>"+12038039900"</f>
        <v>+12038039900</v>
      </c>
      <c r="CX1191" t="s">
        <v>138</v>
      </c>
      <c r="CY1191" t="s">
        <v>13702</v>
      </c>
      <c r="CZ1191" t="s">
        <v>139</v>
      </c>
      <c r="DA1191" t="s">
        <v>134</v>
      </c>
      <c r="DB1191" t="s">
        <v>134</v>
      </c>
      <c r="DC1191" t="s">
        <v>114</v>
      </c>
      <c r="DD1191" t="s">
        <v>134</v>
      </c>
    </row>
    <row r="1192" spans="1:113" ht="15" customHeight="1" x14ac:dyDescent="0.25">
      <c r="A1192" t="s">
        <v>14399</v>
      </c>
      <c r="B1192" t="s">
        <v>113</v>
      </c>
      <c r="C1192" s="1">
        <v>44858.95100277778</v>
      </c>
      <c r="D1192" s="1">
        <v>44893</v>
      </c>
      <c r="E1192" t="s">
        <v>134</v>
      </c>
      <c r="F1192" t="s">
        <v>14400</v>
      </c>
      <c r="G1192" t="str">
        <f>"35-3031.00"</f>
        <v>35-3031.00</v>
      </c>
      <c r="H1192" t="s">
        <v>389</v>
      </c>
      <c r="I1192">
        <v>2</v>
      </c>
      <c r="K1192" s="1">
        <v>44935</v>
      </c>
      <c r="L1192" s="1">
        <v>45077</v>
      </c>
      <c r="O1192" t="s">
        <v>199</v>
      </c>
      <c r="P1192" t="s">
        <v>13692</v>
      </c>
      <c r="Q1192" t="s">
        <v>13693</v>
      </c>
      <c r="R1192" t="s">
        <v>13694</v>
      </c>
      <c r="T1192" t="s">
        <v>2855</v>
      </c>
      <c r="U1192" t="s">
        <v>2842</v>
      </c>
      <c r="V1192" s="4" t="str">
        <f>"06901"</f>
        <v>06901</v>
      </c>
      <c r="W1192" t="s">
        <v>120</v>
      </c>
      <c r="Y1192" s="5">
        <v>12033482300</v>
      </c>
      <c r="AA1192">
        <v>722511</v>
      </c>
      <c r="AB1192" t="s">
        <v>1751</v>
      </c>
      <c r="AC1192" t="s">
        <v>13695</v>
      </c>
      <c r="AE1192" t="s">
        <v>13696</v>
      </c>
      <c r="AF1192" t="s">
        <v>13697</v>
      </c>
      <c r="AG1192" t="s">
        <v>13698</v>
      </c>
      <c r="AH1192" t="s">
        <v>6602</v>
      </c>
      <c r="AI1192" t="s">
        <v>848</v>
      </c>
      <c r="AJ1192" s="4" t="str">
        <f>"11373"</f>
        <v>11373</v>
      </c>
      <c r="AK1192" t="s">
        <v>120</v>
      </c>
      <c r="AM1192" s="5">
        <v>16464688701</v>
      </c>
      <c r="AO1192" t="s">
        <v>13699</v>
      </c>
      <c r="AX1192" s="4" t="str">
        <f>""</f>
        <v/>
      </c>
      <c r="BG1192" t="s">
        <v>2842</v>
      </c>
      <c r="BH1192" s="1">
        <v>44675.833333333336</v>
      </c>
      <c r="BI1192">
        <v>48</v>
      </c>
      <c r="BJ1192">
        <v>8</v>
      </c>
      <c r="BK1192">
        <v>6</v>
      </c>
      <c r="BL1192">
        <v>6</v>
      </c>
      <c r="BM1192">
        <v>6</v>
      </c>
      <c r="BN1192">
        <v>6</v>
      </c>
      <c r="BO1192">
        <v>8</v>
      </c>
      <c r="BP1192">
        <v>8</v>
      </c>
      <c r="BQ1192" t="str">
        <f>"11:30 AM"</f>
        <v>11:30 AM</v>
      </c>
      <c r="BR1192" t="str">
        <f>"10:00 PM"</f>
        <v>10:00 PM</v>
      </c>
      <c r="BS1192" t="s">
        <v>295</v>
      </c>
      <c r="BT1192">
        <v>3</v>
      </c>
      <c r="BU1192">
        <v>6</v>
      </c>
      <c r="BV1192" t="s">
        <v>134</v>
      </c>
      <c r="BX1192" t="s">
        <v>1574</v>
      </c>
      <c r="BY1192" t="s">
        <v>13694</v>
      </c>
      <c r="CA1192" t="s">
        <v>2855</v>
      </c>
      <c r="CB1192" t="s">
        <v>2842</v>
      </c>
      <c r="CC1192" s="4" t="str">
        <f>"06901"</f>
        <v>06901</v>
      </c>
      <c r="CD1192" t="s">
        <v>9158</v>
      </c>
      <c r="CE1192" t="s">
        <v>9159</v>
      </c>
      <c r="CF1192" s="6">
        <v>17.16</v>
      </c>
      <c r="CG1192" s="6">
        <v>18</v>
      </c>
      <c r="CJ1192" t="s">
        <v>137</v>
      </c>
      <c r="CL1192" t="s">
        <v>14401</v>
      </c>
      <c r="CO1192" t="s">
        <v>138</v>
      </c>
      <c r="CP1192" t="s">
        <v>134</v>
      </c>
      <c r="CQ1192" t="s">
        <v>134</v>
      </c>
      <c r="CR1192" t="s">
        <v>114</v>
      </c>
      <c r="CS1192" t="s">
        <v>114</v>
      </c>
      <c r="CT1192" t="s">
        <v>114</v>
      </c>
      <c r="CU1192" t="s">
        <v>134</v>
      </c>
      <c r="CV1192" t="s">
        <v>14402</v>
      </c>
      <c r="CW1192" s="5" t="str">
        <f>"+12038039900"</f>
        <v>+12038039900</v>
      </c>
      <c r="CX1192" t="s">
        <v>138</v>
      </c>
      <c r="CY1192" t="s">
        <v>14403</v>
      </c>
      <c r="CZ1192" t="s">
        <v>139</v>
      </c>
      <c r="DA1192" t="s">
        <v>134</v>
      </c>
      <c r="DB1192" t="s">
        <v>134</v>
      </c>
      <c r="DC1192" t="s">
        <v>114</v>
      </c>
      <c r="DD1192" t="s">
        <v>134</v>
      </c>
    </row>
    <row r="1193" spans="1:113" ht="15" customHeight="1" x14ac:dyDescent="0.25">
      <c r="A1193" t="s">
        <v>14382</v>
      </c>
      <c r="B1193" t="s">
        <v>113</v>
      </c>
      <c r="C1193" s="1">
        <v>44858.801780092595</v>
      </c>
      <c r="D1193" s="1">
        <v>44893</v>
      </c>
      <c r="E1193" t="s">
        <v>134</v>
      </c>
      <c r="F1193" t="s">
        <v>14383</v>
      </c>
      <c r="G1193" t="str">
        <f>"35-2014.00"</f>
        <v>35-2014.00</v>
      </c>
      <c r="H1193" t="s">
        <v>915</v>
      </c>
      <c r="I1193">
        <v>10</v>
      </c>
      <c r="K1193" s="1">
        <v>44933</v>
      </c>
      <c r="L1193" s="1">
        <v>45230</v>
      </c>
      <c r="O1193" t="s">
        <v>199</v>
      </c>
      <c r="P1193" t="s">
        <v>14384</v>
      </c>
      <c r="R1193" t="s">
        <v>14385</v>
      </c>
      <c r="T1193" t="s">
        <v>4962</v>
      </c>
      <c r="U1193" t="s">
        <v>1846</v>
      </c>
      <c r="V1193" s="4" t="str">
        <f>"05672"</f>
        <v>05672</v>
      </c>
      <c r="W1193" t="s">
        <v>120</v>
      </c>
      <c r="Y1193" s="5">
        <v>18022534765</v>
      </c>
      <c r="AA1193">
        <v>722511</v>
      </c>
      <c r="AB1193" t="s">
        <v>2465</v>
      </c>
      <c r="AC1193" t="s">
        <v>1614</v>
      </c>
      <c r="AD1193" t="s">
        <v>1973</v>
      </c>
      <c r="AE1193" t="s">
        <v>11744</v>
      </c>
      <c r="AF1193" t="s">
        <v>14385</v>
      </c>
      <c r="AH1193" t="s">
        <v>4962</v>
      </c>
      <c r="AI1193" t="s">
        <v>1846</v>
      </c>
      <c r="AJ1193" s="4" t="str">
        <f>"05672"</f>
        <v>05672</v>
      </c>
      <c r="AK1193" t="s">
        <v>120</v>
      </c>
      <c r="AM1193" s="5">
        <v>18023639535</v>
      </c>
      <c r="AO1193" t="s">
        <v>14386</v>
      </c>
      <c r="AX1193" s="4" t="str">
        <f>""</f>
        <v/>
      </c>
      <c r="BG1193" t="s">
        <v>1846</v>
      </c>
      <c r="BH1193" s="1">
        <v>44816.833333333336</v>
      </c>
      <c r="BI1193">
        <v>56</v>
      </c>
      <c r="BJ1193">
        <v>8</v>
      </c>
      <c r="BK1193">
        <v>8</v>
      </c>
      <c r="BL1193">
        <v>8</v>
      </c>
      <c r="BM1193">
        <v>8</v>
      </c>
      <c r="BN1193">
        <v>8</v>
      </c>
      <c r="BO1193">
        <v>8</v>
      </c>
      <c r="BP1193">
        <v>8</v>
      </c>
      <c r="BQ1193" t="str">
        <f>"9:00 AM"</f>
        <v>9:00 AM</v>
      </c>
      <c r="BR1193" t="str">
        <f>"5:00 PM"</f>
        <v>5:00 PM</v>
      </c>
      <c r="BS1193" t="s">
        <v>133</v>
      </c>
      <c r="BT1193">
        <v>0</v>
      </c>
      <c r="BU1193">
        <v>0</v>
      </c>
      <c r="BV1193" t="s">
        <v>134</v>
      </c>
      <c r="BX1193" t="s">
        <v>14387</v>
      </c>
      <c r="BY1193" t="s">
        <v>14388</v>
      </c>
      <c r="CA1193" t="s">
        <v>4962</v>
      </c>
      <c r="CB1193" t="s">
        <v>1846</v>
      </c>
      <c r="CC1193" s="4" t="str">
        <f>"05672"</f>
        <v>05672</v>
      </c>
      <c r="CD1193" t="s">
        <v>4966</v>
      </c>
      <c r="CE1193" t="s">
        <v>3569</v>
      </c>
      <c r="CF1193" s="6">
        <v>19</v>
      </c>
      <c r="CG1193" s="6">
        <v>22</v>
      </c>
      <c r="CH1193" s="6">
        <v>28.5</v>
      </c>
      <c r="CI1193" s="6">
        <v>33</v>
      </c>
      <c r="CJ1193" t="s">
        <v>137</v>
      </c>
      <c r="CL1193" t="s">
        <v>14389</v>
      </c>
      <c r="CO1193" t="s">
        <v>138</v>
      </c>
      <c r="CP1193" t="s">
        <v>134</v>
      </c>
      <c r="CQ1193" t="s">
        <v>114</v>
      </c>
      <c r="CR1193" t="s">
        <v>114</v>
      </c>
      <c r="CS1193" t="s">
        <v>114</v>
      </c>
      <c r="CT1193" t="s">
        <v>114</v>
      </c>
      <c r="CU1193" t="s">
        <v>114</v>
      </c>
      <c r="CV1193" t="s">
        <v>133</v>
      </c>
      <c r="CW1193" s="5" t="str">
        <f>"+18023639535"</f>
        <v>+18023639535</v>
      </c>
      <c r="CX1193" t="s">
        <v>14386</v>
      </c>
      <c r="CY1193" t="s">
        <v>14390</v>
      </c>
      <c r="CZ1193" t="s">
        <v>139</v>
      </c>
      <c r="DA1193" t="s">
        <v>134</v>
      </c>
      <c r="DB1193" t="s">
        <v>134</v>
      </c>
      <c r="DC1193" t="s">
        <v>114</v>
      </c>
      <c r="DD1193" t="s">
        <v>134</v>
      </c>
    </row>
    <row r="1194" spans="1:113" ht="15" customHeight="1" x14ac:dyDescent="0.25">
      <c r="A1194" t="s">
        <v>6466</v>
      </c>
      <c r="B1194" t="s">
        <v>113</v>
      </c>
      <c r="C1194" s="1">
        <v>44858.110947800924</v>
      </c>
      <c r="D1194" s="1">
        <v>44893</v>
      </c>
      <c r="E1194" t="s">
        <v>134</v>
      </c>
      <c r="F1194" t="s">
        <v>6467</v>
      </c>
      <c r="G1194" t="str">
        <f>"37-2012.00"</f>
        <v>37-2012.00</v>
      </c>
      <c r="H1194" t="s">
        <v>116</v>
      </c>
      <c r="I1194">
        <v>2</v>
      </c>
      <c r="K1194" s="1">
        <v>44941</v>
      </c>
      <c r="L1194" s="1">
        <v>45037</v>
      </c>
      <c r="O1194" t="s">
        <v>3130</v>
      </c>
      <c r="P1194" t="s">
        <v>6468</v>
      </c>
      <c r="R1194" t="s">
        <v>6469</v>
      </c>
      <c r="S1194" t="s">
        <v>6470</v>
      </c>
      <c r="T1194" t="s">
        <v>6471</v>
      </c>
      <c r="U1194" t="s">
        <v>444</v>
      </c>
      <c r="V1194" s="4" t="str">
        <f>"95678"</f>
        <v>95678</v>
      </c>
      <c r="W1194" t="s">
        <v>120</v>
      </c>
      <c r="Y1194" s="5">
        <v>19143092653</v>
      </c>
      <c r="AA1194">
        <v>814110</v>
      </c>
      <c r="AB1194" t="s">
        <v>4673</v>
      </c>
      <c r="AC1194" t="s">
        <v>6472</v>
      </c>
      <c r="AE1194" t="s">
        <v>6473</v>
      </c>
      <c r="AF1194" t="s">
        <v>6474</v>
      </c>
      <c r="AG1194" t="s">
        <v>6470</v>
      </c>
      <c r="AH1194" t="s">
        <v>6471</v>
      </c>
      <c r="AI1194" t="s">
        <v>444</v>
      </c>
      <c r="AJ1194" s="4" t="str">
        <f>"95678"</f>
        <v>95678</v>
      </c>
      <c r="AK1194" t="s">
        <v>120</v>
      </c>
      <c r="AM1194" s="5">
        <v>19143092653</v>
      </c>
      <c r="AO1194" t="s">
        <v>6475</v>
      </c>
      <c r="AX1194" s="4" t="str">
        <f>""</f>
        <v/>
      </c>
      <c r="BG1194" t="s">
        <v>444</v>
      </c>
      <c r="BH1194" s="1">
        <v>44856.833333333336</v>
      </c>
      <c r="BI1194">
        <v>56</v>
      </c>
      <c r="BJ1194">
        <v>8</v>
      </c>
      <c r="BK1194">
        <v>8</v>
      </c>
      <c r="BL1194">
        <v>8</v>
      </c>
      <c r="BM1194">
        <v>8</v>
      </c>
      <c r="BN1194">
        <v>8</v>
      </c>
      <c r="BO1194">
        <v>8</v>
      </c>
      <c r="BP1194">
        <v>8</v>
      </c>
      <c r="BQ1194" t="str">
        <f>"9:00 AM"</f>
        <v>9:00 AM</v>
      </c>
      <c r="BR1194" t="str">
        <f>"5:00 PM"</f>
        <v>5:00 PM</v>
      </c>
      <c r="BS1194" t="s">
        <v>295</v>
      </c>
      <c r="BT1194">
        <v>0</v>
      </c>
      <c r="BU1194">
        <v>12</v>
      </c>
      <c r="BV1194" t="s">
        <v>134</v>
      </c>
      <c r="BX1194" s="2" t="s">
        <v>6476</v>
      </c>
      <c r="BY1194" t="s">
        <v>6474</v>
      </c>
      <c r="BZ1194" t="s">
        <v>6470</v>
      </c>
      <c r="CA1194" t="s">
        <v>6471</v>
      </c>
      <c r="CB1194" t="s">
        <v>444</v>
      </c>
      <c r="CC1194" s="4" t="str">
        <f>"95678"</f>
        <v>95678</v>
      </c>
      <c r="CD1194" t="s">
        <v>462</v>
      </c>
      <c r="CE1194" t="s">
        <v>463</v>
      </c>
      <c r="CF1194" s="6">
        <v>19</v>
      </c>
      <c r="CG1194" s="6">
        <v>19</v>
      </c>
      <c r="CH1194" s="6">
        <v>28.5</v>
      </c>
      <c r="CI1194" s="6">
        <v>28.5</v>
      </c>
      <c r="CJ1194" t="s">
        <v>137</v>
      </c>
      <c r="CL1194" t="s">
        <v>6477</v>
      </c>
      <c r="CO1194" t="s">
        <v>114</v>
      </c>
      <c r="CP1194" t="s">
        <v>134</v>
      </c>
      <c r="CQ1194" t="s">
        <v>114</v>
      </c>
      <c r="CR1194" t="s">
        <v>114</v>
      </c>
      <c r="CS1194" t="s">
        <v>114</v>
      </c>
      <c r="CT1194" t="s">
        <v>114</v>
      </c>
      <c r="CU1194" t="s">
        <v>114</v>
      </c>
      <c r="CV1194" t="s">
        <v>133</v>
      </c>
      <c r="CW1194" s="5" t="str">
        <f>"+19143092653"</f>
        <v>+19143092653</v>
      </c>
      <c r="CX1194" t="s">
        <v>6478</v>
      </c>
      <c r="CY1194" t="s">
        <v>6479</v>
      </c>
      <c r="CZ1194" t="s">
        <v>139</v>
      </c>
      <c r="DA1194" t="s">
        <v>134</v>
      </c>
      <c r="DB1194" t="s">
        <v>134</v>
      </c>
      <c r="DC1194" t="s">
        <v>114</v>
      </c>
      <c r="DD1194" t="s">
        <v>134</v>
      </c>
    </row>
    <row r="1195" spans="1:113" ht="15" customHeight="1" x14ac:dyDescent="0.25">
      <c r="A1195" t="s">
        <v>6441</v>
      </c>
      <c r="B1195" t="s">
        <v>113</v>
      </c>
      <c r="C1195" s="1">
        <v>44846.608441203702</v>
      </c>
      <c r="D1195" s="1">
        <v>44893</v>
      </c>
      <c r="E1195" t="s">
        <v>134</v>
      </c>
      <c r="F1195" t="s">
        <v>5608</v>
      </c>
      <c r="G1195" t="str">
        <f>"47-2044.00"</f>
        <v>47-2044.00</v>
      </c>
      <c r="H1195" t="s">
        <v>5608</v>
      </c>
      <c r="I1195">
        <v>8</v>
      </c>
      <c r="K1195" s="1">
        <v>44921</v>
      </c>
      <c r="L1195" s="1">
        <v>45191</v>
      </c>
      <c r="O1195" t="s">
        <v>199</v>
      </c>
      <c r="P1195" t="s">
        <v>6442</v>
      </c>
      <c r="Q1195" t="s">
        <v>6443</v>
      </c>
      <c r="R1195" t="s">
        <v>6444</v>
      </c>
      <c r="T1195" t="s">
        <v>1461</v>
      </c>
      <c r="U1195" t="s">
        <v>479</v>
      </c>
      <c r="V1195" s="4" t="str">
        <f>"22727"</f>
        <v>22727</v>
      </c>
      <c r="W1195" t="s">
        <v>120</v>
      </c>
      <c r="Y1195" s="5">
        <v>14342842229</v>
      </c>
      <c r="AA1195">
        <v>238350</v>
      </c>
      <c r="AB1195" t="s">
        <v>6445</v>
      </c>
      <c r="AC1195" t="s">
        <v>6446</v>
      </c>
      <c r="AD1195" t="s">
        <v>6447</v>
      </c>
      <c r="AE1195" t="s">
        <v>424</v>
      </c>
      <c r="AF1195" t="s">
        <v>6444</v>
      </c>
      <c r="AH1195" t="s">
        <v>1461</v>
      </c>
      <c r="AI1195" t="s">
        <v>479</v>
      </c>
      <c r="AJ1195" s="4" t="str">
        <f>"22727"</f>
        <v>22727</v>
      </c>
      <c r="AK1195" t="s">
        <v>120</v>
      </c>
      <c r="AM1195" s="5">
        <v>17036083545</v>
      </c>
      <c r="AO1195" t="s">
        <v>6448</v>
      </c>
      <c r="AX1195" s="4" t="str">
        <f>""</f>
        <v/>
      </c>
      <c r="BG1195" t="s">
        <v>479</v>
      </c>
      <c r="BH1195" s="1">
        <v>44845.833333333336</v>
      </c>
      <c r="BI1195">
        <v>40</v>
      </c>
      <c r="BJ1195">
        <v>0</v>
      </c>
      <c r="BK1195">
        <v>8</v>
      </c>
      <c r="BL1195">
        <v>8</v>
      </c>
      <c r="BM1195">
        <v>8</v>
      </c>
      <c r="BN1195">
        <v>8</v>
      </c>
      <c r="BO1195">
        <v>8</v>
      </c>
      <c r="BP1195">
        <v>0</v>
      </c>
      <c r="BQ1195" t="str">
        <f>"8:00 AM"</f>
        <v>8:00 AM</v>
      </c>
      <c r="BR1195" t="str">
        <f>"4:00 PM"</f>
        <v>4:00 PM</v>
      </c>
      <c r="BS1195" t="s">
        <v>133</v>
      </c>
      <c r="BT1195">
        <v>2</v>
      </c>
      <c r="BU1195">
        <v>2</v>
      </c>
      <c r="BV1195" t="s">
        <v>134</v>
      </c>
      <c r="BX1195" s="2" t="s">
        <v>6449</v>
      </c>
      <c r="BY1195" t="s">
        <v>6444</v>
      </c>
      <c r="CA1195" t="s">
        <v>1461</v>
      </c>
      <c r="CB1195" t="s">
        <v>479</v>
      </c>
      <c r="CC1195" s="4" t="str">
        <f>"22727"</f>
        <v>22727</v>
      </c>
      <c r="CD1195" t="s">
        <v>2258</v>
      </c>
      <c r="CE1195" t="s">
        <v>4380</v>
      </c>
      <c r="CF1195" s="6">
        <v>19</v>
      </c>
      <c r="CG1195" s="6">
        <v>25</v>
      </c>
      <c r="CJ1195" t="s">
        <v>137</v>
      </c>
      <c r="CL1195" t="s">
        <v>6450</v>
      </c>
      <c r="CO1195" t="s">
        <v>138</v>
      </c>
      <c r="CP1195" t="s">
        <v>134</v>
      </c>
      <c r="CQ1195" t="s">
        <v>114</v>
      </c>
      <c r="CR1195" t="s">
        <v>114</v>
      </c>
      <c r="CS1195" t="s">
        <v>114</v>
      </c>
      <c r="CT1195" t="s">
        <v>114</v>
      </c>
      <c r="CU1195" t="s">
        <v>114</v>
      </c>
      <c r="CV1195" t="s">
        <v>6451</v>
      </c>
      <c r="CW1195" s="5" t="str">
        <f>"+17036083545"</f>
        <v>+17036083545</v>
      </c>
      <c r="CX1195" t="s">
        <v>6448</v>
      </c>
      <c r="CY1195" t="s">
        <v>6452</v>
      </c>
      <c r="CZ1195" t="s">
        <v>139</v>
      </c>
      <c r="DA1195" t="s">
        <v>134</v>
      </c>
      <c r="DB1195" t="s">
        <v>134</v>
      </c>
      <c r="DC1195" t="s">
        <v>114</v>
      </c>
      <c r="DD1195" t="s">
        <v>134</v>
      </c>
      <c r="DE1195" t="s">
        <v>6445</v>
      </c>
      <c r="DF1195" t="s">
        <v>6453</v>
      </c>
      <c r="DG1195" t="s">
        <v>2217</v>
      </c>
      <c r="DH1195" t="s">
        <v>6442</v>
      </c>
      <c r="DI1195" t="s">
        <v>6448</v>
      </c>
    </row>
    <row r="1196" spans="1:113" ht="15" customHeight="1" x14ac:dyDescent="0.25">
      <c r="A1196" t="s">
        <v>9631</v>
      </c>
      <c r="B1196" t="s">
        <v>113</v>
      </c>
      <c r="C1196" s="1">
        <v>44859.055619560182</v>
      </c>
      <c r="D1196" s="1">
        <v>44890</v>
      </c>
      <c r="E1196" t="s">
        <v>134</v>
      </c>
      <c r="F1196" t="s">
        <v>9632</v>
      </c>
      <c r="G1196" t="str">
        <f>"37-3011.00"</f>
        <v>37-3011.00</v>
      </c>
      <c r="H1196" t="s">
        <v>335</v>
      </c>
      <c r="I1196">
        <v>4</v>
      </c>
      <c r="K1196" s="1">
        <v>44934</v>
      </c>
      <c r="L1196" s="1">
        <v>45207</v>
      </c>
      <c r="O1196" t="s">
        <v>199</v>
      </c>
      <c r="P1196" t="s">
        <v>9633</v>
      </c>
      <c r="R1196" t="s">
        <v>9634</v>
      </c>
      <c r="T1196" t="s">
        <v>9635</v>
      </c>
      <c r="U1196" t="s">
        <v>444</v>
      </c>
      <c r="V1196" s="4" t="str">
        <f>"92234"</f>
        <v>92234</v>
      </c>
      <c r="W1196" t="s">
        <v>120</v>
      </c>
      <c r="Y1196" s="5">
        <v>17608515170</v>
      </c>
      <c r="AA1196">
        <v>56173</v>
      </c>
      <c r="AB1196" t="s">
        <v>9636</v>
      </c>
      <c r="AC1196" t="s">
        <v>9637</v>
      </c>
      <c r="AE1196" t="s">
        <v>7132</v>
      </c>
      <c r="AF1196" t="s">
        <v>9638</v>
      </c>
      <c r="AH1196" t="s">
        <v>9639</v>
      </c>
      <c r="AI1196" t="s">
        <v>444</v>
      </c>
      <c r="AJ1196" s="4" t="str">
        <f>"92234"</f>
        <v>92234</v>
      </c>
      <c r="AK1196" t="s">
        <v>120</v>
      </c>
      <c r="AM1196" s="5">
        <v>17608515170</v>
      </c>
      <c r="AO1196" t="s">
        <v>9640</v>
      </c>
      <c r="AX1196" s="4" t="str">
        <f>""</f>
        <v/>
      </c>
      <c r="BG1196" t="s">
        <v>444</v>
      </c>
      <c r="BH1196" s="1">
        <v>44857.833333333336</v>
      </c>
      <c r="BI1196">
        <v>35</v>
      </c>
      <c r="BJ1196">
        <v>0</v>
      </c>
      <c r="BK1196">
        <v>7</v>
      </c>
      <c r="BL1196">
        <v>7</v>
      </c>
      <c r="BM1196">
        <v>7</v>
      </c>
      <c r="BN1196">
        <v>7</v>
      </c>
      <c r="BO1196">
        <v>7</v>
      </c>
      <c r="BP1196">
        <v>0</v>
      </c>
      <c r="BQ1196" t="str">
        <f>"7:00 AM"</f>
        <v>7:00 AM</v>
      </c>
      <c r="BR1196" t="str">
        <f>"3:00 PM"</f>
        <v>3:00 PM</v>
      </c>
      <c r="BS1196" t="s">
        <v>295</v>
      </c>
      <c r="BT1196">
        <v>0</v>
      </c>
      <c r="BU1196">
        <v>6</v>
      </c>
      <c r="BV1196" t="s">
        <v>134</v>
      </c>
      <c r="BX1196" s="2" t="s">
        <v>9641</v>
      </c>
      <c r="BY1196" t="s">
        <v>9642</v>
      </c>
      <c r="CA1196" t="s">
        <v>9639</v>
      </c>
      <c r="CB1196" t="s">
        <v>444</v>
      </c>
      <c r="CC1196" s="4" t="str">
        <f>"92234"</f>
        <v>92234</v>
      </c>
      <c r="CD1196" t="s">
        <v>602</v>
      </c>
      <c r="CE1196" t="s">
        <v>609</v>
      </c>
      <c r="CF1196" s="6">
        <v>17.93</v>
      </c>
      <c r="CG1196" s="6">
        <v>19</v>
      </c>
      <c r="CH1196" s="6">
        <v>26.89</v>
      </c>
      <c r="CI1196" s="6">
        <v>38</v>
      </c>
      <c r="CJ1196" t="s">
        <v>137</v>
      </c>
      <c r="CL1196" t="s">
        <v>9643</v>
      </c>
      <c r="CO1196" t="s">
        <v>138</v>
      </c>
      <c r="CP1196" t="s">
        <v>134</v>
      </c>
      <c r="CQ1196" t="s">
        <v>114</v>
      </c>
      <c r="CR1196" t="s">
        <v>114</v>
      </c>
      <c r="CS1196" t="s">
        <v>114</v>
      </c>
      <c r="CT1196" t="s">
        <v>114</v>
      </c>
      <c r="CU1196" t="s">
        <v>114</v>
      </c>
      <c r="CV1196" t="s">
        <v>2314</v>
      </c>
      <c r="CW1196" s="5" t="str">
        <f>"+17608515170"</f>
        <v>+17608515170</v>
      </c>
      <c r="CX1196" t="s">
        <v>9640</v>
      </c>
      <c r="CY1196" t="s">
        <v>138</v>
      </c>
      <c r="CZ1196" t="s">
        <v>139</v>
      </c>
      <c r="DA1196" t="s">
        <v>134</v>
      </c>
      <c r="DB1196" t="s">
        <v>134</v>
      </c>
      <c r="DC1196" t="s">
        <v>114</v>
      </c>
      <c r="DD1196" t="s">
        <v>134</v>
      </c>
    </row>
    <row r="1197" spans="1:113" ht="15" customHeight="1" x14ac:dyDescent="0.25">
      <c r="A1197" t="s">
        <v>10552</v>
      </c>
      <c r="B1197" t="s">
        <v>113</v>
      </c>
      <c r="C1197" s="1">
        <v>44866.439621412035</v>
      </c>
      <c r="D1197" s="1">
        <v>44888</v>
      </c>
      <c r="E1197" t="s">
        <v>134</v>
      </c>
      <c r="F1197" t="s">
        <v>10553</v>
      </c>
      <c r="G1197" t="str">
        <f>"35-1011.00"</f>
        <v>35-1011.00</v>
      </c>
      <c r="H1197" t="s">
        <v>3202</v>
      </c>
      <c r="I1197">
        <v>4</v>
      </c>
      <c r="K1197" s="1">
        <v>44941</v>
      </c>
      <c r="L1197" s="1">
        <v>46296</v>
      </c>
      <c r="O1197" t="s">
        <v>3130</v>
      </c>
      <c r="P1197" t="s">
        <v>10554</v>
      </c>
      <c r="R1197" t="s">
        <v>10555</v>
      </c>
      <c r="T1197" t="s">
        <v>10556</v>
      </c>
      <c r="U1197" t="s">
        <v>232</v>
      </c>
      <c r="V1197" s="4" t="str">
        <f>"79772"</f>
        <v>79772</v>
      </c>
      <c r="W1197" t="s">
        <v>120</v>
      </c>
      <c r="X1197" t="s">
        <v>7866</v>
      </c>
      <c r="Y1197" s="5">
        <v>14694010510</v>
      </c>
      <c r="AA1197">
        <v>722511</v>
      </c>
      <c r="AB1197" t="s">
        <v>10557</v>
      </c>
      <c r="AC1197" t="s">
        <v>10558</v>
      </c>
      <c r="AE1197" t="s">
        <v>424</v>
      </c>
      <c r="AF1197" t="s">
        <v>10559</v>
      </c>
      <c r="AH1197" t="s">
        <v>10560</v>
      </c>
      <c r="AI1197" t="s">
        <v>232</v>
      </c>
      <c r="AJ1197" s="4" t="str">
        <f>"79772"</f>
        <v>79772</v>
      </c>
      <c r="AK1197" t="s">
        <v>120</v>
      </c>
      <c r="AM1197" s="5">
        <v>14694010510</v>
      </c>
      <c r="AO1197" t="s">
        <v>10561</v>
      </c>
      <c r="AP1197" t="s">
        <v>122</v>
      </c>
      <c r="AQ1197" t="s">
        <v>1462</v>
      </c>
      <c r="AR1197" t="s">
        <v>10562</v>
      </c>
      <c r="AS1197" t="s">
        <v>1614</v>
      </c>
      <c r="AT1197" t="s">
        <v>10563</v>
      </c>
      <c r="AU1197" t="s">
        <v>152</v>
      </c>
      <c r="AV1197" t="s">
        <v>684</v>
      </c>
      <c r="AW1197" t="s">
        <v>232</v>
      </c>
      <c r="AX1197" s="4" t="str">
        <f>"78758"</f>
        <v>78758</v>
      </c>
      <c r="AY1197" t="s">
        <v>120</v>
      </c>
      <c r="BA1197" s="5">
        <v>15124540045</v>
      </c>
      <c r="BC1197" t="s">
        <v>10564</v>
      </c>
      <c r="BD1197" t="s">
        <v>10565</v>
      </c>
      <c r="BE1197" t="s">
        <v>697</v>
      </c>
      <c r="BF1197" t="s">
        <v>10566</v>
      </c>
      <c r="BG1197" t="s">
        <v>232</v>
      </c>
      <c r="BH1197" s="1">
        <v>44703.833333333336</v>
      </c>
      <c r="BI1197">
        <v>80.5</v>
      </c>
      <c r="BJ1197">
        <v>11.5</v>
      </c>
      <c r="BK1197">
        <v>11.5</v>
      </c>
      <c r="BL1197">
        <v>11.5</v>
      </c>
      <c r="BM1197">
        <v>11.5</v>
      </c>
      <c r="BN1197">
        <v>11.5</v>
      </c>
      <c r="BO1197">
        <v>11.5</v>
      </c>
      <c r="BP1197">
        <v>11.5</v>
      </c>
      <c r="BQ1197" t="str">
        <f>"10:00 AM"</f>
        <v>10:00 AM</v>
      </c>
      <c r="BR1197" t="str">
        <f>"9:30 PM"</f>
        <v>9:30 PM</v>
      </c>
      <c r="BS1197" t="s">
        <v>133</v>
      </c>
      <c r="BT1197">
        <v>0</v>
      </c>
      <c r="BU1197">
        <v>6</v>
      </c>
      <c r="BV1197" t="s">
        <v>134</v>
      </c>
      <c r="BX1197" t="s">
        <v>10567</v>
      </c>
      <c r="BY1197" t="s">
        <v>10568</v>
      </c>
      <c r="CA1197" t="s">
        <v>10556</v>
      </c>
      <c r="CB1197" t="s">
        <v>232</v>
      </c>
      <c r="CC1197" s="4" t="str">
        <f>"79772"</f>
        <v>79772</v>
      </c>
      <c r="CD1197" t="s">
        <v>10569</v>
      </c>
      <c r="CE1197" t="s">
        <v>4378</v>
      </c>
      <c r="CF1197" s="6">
        <v>16</v>
      </c>
      <c r="CG1197" s="6">
        <v>16</v>
      </c>
      <c r="CH1197" s="6">
        <v>20</v>
      </c>
      <c r="CI1197" s="6">
        <v>20</v>
      </c>
      <c r="CJ1197" t="s">
        <v>137</v>
      </c>
      <c r="CL1197" t="s">
        <v>10570</v>
      </c>
      <c r="CO1197" t="s">
        <v>138</v>
      </c>
      <c r="CP1197" t="s">
        <v>134</v>
      </c>
      <c r="CQ1197" t="s">
        <v>114</v>
      </c>
      <c r="CR1197" t="s">
        <v>114</v>
      </c>
      <c r="CS1197" t="s">
        <v>114</v>
      </c>
      <c r="CT1197" t="s">
        <v>114</v>
      </c>
      <c r="CU1197" t="s">
        <v>114</v>
      </c>
      <c r="CV1197" t="s">
        <v>3394</v>
      </c>
      <c r="CW1197" s="5" t="str">
        <f>"+14694010510"</f>
        <v>+14694010510</v>
      </c>
      <c r="CX1197" t="s">
        <v>10571</v>
      </c>
      <c r="CY1197" t="s">
        <v>138</v>
      </c>
      <c r="CZ1197" t="s">
        <v>139</v>
      </c>
      <c r="DA1197" t="s">
        <v>134</v>
      </c>
      <c r="DB1197" t="s">
        <v>134</v>
      </c>
      <c r="DC1197" t="s">
        <v>114</v>
      </c>
      <c r="DD1197" t="s">
        <v>134</v>
      </c>
      <c r="DE1197" t="s">
        <v>1462</v>
      </c>
      <c r="DF1197" t="s">
        <v>10572</v>
      </c>
      <c r="DG1197" t="s">
        <v>2149</v>
      </c>
      <c r="DH1197" t="s">
        <v>10565</v>
      </c>
      <c r="DI1197" t="s">
        <v>10564</v>
      </c>
    </row>
    <row r="1198" spans="1:113" ht="15" customHeight="1" x14ac:dyDescent="0.25">
      <c r="A1198" t="s">
        <v>8731</v>
      </c>
      <c r="B1198" t="s">
        <v>113</v>
      </c>
      <c r="C1198" s="1">
        <v>44855.617145370372</v>
      </c>
      <c r="D1198" s="1">
        <v>44888</v>
      </c>
      <c r="E1198" t="s">
        <v>134</v>
      </c>
      <c r="F1198" t="s">
        <v>8732</v>
      </c>
      <c r="G1198" t="str">
        <f>"37-2011.00"</f>
        <v>37-2011.00</v>
      </c>
      <c r="H1198" t="s">
        <v>672</v>
      </c>
      <c r="I1198">
        <v>4</v>
      </c>
      <c r="K1198" s="1">
        <v>44942</v>
      </c>
      <c r="L1198" s="1">
        <v>45215</v>
      </c>
      <c r="O1198" t="s">
        <v>199</v>
      </c>
      <c r="P1198" t="s">
        <v>8733</v>
      </c>
      <c r="R1198" t="s">
        <v>8734</v>
      </c>
      <c r="T1198" t="s">
        <v>8735</v>
      </c>
      <c r="U1198" t="s">
        <v>281</v>
      </c>
      <c r="V1198" s="4" t="str">
        <f>"02072"</f>
        <v>02072</v>
      </c>
      <c r="W1198" t="s">
        <v>120</v>
      </c>
      <c r="Y1198" s="5">
        <v>17813414409</v>
      </c>
      <c r="AA1198">
        <v>531210</v>
      </c>
      <c r="AB1198" t="s">
        <v>8736</v>
      </c>
      <c r="AC1198" t="s">
        <v>8737</v>
      </c>
      <c r="AE1198" t="s">
        <v>256</v>
      </c>
      <c r="AF1198" t="s">
        <v>8738</v>
      </c>
      <c r="AH1198" t="s">
        <v>4534</v>
      </c>
      <c r="AI1198" t="s">
        <v>281</v>
      </c>
      <c r="AJ1198" s="4" t="str">
        <f>"02322"</f>
        <v>02322</v>
      </c>
      <c r="AK1198" t="s">
        <v>120</v>
      </c>
      <c r="AM1198" s="5">
        <v>17813414409</v>
      </c>
      <c r="AO1198" t="s">
        <v>8739</v>
      </c>
      <c r="AP1198" t="s">
        <v>256</v>
      </c>
      <c r="AQ1198" t="s">
        <v>2534</v>
      </c>
      <c r="AR1198" t="s">
        <v>125</v>
      </c>
      <c r="AT1198" t="s">
        <v>8740</v>
      </c>
      <c r="AV1198" t="s">
        <v>4534</v>
      </c>
      <c r="AW1198" t="s">
        <v>281</v>
      </c>
      <c r="AX1198" s="4" t="str">
        <f>"02322"</f>
        <v>02322</v>
      </c>
      <c r="AY1198" t="s">
        <v>120</v>
      </c>
      <c r="BA1198" s="5">
        <v>16178395106</v>
      </c>
      <c r="BC1198" t="s">
        <v>8741</v>
      </c>
      <c r="BD1198" t="s">
        <v>8742</v>
      </c>
      <c r="BG1198" t="s">
        <v>281</v>
      </c>
      <c r="BH1198" s="1">
        <v>44851.833333333336</v>
      </c>
      <c r="BI1198">
        <v>36</v>
      </c>
      <c r="BJ1198">
        <v>6</v>
      </c>
      <c r="BK1198">
        <v>6</v>
      </c>
      <c r="BL1198">
        <v>6</v>
      </c>
      <c r="BM1198">
        <v>6</v>
      </c>
      <c r="BN1198">
        <v>6</v>
      </c>
      <c r="BO1198">
        <v>6</v>
      </c>
      <c r="BP1198">
        <v>0</v>
      </c>
      <c r="BQ1198" t="str">
        <f>"5:00 PM"</f>
        <v>5:00 PM</v>
      </c>
      <c r="BR1198" t="str">
        <f>"11:00 PM"</f>
        <v>11:00 PM</v>
      </c>
      <c r="BS1198" t="s">
        <v>133</v>
      </c>
      <c r="BT1198">
        <v>0</v>
      </c>
      <c r="BU1198">
        <v>0</v>
      </c>
      <c r="BV1198" t="s">
        <v>134</v>
      </c>
      <c r="BX1198" s="2" t="s">
        <v>8743</v>
      </c>
      <c r="BY1198" t="s">
        <v>8744</v>
      </c>
      <c r="CA1198" t="s">
        <v>8735</v>
      </c>
      <c r="CB1198" t="s">
        <v>281</v>
      </c>
      <c r="CC1198" s="4" t="str">
        <f>"02072"</f>
        <v>02072</v>
      </c>
      <c r="CD1198" t="s">
        <v>2257</v>
      </c>
      <c r="CE1198" t="s">
        <v>2630</v>
      </c>
      <c r="CF1198" s="6">
        <v>19.829999999999998</v>
      </c>
      <c r="CG1198" s="6">
        <v>19.829999999999998</v>
      </c>
      <c r="CJ1198" t="s">
        <v>137</v>
      </c>
      <c r="CK1198" t="s">
        <v>138</v>
      </c>
      <c r="CL1198" t="s">
        <v>8745</v>
      </c>
      <c r="CO1198" t="s">
        <v>138</v>
      </c>
      <c r="CP1198" t="s">
        <v>134</v>
      </c>
      <c r="CQ1198" t="s">
        <v>134</v>
      </c>
      <c r="CR1198" t="s">
        <v>134</v>
      </c>
      <c r="CS1198" t="s">
        <v>114</v>
      </c>
      <c r="CT1198" t="s">
        <v>114</v>
      </c>
      <c r="CU1198" t="s">
        <v>134</v>
      </c>
      <c r="CV1198" t="s">
        <v>133</v>
      </c>
      <c r="CW1198" s="5" t="str">
        <f>"+16178395106"</f>
        <v>+16178395106</v>
      </c>
      <c r="CX1198" t="s">
        <v>8739</v>
      </c>
      <c r="CY1198" t="s">
        <v>8746</v>
      </c>
      <c r="CZ1198" t="s">
        <v>139</v>
      </c>
      <c r="DA1198" t="s">
        <v>134</v>
      </c>
      <c r="DB1198" t="s">
        <v>114</v>
      </c>
      <c r="DC1198" t="s">
        <v>114</v>
      </c>
      <c r="DD1198" t="s">
        <v>134</v>
      </c>
    </row>
    <row r="1199" spans="1:113" ht="15" customHeight="1" x14ac:dyDescent="0.25">
      <c r="A1199" t="s">
        <v>16529</v>
      </c>
      <c r="B1199" t="s">
        <v>113</v>
      </c>
      <c r="C1199" s="1">
        <v>44833.165151851848</v>
      </c>
      <c r="D1199" s="1">
        <v>44888</v>
      </c>
      <c r="E1199" t="s">
        <v>134</v>
      </c>
      <c r="F1199" t="s">
        <v>1331</v>
      </c>
      <c r="G1199" t="str">
        <f>"35-2014.00"</f>
        <v>35-2014.00</v>
      </c>
      <c r="H1199" t="s">
        <v>915</v>
      </c>
      <c r="I1199">
        <v>4</v>
      </c>
      <c r="K1199" s="1">
        <v>44908</v>
      </c>
      <c r="L1199" s="1">
        <v>45272</v>
      </c>
      <c r="O1199" t="s">
        <v>168</v>
      </c>
      <c r="P1199" t="s">
        <v>9705</v>
      </c>
      <c r="R1199" t="s">
        <v>9706</v>
      </c>
      <c r="T1199" t="s">
        <v>9707</v>
      </c>
      <c r="U1199" t="s">
        <v>8126</v>
      </c>
      <c r="V1199" s="4" t="str">
        <f>"96766"</f>
        <v>96766</v>
      </c>
      <c r="W1199" t="s">
        <v>120</v>
      </c>
      <c r="Y1199" s="5">
        <v>18083207088</v>
      </c>
      <c r="AA1199">
        <v>722511</v>
      </c>
      <c r="AB1199" t="s">
        <v>9708</v>
      </c>
      <c r="AC1199" t="s">
        <v>9709</v>
      </c>
      <c r="AD1199" t="s">
        <v>9710</v>
      </c>
      <c r="AE1199" t="s">
        <v>7068</v>
      </c>
      <c r="AF1199" t="s">
        <v>9711</v>
      </c>
      <c r="AH1199" t="s">
        <v>9712</v>
      </c>
      <c r="AI1199" t="s">
        <v>8126</v>
      </c>
      <c r="AJ1199" s="4" t="str">
        <f>"96756"</f>
        <v>96756</v>
      </c>
      <c r="AK1199" t="s">
        <v>120</v>
      </c>
      <c r="AM1199" s="5">
        <v>18083519888</v>
      </c>
      <c r="AO1199" t="s">
        <v>9713</v>
      </c>
      <c r="AP1199" t="s">
        <v>122</v>
      </c>
      <c r="AQ1199" t="s">
        <v>9708</v>
      </c>
      <c r="AR1199" t="s">
        <v>1149</v>
      </c>
      <c r="AS1199" t="s">
        <v>146</v>
      </c>
      <c r="AT1199" t="s">
        <v>9714</v>
      </c>
      <c r="AV1199" t="s">
        <v>9707</v>
      </c>
      <c r="AW1199" t="s">
        <v>8126</v>
      </c>
      <c r="AX1199" s="4" t="str">
        <f>"96766"</f>
        <v>96766</v>
      </c>
      <c r="AY1199" t="s">
        <v>120</v>
      </c>
      <c r="BA1199" s="5">
        <v>18082468884</v>
      </c>
      <c r="BC1199" t="s">
        <v>9715</v>
      </c>
      <c r="BD1199" t="s">
        <v>9716</v>
      </c>
      <c r="BE1199" t="s">
        <v>8126</v>
      </c>
      <c r="BF1199" t="s">
        <v>9717</v>
      </c>
      <c r="BG1199" t="s">
        <v>8126</v>
      </c>
      <c r="BH1199" s="1">
        <v>44831.833333333336</v>
      </c>
      <c r="BI1199">
        <v>40</v>
      </c>
      <c r="BJ1199">
        <v>8</v>
      </c>
      <c r="BK1199">
        <v>8</v>
      </c>
      <c r="BL1199">
        <v>0</v>
      </c>
      <c r="BM1199">
        <v>0</v>
      </c>
      <c r="BN1199">
        <v>8</v>
      </c>
      <c r="BO1199">
        <v>8</v>
      </c>
      <c r="BP1199">
        <v>8</v>
      </c>
      <c r="BQ1199" t="str">
        <f>"7:00 AM"</f>
        <v>7:00 AM</v>
      </c>
      <c r="BR1199" t="str">
        <f>"4:00 PM"</f>
        <v>4:00 PM</v>
      </c>
      <c r="BS1199" t="s">
        <v>295</v>
      </c>
      <c r="BT1199">
        <v>0</v>
      </c>
      <c r="BU1199">
        <v>24</v>
      </c>
      <c r="BV1199" t="s">
        <v>134</v>
      </c>
      <c r="BX1199" t="s">
        <v>16530</v>
      </c>
      <c r="BY1199" t="s">
        <v>9706</v>
      </c>
      <c r="CA1199" t="s">
        <v>9707</v>
      </c>
      <c r="CB1199" t="s">
        <v>8126</v>
      </c>
      <c r="CC1199" s="4" t="str">
        <f>"96766"</f>
        <v>96766</v>
      </c>
      <c r="CD1199" t="s">
        <v>9718</v>
      </c>
      <c r="CE1199" t="s">
        <v>9719</v>
      </c>
      <c r="CF1199" s="6">
        <v>19.510000000000002</v>
      </c>
      <c r="CG1199" s="6">
        <v>19.510000000000002</v>
      </c>
      <c r="CH1199" s="6">
        <v>29.27</v>
      </c>
      <c r="CI1199" s="6">
        <v>29.27</v>
      </c>
      <c r="CJ1199" t="s">
        <v>137</v>
      </c>
      <c r="CL1199" t="s">
        <v>16531</v>
      </c>
      <c r="CO1199" t="s">
        <v>138</v>
      </c>
      <c r="CP1199" t="s">
        <v>134</v>
      </c>
      <c r="CQ1199" t="s">
        <v>134</v>
      </c>
      <c r="CR1199" t="s">
        <v>114</v>
      </c>
      <c r="CS1199" t="s">
        <v>114</v>
      </c>
      <c r="CT1199" t="s">
        <v>114</v>
      </c>
      <c r="CU1199" t="s">
        <v>114</v>
      </c>
      <c r="CV1199" t="s">
        <v>5345</v>
      </c>
      <c r="CW1199" s="5" t="str">
        <f>"+18083207088"</f>
        <v>+18083207088</v>
      </c>
      <c r="CX1199" t="s">
        <v>9713</v>
      </c>
      <c r="CY1199" t="s">
        <v>9722</v>
      </c>
      <c r="CZ1199" t="s">
        <v>139</v>
      </c>
      <c r="DA1199" t="s">
        <v>134</v>
      </c>
      <c r="DB1199" t="s">
        <v>134</v>
      </c>
      <c r="DC1199" t="s">
        <v>114</v>
      </c>
      <c r="DD1199" t="s">
        <v>134</v>
      </c>
    </row>
    <row r="1200" spans="1:113" ht="15" customHeight="1" x14ac:dyDescent="0.25">
      <c r="A1200" t="s">
        <v>10488</v>
      </c>
      <c r="B1200" t="s">
        <v>113</v>
      </c>
      <c r="C1200" s="1">
        <v>44840.528688310187</v>
      </c>
      <c r="D1200" s="1">
        <v>44887</v>
      </c>
      <c r="E1200" t="s">
        <v>134</v>
      </c>
      <c r="F1200" t="s">
        <v>10489</v>
      </c>
      <c r="G1200" t="str">
        <f>"47-2042.00"</f>
        <v>47-2042.00</v>
      </c>
      <c r="H1200" t="s">
        <v>5172</v>
      </c>
      <c r="I1200">
        <v>1</v>
      </c>
      <c r="K1200" s="1">
        <v>44921</v>
      </c>
      <c r="L1200" s="1">
        <v>45096</v>
      </c>
      <c r="O1200" t="s">
        <v>117</v>
      </c>
      <c r="P1200" t="s">
        <v>10490</v>
      </c>
      <c r="Q1200" t="s">
        <v>10490</v>
      </c>
      <c r="R1200" t="s">
        <v>10491</v>
      </c>
      <c r="T1200" t="s">
        <v>10492</v>
      </c>
      <c r="U1200" t="s">
        <v>154</v>
      </c>
      <c r="V1200" s="4" t="str">
        <f>"32113"</f>
        <v>32113</v>
      </c>
      <c r="W1200" t="s">
        <v>120</v>
      </c>
      <c r="Y1200" s="5">
        <v>13523423258</v>
      </c>
      <c r="AA1200">
        <v>238330</v>
      </c>
      <c r="AB1200" t="s">
        <v>10493</v>
      </c>
      <c r="AC1200" t="s">
        <v>10494</v>
      </c>
      <c r="AD1200" t="s">
        <v>7548</v>
      </c>
      <c r="AE1200" t="s">
        <v>342</v>
      </c>
      <c r="AF1200" t="s">
        <v>10495</v>
      </c>
      <c r="AH1200" t="s">
        <v>10492</v>
      </c>
      <c r="AI1200" t="s">
        <v>154</v>
      </c>
      <c r="AJ1200" s="4" t="str">
        <f>"32113"</f>
        <v>32113</v>
      </c>
      <c r="AK1200" t="s">
        <v>120</v>
      </c>
      <c r="AM1200" s="5">
        <v>13523423258</v>
      </c>
      <c r="AO1200" t="s">
        <v>10496</v>
      </c>
      <c r="AX1200" s="4" t="str">
        <f>""</f>
        <v/>
      </c>
      <c r="BG1200" t="s">
        <v>154</v>
      </c>
      <c r="BH1200" s="1">
        <v>44809.833333333336</v>
      </c>
      <c r="BI1200">
        <v>35</v>
      </c>
      <c r="BJ1200">
        <v>0</v>
      </c>
      <c r="BK1200">
        <v>7</v>
      </c>
      <c r="BL1200">
        <v>7</v>
      </c>
      <c r="BM1200">
        <v>7</v>
      </c>
      <c r="BN1200">
        <v>7</v>
      </c>
      <c r="BO1200">
        <v>7</v>
      </c>
      <c r="BP1200">
        <v>0</v>
      </c>
      <c r="BQ1200" t="str">
        <f>"9:00 AM"</f>
        <v>9:00 AM</v>
      </c>
      <c r="BR1200" t="str">
        <f>"4:00 PM"</f>
        <v>4:00 PM</v>
      </c>
      <c r="BS1200" t="s">
        <v>295</v>
      </c>
      <c r="BT1200">
        <v>1</v>
      </c>
      <c r="BU1200">
        <v>3</v>
      </c>
      <c r="BV1200" t="s">
        <v>134</v>
      </c>
      <c r="BX1200" t="s">
        <v>10497</v>
      </c>
      <c r="BY1200" t="s">
        <v>10495</v>
      </c>
      <c r="CA1200" t="s">
        <v>10492</v>
      </c>
      <c r="CB1200" t="s">
        <v>154</v>
      </c>
      <c r="CC1200" s="4" t="str">
        <f>"32113"</f>
        <v>32113</v>
      </c>
      <c r="CD1200" t="s">
        <v>638</v>
      </c>
      <c r="CE1200" t="s">
        <v>639</v>
      </c>
      <c r="CF1200" s="6">
        <v>19.03</v>
      </c>
      <c r="CG1200" s="6">
        <v>21</v>
      </c>
      <c r="CH1200" s="6">
        <v>28.55</v>
      </c>
      <c r="CI1200" s="6">
        <v>31.5</v>
      </c>
      <c r="CJ1200" t="s">
        <v>137</v>
      </c>
      <c r="CL1200" t="s">
        <v>10498</v>
      </c>
      <c r="CO1200" t="s">
        <v>138</v>
      </c>
      <c r="CP1200" t="s">
        <v>114</v>
      </c>
      <c r="CQ1200" t="s">
        <v>114</v>
      </c>
      <c r="CR1200" t="s">
        <v>114</v>
      </c>
      <c r="CS1200" t="s">
        <v>114</v>
      </c>
      <c r="CT1200" t="s">
        <v>114</v>
      </c>
      <c r="CU1200" t="s">
        <v>114</v>
      </c>
      <c r="CV1200" t="s">
        <v>10499</v>
      </c>
      <c r="CW1200" s="5" t="str">
        <f>"+13523423258"</f>
        <v>+13523423258</v>
      </c>
      <c r="CX1200" t="s">
        <v>10496</v>
      </c>
      <c r="CY1200" t="s">
        <v>138</v>
      </c>
      <c r="CZ1200" t="s">
        <v>139</v>
      </c>
      <c r="DA1200" t="s">
        <v>134</v>
      </c>
      <c r="DB1200" t="s">
        <v>134</v>
      </c>
      <c r="DC1200" t="s">
        <v>114</v>
      </c>
      <c r="DD1200" t="s">
        <v>134</v>
      </c>
    </row>
    <row r="1201" spans="1:113" ht="15" customHeight="1" x14ac:dyDescent="0.25">
      <c r="A1201" t="s">
        <v>9704</v>
      </c>
      <c r="B1201" t="s">
        <v>113</v>
      </c>
      <c r="C1201" s="1">
        <v>44833.175986226852</v>
      </c>
      <c r="D1201" s="1">
        <v>44887</v>
      </c>
      <c r="E1201" t="s">
        <v>134</v>
      </c>
      <c r="F1201" t="s">
        <v>4244</v>
      </c>
      <c r="G1201" t="str">
        <f>"35-9099.00"</f>
        <v>35-9099.00</v>
      </c>
      <c r="H1201" t="s">
        <v>4244</v>
      </c>
      <c r="I1201">
        <v>1</v>
      </c>
      <c r="K1201" s="1">
        <v>44908</v>
      </c>
      <c r="L1201" s="1">
        <v>45272</v>
      </c>
      <c r="O1201" t="s">
        <v>168</v>
      </c>
      <c r="P1201" t="s">
        <v>9705</v>
      </c>
      <c r="R1201" t="s">
        <v>9706</v>
      </c>
      <c r="T1201" t="s">
        <v>9707</v>
      </c>
      <c r="U1201" t="s">
        <v>8126</v>
      </c>
      <c r="V1201" s="4" t="str">
        <f>"96766"</f>
        <v>96766</v>
      </c>
      <c r="W1201" t="s">
        <v>120</v>
      </c>
      <c r="Y1201" s="5">
        <v>18083207088</v>
      </c>
      <c r="AA1201">
        <v>722511</v>
      </c>
      <c r="AB1201" t="s">
        <v>9708</v>
      </c>
      <c r="AC1201" t="s">
        <v>9709</v>
      </c>
      <c r="AD1201" t="s">
        <v>9710</v>
      </c>
      <c r="AE1201" t="s">
        <v>7068</v>
      </c>
      <c r="AF1201" t="s">
        <v>9711</v>
      </c>
      <c r="AH1201" t="s">
        <v>9712</v>
      </c>
      <c r="AI1201" t="s">
        <v>8126</v>
      </c>
      <c r="AJ1201" s="4" t="str">
        <f>"96756"</f>
        <v>96756</v>
      </c>
      <c r="AK1201" t="s">
        <v>120</v>
      </c>
      <c r="AM1201" s="5">
        <v>18083519888</v>
      </c>
      <c r="AO1201" t="s">
        <v>9713</v>
      </c>
      <c r="AP1201" t="s">
        <v>122</v>
      </c>
      <c r="AQ1201" t="s">
        <v>9708</v>
      </c>
      <c r="AR1201" t="s">
        <v>1149</v>
      </c>
      <c r="AS1201" t="s">
        <v>146</v>
      </c>
      <c r="AT1201" t="s">
        <v>9714</v>
      </c>
      <c r="AV1201" t="s">
        <v>9707</v>
      </c>
      <c r="AW1201" t="s">
        <v>8126</v>
      </c>
      <c r="AX1201" s="4" t="str">
        <f>"96766"</f>
        <v>96766</v>
      </c>
      <c r="AY1201" t="s">
        <v>120</v>
      </c>
      <c r="BA1201" s="5">
        <v>18082468884</v>
      </c>
      <c r="BC1201" t="s">
        <v>9715</v>
      </c>
      <c r="BD1201" t="s">
        <v>9716</v>
      </c>
      <c r="BE1201" t="s">
        <v>8126</v>
      </c>
      <c r="BF1201" t="s">
        <v>9717</v>
      </c>
      <c r="BG1201" t="s">
        <v>8126</v>
      </c>
      <c r="BH1201" s="1">
        <v>44831.833333333336</v>
      </c>
      <c r="BI1201">
        <v>40</v>
      </c>
      <c r="BJ1201">
        <v>0</v>
      </c>
      <c r="BK1201">
        <v>8</v>
      </c>
      <c r="BL1201">
        <v>8</v>
      </c>
      <c r="BM1201">
        <v>8</v>
      </c>
      <c r="BN1201">
        <v>8</v>
      </c>
      <c r="BO1201">
        <v>8</v>
      </c>
      <c r="BP1201">
        <v>0</v>
      </c>
      <c r="BQ1201" t="str">
        <f>"9:00 AM"</f>
        <v>9:00 AM</v>
      </c>
      <c r="BR1201" t="str">
        <f>"5:00 PM"</f>
        <v>5:00 PM</v>
      </c>
      <c r="BS1201" t="s">
        <v>295</v>
      </c>
      <c r="BT1201">
        <v>0</v>
      </c>
      <c r="BU1201">
        <v>3</v>
      </c>
      <c r="BV1201" t="s">
        <v>134</v>
      </c>
      <c r="BX1201" t="s">
        <v>138</v>
      </c>
      <c r="BY1201" t="s">
        <v>9706</v>
      </c>
      <c r="CA1201" t="s">
        <v>9707</v>
      </c>
      <c r="CB1201" t="s">
        <v>8126</v>
      </c>
      <c r="CC1201" s="4" t="str">
        <f>"96766"</f>
        <v>96766</v>
      </c>
      <c r="CD1201" t="s">
        <v>9718</v>
      </c>
      <c r="CE1201" t="s">
        <v>9719</v>
      </c>
      <c r="CF1201" s="6">
        <v>13.63</v>
      </c>
      <c r="CG1201" s="6">
        <v>14</v>
      </c>
      <c r="CH1201" s="6">
        <v>20.45</v>
      </c>
      <c r="CI1201" s="6">
        <v>21</v>
      </c>
      <c r="CJ1201" t="s">
        <v>137</v>
      </c>
      <c r="CK1201" t="s">
        <v>138</v>
      </c>
      <c r="CL1201" t="s">
        <v>9720</v>
      </c>
      <c r="CO1201" t="s">
        <v>138</v>
      </c>
      <c r="CP1201" t="s">
        <v>134</v>
      </c>
      <c r="CQ1201" t="s">
        <v>134</v>
      </c>
      <c r="CR1201" t="s">
        <v>114</v>
      </c>
      <c r="CS1201" t="s">
        <v>114</v>
      </c>
      <c r="CT1201" t="s">
        <v>114</v>
      </c>
      <c r="CU1201" t="s">
        <v>114</v>
      </c>
      <c r="CV1201" t="s">
        <v>9721</v>
      </c>
      <c r="CW1201" s="5" t="str">
        <f>"+18083207088"</f>
        <v>+18083207088</v>
      </c>
      <c r="CX1201" t="s">
        <v>9713</v>
      </c>
      <c r="CY1201" t="s">
        <v>9722</v>
      </c>
      <c r="CZ1201" t="s">
        <v>139</v>
      </c>
      <c r="DA1201" t="s">
        <v>134</v>
      </c>
      <c r="DB1201" t="s">
        <v>134</v>
      </c>
      <c r="DC1201" t="s">
        <v>114</v>
      </c>
      <c r="DD1201" t="s">
        <v>134</v>
      </c>
    </row>
    <row r="1202" spans="1:113" ht="15" customHeight="1" x14ac:dyDescent="0.25">
      <c r="A1202" t="s">
        <v>9670</v>
      </c>
      <c r="B1202" t="s">
        <v>113</v>
      </c>
      <c r="C1202" s="1">
        <v>44838.472114467593</v>
      </c>
      <c r="D1202" s="1">
        <v>44886</v>
      </c>
      <c r="E1202" t="s">
        <v>134</v>
      </c>
      <c r="F1202" t="s">
        <v>9671</v>
      </c>
      <c r="G1202" t="str">
        <f>"49-9098.00"</f>
        <v>49-9098.00</v>
      </c>
      <c r="H1202" t="s">
        <v>525</v>
      </c>
      <c r="I1202">
        <v>5</v>
      </c>
      <c r="K1202" s="1">
        <v>44914</v>
      </c>
      <c r="L1202" s="1">
        <v>45199</v>
      </c>
      <c r="O1202" t="s">
        <v>117</v>
      </c>
      <c r="P1202" t="s">
        <v>9672</v>
      </c>
      <c r="R1202" t="s">
        <v>9673</v>
      </c>
      <c r="T1202" t="s">
        <v>9674</v>
      </c>
      <c r="U1202" t="s">
        <v>119</v>
      </c>
      <c r="V1202" s="4" t="str">
        <f>"28104"</f>
        <v>28104</v>
      </c>
      <c r="W1202" t="s">
        <v>120</v>
      </c>
      <c r="Y1202" s="5">
        <v>17048932878</v>
      </c>
      <c r="Z1202">
        <v>211</v>
      </c>
      <c r="AA1202">
        <v>444210</v>
      </c>
      <c r="AB1202" t="s">
        <v>9675</v>
      </c>
      <c r="AC1202" t="s">
        <v>9676</v>
      </c>
      <c r="AE1202" t="s">
        <v>342</v>
      </c>
      <c r="AF1202" t="s">
        <v>9673</v>
      </c>
      <c r="AH1202" t="s">
        <v>9674</v>
      </c>
      <c r="AI1202" t="s">
        <v>119</v>
      </c>
      <c r="AJ1202" s="4" t="str">
        <f>"28104"</f>
        <v>28104</v>
      </c>
      <c r="AK1202" t="s">
        <v>120</v>
      </c>
      <c r="AM1202" s="5">
        <v>17048932878</v>
      </c>
      <c r="AN1202">
        <v>211</v>
      </c>
      <c r="AO1202" t="s">
        <v>9677</v>
      </c>
      <c r="AX1202" s="4" t="str">
        <f>""</f>
        <v/>
      </c>
      <c r="BG1202" t="s">
        <v>119</v>
      </c>
      <c r="BH1202" s="1">
        <v>44795.833333333336</v>
      </c>
      <c r="BI1202">
        <v>40</v>
      </c>
      <c r="BJ1202">
        <v>0</v>
      </c>
      <c r="BK1202">
        <v>8</v>
      </c>
      <c r="BL1202">
        <v>8</v>
      </c>
      <c r="BM1202">
        <v>8</v>
      </c>
      <c r="BN1202">
        <v>8</v>
      </c>
      <c r="BO1202">
        <v>8</v>
      </c>
      <c r="BP1202">
        <v>0</v>
      </c>
      <c r="BQ1202" t="str">
        <f>"7:00 AM"</f>
        <v>7:00 AM</v>
      </c>
      <c r="BR1202" t="str">
        <f>"5:00 PM"</f>
        <v>5:00 PM</v>
      </c>
      <c r="BS1202" t="s">
        <v>295</v>
      </c>
      <c r="BT1202">
        <v>0</v>
      </c>
      <c r="BU1202">
        <v>12</v>
      </c>
      <c r="BV1202" t="s">
        <v>134</v>
      </c>
      <c r="BX1202" t="s">
        <v>138</v>
      </c>
      <c r="BY1202" t="s">
        <v>9678</v>
      </c>
      <c r="CA1202" t="s">
        <v>9679</v>
      </c>
      <c r="CB1202" t="s">
        <v>119</v>
      </c>
      <c r="CC1202" s="4" t="str">
        <f>"28104"</f>
        <v>28104</v>
      </c>
      <c r="CD1202" t="s">
        <v>1643</v>
      </c>
      <c r="CE1202" t="s">
        <v>1404</v>
      </c>
      <c r="CF1202" s="6">
        <v>19.3</v>
      </c>
      <c r="CG1202" s="6">
        <v>19.3</v>
      </c>
      <c r="CH1202" s="6">
        <v>28.95</v>
      </c>
      <c r="CI1202" s="6">
        <v>28.95</v>
      </c>
      <c r="CJ1202" t="s">
        <v>137</v>
      </c>
      <c r="CL1202" t="s">
        <v>9680</v>
      </c>
      <c r="CO1202" t="s">
        <v>138</v>
      </c>
      <c r="CP1202" t="s">
        <v>134</v>
      </c>
      <c r="CQ1202" t="s">
        <v>114</v>
      </c>
      <c r="CR1202" t="s">
        <v>114</v>
      </c>
      <c r="CS1202" t="s">
        <v>114</v>
      </c>
      <c r="CT1202" t="s">
        <v>114</v>
      </c>
      <c r="CU1202" t="s">
        <v>114</v>
      </c>
      <c r="CV1202" t="s">
        <v>9681</v>
      </c>
      <c r="CW1202" s="5" t="str">
        <f>"+17048932878"</f>
        <v>+17048932878</v>
      </c>
      <c r="CX1202" t="s">
        <v>9682</v>
      </c>
      <c r="CY1202" t="s">
        <v>9683</v>
      </c>
      <c r="CZ1202" t="s">
        <v>139</v>
      </c>
      <c r="DA1202" t="s">
        <v>134</v>
      </c>
      <c r="DB1202" t="s">
        <v>134</v>
      </c>
      <c r="DC1202" t="s">
        <v>114</v>
      </c>
      <c r="DD1202" t="s">
        <v>134</v>
      </c>
      <c r="DE1202" t="s">
        <v>9684</v>
      </c>
      <c r="DF1202" t="s">
        <v>9685</v>
      </c>
      <c r="DH1202" t="s">
        <v>9686</v>
      </c>
      <c r="DI1202" t="s">
        <v>9677</v>
      </c>
    </row>
    <row r="1203" spans="1:113" ht="15" customHeight="1" x14ac:dyDescent="0.25">
      <c r="A1203" t="s">
        <v>225</v>
      </c>
      <c r="B1203" t="s">
        <v>113</v>
      </c>
      <c r="C1203" s="1">
        <v>44834.627003587964</v>
      </c>
      <c r="D1203" s="1">
        <v>44883</v>
      </c>
      <c r="E1203" t="s">
        <v>134</v>
      </c>
      <c r="F1203" t="s">
        <v>226</v>
      </c>
      <c r="G1203" t="str">
        <f>"53-3032.00"</f>
        <v>53-3032.00</v>
      </c>
      <c r="H1203" t="s">
        <v>227</v>
      </c>
      <c r="I1203">
        <v>30</v>
      </c>
      <c r="K1203" s="1">
        <v>44909</v>
      </c>
      <c r="L1203" s="1">
        <v>45107</v>
      </c>
      <c r="O1203" t="s">
        <v>117</v>
      </c>
      <c r="P1203" t="s">
        <v>228</v>
      </c>
      <c r="Q1203" t="s">
        <v>229</v>
      </c>
      <c r="R1203" t="s">
        <v>230</v>
      </c>
      <c r="T1203" t="s">
        <v>231</v>
      </c>
      <c r="U1203" t="s">
        <v>232</v>
      </c>
      <c r="V1203" s="4" t="str">
        <f>"79706"</f>
        <v>79706</v>
      </c>
      <c r="W1203" t="s">
        <v>120</v>
      </c>
      <c r="Y1203" s="5">
        <v>14322890473</v>
      </c>
      <c r="AA1203">
        <v>213112</v>
      </c>
      <c r="AB1203" t="s">
        <v>233</v>
      </c>
      <c r="AC1203" t="s">
        <v>234</v>
      </c>
      <c r="AE1203" t="s">
        <v>235</v>
      </c>
      <c r="AF1203" t="s">
        <v>230</v>
      </c>
      <c r="AH1203" t="s">
        <v>231</v>
      </c>
      <c r="AI1203" t="s">
        <v>232</v>
      </c>
      <c r="AJ1203" s="4" t="str">
        <f>"79706"</f>
        <v>79706</v>
      </c>
      <c r="AK1203" t="s">
        <v>120</v>
      </c>
      <c r="AM1203" s="5">
        <v>14322890473</v>
      </c>
      <c r="AO1203" t="s">
        <v>236</v>
      </c>
      <c r="AX1203" s="4" t="str">
        <f>""</f>
        <v/>
      </c>
      <c r="BG1203" t="s">
        <v>232</v>
      </c>
      <c r="BH1203" s="1">
        <v>44833.833333333336</v>
      </c>
      <c r="BI1203">
        <v>40</v>
      </c>
      <c r="BJ1203">
        <v>0</v>
      </c>
      <c r="BK1203">
        <v>8</v>
      </c>
      <c r="BL1203">
        <v>8</v>
      </c>
      <c r="BM1203">
        <v>8</v>
      </c>
      <c r="BN1203">
        <v>8</v>
      </c>
      <c r="BO1203">
        <v>8</v>
      </c>
      <c r="BP1203">
        <v>0</v>
      </c>
      <c r="BQ1203" t="str">
        <f>"7:00 AM"</f>
        <v>7:00 AM</v>
      </c>
      <c r="BR1203" t="str">
        <f>"3:00 PM"</f>
        <v>3:00 PM</v>
      </c>
      <c r="BS1203" t="s">
        <v>133</v>
      </c>
      <c r="BT1203">
        <v>0</v>
      </c>
      <c r="BU1203">
        <v>12</v>
      </c>
      <c r="BV1203" t="s">
        <v>134</v>
      </c>
      <c r="BX1203" s="2" t="s">
        <v>237</v>
      </c>
      <c r="BY1203" t="s">
        <v>238</v>
      </c>
      <c r="CA1203" t="s">
        <v>239</v>
      </c>
      <c r="CB1203" t="s">
        <v>232</v>
      </c>
      <c r="CC1203" s="4" t="str">
        <f>"79706"</f>
        <v>79706</v>
      </c>
      <c r="CD1203" t="s">
        <v>231</v>
      </c>
      <c r="CE1203" t="s">
        <v>240</v>
      </c>
      <c r="CF1203" s="6">
        <v>24.58</v>
      </c>
      <c r="CH1203" s="6">
        <v>36.869999999999997</v>
      </c>
      <c r="CJ1203" t="s">
        <v>137</v>
      </c>
      <c r="CL1203" t="s">
        <v>241</v>
      </c>
      <c r="CO1203" t="s">
        <v>138</v>
      </c>
      <c r="CP1203" t="s">
        <v>134</v>
      </c>
      <c r="CQ1203" t="s">
        <v>134</v>
      </c>
      <c r="CR1203" t="s">
        <v>114</v>
      </c>
      <c r="CS1203" t="s">
        <v>114</v>
      </c>
      <c r="CT1203" t="s">
        <v>114</v>
      </c>
      <c r="CU1203" t="s">
        <v>114</v>
      </c>
      <c r="CV1203" t="s">
        <v>242</v>
      </c>
      <c r="CW1203" s="5" t="str">
        <f>"+14322890473"</f>
        <v>+14322890473</v>
      </c>
      <c r="CX1203" t="s">
        <v>236</v>
      </c>
      <c r="CY1203" t="s">
        <v>138</v>
      </c>
      <c r="CZ1203" t="s">
        <v>139</v>
      </c>
      <c r="DA1203" t="s">
        <v>134</v>
      </c>
      <c r="DB1203" t="s">
        <v>134</v>
      </c>
      <c r="DC1203" t="s">
        <v>114</v>
      </c>
      <c r="DD1203" t="s">
        <v>134</v>
      </c>
    </row>
    <row r="1204" spans="1:113" ht="15" customHeight="1" x14ac:dyDescent="0.25">
      <c r="A1204" t="s">
        <v>10314</v>
      </c>
      <c r="B1204" t="s">
        <v>113</v>
      </c>
      <c r="C1204" s="1">
        <v>44767.793215625003</v>
      </c>
      <c r="D1204" s="1">
        <v>44882</v>
      </c>
      <c r="E1204" t="s">
        <v>134</v>
      </c>
      <c r="F1204" t="s">
        <v>2676</v>
      </c>
      <c r="G1204" t="str">
        <f>"39-9011.01"</f>
        <v>39-9011.01</v>
      </c>
      <c r="H1204" t="s">
        <v>2677</v>
      </c>
      <c r="I1204">
        <v>1</v>
      </c>
      <c r="K1204" s="1">
        <v>44851</v>
      </c>
      <c r="L1204" s="1">
        <v>45216</v>
      </c>
      <c r="O1204" t="s">
        <v>168</v>
      </c>
      <c r="P1204" t="s">
        <v>10315</v>
      </c>
      <c r="R1204" t="s">
        <v>10316</v>
      </c>
      <c r="T1204" t="s">
        <v>10317</v>
      </c>
      <c r="U1204" t="s">
        <v>444</v>
      </c>
      <c r="V1204" s="4" t="str">
        <f>"91945"</f>
        <v>91945</v>
      </c>
      <c r="W1204" t="s">
        <v>120</v>
      </c>
      <c r="Y1204" s="5">
        <v>18587894586</v>
      </c>
      <c r="AA1204">
        <v>814110</v>
      </c>
      <c r="AB1204" t="s">
        <v>10318</v>
      </c>
      <c r="AC1204" t="s">
        <v>5660</v>
      </c>
      <c r="AD1204" t="s">
        <v>10319</v>
      </c>
      <c r="AE1204" t="s">
        <v>7145</v>
      </c>
      <c r="AF1204" t="s">
        <v>10316</v>
      </c>
      <c r="AH1204" t="s">
        <v>10317</v>
      </c>
      <c r="AI1204" t="s">
        <v>444</v>
      </c>
      <c r="AJ1204" s="4" t="str">
        <f>"91945"</f>
        <v>91945</v>
      </c>
      <c r="AK1204" t="s">
        <v>120</v>
      </c>
      <c r="AM1204" s="5">
        <v>18587894586</v>
      </c>
      <c r="AO1204" t="s">
        <v>10320</v>
      </c>
      <c r="AP1204" t="s">
        <v>122</v>
      </c>
      <c r="AQ1204" t="s">
        <v>2773</v>
      </c>
      <c r="AR1204" t="s">
        <v>1566</v>
      </c>
      <c r="AT1204" t="s">
        <v>10321</v>
      </c>
      <c r="AU1204" t="s">
        <v>10322</v>
      </c>
      <c r="AV1204" t="s">
        <v>7973</v>
      </c>
      <c r="AW1204" t="s">
        <v>420</v>
      </c>
      <c r="AX1204" s="4" t="str">
        <f>"84123"</f>
        <v>84123</v>
      </c>
      <c r="AY1204" t="s">
        <v>120</v>
      </c>
      <c r="BA1204" s="5">
        <v>18015949999</v>
      </c>
      <c r="BC1204" t="s">
        <v>10323</v>
      </c>
      <c r="BD1204" t="s">
        <v>10324</v>
      </c>
      <c r="BE1204" t="s">
        <v>420</v>
      </c>
      <c r="BF1204" t="s">
        <v>4192</v>
      </c>
      <c r="BG1204" t="s">
        <v>444</v>
      </c>
      <c r="BH1204" s="1">
        <v>44759.833333333336</v>
      </c>
      <c r="BI1204">
        <v>45</v>
      </c>
      <c r="BJ1204">
        <v>0</v>
      </c>
      <c r="BK1204">
        <v>9</v>
      </c>
      <c r="BL1204">
        <v>9</v>
      </c>
      <c r="BM1204">
        <v>9</v>
      </c>
      <c r="BN1204">
        <v>9</v>
      </c>
      <c r="BO1204">
        <v>9</v>
      </c>
      <c r="BP1204">
        <v>0</v>
      </c>
      <c r="BQ1204" t="str">
        <f>"8:00 AM"</f>
        <v>8:00 AM</v>
      </c>
      <c r="BR1204" t="str">
        <f>"5:00 PM"</f>
        <v>5:00 PM</v>
      </c>
      <c r="BS1204" t="s">
        <v>133</v>
      </c>
      <c r="BT1204">
        <v>0</v>
      </c>
      <c r="BU1204">
        <v>12</v>
      </c>
      <c r="BV1204" t="s">
        <v>134</v>
      </c>
      <c r="BX1204" s="2" t="s">
        <v>10325</v>
      </c>
      <c r="BY1204" t="s">
        <v>10316</v>
      </c>
      <c r="CA1204" t="s">
        <v>10317</v>
      </c>
      <c r="CB1204" t="s">
        <v>444</v>
      </c>
      <c r="CC1204" s="4" t="str">
        <f>"91945"</f>
        <v>91945</v>
      </c>
      <c r="CD1204" t="s">
        <v>5868</v>
      </c>
      <c r="CE1204" t="s">
        <v>5869</v>
      </c>
      <c r="CF1204" s="6">
        <v>16.79</v>
      </c>
      <c r="CG1204" s="6">
        <v>16.79</v>
      </c>
      <c r="CH1204" s="6">
        <v>25.18</v>
      </c>
      <c r="CI1204" s="6">
        <v>25.18</v>
      </c>
      <c r="CJ1204" t="s">
        <v>137</v>
      </c>
      <c r="CK1204" t="s">
        <v>138</v>
      </c>
      <c r="CL1204" t="s">
        <v>10326</v>
      </c>
      <c r="CO1204" t="s">
        <v>138</v>
      </c>
      <c r="CP1204" t="s">
        <v>134</v>
      </c>
      <c r="CQ1204" t="s">
        <v>134</v>
      </c>
      <c r="CR1204" t="s">
        <v>114</v>
      </c>
      <c r="CS1204" t="s">
        <v>114</v>
      </c>
      <c r="CT1204" t="s">
        <v>114</v>
      </c>
      <c r="CU1204" t="s">
        <v>114</v>
      </c>
      <c r="CV1204" t="s">
        <v>10327</v>
      </c>
      <c r="CW1204" s="5" t="str">
        <f>"+18587894586"</f>
        <v>+18587894586</v>
      </c>
      <c r="CX1204" t="s">
        <v>10328</v>
      </c>
      <c r="CY1204" t="s">
        <v>138</v>
      </c>
      <c r="CZ1204" t="s">
        <v>139</v>
      </c>
      <c r="DA1204" t="s">
        <v>134</v>
      </c>
      <c r="DB1204" t="s">
        <v>134</v>
      </c>
      <c r="DC1204" t="s">
        <v>114</v>
      </c>
      <c r="DD1204" t="s">
        <v>134</v>
      </c>
      <c r="DE1204" t="s">
        <v>10329</v>
      </c>
      <c r="DF1204" t="s">
        <v>10330</v>
      </c>
      <c r="DH1204" t="s">
        <v>10324</v>
      </c>
      <c r="DI1204" t="s">
        <v>10323</v>
      </c>
    </row>
    <row r="1205" spans="1:113" ht="15" customHeight="1" x14ac:dyDescent="0.25">
      <c r="A1205" t="s">
        <v>10336</v>
      </c>
      <c r="B1205" t="s">
        <v>113</v>
      </c>
      <c r="C1205" s="1">
        <v>44838.472913425925</v>
      </c>
      <c r="D1205" s="1">
        <v>44881</v>
      </c>
      <c r="E1205" t="s">
        <v>134</v>
      </c>
      <c r="F1205" t="s">
        <v>1595</v>
      </c>
      <c r="G1205" t="str">
        <f>"35-2014.00"</f>
        <v>35-2014.00</v>
      </c>
      <c r="H1205" t="s">
        <v>915</v>
      </c>
      <c r="I1205">
        <v>2</v>
      </c>
      <c r="K1205" s="1">
        <v>44913</v>
      </c>
      <c r="L1205" s="1">
        <v>45095</v>
      </c>
      <c r="O1205" t="s">
        <v>168</v>
      </c>
      <c r="P1205" t="s">
        <v>9474</v>
      </c>
      <c r="Q1205" t="s">
        <v>9475</v>
      </c>
      <c r="R1205" t="s">
        <v>9476</v>
      </c>
      <c r="T1205" t="s">
        <v>9477</v>
      </c>
      <c r="U1205" t="s">
        <v>748</v>
      </c>
      <c r="V1205" s="4" t="str">
        <f>"19002"</f>
        <v>19002</v>
      </c>
      <c r="W1205" t="s">
        <v>120</v>
      </c>
      <c r="Y1205" s="5">
        <v>12674652000</v>
      </c>
      <c r="AA1205">
        <v>722511</v>
      </c>
      <c r="AB1205" t="s">
        <v>9478</v>
      </c>
      <c r="AC1205" t="s">
        <v>703</v>
      </c>
      <c r="AE1205" t="s">
        <v>9479</v>
      </c>
      <c r="AF1205" t="s">
        <v>9476</v>
      </c>
      <c r="AH1205" t="s">
        <v>9477</v>
      </c>
      <c r="AI1205" t="s">
        <v>748</v>
      </c>
      <c r="AJ1205" s="4" t="str">
        <f>"19002"</f>
        <v>19002</v>
      </c>
      <c r="AK1205" t="s">
        <v>120</v>
      </c>
      <c r="AM1205" s="5">
        <v>12674652000</v>
      </c>
      <c r="AO1205" t="s">
        <v>9480</v>
      </c>
      <c r="AP1205" t="s">
        <v>122</v>
      </c>
      <c r="AQ1205" t="s">
        <v>9481</v>
      </c>
      <c r="AR1205" t="s">
        <v>704</v>
      </c>
      <c r="AS1205" t="s">
        <v>4253</v>
      </c>
      <c r="AT1205" t="s">
        <v>9482</v>
      </c>
      <c r="AU1205" t="s">
        <v>9483</v>
      </c>
      <c r="AV1205" t="s">
        <v>9179</v>
      </c>
      <c r="AW1205" t="s">
        <v>748</v>
      </c>
      <c r="AX1205" s="4" t="str">
        <f>"15219"</f>
        <v>15219</v>
      </c>
      <c r="AY1205" t="s">
        <v>120</v>
      </c>
      <c r="BA1205" s="5">
        <v>14123911334</v>
      </c>
      <c r="BC1205" t="s">
        <v>9484</v>
      </c>
      <c r="BD1205" t="s">
        <v>9485</v>
      </c>
      <c r="BE1205" t="s">
        <v>748</v>
      </c>
      <c r="BF1205" t="s">
        <v>10337</v>
      </c>
      <c r="BG1205" t="s">
        <v>748</v>
      </c>
      <c r="BH1205" s="1">
        <v>44836.833333333336</v>
      </c>
      <c r="BI1205">
        <v>40</v>
      </c>
      <c r="BJ1205">
        <v>0</v>
      </c>
      <c r="BK1205">
        <v>8</v>
      </c>
      <c r="BL1205">
        <v>8</v>
      </c>
      <c r="BM1205">
        <v>8</v>
      </c>
      <c r="BN1205">
        <v>8</v>
      </c>
      <c r="BO1205">
        <v>8</v>
      </c>
      <c r="BP1205">
        <v>0</v>
      </c>
      <c r="BQ1205" t="str">
        <f>"4:00 PM"</f>
        <v>4:00 PM</v>
      </c>
      <c r="BR1205" t="str">
        <f>"12:00 AM"</f>
        <v>12:00 AM</v>
      </c>
      <c r="BS1205" t="s">
        <v>133</v>
      </c>
      <c r="BT1205">
        <v>0</v>
      </c>
      <c r="BU1205">
        <v>6</v>
      </c>
      <c r="BV1205" t="s">
        <v>134</v>
      </c>
      <c r="BX1205" t="s">
        <v>9486</v>
      </c>
      <c r="BY1205" t="s">
        <v>9476</v>
      </c>
      <c r="CA1205" t="s">
        <v>9477</v>
      </c>
      <c r="CB1205" t="s">
        <v>748</v>
      </c>
      <c r="CC1205" s="4" t="str">
        <f>"19002"</f>
        <v>19002</v>
      </c>
      <c r="CD1205" t="s">
        <v>2007</v>
      </c>
      <c r="CE1205" t="s">
        <v>1266</v>
      </c>
      <c r="CF1205" s="6">
        <v>15.61</v>
      </c>
      <c r="CH1205" s="6">
        <v>23.42</v>
      </c>
      <c r="CJ1205" t="s">
        <v>137</v>
      </c>
      <c r="CL1205" t="s">
        <v>10338</v>
      </c>
      <c r="CO1205" t="s">
        <v>138</v>
      </c>
      <c r="CP1205" t="s">
        <v>134</v>
      </c>
      <c r="CQ1205" t="s">
        <v>134</v>
      </c>
      <c r="CR1205" t="s">
        <v>114</v>
      </c>
      <c r="CS1205" t="s">
        <v>114</v>
      </c>
      <c r="CT1205" t="s">
        <v>114</v>
      </c>
      <c r="CU1205" t="s">
        <v>134</v>
      </c>
      <c r="CV1205" t="s">
        <v>9488</v>
      </c>
      <c r="CW1205" s="5" t="str">
        <f>"+12674652000"</f>
        <v>+12674652000</v>
      </c>
      <c r="CX1205" t="s">
        <v>9489</v>
      </c>
      <c r="CY1205" t="s">
        <v>138</v>
      </c>
      <c r="CZ1205" t="s">
        <v>139</v>
      </c>
      <c r="DA1205" t="s">
        <v>134</v>
      </c>
      <c r="DB1205" t="s">
        <v>134</v>
      </c>
      <c r="DC1205" t="s">
        <v>114</v>
      </c>
      <c r="DD1205" t="s">
        <v>134</v>
      </c>
      <c r="DE1205" t="s">
        <v>9490</v>
      </c>
      <c r="DF1205" t="s">
        <v>9491</v>
      </c>
      <c r="DG1205" t="s">
        <v>1857</v>
      </c>
      <c r="DH1205" t="s">
        <v>9485</v>
      </c>
      <c r="DI1205" t="s">
        <v>9492</v>
      </c>
    </row>
    <row r="1206" spans="1:113" ht="15" customHeight="1" x14ac:dyDescent="0.25">
      <c r="A1206" t="s">
        <v>9472</v>
      </c>
      <c r="B1206" t="s">
        <v>113</v>
      </c>
      <c r="C1206" s="1">
        <v>44838.472380324078</v>
      </c>
      <c r="D1206" s="1">
        <v>44881</v>
      </c>
      <c r="E1206" t="s">
        <v>134</v>
      </c>
      <c r="F1206" t="s">
        <v>9473</v>
      </c>
      <c r="G1206" t="str">
        <f>"35-1011.00"</f>
        <v>35-1011.00</v>
      </c>
      <c r="H1206" t="s">
        <v>3202</v>
      </c>
      <c r="I1206">
        <v>2</v>
      </c>
      <c r="K1206" s="1">
        <v>44913</v>
      </c>
      <c r="L1206" s="1">
        <v>45095</v>
      </c>
      <c r="O1206" t="s">
        <v>168</v>
      </c>
      <c r="P1206" t="s">
        <v>9474</v>
      </c>
      <c r="Q1206" t="s">
        <v>9475</v>
      </c>
      <c r="R1206" t="s">
        <v>9476</v>
      </c>
      <c r="T1206" t="s">
        <v>9477</v>
      </c>
      <c r="U1206" t="s">
        <v>748</v>
      </c>
      <c r="V1206" s="4" t="str">
        <f>"19002"</f>
        <v>19002</v>
      </c>
      <c r="W1206" t="s">
        <v>120</v>
      </c>
      <c r="Y1206" s="5">
        <v>12674652000</v>
      </c>
      <c r="AA1206">
        <v>722511</v>
      </c>
      <c r="AB1206" t="s">
        <v>9478</v>
      </c>
      <c r="AC1206" t="s">
        <v>703</v>
      </c>
      <c r="AE1206" t="s">
        <v>9479</v>
      </c>
      <c r="AF1206" t="s">
        <v>9476</v>
      </c>
      <c r="AH1206" t="s">
        <v>9477</v>
      </c>
      <c r="AI1206" t="s">
        <v>748</v>
      </c>
      <c r="AJ1206" s="4" t="str">
        <f>"19002"</f>
        <v>19002</v>
      </c>
      <c r="AK1206" t="s">
        <v>120</v>
      </c>
      <c r="AM1206" s="5">
        <v>12674652000</v>
      </c>
      <c r="AO1206" t="s">
        <v>9480</v>
      </c>
      <c r="AP1206" t="s">
        <v>122</v>
      </c>
      <c r="AQ1206" t="s">
        <v>9481</v>
      </c>
      <c r="AR1206" t="s">
        <v>704</v>
      </c>
      <c r="AS1206" t="s">
        <v>4253</v>
      </c>
      <c r="AT1206" t="s">
        <v>9482</v>
      </c>
      <c r="AU1206" t="s">
        <v>9483</v>
      </c>
      <c r="AV1206" t="s">
        <v>9179</v>
      </c>
      <c r="AW1206" t="s">
        <v>748</v>
      </c>
      <c r="AX1206" s="4" t="str">
        <f>"15219"</f>
        <v>15219</v>
      </c>
      <c r="AY1206" t="s">
        <v>120</v>
      </c>
      <c r="BA1206" s="5">
        <v>14123911334</v>
      </c>
      <c r="BC1206" t="s">
        <v>9484</v>
      </c>
      <c r="BD1206" t="s">
        <v>9485</v>
      </c>
      <c r="BE1206" t="s">
        <v>748</v>
      </c>
      <c r="BF1206" t="s">
        <v>2687</v>
      </c>
      <c r="BG1206" t="s">
        <v>748</v>
      </c>
      <c r="BH1206" s="1">
        <v>44836.833333333336</v>
      </c>
      <c r="BI1206">
        <v>40</v>
      </c>
      <c r="BJ1206">
        <v>0</v>
      </c>
      <c r="BK1206">
        <v>8</v>
      </c>
      <c r="BL1206">
        <v>8</v>
      </c>
      <c r="BM1206">
        <v>8</v>
      </c>
      <c r="BN1206">
        <v>8</v>
      </c>
      <c r="BO1206">
        <v>8</v>
      </c>
      <c r="BP1206">
        <v>0</v>
      </c>
      <c r="BQ1206" t="str">
        <f>"4:00 PM"</f>
        <v>4:00 PM</v>
      </c>
      <c r="BR1206" t="str">
        <f>"12:00 AM"</f>
        <v>12:00 AM</v>
      </c>
      <c r="BS1206" t="s">
        <v>133</v>
      </c>
      <c r="BT1206">
        <v>0</v>
      </c>
      <c r="BU1206">
        <v>6</v>
      </c>
      <c r="BV1206" t="s">
        <v>114</v>
      </c>
      <c r="BW1206">
        <v>7</v>
      </c>
      <c r="BX1206" t="s">
        <v>9486</v>
      </c>
      <c r="BY1206" t="s">
        <v>9476</v>
      </c>
      <c r="CA1206" t="s">
        <v>9477</v>
      </c>
      <c r="CB1206" t="s">
        <v>748</v>
      </c>
      <c r="CC1206" s="4" t="str">
        <f>"19002"</f>
        <v>19002</v>
      </c>
      <c r="CD1206" t="s">
        <v>2007</v>
      </c>
      <c r="CE1206" t="s">
        <v>1266</v>
      </c>
      <c r="CF1206" s="6">
        <v>31.29</v>
      </c>
      <c r="CH1206" s="6">
        <v>46.94</v>
      </c>
      <c r="CJ1206" t="s">
        <v>137</v>
      </c>
      <c r="CL1206" t="s">
        <v>9487</v>
      </c>
      <c r="CO1206" t="s">
        <v>138</v>
      </c>
      <c r="CP1206" t="s">
        <v>134</v>
      </c>
      <c r="CQ1206" t="s">
        <v>134</v>
      </c>
      <c r="CR1206" t="s">
        <v>114</v>
      </c>
      <c r="CS1206" t="s">
        <v>114</v>
      </c>
      <c r="CT1206" t="s">
        <v>114</v>
      </c>
      <c r="CU1206" t="s">
        <v>134</v>
      </c>
      <c r="CV1206" t="s">
        <v>9488</v>
      </c>
      <c r="CW1206" s="5" t="str">
        <f>"+12674652000"</f>
        <v>+12674652000</v>
      </c>
      <c r="CX1206" t="s">
        <v>9489</v>
      </c>
      <c r="CY1206" t="s">
        <v>138</v>
      </c>
      <c r="CZ1206" t="s">
        <v>139</v>
      </c>
      <c r="DA1206" t="s">
        <v>134</v>
      </c>
      <c r="DB1206" t="s">
        <v>134</v>
      </c>
      <c r="DC1206" t="s">
        <v>114</v>
      </c>
      <c r="DD1206" t="s">
        <v>134</v>
      </c>
      <c r="DE1206" t="s">
        <v>9490</v>
      </c>
      <c r="DF1206" t="s">
        <v>9491</v>
      </c>
      <c r="DG1206" t="s">
        <v>1857</v>
      </c>
      <c r="DH1206" t="s">
        <v>9485</v>
      </c>
      <c r="DI1206" t="s">
        <v>9492</v>
      </c>
    </row>
    <row r="1207" spans="1:113" ht="15" customHeight="1" x14ac:dyDescent="0.25">
      <c r="A1207" t="s">
        <v>14608</v>
      </c>
      <c r="B1207" t="s">
        <v>113</v>
      </c>
      <c r="C1207" s="1">
        <v>44843.73463136574</v>
      </c>
      <c r="D1207" s="1">
        <v>44880</v>
      </c>
      <c r="E1207" t="s">
        <v>134</v>
      </c>
      <c r="F1207" t="s">
        <v>13070</v>
      </c>
      <c r="G1207" t="str">
        <f>"35-2013.00"</f>
        <v>35-2013.00</v>
      </c>
      <c r="H1207" t="s">
        <v>773</v>
      </c>
      <c r="I1207">
        <v>1</v>
      </c>
      <c r="K1207" s="1">
        <v>44921</v>
      </c>
      <c r="L1207" s="1">
        <v>45199</v>
      </c>
      <c r="O1207" t="s">
        <v>168</v>
      </c>
      <c r="P1207" t="s">
        <v>13071</v>
      </c>
      <c r="R1207" t="s">
        <v>13072</v>
      </c>
      <c r="T1207" t="s">
        <v>5567</v>
      </c>
      <c r="U1207" t="s">
        <v>792</v>
      </c>
      <c r="V1207" s="4" t="str">
        <f>"98208"</f>
        <v>98208</v>
      </c>
      <c r="W1207" t="s">
        <v>120</v>
      </c>
      <c r="Y1207" s="5">
        <v>13092108989</v>
      </c>
      <c r="AA1207">
        <v>814110</v>
      </c>
      <c r="AB1207" t="s">
        <v>4301</v>
      </c>
      <c r="AC1207" t="s">
        <v>1303</v>
      </c>
      <c r="AE1207" t="s">
        <v>424</v>
      </c>
      <c r="AF1207" t="s">
        <v>13072</v>
      </c>
      <c r="AH1207" t="s">
        <v>5567</v>
      </c>
      <c r="AI1207" t="s">
        <v>792</v>
      </c>
      <c r="AJ1207" s="4" t="str">
        <f>"98208"</f>
        <v>98208</v>
      </c>
      <c r="AK1207" t="s">
        <v>120</v>
      </c>
      <c r="AM1207" s="5">
        <v>13092108989</v>
      </c>
      <c r="AO1207" t="s">
        <v>14609</v>
      </c>
      <c r="AX1207" s="4" t="str">
        <f>""</f>
        <v/>
      </c>
      <c r="BG1207" t="s">
        <v>792</v>
      </c>
      <c r="BH1207" s="1">
        <v>44830.833333333336</v>
      </c>
      <c r="BI1207">
        <v>40</v>
      </c>
      <c r="BJ1207">
        <v>0</v>
      </c>
      <c r="BK1207">
        <v>8</v>
      </c>
      <c r="BL1207">
        <v>8</v>
      </c>
      <c r="BM1207">
        <v>8</v>
      </c>
      <c r="BN1207">
        <v>8</v>
      </c>
      <c r="BO1207">
        <v>8</v>
      </c>
      <c r="BP1207">
        <v>0</v>
      </c>
      <c r="BQ1207" t="str">
        <f>"6:30 AM"</f>
        <v>6:30 AM</v>
      </c>
      <c r="BR1207" t="str">
        <f>"3:00 PM"</f>
        <v>3:00 PM</v>
      </c>
      <c r="BS1207" t="s">
        <v>295</v>
      </c>
      <c r="BT1207">
        <v>0</v>
      </c>
      <c r="BU1207">
        <v>0</v>
      </c>
      <c r="BV1207" t="s">
        <v>134</v>
      </c>
      <c r="BX1207" s="2" t="s">
        <v>13074</v>
      </c>
      <c r="BY1207" t="s">
        <v>13072</v>
      </c>
      <c r="CA1207" t="s">
        <v>5567</v>
      </c>
      <c r="CB1207" t="s">
        <v>792</v>
      </c>
      <c r="CC1207" s="4" t="str">
        <f>"98208"</f>
        <v>98208</v>
      </c>
      <c r="CD1207" t="s">
        <v>11803</v>
      </c>
      <c r="CE1207" t="s">
        <v>2680</v>
      </c>
      <c r="CF1207" s="6">
        <v>21</v>
      </c>
      <c r="CG1207" s="6">
        <v>22</v>
      </c>
      <c r="CJ1207" t="s">
        <v>137</v>
      </c>
      <c r="CL1207" t="s">
        <v>13075</v>
      </c>
      <c r="CO1207" t="s">
        <v>138</v>
      </c>
      <c r="CP1207" t="s">
        <v>134</v>
      </c>
      <c r="CQ1207" t="s">
        <v>114</v>
      </c>
      <c r="CR1207" t="s">
        <v>134</v>
      </c>
      <c r="CS1207" t="s">
        <v>114</v>
      </c>
      <c r="CT1207" t="s">
        <v>114</v>
      </c>
      <c r="CU1207" t="s">
        <v>114</v>
      </c>
      <c r="CV1207" s="2" t="s">
        <v>13076</v>
      </c>
      <c r="CW1207" s="5" t="str">
        <f>"+13092108989"</f>
        <v>+13092108989</v>
      </c>
      <c r="CX1207" t="s">
        <v>138</v>
      </c>
      <c r="CY1207" t="s">
        <v>13077</v>
      </c>
      <c r="CZ1207" t="s">
        <v>139</v>
      </c>
      <c r="DA1207" t="s">
        <v>134</v>
      </c>
      <c r="DB1207" t="s">
        <v>134</v>
      </c>
      <c r="DC1207" t="s">
        <v>114</v>
      </c>
      <c r="DD1207" t="s">
        <v>134</v>
      </c>
    </row>
    <row r="1208" spans="1:113" ht="15" customHeight="1" x14ac:dyDescent="0.25">
      <c r="A1208" t="s">
        <v>15866</v>
      </c>
      <c r="B1208" t="s">
        <v>113</v>
      </c>
      <c r="C1208" s="1">
        <v>44862.55903449074</v>
      </c>
      <c r="D1208" s="1">
        <v>44879</v>
      </c>
      <c r="E1208" t="s">
        <v>134</v>
      </c>
      <c r="F1208" t="s">
        <v>2676</v>
      </c>
      <c r="G1208" t="str">
        <f>"39-9011.01"</f>
        <v>39-9011.01</v>
      </c>
      <c r="H1208" t="s">
        <v>2677</v>
      </c>
      <c r="I1208">
        <v>1</v>
      </c>
      <c r="K1208" s="1">
        <v>44941</v>
      </c>
      <c r="L1208" s="1">
        <v>45209</v>
      </c>
      <c r="O1208" t="s">
        <v>3130</v>
      </c>
      <c r="P1208" t="s">
        <v>2676</v>
      </c>
      <c r="R1208" t="s">
        <v>14942</v>
      </c>
      <c r="T1208" t="s">
        <v>14943</v>
      </c>
      <c r="U1208" t="s">
        <v>444</v>
      </c>
      <c r="V1208" s="4" t="str">
        <f>"92040"</f>
        <v>92040</v>
      </c>
      <c r="W1208" t="s">
        <v>120</v>
      </c>
      <c r="Y1208" s="5">
        <v>12245451690</v>
      </c>
      <c r="AA1208">
        <v>814110</v>
      </c>
      <c r="AB1208" t="s">
        <v>14944</v>
      </c>
      <c r="AC1208" t="s">
        <v>4618</v>
      </c>
      <c r="AD1208" t="s">
        <v>14945</v>
      </c>
      <c r="AE1208" t="s">
        <v>14946</v>
      </c>
      <c r="AF1208" t="s">
        <v>14942</v>
      </c>
      <c r="AH1208" t="s">
        <v>14943</v>
      </c>
      <c r="AI1208" t="s">
        <v>444</v>
      </c>
      <c r="AJ1208" s="4" t="str">
        <f>"92040"</f>
        <v>92040</v>
      </c>
      <c r="AK1208" t="s">
        <v>120</v>
      </c>
      <c r="AM1208" s="5">
        <v>12245451690</v>
      </c>
      <c r="AO1208" t="s">
        <v>14947</v>
      </c>
      <c r="AX1208" s="4" t="str">
        <f>""</f>
        <v/>
      </c>
      <c r="BG1208" t="s">
        <v>444</v>
      </c>
      <c r="BH1208" s="1">
        <v>44861.833333333336</v>
      </c>
      <c r="BI1208">
        <v>58</v>
      </c>
      <c r="BJ1208">
        <v>14</v>
      </c>
      <c r="BK1208">
        <v>6</v>
      </c>
      <c r="BL1208">
        <v>6</v>
      </c>
      <c r="BM1208">
        <v>6</v>
      </c>
      <c r="BN1208">
        <v>6</v>
      </c>
      <c r="BO1208">
        <v>6</v>
      </c>
      <c r="BP1208">
        <v>14</v>
      </c>
      <c r="BQ1208" t="str">
        <f>"6:16 AM"</f>
        <v>6:16 AM</v>
      </c>
      <c r="BR1208" t="str">
        <f>"8:16 PM"</f>
        <v>8:16 PM</v>
      </c>
      <c r="BS1208" t="s">
        <v>133</v>
      </c>
      <c r="BT1208">
        <v>0</v>
      </c>
      <c r="BU1208">
        <v>0</v>
      </c>
      <c r="BV1208" t="s">
        <v>134</v>
      </c>
      <c r="BX1208" s="2" t="s">
        <v>15867</v>
      </c>
      <c r="BY1208" t="s">
        <v>14942</v>
      </c>
      <c r="CA1208" t="s">
        <v>14943</v>
      </c>
      <c r="CB1208" t="s">
        <v>444</v>
      </c>
      <c r="CC1208" s="4" t="str">
        <f>"92040"</f>
        <v>92040</v>
      </c>
      <c r="CD1208" t="s">
        <v>5868</v>
      </c>
      <c r="CE1208" t="s">
        <v>5869</v>
      </c>
      <c r="CF1208" s="6">
        <v>16.79</v>
      </c>
      <c r="CG1208" s="6">
        <v>20</v>
      </c>
      <c r="CJ1208" t="s">
        <v>137</v>
      </c>
      <c r="CL1208" t="s">
        <v>14949</v>
      </c>
      <c r="CO1208" t="s">
        <v>138</v>
      </c>
      <c r="CP1208" t="s">
        <v>134</v>
      </c>
      <c r="CQ1208" t="s">
        <v>114</v>
      </c>
      <c r="CR1208" t="s">
        <v>134</v>
      </c>
      <c r="CS1208" t="s">
        <v>114</v>
      </c>
      <c r="CT1208" t="s">
        <v>114</v>
      </c>
      <c r="CU1208" t="s">
        <v>114</v>
      </c>
      <c r="CV1208" t="s">
        <v>133</v>
      </c>
      <c r="CW1208" s="5" t="str">
        <f>"+12245451690"</f>
        <v>+12245451690</v>
      </c>
      <c r="CX1208" t="s">
        <v>14947</v>
      </c>
      <c r="CY1208" t="s">
        <v>138</v>
      </c>
      <c r="CZ1208" t="s">
        <v>139</v>
      </c>
      <c r="DA1208" t="s">
        <v>134</v>
      </c>
      <c r="DB1208" t="s">
        <v>134</v>
      </c>
      <c r="DC1208" t="s">
        <v>114</v>
      </c>
      <c r="DD1208" t="s">
        <v>134</v>
      </c>
    </row>
    <row r="1209" spans="1:113" ht="15" customHeight="1" x14ac:dyDescent="0.25">
      <c r="A1209" t="s">
        <v>10745</v>
      </c>
      <c r="B1209" t="s">
        <v>113</v>
      </c>
      <c r="C1209" s="1">
        <v>44852.582943287038</v>
      </c>
      <c r="D1209" s="1">
        <v>44879</v>
      </c>
      <c r="E1209" t="s">
        <v>134</v>
      </c>
      <c r="F1209" t="s">
        <v>10746</v>
      </c>
      <c r="G1209" t="str">
        <f>"27-3011.00"</f>
        <v>27-3011.00</v>
      </c>
      <c r="H1209" t="s">
        <v>10747</v>
      </c>
      <c r="I1209">
        <v>1</v>
      </c>
      <c r="K1209" s="1">
        <v>44927</v>
      </c>
      <c r="L1209" s="1">
        <v>45017</v>
      </c>
      <c r="O1209" t="s">
        <v>117</v>
      </c>
      <c r="P1209" t="s">
        <v>10748</v>
      </c>
      <c r="R1209" t="s">
        <v>10749</v>
      </c>
      <c r="S1209" t="s">
        <v>10750</v>
      </c>
      <c r="T1209" t="s">
        <v>5940</v>
      </c>
      <c r="U1209" t="s">
        <v>657</v>
      </c>
      <c r="V1209" s="4" t="str">
        <f>"37067"</f>
        <v>37067</v>
      </c>
      <c r="W1209" t="s">
        <v>120</v>
      </c>
      <c r="Y1209" s="5">
        <v>19516096575</v>
      </c>
      <c r="AA1209">
        <v>541870</v>
      </c>
      <c r="AB1209" t="s">
        <v>10751</v>
      </c>
      <c r="AC1209" t="s">
        <v>10752</v>
      </c>
      <c r="AE1209" t="s">
        <v>252</v>
      </c>
      <c r="AF1209" t="s">
        <v>10753</v>
      </c>
      <c r="AG1209" t="s">
        <v>10754</v>
      </c>
      <c r="AH1209" t="s">
        <v>5940</v>
      </c>
      <c r="AI1209" t="s">
        <v>657</v>
      </c>
      <c r="AJ1209" s="4" t="str">
        <f>"37067"</f>
        <v>37067</v>
      </c>
      <c r="AK1209" t="s">
        <v>120</v>
      </c>
      <c r="AM1209" s="5">
        <v>19516096575</v>
      </c>
      <c r="AO1209" t="s">
        <v>10755</v>
      </c>
      <c r="AX1209" s="4" t="str">
        <f>""</f>
        <v/>
      </c>
      <c r="BG1209" t="s">
        <v>657</v>
      </c>
      <c r="BH1209" s="1">
        <v>44797.833333333336</v>
      </c>
      <c r="BI1209">
        <v>35</v>
      </c>
      <c r="BJ1209">
        <v>0</v>
      </c>
      <c r="BK1209">
        <v>7</v>
      </c>
      <c r="BL1209">
        <v>7</v>
      </c>
      <c r="BM1209">
        <v>7</v>
      </c>
      <c r="BN1209">
        <v>7</v>
      </c>
      <c r="BO1209">
        <v>7</v>
      </c>
      <c r="BP1209">
        <v>0</v>
      </c>
      <c r="BQ1209" t="str">
        <f>"9:00 AM"</f>
        <v>9:00 AM</v>
      </c>
      <c r="BR1209" t="str">
        <f>"5:00 PM"</f>
        <v>5:00 PM</v>
      </c>
      <c r="BS1209" t="s">
        <v>295</v>
      </c>
      <c r="BT1209">
        <v>0</v>
      </c>
      <c r="BU1209">
        <v>0</v>
      </c>
      <c r="BV1209" t="s">
        <v>134</v>
      </c>
      <c r="BX1209" s="2" t="s">
        <v>10756</v>
      </c>
      <c r="BY1209" t="s">
        <v>10749</v>
      </c>
      <c r="BZ1209" t="s">
        <v>10750</v>
      </c>
      <c r="CA1209" t="s">
        <v>5940</v>
      </c>
      <c r="CB1209" t="s">
        <v>657</v>
      </c>
      <c r="CC1209" s="4" t="str">
        <f>"37067"</f>
        <v>37067</v>
      </c>
      <c r="CD1209" t="s">
        <v>2834</v>
      </c>
      <c r="CE1209" t="s">
        <v>1667</v>
      </c>
      <c r="CF1209" s="6">
        <v>20</v>
      </c>
      <c r="CJ1209" t="s">
        <v>137</v>
      </c>
      <c r="CL1209" t="s">
        <v>10757</v>
      </c>
      <c r="CO1209" t="s">
        <v>138</v>
      </c>
      <c r="CP1209" t="s">
        <v>134</v>
      </c>
      <c r="CQ1209" t="s">
        <v>134</v>
      </c>
      <c r="CR1209" t="s">
        <v>134</v>
      </c>
      <c r="CS1209" t="s">
        <v>114</v>
      </c>
      <c r="CT1209" t="s">
        <v>114</v>
      </c>
      <c r="CU1209" t="s">
        <v>134</v>
      </c>
      <c r="CV1209" t="s">
        <v>2314</v>
      </c>
      <c r="CW1209" s="5" t="str">
        <f>"+19516096575"</f>
        <v>+19516096575</v>
      </c>
      <c r="CX1209" t="s">
        <v>10755</v>
      </c>
      <c r="CY1209" t="s">
        <v>138</v>
      </c>
      <c r="CZ1209" t="s">
        <v>139</v>
      </c>
      <c r="DA1209" t="s">
        <v>134</v>
      </c>
      <c r="DB1209" t="s">
        <v>134</v>
      </c>
      <c r="DC1209" t="s">
        <v>114</v>
      </c>
      <c r="DD1209" t="s">
        <v>134</v>
      </c>
    </row>
    <row r="1210" spans="1:113" ht="15" customHeight="1" x14ac:dyDescent="0.25">
      <c r="A1210" t="s">
        <v>15936</v>
      </c>
      <c r="B1210" t="s">
        <v>113</v>
      </c>
      <c r="C1210" s="1">
        <v>44850.73305787037</v>
      </c>
      <c r="D1210" s="1">
        <v>44879</v>
      </c>
      <c r="E1210" t="s">
        <v>134</v>
      </c>
      <c r="F1210" t="s">
        <v>1106</v>
      </c>
      <c r="G1210" t="str">
        <f>"45-4011.00"</f>
        <v>45-4011.00</v>
      </c>
      <c r="H1210" t="s">
        <v>1107</v>
      </c>
      <c r="I1210">
        <v>225</v>
      </c>
      <c r="K1210" s="1">
        <v>44925</v>
      </c>
      <c r="L1210" s="1">
        <v>45107</v>
      </c>
      <c r="O1210" t="s">
        <v>199</v>
      </c>
      <c r="P1210" t="s">
        <v>15937</v>
      </c>
      <c r="R1210" t="s">
        <v>15938</v>
      </c>
      <c r="T1210" t="s">
        <v>15939</v>
      </c>
      <c r="U1210" t="s">
        <v>214</v>
      </c>
      <c r="V1210" s="4" t="str">
        <f>"71078"</f>
        <v>71078</v>
      </c>
      <c r="W1210" t="s">
        <v>120</v>
      </c>
      <c r="Y1210" s="5">
        <v>13185730321</v>
      </c>
      <c r="AA1210">
        <v>11531</v>
      </c>
      <c r="AB1210" t="s">
        <v>15940</v>
      </c>
      <c r="AC1210" t="s">
        <v>124</v>
      </c>
      <c r="AD1210" t="s">
        <v>15941</v>
      </c>
      <c r="AE1210" t="s">
        <v>424</v>
      </c>
      <c r="AF1210" t="s">
        <v>15938</v>
      </c>
      <c r="AH1210" t="s">
        <v>15942</v>
      </c>
      <c r="AI1210" t="s">
        <v>214</v>
      </c>
      <c r="AJ1210" s="4" t="str">
        <f>"71078"</f>
        <v>71078</v>
      </c>
      <c r="AK1210" t="s">
        <v>120</v>
      </c>
      <c r="AM1210" s="5">
        <v>13185730321</v>
      </c>
      <c r="AO1210" t="s">
        <v>15943</v>
      </c>
      <c r="AP1210" t="s">
        <v>122</v>
      </c>
      <c r="AQ1210" t="s">
        <v>725</v>
      </c>
      <c r="AR1210" t="s">
        <v>726</v>
      </c>
      <c r="AS1210" t="s">
        <v>727</v>
      </c>
      <c r="AT1210" t="s">
        <v>3911</v>
      </c>
      <c r="AU1210" t="s">
        <v>1808</v>
      </c>
      <c r="AV1210" t="s">
        <v>730</v>
      </c>
      <c r="AW1210" t="s">
        <v>214</v>
      </c>
      <c r="AX1210" s="4" t="str">
        <f>"70535"</f>
        <v>70535</v>
      </c>
      <c r="AY1210" t="s">
        <v>120</v>
      </c>
      <c r="BA1210" s="5">
        <v>13374663722</v>
      </c>
      <c r="BC1210" t="s">
        <v>731</v>
      </c>
      <c r="BD1210" t="s">
        <v>732</v>
      </c>
      <c r="BE1210" t="s">
        <v>214</v>
      </c>
      <c r="BF1210" t="s">
        <v>733</v>
      </c>
      <c r="BG1210" t="s">
        <v>214</v>
      </c>
      <c r="BH1210" s="1">
        <v>44824.833333333336</v>
      </c>
      <c r="BI1210">
        <v>45</v>
      </c>
      <c r="BJ1210">
        <v>0</v>
      </c>
      <c r="BK1210">
        <v>8</v>
      </c>
      <c r="BL1210">
        <v>8</v>
      </c>
      <c r="BM1210">
        <v>8</v>
      </c>
      <c r="BN1210">
        <v>8</v>
      </c>
      <c r="BO1210">
        <v>8</v>
      </c>
      <c r="BP1210">
        <v>5</v>
      </c>
      <c r="BQ1210" t="str">
        <f>"7:00 AM"</f>
        <v>7:00 AM</v>
      </c>
      <c r="BR1210" t="str">
        <f>"5:00 PM"</f>
        <v>5:00 PM</v>
      </c>
      <c r="BS1210" t="s">
        <v>133</v>
      </c>
      <c r="BT1210">
        <v>0</v>
      </c>
      <c r="BU1210">
        <v>0</v>
      </c>
      <c r="BV1210" t="s">
        <v>134</v>
      </c>
      <c r="BX1210" s="2" t="s">
        <v>15944</v>
      </c>
      <c r="BY1210" t="s">
        <v>15938</v>
      </c>
      <c r="CA1210" t="s">
        <v>15942</v>
      </c>
      <c r="CB1210" t="s">
        <v>214</v>
      </c>
      <c r="CC1210" s="4" t="str">
        <f>"71078"</f>
        <v>71078</v>
      </c>
      <c r="CD1210" t="s">
        <v>15945</v>
      </c>
      <c r="CE1210" t="s">
        <v>1647</v>
      </c>
      <c r="CF1210" s="6">
        <v>14.02</v>
      </c>
      <c r="CG1210" s="6">
        <v>26.28</v>
      </c>
      <c r="CH1210" s="6">
        <v>21.03</v>
      </c>
      <c r="CI1210" s="6">
        <v>39.42</v>
      </c>
      <c r="CJ1210" t="s">
        <v>137</v>
      </c>
      <c r="CK1210" s="2" t="s">
        <v>15946</v>
      </c>
      <c r="CL1210" t="s">
        <v>15947</v>
      </c>
      <c r="CO1210" t="s">
        <v>138</v>
      </c>
      <c r="CP1210" t="s">
        <v>114</v>
      </c>
      <c r="CQ1210" t="s">
        <v>114</v>
      </c>
      <c r="CR1210" t="s">
        <v>114</v>
      </c>
      <c r="CS1210" t="s">
        <v>114</v>
      </c>
      <c r="CT1210" t="s">
        <v>114</v>
      </c>
      <c r="CU1210" t="s">
        <v>114</v>
      </c>
      <c r="CV1210" t="s">
        <v>15948</v>
      </c>
      <c r="CW1210" s="5" t="str">
        <f>"+13185730321"</f>
        <v>+13185730321</v>
      </c>
      <c r="CX1210" t="s">
        <v>15943</v>
      </c>
      <c r="CY1210" t="s">
        <v>138</v>
      </c>
      <c r="CZ1210" t="s">
        <v>139</v>
      </c>
      <c r="DA1210" t="s">
        <v>134</v>
      </c>
      <c r="DB1210" t="s">
        <v>134</v>
      </c>
      <c r="DC1210" t="s">
        <v>114</v>
      </c>
      <c r="DD1210" t="s">
        <v>134</v>
      </c>
    </row>
    <row r="1211" spans="1:113" ht="15" customHeight="1" x14ac:dyDescent="0.25">
      <c r="A1211" t="s">
        <v>11458</v>
      </c>
      <c r="B1211" t="s">
        <v>113</v>
      </c>
      <c r="C1211" s="1">
        <v>44847.662186921298</v>
      </c>
      <c r="D1211" s="1">
        <v>44875</v>
      </c>
      <c r="E1211" t="s">
        <v>134</v>
      </c>
      <c r="F1211" t="s">
        <v>11459</v>
      </c>
      <c r="G1211" t="str">
        <f>"35-9011.00"</f>
        <v>35-9011.00</v>
      </c>
      <c r="H1211" t="s">
        <v>743</v>
      </c>
      <c r="I1211">
        <v>2</v>
      </c>
      <c r="K1211" s="1">
        <v>44922</v>
      </c>
      <c r="L1211" s="1">
        <v>45016</v>
      </c>
      <c r="O1211" t="s">
        <v>199</v>
      </c>
      <c r="P1211" t="s">
        <v>11460</v>
      </c>
      <c r="Q1211" t="s">
        <v>11461</v>
      </c>
      <c r="R1211" t="s">
        <v>11462</v>
      </c>
      <c r="T1211" t="s">
        <v>8820</v>
      </c>
      <c r="U1211" t="s">
        <v>444</v>
      </c>
      <c r="V1211" s="4" t="str">
        <f>"96145"</f>
        <v>96145</v>
      </c>
      <c r="W1211" t="s">
        <v>120</v>
      </c>
      <c r="Y1211" s="5">
        <v>15305830188</v>
      </c>
      <c r="AA1211">
        <v>722511</v>
      </c>
      <c r="AB1211" t="s">
        <v>8957</v>
      </c>
      <c r="AC1211" t="s">
        <v>11463</v>
      </c>
      <c r="AD1211" t="s">
        <v>2089</v>
      </c>
      <c r="AE1211" t="s">
        <v>1567</v>
      </c>
      <c r="AF1211" t="s">
        <v>11462</v>
      </c>
      <c r="AH1211" t="s">
        <v>8820</v>
      </c>
      <c r="AI1211" t="s">
        <v>444</v>
      </c>
      <c r="AJ1211" s="4" t="str">
        <f>"96145"</f>
        <v>96145</v>
      </c>
      <c r="AK1211" t="s">
        <v>120</v>
      </c>
      <c r="AM1211" s="5">
        <v>15305830188</v>
      </c>
      <c r="AO1211" t="s">
        <v>11464</v>
      </c>
      <c r="AX1211" s="4" t="str">
        <f>""</f>
        <v/>
      </c>
      <c r="BG1211" t="s">
        <v>444</v>
      </c>
      <c r="BH1211" s="1">
        <v>44846.833333333336</v>
      </c>
      <c r="BI1211">
        <v>35</v>
      </c>
      <c r="BJ1211">
        <v>7</v>
      </c>
      <c r="BK1211">
        <v>5</v>
      </c>
      <c r="BL1211">
        <v>0</v>
      </c>
      <c r="BM1211">
        <v>0</v>
      </c>
      <c r="BN1211">
        <v>5</v>
      </c>
      <c r="BO1211">
        <v>9</v>
      </c>
      <c r="BP1211">
        <v>9</v>
      </c>
      <c r="BQ1211" t="str">
        <f>"3:30 PM"</f>
        <v>3:30 PM</v>
      </c>
      <c r="BR1211" t="str">
        <f>"11:00 PM"</f>
        <v>11:00 PM</v>
      </c>
      <c r="BS1211" t="s">
        <v>133</v>
      </c>
      <c r="BT1211">
        <v>0</v>
      </c>
      <c r="BU1211">
        <v>0</v>
      </c>
      <c r="BV1211" t="s">
        <v>134</v>
      </c>
      <c r="BX1211" s="2" t="s">
        <v>11465</v>
      </c>
      <c r="BY1211" t="s">
        <v>11462</v>
      </c>
      <c r="CA1211" t="s">
        <v>8820</v>
      </c>
      <c r="CB1211" t="s">
        <v>444</v>
      </c>
      <c r="CC1211" s="4" t="str">
        <f>"96145"</f>
        <v>96145</v>
      </c>
      <c r="CD1211" t="s">
        <v>462</v>
      </c>
      <c r="CE1211" t="s">
        <v>463</v>
      </c>
      <c r="CF1211" s="6">
        <v>15.76</v>
      </c>
      <c r="CG1211" s="6">
        <v>17.5</v>
      </c>
      <c r="CH1211" s="6">
        <v>23.64</v>
      </c>
      <c r="CI1211" s="6">
        <v>25.5</v>
      </c>
      <c r="CJ1211" t="s">
        <v>137</v>
      </c>
      <c r="CK1211" t="s">
        <v>138</v>
      </c>
      <c r="CL1211" t="s">
        <v>11466</v>
      </c>
      <c r="CO1211" t="s">
        <v>138</v>
      </c>
      <c r="CP1211" t="s">
        <v>134</v>
      </c>
      <c r="CQ1211" t="s">
        <v>134</v>
      </c>
      <c r="CR1211" t="s">
        <v>114</v>
      </c>
      <c r="CS1211" t="s">
        <v>114</v>
      </c>
      <c r="CT1211" t="s">
        <v>114</v>
      </c>
      <c r="CU1211" t="s">
        <v>134</v>
      </c>
      <c r="CV1211" t="s">
        <v>11467</v>
      </c>
      <c r="CW1211" s="5" t="str">
        <f>"+15305830188"</f>
        <v>+15305830188</v>
      </c>
      <c r="CX1211" t="s">
        <v>11464</v>
      </c>
      <c r="CY1211" t="s">
        <v>11468</v>
      </c>
      <c r="CZ1211" t="s">
        <v>139</v>
      </c>
      <c r="DA1211" t="s">
        <v>134</v>
      </c>
      <c r="DB1211" t="s">
        <v>134</v>
      </c>
      <c r="DC1211" t="s">
        <v>114</v>
      </c>
      <c r="DD1211" t="s">
        <v>134</v>
      </c>
    </row>
    <row r="1212" spans="1:113" ht="15" customHeight="1" x14ac:dyDescent="0.25">
      <c r="A1212" t="s">
        <v>954</v>
      </c>
      <c r="B1212" t="s">
        <v>113</v>
      </c>
      <c r="C1212" s="1">
        <v>44841.65904259259</v>
      </c>
      <c r="D1212" s="1">
        <v>44875</v>
      </c>
      <c r="E1212" t="s">
        <v>134</v>
      </c>
      <c r="F1212" t="s">
        <v>955</v>
      </c>
      <c r="G1212" t="str">
        <f>"35-3011.00"</f>
        <v>35-3011.00</v>
      </c>
      <c r="H1212" t="s">
        <v>956</v>
      </c>
      <c r="I1212">
        <v>1</v>
      </c>
      <c r="K1212" s="1">
        <v>44916</v>
      </c>
      <c r="L1212" s="1">
        <v>46012</v>
      </c>
      <c r="O1212" t="s">
        <v>168</v>
      </c>
      <c r="P1212" t="s">
        <v>957</v>
      </c>
      <c r="Q1212" t="s">
        <v>958</v>
      </c>
      <c r="R1212" t="s">
        <v>959</v>
      </c>
      <c r="T1212" t="s">
        <v>960</v>
      </c>
      <c r="U1212" t="s">
        <v>349</v>
      </c>
      <c r="V1212" s="4" t="str">
        <f>"83616"</f>
        <v>83616</v>
      </c>
      <c r="W1212" t="s">
        <v>120</v>
      </c>
      <c r="Y1212" s="5">
        <v>18138507869</v>
      </c>
      <c r="AA1212">
        <v>722511</v>
      </c>
      <c r="AB1212" t="s">
        <v>961</v>
      </c>
      <c r="AC1212" t="s">
        <v>962</v>
      </c>
      <c r="AE1212" t="s">
        <v>963</v>
      </c>
      <c r="AF1212" t="s">
        <v>964</v>
      </c>
      <c r="AH1212" t="s">
        <v>965</v>
      </c>
      <c r="AI1212" t="s">
        <v>349</v>
      </c>
      <c r="AJ1212" s="4" t="str">
        <f>"83642"</f>
        <v>83642</v>
      </c>
      <c r="AK1212" t="s">
        <v>120</v>
      </c>
      <c r="AM1212" s="5">
        <v>18138507869</v>
      </c>
      <c r="AO1212" t="s">
        <v>966</v>
      </c>
      <c r="AX1212" s="4" t="str">
        <f>""</f>
        <v/>
      </c>
      <c r="BG1212" t="s">
        <v>349</v>
      </c>
      <c r="BH1212" s="1">
        <v>44739.833333333336</v>
      </c>
      <c r="BI1212">
        <v>40</v>
      </c>
      <c r="BJ1212">
        <v>8</v>
      </c>
      <c r="BK1212">
        <v>0</v>
      </c>
      <c r="BL1212">
        <v>8</v>
      </c>
      <c r="BM1212">
        <v>8</v>
      </c>
      <c r="BN1212">
        <v>0</v>
      </c>
      <c r="BO1212">
        <v>8</v>
      </c>
      <c r="BP1212">
        <v>8</v>
      </c>
      <c r="BQ1212" t="str">
        <f>"9:00 AM"</f>
        <v>9:00 AM</v>
      </c>
      <c r="BR1212" t="str">
        <f>"5:00 PM"</f>
        <v>5:00 PM</v>
      </c>
      <c r="BS1212" t="s">
        <v>967</v>
      </c>
      <c r="BT1212">
        <v>0</v>
      </c>
      <c r="BU1212">
        <v>36</v>
      </c>
      <c r="BV1212" t="s">
        <v>134</v>
      </c>
      <c r="BX1212" t="s">
        <v>968</v>
      </c>
      <c r="BY1212" t="s">
        <v>959</v>
      </c>
      <c r="CA1212" t="s">
        <v>960</v>
      </c>
      <c r="CB1212" t="s">
        <v>349</v>
      </c>
      <c r="CC1212" s="4" t="str">
        <f>"83616"</f>
        <v>83616</v>
      </c>
      <c r="CD1212" t="s">
        <v>969</v>
      </c>
      <c r="CE1212" t="s">
        <v>970</v>
      </c>
      <c r="CF1212" s="6">
        <v>13</v>
      </c>
      <c r="CG1212" s="6">
        <v>24</v>
      </c>
      <c r="CH1212" s="6">
        <v>15</v>
      </c>
      <c r="CI1212" s="6">
        <v>30</v>
      </c>
      <c r="CJ1212" t="s">
        <v>137</v>
      </c>
      <c r="CK1212" t="s">
        <v>971</v>
      </c>
      <c r="CL1212" t="s">
        <v>972</v>
      </c>
      <c r="CO1212" t="s">
        <v>138</v>
      </c>
      <c r="CP1212" t="s">
        <v>134</v>
      </c>
      <c r="CQ1212" t="s">
        <v>134</v>
      </c>
      <c r="CR1212" t="s">
        <v>114</v>
      </c>
      <c r="CS1212" t="s">
        <v>114</v>
      </c>
      <c r="CT1212" t="s">
        <v>114</v>
      </c>
      <c r="CU1212" t="s">
        <v>134</v>
      </c>
      <c r="CV1212" t="s">
        <v>973</v>
      </c>
      <c r="CW1212" s="5" t="str">
        <f>"+18138507869"</f>
        <v>+18138507869</v>
      </c>
      <c r="CX1212" t="s">
        <v>966</v>
      </c>
      <c r="CY1212" t="s">
        <v>138</v>
      </c>
      <c r="CZ1212" t="s">
        <v>139</v>
      </c>
      <c r="DA1212" t="s">
        <v>134</v>
      </c>
      <c r="DB1212" t="s">
        <v>134</v>
      </c>
      <c r="DC1212" t="s">
        <v>114</v>
      </c>
      <c r="DD1212" t="s">
        <v>134</v>
      </c>
    </row>
    <row r="1213" spans="1:113" ht="15" customHeight="1" x14ac:dyDescent="0.25">
      <c r="A1213" t="s">
        <v>3329</v>
      </c>
      <c r="B1213" t="s">
        <v>113</v>
      </c>
      <c r="C1213" s="1">
        <v>44839.410282523146</v>
      </c>
      <c r="D1213" s="1">
        <v>44874</v>
      </c>
      <c r="E1213" t="s">
        <v>134</v>
      </c>
      <c r="F1213" t="s">
        <v>3330</v>
      </c>
      <c r="G1213" t="str">
        <f>"53-3032.00"</f>
        <v>53-3032.00</v>
      </c>
      <c r="H1213" t="s">
        <v>227</v>
      </c>
      <c r="I1213">
        <v>10</v>
      </c>
      <c r="K1213" s="1">
        <v>44849</v>
      </c>
      <c r="L1213" s="1">
        <v>45107</v>
      </c>
      <c r="O1213" t="s">
        <v>168</v>
      </c>
      <c r="P1213" t="s">
        <v>3331</v>
      </c>
      <c r="R1213" t="s">
        <v>3332</v>
      </c>
      <c r="T1213" t="s">
        <v>3333</v>
      </c>
      <c r="U1213" t="s">
        <v>154</v>
      </c>
      <c r="V1213" s="4" t="str">
        <f>"33890"</f>
        <v>33890</v>
      </c>
      <c r="W1213" t="s">
        <v>120</v>
      </c>
      <c r="Y1213" s="5">
        <v>18637734202</v>
      </c>
      <c r="Z1213">
        <v>108</v>
      </c>
      <c r="AA1213">
        <v>484110</v>
      </c>
      <c r="AB1213" t="s">
        <v>3334</v>
      </c>
      <c r="AC1213" t="s">
        <v>3083</v>
      </c>
      <c r="AE1213" t="s">
        <v>1812</v>
      </c>
      <c r="AF1213" t="s">
        <v>3332</v>
      </c>
      <c r="AH1213" t="s">
        <v>3333</v>
      </c>
      <c r="AI1213" t="s">
        <v>154</v>
      </c>
      <c r="AJ1213" s="4" t="str">
        <f>"33890"</f>
        <v>33890</v>
      </c>
      <c r="AK1213" t="s">
        <v>120</v>
      </c>
      <c r="AM1213" s="5">
        <v>18637734202</v>
      </c>
      <c r="AN1213">
        <v>108</v>
      </c>
      <c r="AO1213" t="s">
        <v>3335</v>
      </c>
      <c r="AX1213" s="4" t="str">
        <f>""</f>
        <v/>
      </c>
      <c r="BG1213" t="s">
        <v>154</v>
      </c>
      <c r="BH1213" s="1">
        <v>44837.833333333336</v>
      </c>
      <c r="BI1213">
        <v>60</v>
      </c>
      <c r="BJ1213">
        <v>0</v>
      </c>
      <c r="BK1213">
        <v>12</v>
      </c>
      <c r="BL1213">
        <v>12</v>
      </c>
      <c r="BM1213">
        <v>12</v>
      </c>
      <c r="BN1213">
        <v>12</v>
      </c>
      <c r="BO1213">
        <v>12</v>
      </c>
      <c r="BP1213">
        <v>0</v>
      </c>
      <c r="BQ1213" t="str">
        <f>"6:00 AM"</f>
        <v>6:00 AM</v>
      </c>
      <c r="BR1213" t="str">
        <f>"6:00 PM"</f>
        <v>6:00 PM</v>
      </c>
      <c r="BS1213" t="s">
        <v>133</v>
      </c>
      <c r="BT1213">
        <v>0</v>
      </c>
      <c r="BU1213">
        <v>12</v>
      </c>
      <c r="BV1213" t="s">
        <v>134</v>
      </c>
      <c r="BX1213" s="2" t="s">
        <v>3336</v>
      </c>
      <c r="BY1213" t="s">
        <v>3332</v>
      </c>
      <c r="CA1213" t="s">
        <v>3337</v>
      </c>
      <c r="CB1213" t="s">
        <v>154</v>
      </c>
      <c r="CC1213" s="4" t="str">
        <f>"33890"</f>
        <v>33890</v>
      </c>
      <c r="CD1213" t="s">
        <v>3338</v>
      </c>
      <c r="CE1213" t="s">
        <v>766</v>
      </c>
      <c r="CF1213" s="6">
        <v>21.06</v>
      </c>
      <c r="CJ1213" t="s">
        <v>137</v>
      </c>
      <c r="CK1213" t="s">
        <v>3339</v>
      </c>
      <c r="CL1213" t="s">
        <v>3340</v>
      </c>
      <c r="CO1213" t="s">
        <v>114</v>
      </c>
      <c r="CP1213" t="s">
        <v>134</v>
      </c>
      <c r="CQ1213" t="s">
        <v>114</v>
      </c>
      <c r="CR1213" t="s">
        <v>134</v>
      </c>
      <c r="CS1213" t="s">
        <v>134</v>
      </c>
      <c r="CT1213" t="s">
        <v>114</v>
      </c>
      <c r="CU1213" t="s">
        <v>134</v>
      </c>
      <c r="CV1213" s="2" t="s">
        <v>3341</v>
      </c>
      <c r="CW1213" s="5" t="str">
        <f>"+18637734202"</f>
        <v>+18637734202</v>
      </c>
      <c r="CX1213" t="s">
        <v>138</v>
      </c>
      <c r="CY1213" t="s">
        <v>3162</v>
      </c>
      <c r="CZ1213" t="s">
        <v>139</v>
      </c>
      <c r="DA1213" t="s">
        <v>134</v>
      </c>
      <c r="DB1213" t="s">
        <v>134</v>
      </c>
      <c r="DC1213" t="s">
        <v>114</v>
      </c>
      <c r="DD1213" t="s">
        <v>134</v>
      </c>
    </row>
    <row r="1214" spans="1:113" ht="15" customHeight="1" x14ac:dyDescent="0.25">
      <c r="A1214" t="s">
        <v>5041</v>
      </c>
      <c r="B1214" t="s">
        <v>113</v>
      </c>
      <c r="C1214" s="1">
        <v>44844.427224999999</v>
      </c>
      <c r="D1214" s="1">
        <v>44873</v>
      </c>
      <c r="E1214" t="s">
        <v>134</v>
      </c>
      <c r="F1214" t="s">
        <v>4354</v>
      </c>
      <c r="G1214" t="str">
        <f>"43-3031.00"</f>
        <v>43-3031.00</v>
      </c>
      <c r="H1214" t="s">
        <v>5042</v>
      </c>
      <c r="I1214">
        <v>1</v>
      </c>
      <c r="K1214" s="1">
        <v>44927</v>
      </c>
      <c r="L1214" s="1">
        <v>45170</v>
      </c>
      <c r="O1214" t="s">
        <v>117</v>
      </c>
      <c r="P1214" t="s">
        <v>5043</v>
      </c>
      <c r="R1214" t="s">
        <v>5044</v>
      </c>
      <c r="S1214">
        <v>2</v>
      </c>
      <c r="T1214" t="s">
        <v>2729</v>
      </c>
      <c r="U1214" t="s">
        <v>848</v>
      </c>
      <c r="V1214" s="4" t="str">
        <f>"10455"</f>
        <v>10455</v>
      </c>
      <c r="W1214" t="s">
        <v>120</v>
      </c>
      <c r="Y1214" s="5">
        <v>17185855529</v>
      </c>
      <c r="AA1214">
        <v>238210</v>
      </c>
      <c r="AB1214" t="s">
        <v>5045</v>
      </c>
      <c r="AC1214" t="s">
        <v>5046</v>
      </c>
      <c r="AE1214" t="s">
        <v>342</v>
      </c>
      <c r="AF1214" t="s">
        <v>5044</v>
      </c>
      <c r="AG1214">
        <v>2</v>
      </c>
      <c r="AH1214" t="s">
        <v>2729</v>
      </c>
      <c r="AI1214" t="s">
        <v>848</v>
      </c>
      <c r="AJ1214" s="4" t="str">
        <f>"10455"</f>
        <v>10455</v>
      </c>
      <c r="AK1214" t="s">
        <v>120</v>
      </c>
      <c r="AM1214" s="5">
        <v>17185855529</v>
      </c>
      <c r="AO1214" t="s">
        <v>5047</v>
      </c>
      <c r="AX1214" s="4" t="str">
        <f>""</f>
        <v/>
      </c>
      <c r="BG1214" t="s">
        <v>848</v>
      </c>
      <c r="BH1214" s="1">
        <v>44801.833333333336</v>
      </c>
      <c r="BI1214">
        <v>40</v>
      </c>
      <c r="BJ1214">
        <v>0</v>
      </c>
      <c r="BK1214">
        <v>8</v>
      </c>
      <c r="BL1214">
        <v>8</v>
      </c>
      <c r="BM1214">
        <v>8</v>
      </c>
      <c r="BN1214">
        <v>8</v>
      </c>
      <c r="BO1214">
        <v>8</v>
      </c>
      <c r="BP1214">
        <v>0</v>
      </c>
      <c r="BQ1214" t="str">
        <f>"8:00 AM"</f>
        <v>8:00 AM</v>
      </c>
      <c r="BR1214" t="str">
        <f>"4:00 PM"</f>
        <v>4:00 PM</v>
      </c>
      <c r="BS1214" t="s">
        <v>295</v>
      </c>
      <c r="BT1214">
        <v>1</v>
      </c>
      <c r="BU1214">
        <v>6</v>
      </c>
      <c r="BV1214" t="s">
        <v>134</v>
      </c>
      <c r="BX1214" s="2" t="s">
        <v>5048</v>
      </c>
      <c r="BY1214" t="s">
        <v>5044</v>
      </c>
      <c r="BZ1214">
        <v>2</v>
      </c>
      <c r="CA1214" t="s">
        <v>2729</v>
      </c>
      <c r="CB1214" t="s">
        <v>848</v>
      </c>
      <c r="CC1214" s="4" t="str">
        <f>"10455"</f>
        <v>10455</v>
      </c>
      <c r="CD1214" t="s">
        <v>2731</v>
      </c>
      <c r="CE1214" t="s">
        <v>1009</v>
      </c>
      <c r="CF1214" s="6">
        <v>25.39</v>
      </c>
      <c r="CG1214" s="6">
        <v>26</v>
      </c>
      <c r="CH1214" s="6">
        <v>0</v>
      </c>
      <c r="CI1214" s="6">
        <v>0</v>
      </c>
      <c r="CJ1214" t="s">
        <v>137</v>
      </c>
      <c r="CL1214" t="s">
        <v>5049</v>
      </c>
      <c r="CO1214" t="s">
        <v>138</v>
      </c>
      <c r="CP1214" t="s">
        <v>134</v>
      </c>
      <c r="CQ1214" t="s">
        <v>134</v>
      </c>
      <c r="CR1214" t="s">
        <v>134</v>
      </c>
      <c r="CS1214" t="s">
        <v>114</v>
      </c>
      <c r="CT1214" t="s">
        <v>114</v>
      </c>
      <c r="CU1214" t="s">
        <v>114</v>
      </c>
      <c r="CV1214" s="2" t="s">
        <v>5050</v>
      </c>
      <c r="CW1214" s="5" t="str">
        <f>"+17185855529"</f>
        <v>+17185855529</v>
      </c>
      <c r="CX1214" t="s">
        <v>5047</v>
      </c>
      <c r="CY1214" t="s">
        <v>138</v>
      </c>
      <c r="CZ1214" t="s">
        <v>139</v>
      </c>
      <c r="DA1214" t="s">
        <v>134</v>
      </c>
      <c r="DB1214" t="s">
        <v>134</v>
      </c>
      <c r="DC1214" t="s">
        <v>114</v>
      </c>
      <c r="DD1214" t="s">
        <v>134</v>
      </c>
    </row>
    <row r="1215" spans="1:113" ht="15" customHeight="1" x14ac:dyDescent="0.25">
      <c r="A1215" t="s">
        <v>15270</v>
      </c>
      <c r="B1215" t="s">
        <v>113</v>
      </c>
      <c r="C1215" s="1">
        <v>44841.612586921299</v>
      </c>
      <c r="D1215" s="1">
        <v>44873</v>
      </c>
      <c r="E1215" t="s">
        <v>114</v>
      </c>
      <c r="F1215" t="s">
        <v>15271</v>
      </c>
      <c r="G1215" t="str">
        <f>"47-2111.00"</f>
        <v>47-2111.00</v>
      </c>
      <c r="H1215" t="s">
        <v>1774</v>
      </c>
      <c r="I1215">
        <v>2</v>
      </c>
      <c r="K1215" s="1">
        <v>44927</v>
      </c>
      <c r="L1215" s="1">
        <v>45170</v>
      </c>
      <c r="O1215" t="s">
        <v>117</v>
      </c>
      <c r="P1215" t="s">
        <v>5043</v>
      </c>
      <c r="R1215" t="s">
        <v>5044</v>
      </c>
      <c r="S1215">
        <v>2</v>
      </c>
      <c r="T1215" t="s">
        <v>2729</v>
      </c>
      <c r="U1215" t="s">
        <v>848</v>
      </c>
      <c r="V1215" s="4" t="str">
        <f>"10455"</f>
        <v>10455</v>
      </c>
      <c r="W1215" t="s">
        <v>120</v>
      </c>
      <c r="Y1215" s="5">
        <v>17185855529</v>
      </c>
      <c r="AA1215">
        <v>238210</v>
      </c>
      <c r="AB1215" t="s">
        <v>5045</v>
      </c>
      <c r="AC1215" t="s">
        <v>5046</v>
      </c>
      <c r="AE1215" t="s">
        <v>342</v>
      </c>
      <c r="AF1215" t="s">
        <v>5044</v>
      </c>
      <c r="AG1215">
        <v>2</v>
      </c>
      <c r="AH1215" t="s">
        <v>2729</v>
      </c>
      <c r="AI1215" t="s">
        <v>848</v>
      </c>
      <c r="AJ1215" s="4" t="str">
        <f>"10455"</f>
        <v>10455</v>
      </c>
      <c r="AK1215" t="s">
        <v>120</v>
      </c>
      <c r="AM1215" s="5">
        <v>17185855529</v>
      </c>
      <c r="AO1215" t="s">
        <v>5047</v>
      </c>
      <c r="AX1215" s="4" t="str">
        <f>""</f>
        <v/>
      </c>
      <c r="BG1215" t="s">
        <v>848</v>
      </c>
      <c r="BH1215" s="1">
        <v>44801.833333333336</v>
      </c>
      <c r="BI1215">
        <v>40</v>
      </c>
      <c r="BJ1215">
        <v>0</v>
      </c>
      <c r="BK1215">
        <v>8</v>
      </c>
      <c r="BL1215">
        <v>8</v>
      </c>
      <c r="BM1215">
        <v>8</v>
      </c>
      <c r="BN1215">
        <v>8</v>
      </c>
      <c r="BO1215">
        <v>8</v>
      </c>
      <c r="BP1215">
        <v>0</v>
      </c>
      <c r="BQ1215" t="str">
        <f>"8:00 AM"</f>
        <v>8:00 AM</v>
      </c>
      <c r="BR1215" t="str">
        <f>"4:00 PM"</f>
        <v>4:00 PM</v>
      </c>
      <c r="BS1215" t="s">
        <v>295</v>
      </c>
      <c r="BT1215">
        <v>1</v>
      </c>
      <c r="BU1215">
        <v>6</v>
      </c>
      <c r="BV1215" t="s">
        <v>134</v>
      </c>
      <c r="BX1215" t="s">
        <v>15272</v>
      </c>
      <c r="BY1215" t="s">
        <v>5044</v>
      </c>
      <c r="BZ1215">
        <v>2</v>
      </c>
      <c r="CA1215" t="s">
        <v>2729</v>
      </c>
      <c r="CB1215" t="s">
        <v>848</v>
      </c>
      <c r="CC1215" s="4" t="str">
        <f>"10455"</f>
        <v>10455</v>
      </c>
      <c r="CD1215" t="s">
        <v>2731</v>
      </c>
      <c r="CE1215" t="s">
        <v>1009</v>
      </c>
      <c r="CF1215" s="6">
        <v>40.9</v>
      </c>
      <c r="CG1215" s="6">
        <v>42</v>
      </c>
      <c r="CH1215" s="6">
        <v>61.35</v>
      </c>
      <c r="CI1215" s="6">
        <v>63</v>
      </c>
      <c r="CJ1215" t="s">
        <v>137</v>
      </c>
      <c r="CL1215" t="s">
        <v>15273</v>
      </c>
      <c r="CO1215" t="s">
        <v>138</v>
      </c>
      <c r="CP1215" t="s">
        <v>114</v>
      </c>
      <c r="CQ1215" t="s">
        <v>114</v>
      </c>
      <c r="CR1215" t="s">
        <v>114</v>
      </c>
      <c r="CS1215" t="s">
        <v>114</v>
      </c>
      <c r="CT1215" t="s">
        <v>114</v>
      </c>
      <c r="CU1215" t="s">
        <v>114</v>
      </c>
      <c r="CV1215" t="s">
        <v>15274</v>
      </c>
      <c r="CW1215" s="5" t="str">
        <f>"+17185855529"</f>
        <v>+17185855529</v>
      </c>
      <c r="CX1215" t="s">
        <v>5047</v>
      </c>
      <c r="CY1215" t="s">
        <v>138</v>
      </c>
      <c r="CZ1215" t="s">
        <v>139</v>
      </c>
      <c r="DA1215" t="s">
        <v>134</v>
      </c>
      <c r="DB1215" t="s">
        <v>134</v>
      </c>
      <c r="DC1215" t="s">
        <v>114</v>
      </c>
      <c r="DD1215" t="s">
        <v>134</v>
      </c>
    </row>
    <row r="1216" spans="1:113" ht="15" customHeight="1" x14ac:dyDescent="0.25">
      <c r="A1216" t="s">
        <v>11587</v>
      </c>
      <c r="B1216" t="s">
        <v>113</v>
      </c>
      <c r="C1216" s="1">
        <v>44817.694741203704</v>
      </c>
      <c r="D1216" s="1">
        <v>44873</v>
      </c>
      <c r="E1216" t="s">
        <v>134</v>
      </c>
      <c r="F1216" t="s">
        <v>9157</v>
      </c>
      <c r="G1216" t="str">
        <f>"37-2012.00"</f>
        <v>37-2012.00</v>
      </c>
      <c r="H1216" t="s">
        <v>116</v>
      </c>
      <c r="I1216">
        <v>8</v>
      </c>
      <c r="K1216" s="1">
        <v>44893</v>
      </c>
      <c r="L1216" s="1">
        <v>45016</v>
      </c>
      <c r="O1216" t="s">
        <v>199</v>
      </c>
      <c r="P1216" t="s">
        <v>11588</v>
      </c>
      <c r="Q1216" t="s">
        <v>11589</v>
      </c>
      <c r="R1216" t="s">
        <v>11590</v>
      </c>
      <c r="T1216" t="s">
        <v>9844</v>
      </c>
      <c r="U1216" t="s">
        <v>479</v>
      </c>
      <c r="V1216" s="4" t="str">
        <f>"24060"</f>
        <v>24060</v>
      </c>
      <c r="W1216" t="s">
        <v>120</v>
      </c>
      <c r="Y1216" s="5">
        <v>15407393595</v>
      </c>
      <c r="AA1216">
        <v>721110</v>
      </c>
      <c r="AB1216" t="s">
        <v>5753</v>
      </c>
      <c r="AC1216" t="s">
        <v>11591</v>
      </c>
      <c r="AD1216" t="s">
        <v>4456</v>
      </c>
      <c r="AE1216" t="s">
        <v>3647</v>
      </c>
      <c r="AF1216" t="s">
        <v>11590</v>
      </c>
      <c r="AH1216" t="s">
        <v>9844</v>
      </c>
      <c r="AI1216" t="s">
        <v>479</v>
      </c>
      <c r="AJ1216" s="4" t="str">
        <f>"24060"</f>
        <v>24060</v>
      </c>
      <c r="AK1216" t="s">
        <v>120</v>
      </c>
      <c r="AM1216" s="5">
        <v>15407393595</v>
      </c>
      <c r="AO1216" t="s">
        <v>138</v>
      </c>
      <c r="AP1216" t="s">
        <v>122</v>
      </c>
      <c r="AQ1216" t="s">
        <v>864</v>
      </c>
      <c r="AR1216" t="s">
        <v>865</v>
      </c>
      <c r="AS1216" t="s">
        <v>370</v>
      </c>
      <c r="AT1216" t="s">
        <v>11592</v>
      </c>
      <c r="AV1216" t="s">
        <v>684</v>
      </c>
      <c r="AW1216" t="s">
        <v>232</v>
      </c>
      <c r="AX1216" s="4" t="str">
        <f>"78748"</f>
        <v>78748</v>
      </c>
      <c r="AY1216" t="s">
        <v>120</v>
      </c>
      <c r="BA1216" s="5">
        <v>15123470007</v>
      </c>
      <c r="BC1216" t="s">
        <v>6082</v>
      </c>
      <c r="BD1216" t="s">
        <v>2111</v>
      </c>
      <c r="BE1216" t="s">
        <v>232</v>
      </c>
      <c r="BF1216" t="s">
        <v>870</v>
      </c>
      <c r="BG1216" t="s">
        <v>479</v>
      </c>
      <c r="BH1216" s="1">
        <v>44816.833333333336</v>
      </c>
      <c r="BI1216">
        <v>40</v>
      </c>
      <c r="BJ1216">
        <v>0</v>
      </c>
      <c r="BK1216">
        <v>8</v>
      </c>
      <c r="BL1216">
        <v>8</v>
      </c>
      <c r="BM1216">
        <v>8</v>
      </c>
      <c r="BN1216">
        <v>8</v>
      </c>
      <c r="BO1216">
        <v>8</v>
      </c>
      <c r="BP1216">
        <v>0</v>
      </c>
      <c r="BQ1216" t="str">
        <f>"8:00 AM"</f>
        <v>8:00 AM</v>
      </c>
      <c r="BR1216" t="str">
        <f>"5:00 PM"</f>
        <v>5:00 PM</v>
      </c>
      <c r="BS1216" t="s">
        <v>133</v>
      </c>
      <c r="BT1216">
        <v>0</v>
      </c>
      <c r="BU1216">
        <v>0</v>
      </c>
      <c r="BV1216" t="s">
        <v>134</v>
      </c>
      <c r="BX1216" t="s">
        <v>138</v>
      </c>
      <c r="BY1216" t="s">
        <v>11590</v>
      </c>
      <c r="CA1216" t="s">
        <v>9844</v>
      </c>
      <c r="CB1216" t="s">
        <v>479</v>
      </c>
      <c r="CC1216" s="4" t="str">
        <f>"24060"</f>
        <v>24060</v>
      </c>
      <c r="CD1216" t="s">
        <v>2007</v>
      </c>
      <c r="CE1216" t="s">
        <v>5628</v>
      </c>
      <c r="CF1216" s="6">
        <v>11.51</v>
      </c>
      <c r="CH1216" s="6">
        <v>17.27</v>
      </c>
      <c r="CJ1216" t="s">
        <v>137</v>
      </c>
      <c r="CK1216" t="s">
        <v>6989</v>
      </c>
      <c r="CL1216" t="s">
        <v>11593</v>
      </c>
      <c r="CO1216" t="s">
        <v>138</v>
      </c>
      <c r="CP1216" t="s">
        <v>134</v>
      </c>
      <c r="CQ1216" t="s">
        <v>114</v>
      </c>
      <c r="CR1216" t="s">
        <v>114</v>
      </c>
      <c r="CS1216" t="s">
        <v>114</v>
      </c>
      <c r="CT1216" t="s">
        <v>114</v>
      </c>
      <c r="CU1216" t="s">
        <v>114</v>
      </c>
      <c r="CV1216" s="2" t="s">
        <v>9848</v>
      </c>
      <c r="CW1216" s="5" t="str">
        <f>"+15407504400"</f>
        <v>+15407504400</v>
      </c>
      <c r="CX1216" t="s">
        <v>11594</v>
      </c>
      <c r="CY1216" t="s">
        <v>138</v>
      </c>
      <c r="CZ1216" t="s">
        <v>139</v>
      </c>
      <c r="DA1216" t="s">
        <v>134</v>
      </c>
      <c r="DB1216" t="s">
        <v>134</v>
      </c>
      <c r="DC1216" t="s">
        <v>114</v>
      </c>
      <c r="DD1216" t="s">
        <v>134</v>
      </c>
    </row>
    <row r="1217" spans="1:113" ht="15" customHeight="1" x14ac:dyDescent="0.25">
      <c r="A1217" t="s">
        <v>9804</v>
      </c>
      <c r="B1217" t="s">
        <v>113</v>
      </c>
      <c r="C1217" s="1">
        <v>44838.723746643518</v>
      </c>
      <c r="D1217" s="1">
        <v>44872</v>
      </c>
      <c r="E1217" t="s">
        <v>134</v>
      </c>
      <c r="F1217" t="s">
        <v>115</v>
      </c>
      <c r="G1217" t="str">
        <f>"37-2012.00"</f>
        <v>37-2012.00</v>
      </c>
      <c r="H1217" t="s">
        <v>116</v>
      </c>
      <c r="I1217">
        <v>65</v>
      </c>
      <c r="K1217" s="1">
        <v>44914</v>
      </c>
      <c r="L1217" s="1">
        <v>45191</v>
      </c>
      <c r="O1217" t="s">
        <v>199</v>
      </c>
      <c r="P1217" t="s">
        <v>9805</v>
      </c>
      <c r="R1217" t="s">
        <v>9806</v>
      </c>
      <c r="T1217" t="s">
        <v>9807</v>
      </c>
      <c r="U1217" t="s">
        <v>988</v>
      </c>
      <c r="V1217" s="4" t="str">
        <f>"89502"</f>
        <v>89502</v>
      </c>
      <c r="W1217" t="s">
        <v>120</v>
      </c>
      <c r="Y1217" s="5">
        <v>17754517565</v>
      </c>
      <c r="AA1217">
        <v>561720</v>
      </c>
      <c r="AB1217" t="s">
        <v>9808</v>
      </c>
      <c r="AC1217" t="s">
        <v>5033</v>
      </c>
      <c r="AE1217" t="s">
        <v>2242</v>
      </c>
      <c r="AF1217" t="s">
        <v>9809</v>
      </c>
      <c r="AH1217" t="s">
        <v>9810</v>
      </c>
      <c r="AI1217" t="s">
        <v>154</v>
      </c>
      <c r="AJ1217" s="4" t="str">
        <f>"33161"</f>
        <v>33161</v>
      </c>
      <c r="AK1217" t="s">
        <v>120</v>
      </c>
      <c r="AM1217" s="5">
        <v>13056478365</v>
      </c>
      <c r="AO1217" t="s">
        <v>9811</v>
      </c>
      <c r="AP1217" t="s">
        <v>256</v>
      </c>
      <c r="AQ1217" t="s">
        <v>9812</v>
      </c>
      <c r="AR1217" t="s">
        <v>9813</v>
      </c>
      <c r="AT1217" t="s">
        <v>9814</v>
      </c>
      <c r="AV1217" t="s">
        <v>1538</v>
      </c>
      <c r="AW1217" t="s">
        <v>129</v>
      </c>
      <c r="AX1217" s="4" t="str">
        <f>"30081"</f>
        <v>30081</v>
      </c>
      <c r="AY1217" t="s">
        <v>120</v>
      </c>
      <c r="BA1217" s="5">
        <v>16785919034</v>
      </c>
      <c r="BC1217" t="s">
        <v>9815</v>
      </c>
      <c r="BD1217" t="s">
        <v>9816</v>
      </c>
      <c r="BG1217" t="s">
        <v>988</v>
      </c>
      <c r="BH1217" s="1">
        <v>44833.833333333336</v>
      </c>
      <c r="BI1217">
        <v>40</v>
      </c>
      <c r="BJ1217">
        <v>0</v>
      </c>
      <c r="BK1217">
        <v>8</v>
      </c>
      <c r="BL1217">
        <v>8</v>
      </c>
      <c r="BM1217">
        <v>8</v>
      </c>
      <c r="BN1217">
        <v>8</v>
      </c>
      <c r="BO1217">
        <v>8</v>
      </c>
      <c r="BP1217">
        <v>0</v>
      </c>
      <c r="BQ1217" t="str">
        <f>"8:00 AM"</f>
        <v>8:00 AM</v>
      </c>
      <c r="BR1217" t="str">
        <f>"4:00 PM"</f>
        <v>4:00 PM</v>
      </c>
      <c r="BS1217" t="s">
        <v>133</v>
      </c>
      <c r="BT1217">
        <v>0</v>
      </c>
      <c r="BU1217">
        <v>3</v>
      </c>
      <c r="BV1217" t="s">
        <v>134</v>
      </c>
      <c r="BX1217" t="s">
        <v>138</v>
      </c>
      <c r="BY1217" t="s">
        <v>9817</v>
      </c>
      <c r="CA1217" t="s">
        <v>9807</v>
      </c>
      <c r="CB1217" t="s">
        <v>988</v>
      </c>
      <c r="CC1217" s="4" t="str">
        <f>"89595"</f>
        <v>89595</v>
      </c>
      <c r="CD1217" t="s">
        <v>1974</v>
      </c>
      <c r="CE1217" t="s">
        <v>1975</v>
      </c>
      <c r="CF1217" s="6">
        <v>14.51</v>
      </c>
      <c r="CG1217" s="6">
        <v>14.51</v>
      </c>
      <c r="CH1217" s="6">
        <v>21.76</v>
      </c>
      <c r="CI1217" s="6">
        <v>21.76</v>
      </c>
      <c r="CJ1217" t="s">
        <v>137</v>
      </c>
      <c r="CK1217" t="s">
        <v>138</v>
      </c>
      <c r="CL1217" t="s">
        <v>9818</v>
      </c>
      <c r="CO1217" t="s">
        <v>138</v>
      </c>
      <c r="CP1217" t="s">
        <v>114</v>
      </c>
      <c r="CQ1217" t="s">
        <v>114</v>
      </c>
      <c r="CR1217" t="s">
        <v>114</v>
      </c>
      <c r="CS1217" t="s">
        <v>114</v>
      </c>
      <c r="CT1217" t="s">
        <v>114</v>
      </c>
      <c r="CU1217" t="s">
        <v>134</v>
      </c>
      <c r="CV1217" s="2" t="s">
        <v>9819</v>
      </c>
      <c r="CW1217" s="5" t="str">
        <f>"+17756840301"</f>
        <v>+17756840301</v>
      </c>
      <c r="CX1217" t="s">
        <v>9820</v>
      </c>
      <c r="CY1217" t="s">
        <v>138</v>
      </c>
      <c r="CZ1217" t="s">
        <v>139</v>
      </c>
      <c r="DA1217" t="s">
        <v>134</v>
      </c>
      <c r="DB1217" t="s">
        <v>114</v>
      </c>
      <c r="DC1217" t="s">
        <v>114</v>
      </c>
      <c r="DD1217" t="s">
        <v>134</v>
      </c>
      <c r="DE1217" t="s">
        <v>9821</v>
      </c>
      <c r="DF1217" t="s">
        <v>9822</v>
      </c>
      <c r="DH1217" t="s">
        <v>9816</v>
      </c>
      <c r="DI1217" t="s">
        <v>9815</v>
      </c>
    </row>
    <row r="1218" spans="1:113" ht="15" customHeight="1" x14ac:dyDescent="0.25">
      <c r="A1218" t="s">
        <v>597</v>
      </c>
      <c r="B1218" t="s">
        <v>113</v>
      </c>
      <c r="C1218" s="1">
        <v>44818.055227777775</v>
      </c>
      <c r="D1218" s="1">
        <v>44872</v>
      </c>
      <c r="E1218" t="s">
        <v>134</v>
      </c>
      <c r="F1218" t="s">
        <v>598</v>
      </c>
      <c r="G1218" t="str">
        <f>"51-4033.00"</f>
        <v>51-4033.00</v>
      </c>
      <c r="H1218" t="s">
        <v>599</v>
      </c>
      <c r="I1218">
        <v>25</v>
      </c>
      <c r="K1218" s="1">
        <v>44896</v>
      </c>
      <c r="L1218" s="1">
        <v>45138</v>
      </c>
      <c r="O1218" t="s">
        <v>117</v>
      </c>
      <c r="P1218" t="s">
        <v>600</v>
      </c>
      <c r="R1218" t="s">
        <v>601</v>
      </c>
      <c r="T1218" t="s">
        <v>602</v>
      </c>
      <c r="U1218" t="s">
        <v>444</v>
      </c>
      <c r="V1218" s="4" t="str">
        <f>"92509"</f>
        <v>92509</v>
      </c>
      <c r="W1218" t="s">
        <v>120</v>
      </c>
      <c r="Y1218" s="5">
        <v>19513606055</v>
      </c>
      <c r="AA1218">
        <v>326199</v>
      </c>
      <c r="AB1218" t="s">
        <v>603</v>
      </c>
      <c r="AC1218" t="s">
        <v>604</v>
      </c>
      <c r="AE1218" t="s">
        <v>605</v>
      </c>
      <c r="AF1218" t="s">
        <v>601</v>
      </c>
      <c r="AH1218" t="s">
        <v>602</v>
      </c>
      <c r="AI1218" t="s">
        <v>444</v>
      </c>
      <c r="AJ1218" s="4" t="str">
        <f>"92509"</f>
        <v>92509</v>
      </c>
      <c r="AK1218" t="s">
        <v>120</v>
      </c>
      <c r="AM1218" s="5">
        <v>19513606055</v>
      </c>
      <c r="AO1218" t="s">
        <v>606</v>
      </c>
      <c r="AX1218" s="4" t="str">
        <f>""</f>
        <v/>
      </c>
      <c r="BG1218" t="s">
        <v>444</v>
      </c>
      <c r="BH1218" s="1">
        <v>44757.833333333336</v>
      </c>
      <c r="BI1218">
        <v>40</v>
      </c>
      <c r="BJ1218">
        <v>0</v>
      </c>
      <c r="BK1218">
        <v>8</v>
      </c>
      <c r="BL1218">
        <v>8</v>
      </c>
      <c r="BM1218">
        <v>8</v>
      </c>
      <c r="BN1218">
        <v>8</v>
      </c>
      <c r="BO1218">
        <v>8</v>
      </c>
      <c r="BP1218">
        <v>0</v>
      </c>
      <c r="BQ1218" t="str">
        <f>"8:00 AM"</f>
        <v>8:00 AM</v>
      </c>
      <c r="BR1218" t="str">
        <f>"4:00 PM"</f>
        <v>4:00 PM</v>
      </c>
      <c r="BS1218" t="s">
        <v>295</v>
      </c>
      <c r="BT1218">
        <v>0</v>
      </c>
      <c r="BU1218">
        <v>0</v>
      </c>
      <c r="BV1218" t="s">
        <v>134</v>
      </c>
      <c r="BX1218" t="s">
        <v>607</v>
      </c>
      <c r="BY1218" t="s">
        <v>608</v>
      </c>
      <c r="CA1218" t="s">
        <v>602</v>
      </c>
      <c r="CB1218" t="s">
        <v>444</v>
      </c>
      <c r="CC1218" s="4" t="str">
        <f>"92509"</f>
        <v>92509</v>
      </c>
      <c r="CD1218" t="s">
        <v>602</v>
      </c>
      <c r="CE1218" t="s">
        <v>609</v>
      </c>
      <c r="CF1218" s="6">
        <v>17.850000000000001</v>
      </c>
      <c r="CJ1218" t="s">
        <v>137</v>
      </c>
      <c r="CL1218" t="s">
        <v>610</v>
      </c>
      <c r="CO1218" t="s">
        <v>138</v>
      </c>
      <c r="CP1218" t="s">
        <v>134</v>
      </c>
      <c r="CQ1218" t="s">
        <v>134</v>
      </c>
      <c r="CR1218" t="s">
        <v>134</v>
      </c>
      <c r="CS1218" t="s">
        <v>114</v>
      </c>
      <c r="CT1218" t="s">
        <v>114</v>
      </c>
      <c r="CU1218" t="s">
        <v>134</v>
      </c>
      <c r="CV1218" t="s">
        <v>611</v>
      </c>
      <c r="CW1218" s="5" t="str">
        <f>"+19513606055"</f>
        <v>+19513606055</v>
      </c>
      <c r="CX1218" t="s">
        <v>606</v>
      </c>
      <c r="CY1218" t="s">
        <v>612</v>
      </c>
      <c r="CZ1218" t="s">
        <v>139</v>
      </c>
      <c r="DA1218" t="s">
        <v>134</v>
      </c>
      <c r="DB1218" t="s">
        <v>134</v>
      </c>
      <c r="DC1218" t="s">
        <v>114</v>
      </c>
      <c r="DD1218" t="s">
        <v>134</v>
      </c>
    </row>
    <row r="1219" spans="1:113" ht="15" customHeight="1" x14ac:dyDescent="0.25">
      <c r="A1219" t="s">
        <v>771</v>
      </c>
      <c r="B1219" t="s">
        <v>113</v>
      </c>
      <c r="C1219" s="1">
        <v>44749.738751736113</v>
      </c>
      <c r="D1219" s="1">
        <v>44869</v>
      </c>
      <c r="E1219" t="s">
        <v>134</v>
      </c>
      <c r="F1219" t="s">
        <v>772</v>
      </c>
      <c r="G1219" t="str">
        <f>"35-2013.00"</f>
        <v>35-2013.00</v>
      </c>
      <c r="H1219" t="s">
        <v>773</v>
      </c>
      <c r="I1219">
        <v>2</v>
      </c>
      <c r="K1219" s="1">
        <v>44835</v>
      </c>
      <c r="L1219" s="1">
        <v>45199</v>
      </c>
      <c r="O1219" t="s">
        <v>168</v>
      </c>
      <c r="P1219" t="s">
        <v>774</v>
      </c>
      <c r="R1219" t="s">
        <v>775</v>
      </c>
      <c r="S1219" t="s">
        <v>776</v>
      </c>
      <c r="T1219" t="s">
        <v>777</v>
      </c>
      <c r="U1219" t="s">
        <v>778</v>
      </c>
      <c r="V1219" s="4" t="str">
        <f>"00802"</f>
        <v>00802</v>
      </c>
      <c r="W1219" t="s">
        <v>120</v>
      </c>
      <c r="Y1219" s="5">
        <v>13406261587</v>
      </c>
      <c r="AA1219">
        <v>722320</v>
      </c>
      <c r="AB1219" t="s">
        <v>779</v>
      </c>
      <c r="AC1219" t="s">
        <v>780</v>
      </c>
      <c r="AE1219" t="s">
        <v>781</v>
      </c>
      <c r="AF1219" t="s">
        <v>782</v>
      </c>
      <c r="AG1219" t="s">
        <v>783</v>
      </c>
      <c r="AH1219" t="s">
        <v>784</v>
      </c>
      <c r="AI1219" t="s">
        <v>778</v>
      </c>
      <c r="AJ1219" s="4" t="str">
        <f>"00802"</f>
        <v>00802</v>
      </c>
      <c r="AK1219" t="s">
        <v>120</v>
      </c>
      <c r="AM1219" s="5">
        <v>13406261587</v>
      </c>
      <c r="AO1219" t="s">
        <v>785</v>
      </c>
      <c r="AP1219" t="s">
        <v>122</v>
      </c>
      <c r="AQ1219" t="s">
        <v>786</v>
      </c>
      <c r="AR1219" t="s">
        <v>787</v>
      </c>
      <c r="AT1219" t="s">
        <v>788</v>
      </c>
      <c r="AU1219" t="s">
        <v>789</v>
      </c>
      <c r="AV1219" t="s">
        <v>153</v>
      </c>
      <c r="AW1219" t="s">
        <v>154</v>
      </c>
      <c r="AX1219" s="4" t="str">
        <f>"33433"</f>
        <v>33433</v>
      </c>
      <c r="AY1219" t="s">
        <v>120</v>
      </c>
      <c r="BA1219" s="5">
        <v>15613478337</v>
      </c>
      <c r="BC1219" t="s">
        <v>790</v>
      </c>
      <c r="BD1219" t="s">
        <v>791</v>
      </c>
      <c r="BE1219" t="s">
        <v>792</v>
      </c>
      <c r="BF1219" t="s">
        <v>793</v>
      </c>
      <c r="BG1219" t="s">
        <v>778</v>
      </c>
      <c r="BH1219" s="1">
        <v>44748.833333333336</v>
      </c>
      <c r="BI1219">
        <v>40</v>
      </c>
      <c r="BJ1219">
        <v>8</v>
      </c>
      <c r="BK1219">
        <v>8</v>
      </c>
      <c r="BL1219">
        <v>8</v>
      </c>
      <c r="BM1219">
        <v>8</v>
      </c>
      <c r="BN1219">
        <v>8</v>
      </c>
      <c r="BO1219">
        <v>8</v>
      </c>
      <c r="BP1219">
        <v>8</v>
      </c>
      <c r="BQ1219" t="str">
        <f>"6:30 AM"</f>
        <v>6:30 AM</v>
      </c>
      <c r="BR1219" t="str">
        <f>"1:00 AM"</f>
        <v>1:00 AM</v>
      </c>
      <c r="BS1219" t="s">
        <v>295</v>
      </c>
      <c r="BT1219">
        <v>0</v>
      </c>
      <c r="BU1219">
        <v>24</v>
      </c>
      <c r="BV1219" t="s">
        <v>134</v>
      </c>
      <c r="BX1219" t="s">
        <v>133</v>
      </c>
      <c r="BY1219" t="s">
        <v>794</v>
      </c>
      <c r="BZ1219" t="s">
        <v>783</v>
      </c>
      <c r="CA1219" t="s">
        <v>777</v>
      </c>
      <c r="CB1219" t="s">
        <v>778</v>
      </c>
      <c r="CC1219" s="4" t="str">
        <f>"00802"</f>
        <v>00802</v>
      </c>
      <c r="CD1219" t="s">
        <v>795</v>
      </c>
      <c r="CE1219" t="s">
        <v>796</v>
      </c>
      <c r="CF1219" s="6">
        <v>22.51</v>
      </c>
      <c r="CG1219" s="6">
        <v>22.51</v>
      </c>
      <c r="CH1219" s="6">
        <v>33.770000000000003</v>
      </c>
      <c r="CI1219" s="6">
        <v>33.770000000000003</v>
      </c>
      <c r="CJ1219" t="s">
        <v>137</v>
      </c>
      <c r="CL1219" t="s">
        <v>797</v>
      </c>
      <c r="CO1219" t="s">
        <v>138</v>
      </c>
      <c r="CP1219" t="s">
        <v>134</v>
      </c>
      <c r="CQ1219" t="s">
        <v>114</v>
      </c>
      <c r="CR1219" t="s">
        <v>114</v>
      </c>
      <c r="CS1219" t="s">
        <v>134</v>
      </c>
      <c r="CT1219" t="s">
        <v>114</v>
      </c>
      <c r="CU1219" t="s">
        <v>134</v>
      </c>
      <c r="CV1219" t="s">
        <v>798</v>
      </c>
      <c r="CW1219" s="5" t="str">
        <f>"+13406261587"</f>
        <v>+13406261587</v>
      </c>
      <c r="CX1219" t="s">
        <v>785</v>
      </c>
      <c r="CY1219" t="s">
        <v>138</v>
      </c>
      <c r="CZ1219" t="s">
        <v>139</v>
      </c>
      <c r="DA1219" t="s">
        <v>134</v>
      </c>
      <c r="DB1219" t="s">
        <v>134</v>
      </c>
      <c r="DC1219" t="s">
        <v>114</v>
      </c>
      <c r="DD1219" t="s">
        <v>134</v>
      </c>
    </row>
    <row r="1220" spans="1:113" ht="15" customHeight="1" x14ac:dyDescent="0.25">
      <c r="A1220" t="s">
        <v>7539</v>
      </c>
      <c r="B1220" t="s">
        <v>113</v>
      </c>
      <c r="C1220" s="1">
        <v>44840.505885763887</v>
      </c>
      <c r="D1220" s="1">
        <v>44868</v>
      </c>
      <c r="E1220" t="s">
        <v>114</v>
      </c>
      <c r="F1220" t="s">
        <v>7540</v>
      </c>
      <c r="G1220" t="str">
        <f>"53-7064.00"</f>
        <v>53-7064.00</v>
      </c>
      <c r="H1220" t="s">
        <v>4749</v>
      </c>
      <c r="I1220">
        <v>1</v>
      </c>
      <c r="K1220" s="1">
        <v>44924</v>
      </c>
      <c r="L1220" s="1">
        <v>45154</v>
      </c>
      <c r="O1220" t="s">
        <v>199</v>
      </c>
      <c r="P1220" t="s">
        <v>7541</v>
      </c>
      <c r="R1220" t="s">
        <v>7542</v>
      </c>
      <c r="T1220" t="s">
        <v>1157</v>
      </c>
      <c r="U1220" t="s">
        <v>154</v>
      </c>
      <c r="V1220" s="4" t="str">
        <f>"33186"</f>
        <v>33186</v>
      </c>
      <c r="W1220" t="s">
        <v>120</v>
      </c>
      <c r="Y1220" s="5">
        <v>13059657342</v>
      </c>
      <c r="AA1220">
        <v>561910</v>
      </c>
      <c r="AB1220" t="s">
        <v>7543</v>
      </c>
      <c r="AC1220" t="s">
        <v>7544</v>
      </c>
      <c r="AE1220" t="s">
        <v>700</v>
      </c>
      <c r="AF1220" t="s">
        <v>7542</v>
      </c>
      <c r="AH1220" t="s">
        <v>1157</v>
      </c>
      <c r="AI1220" t="s">
        <v>154</v>
      </c>
      <c r="AJ1220" s="4" t="str">
        <f>"33186"</f>
        <v>33186</v>
      </c>
      <c r="AK1220" t="s">
        <v>120</v>
      </c>
      <c r="AM1220" s="5">
        <v>17866177234</v>
      </c>
      <c r="AO1220" t="s">
        <v>7545</v>
      </c>
      <c r="AP1220" t="s">
        <v>256</v>
      </c>
      <c r="AQ1220" t="s">
        <v>7546</v>
      </c>
      <c r="AR1220" t="s">
        <v>7547</v>
      </c>
      <c r="AS1220" t="s">
        <v>7548</v>
      </c>
      <c r="AT1220" t="s">
        <v>7549</v>
      </c>
      <c r="AV1220" t="s">
        <v>2731</v>
      </c>
      <c r="AW1220" t="s">
        <v>848</v>
      </c>
      <c r="AX1220" s="4" t="str">
        <f>"10456"</f>
        <v>10456</v>
      </c>
      <c r="AY1220" t="s">
        <v>120</v>
      </c>
      <c r="BA1220" s="5">
        <v>19174208378</v>
      </c>
      <c r="BC1220" t="s">
        <v>7550</v>
      </c>
      <c r="BD1220" t="s">
        <v>7551</v>
      </c>
      <c r="BG1220" t="s">
        <v>154</v>
      </c>
      <c r="BH1220" s="1">
        <v>44833.833333333336</v>
      </c>
      <c r="BI1220">
        <v>35</v>
      </c>
      <c r="BJ1220">
        <v>0</v>
      </c>
      <c r="BK1220">
        <v>7</v>
      </c>
      <c r="BL1220">
        <v>7</v>
      </c>
      <c r="BM1220">
        <v>7</v>
      </c>
      <c r="BN1220">
        <v>7</v>
      </c>
      <c r="BO1220">
        <v>7</v>
      </c>
      <c r="BP1220">
        <v>0</v>
      </c>
      <c r="BQ1220" t="str">
        <f>"8:00 AM"</f>
        <v>8:00 AM</v>
      </c>
      <c r="BR1220" t="str">
        <f>"3:00 PM"</f>
        <v>3:00 PM</v>
      </c>
      <c r="BS1220" t="s">
        <v>133</v>
      </c>
      <c r="BT1220">
        <v>6</v>
      </c>
      <c r="BU1220">
        <v>6</v>
      </c>
      <c r="BV1220" t="s">
        <v>134</v>
      </c>
      <c r="BX1220" s="2" t="s">
        <v>7552</v>
      </c>
      <c r="BY1220" t="s">
        <v>7542</v>
      </c>
      <c r="CA1220" t="s">
        <v>1157</v>
      </c>
      <c r="CB1220" t="s">
        <v>154</v>
      </c>
      <c r="CC1220" s="4" t="str">
        <f>"33186"</f>
        <v>33186</v>
      </c>
      <c r="CD1220" t="s">
        <v>7553</v>
      </c>
      <c r="CE1220" t="s">
        <v>1742</v>
      </c>
      <c r="CF1220" s="6">
        <v>12.47</v>
      </c>
      <c r="CG1220" s="6">
        <v>15</v>
      </c>
      <c r="CH1220" s="6">
        <v>18</v>
      </c>
      <c r="CI1220" s="6">
        <v>21</v>
      </c>
      <c r="CJ1220" t="s">
        <v>137</v>
      </c>
      <c r="CL1220" t="s">
        <v>7554</v>
      </c>
      <c r="CO1220" t="s">
        <v>138</v>
      </c>
      <c r="CP1220" t="s">
        <v>134</v>
      </c>
      <c r="CQ1220" t="s">
        <v>114</v>
      </c>
      <c r="CR1220" t="s">
        <v>134</v>
      </c>
      <c r="CS1220" t="s">
        <v>134</v>
      </c>
      <c r="CT1220" t="s">
        <v>114</v>
      </c>
      <c r="CU1220" t="s">
        <v>134</v>
      </c>
      <c r="CV1220" t="s">
        <v>7555</v>
      </c>
      <c r="CW1220" s="5" t="str">
        <f>"+17866177234"</f>
        <v>+17866177234</v>
      </c>
      <c r="CX1220" t="s">
        <v>7556</v>
      </c>
      <c r="CY1220" t="s">
        <v>138</v>
      </c>
      <c r="CZ1220" t="s">
        <v>139</v>
      </c>
      <c r="DA1220" t="s">
        <v>134</v>
      </c>
      <c r="DB1220" t="s">
        <v>114</v>
      </c>
      <c r="DC1220" t="s">
        <v>114</v>
      </c>
      <c r="DD1220" t="s">
        <v>134</v>
      </c>
    </row>
    <row r="1221" spans="1:113" ht="15" customHeight="1" x14ac:dyDescent="0.25">
      <c r="A1221" t="s">
        <v>13905</v>
      </c>
      <c r="B1221" t="s">
        <v>113</v>
      </c>
      <c r="C1221" s="1">
        <v>44836.782117361108</v>
      </c>
      <c r="D1221" s="1">
        <v>44867</v>
      </c>
      <c r="E1221" t="s">
        <v>114</v>
      </c>
      <c r="F1221" t="s">
        <v>1683</v>
      </c>
      <c r="G1221" t="str">
        <f>"53-3032.00"</f>
        <v>53-3032.00</v>
      </c>
      <c r="H1221" t="s">
        <v>227</v>
      </c>
      <c r="I1221">
        <v>3</v>
      </c>
      <c r="K1221" s="1">
        <v>44914</v>
      </c>
      <c r="L1221" s="1">
        <v>45184</v>
      </c>
      <c r="O1221" t="s">
        <v>3130</v>
      </c>
      <c r="P1221" t="s">
        <v>13906</v>
      </c>
      <c r="R1221" t="s">
        <v>13907</v>
      </c>
      <c r="T1221" t="s">
        <v>9964</v>
      </c>
      <c r="U1221" t="s">
        <v>1279</v>
      </c>
      <c r="V1221" s="4" t="str">
        <f>"67877"</f>
        <v>67877</v>
      </c>
      <c r="W1221" t="s">
        <v>120</v>
      </c>
      <c r="Y1221" s="5">
        <v>16202606289</v>
      </c>
      <c r="AA1221">
        <v>484121</v>
      </c>
      <c r="AB1221" t="s">
        <v>9965</v>
      </c>
      <c r="AC1221" t="s">
        <v>5533</v>
      </c>
      <c r="AD1221" t="s">
        <v>1857</v>
      </c>
      <c r="AE1221" t="s">
        <v>5908</v>
      </c>
      <c r="AF1221" t="s">
        <v>13908</v>
      </c>
      <c r="AG1221" t="s">
        <v>13909</v>
      </c>
      <c r="AH1221" t="s">
        <v>1788</v>
      </c>
      <c r="AI1221" t="s">
        <v>444</v>
      </c>
      <c r="AJ1221" s="4" t="str">
        <f>"90042"</f>
        <v>90042</v>
      </c>
      <c r="AK1221" t="s">
        <v>120</v>
      </c>
      <c r="AM1221" s="5">
        <v>13237422750</v>
      </c>
      <c r="AO1221" t="s">
        <v>13910</v>
      </c>
      <c r="AX1221" s="4" t="str">
        <f>""</f>
        <v/>
      </c>
      <c r="BG1221" t="s">
        <v>1279</v>
      </c>
      <c r="BH1221" s="1">
        <v>44835.833333333336</v>
      </c>
      <c r="BI1221">
        <v>56</v>
      </c>
      <c r="BJ1221">
        <v>8</v>
      </c>
      <c r="BK1221">
        <v>8</v>
      </c>
      <c r="BL1221">
        <v>8</v>
      </c>
      <c r="BM1221">
        <v>8</v>
      </c>
      <c r="BN1221">
        <v>8</v>
      </c>
      <c r="BO1221">
        <v>8</v>
      </c>
      <c r="BP1221">
        <v>8</v>
      </c>
      <c r="BQ1221" t="str">
        <f>"6:00 AM"</f>
        <v>6:00 AM</v>
      </c>
      <c r="BR1221" t="str">
        <f>"2:00 PM"</f>
        <v>2:00 PM</v>
      </c>
      <c r="BS1221" t="s">
        <v>133</v>
      </c>
      <c r="BT1221">
        <v>24</v>
      </c>
      <c r="BU1221">
        <v>24</v>
      </c>
      <c r="BV1221" t="s">
        <v>134</v>
      </c>
      <c r="BX1221" t="s">
        <v>13911</v>
      </c>
      <c r="BY1221" t="s">
        <v>13912</v>
      </c>
      <c r="CA1221" t="s">
        <v>9964</v>
      </c>
      <c r="CB1221" t="s">
        <v>1279</v>
      </c>
      <c r="CC1221" s="4" t="str">
        <f>"67877"</f>
        <v>67877</v>
      </c>
      <c r="CD1221" t="s">
        <v>9966</v>
      </c>
      <c r="CE1221" t="s">
        <v>4209</v>
      </c>
      <c r="CF1221" s="6">
        <v>22.27</v>
      </c>
      <c r="CG1221" s="6">
        <v>35</v>
      </c>
      <c r="CH1221" s="6">
        <v>33.4</v>
      </c>
      <c r="CI1221" s="6">
        <v>52.5</v>
      </c>
      <c r="CJ1221" t="s">
        <v>137</v>
      </c>
      <c r="CL1221" t="s">
        <v>13913</v>
      </c>
      <c r="CO1221" t="s">
        <v>138</v>
      </c>
      <c r="CP1221" t="s">
        <v>114</v>
      </c>
      <c r="CQ1221" t="s">
        <v>114</v>
      </c>
      <c r="CR1221" t="s">
        <v>114</v>
      </c>
      <c r="CS1221" t="s">
        <v>114</v>
      </c>
      <c r="CT1221" t="s">
        <v>114</v>
      </c>
      <c r="CU1221" t="s">
        <v>134</v>
      </c>
      <c r="CV1221" t="s">
        <v>1574</v>
      </c>
      <c r="CW1221" s="5" t="str">
        <f>"+13237422750"</f>
        <v>+13237422750</v>
      </c>
      <c r="CX1221" t="s">
        <v>13910</v>
      </c>
      <c r="CY1221" t="s">
        <v>138</v>
      </c>
      <c r="CZ1221" t="s">
        <v>139</v>
      </c>
      <c r="DA1221" t="s">
        <v>134</v>
      </c>
      <c r="DB1221" t="s">
        <v>134</v>
      </c>
      <c r="DC1221" t="s">
        <v>114</v>
      </c>
      <c r="DD1221" t="s">
        <v>134</v>
      </c>
    </row>
    <row r="1222" spans="1:113" ht="15" customHeight="1" x14ac:dyDescent="0.25">
      <c r="A1222" t="s">
        <v>16464</v>
      </c>
      <c r="B1222" t="s">
        <v>113</v>
      </c>
      <c r="C1222" s="1">
        <v>44832.935099652779</v>
      </c>
      <c r="D1222" s="1">
        <v>44866</v>
      </c>
      <c r="E1222" t="s">
        <v>134</v>
      </c>
      <c r="F1222" t="s">
        <v>16465</v>
      </c>
      <c r="G1222" t="str">
        <f>"25-3021.00"</f>
        <v>25-3021.00</v>
      </c>
      <c r="H1222" t="s">
        <v>4988</v>
      </c>
      <c r="I1222">
        <v>1</v>
      </c>
      <c r="K1222" s="1">
        <v>44907</v>
      </c>
      <c r="L1222" s="1">
        <v>45210</v>
      </c>
      <c r="O1222" t="s">
        <v>168</v>
      </c>
      <c r="P1222" t="s">
        <v>16466</v>
      </c>
      <c r="Q1222" t="s">
        <v>16467</v>
      </c>
      <c r="R1222" t="s">
        <v>16468</v>
      </c>
      <c r="S1222" t="s">
        <v>16469</v>
      </c>
      <c r="T1222" t="s">
        <v>16470</v>
      </c>
      <c r="U1222" t="s">
        <v>8126</v>
      </c>
      <c r="V1222" s="4" t="str">
        <f>"96707"</f>
        <v>96707</v>
      </c>
      <c r="W1222" t="s">
        <v>120</v>
      </c>
      <c r="X1222" t="s">
        <v>8126</v>
      </c>
      <c r="Y1222" s="5">
        <v>18087738277</v>
      </c>
      <c r="AA1222">
        <v>524210</v>
      </c>
      <c r="AB1222" t="s">
        <v>16471</v>
      </c>
      <c r="AC1222" t="s">
        <v>16472</v>
      </c>
      <c r="AD1222" t="s">
        <v>1857</v>
      </c>
      <c r="AE1222" t="s">
        <v>285</v>
      </c>
      <c r="AF1222" t="s">
        <v>16468</v>
      </c>
      <c r="AG1222" t="s">
        <v>16469</v>
      </c>
      <c r="AH1222" t="s">
        <v>16470</v>
      </c>
      <c r="AI1222" t="s">
        <v>8126</v>
      </c>
      <c r="AJ1222" s="4" t="str">
        <f>"96707"</f>
        <v>96707</v>
      </c>
      <c r="AK1222" t="s">
        <v>120</v>
      </c>
      <c r="AL1222" t="s">
        <v>9098</v>
      </c>
      <c r="AM1222" s="5">
        <v>18087738277</v>
      </c>
      <c r="AO1222" t="s">
        <v>16473</v>
      </c>
      <c r="AX1222" s="4" t="str">
        <f>""</f>
        <v/>
      </c>
      <c r="BG1222" t="s">
        <v>8126</v>
      </c>
      <c r="BH1222" s="1">
        <v>44790.833333333336</v>
      </c>
      <c r="BI1222">
        <v>56</v>
      </c>
      <c r="BJ1222">
        <v>8</v>
      </c>
      <c r="BK1222">
        <v>8</v>
      </c>
      <c r="BL1222">
        <v>8</v>
      </c>
      <c r="BM1222">
        <v>8</v>
      </c>
      <c r="BN1222">
        <v>8</v>
      </c>
      <c r="BO1222">
        <v>8</v>
      </c>
      <c r="BP1222">
        <v>8</v>
      </c>
      <c r="BQ1222" t="str">
        <f>"5:00 AM"</f>
        <v>5:00 AM</v>
      </c>
      <c r="BR1222" t="str">
        <f>"2:40 PM"</f>
        <v>2:40 PM</v>
      </c>
      <c r="BS1222" t="s">
        <v>967</v>
      </c>
      <c r="BT1222">
        <v>12</v>
      </c>
      <c r="BU1222">
        <v>24</v>
      </c>
      <c r="BV1222" t="s">
        <v>134</v>
      </c>
      <c r="BX1222" s="2" t="s">
        <v>16474</v>
      </c>
      <c r="BY1222" t="s">
        <v>16468</v>
      </c>
      <c r="BZ1222" t="s">
        <v>16469</v>
      </c>
      <c r="CA1222" t="s">
        <v>16470</v>
      </c>
      <c r="CB1222" t="s">
        <v>8126</v>
      </c>
      <c r="CC1222" s="4" t="str">
        <f>"96707"</f>
        <v>96707</v>
      </c>
      <c r="CD1222" t="s">
        <v>8127</v>
      </c>
      <c r="CE1222" t="s">
        <v>8128</v>
      </c>
      <c r="CF1222" s="6">
        <v>26.53</v>
      </c>
      <c r="CG1222" s="6">
        <v>30</v>
      </c>
      <c r="CH1222" s="6">
        <v>39.799999999999997</v>
      </c>
      <c r="CI1222" s="6">
        <v>45</v>
      </c>
      <c r="CJ1222" t="s">
        <v>137</v>
      </c>
      <c r="CL1222" t="s">
        <v>16475</v>
      </c>
      <c r="CO1222" t="s">
        <v>138</v>
      </c>
      <c r="CP1222" t="s">
        <v>134</v>
      </c>
      <c r="CQ1222" t="s">
        <v>114</v>
      </c>
      <c r="CR1222" t="s">
        <v>114</v>
      </c>
      <c r="CS1222" t="s">
        <v>114</v>
      </c>
      <c r="CT1222" t="s">
        <v>114</v>
      </c>
      <c r="CU1222" t="s">
        <v>114</v>
      </c>
      <c r="CV1222" t="s">
        <v>16476</v>
      </c>
      <c r="CW1222" s="5" t="str">
        <f>"+18087738277"</f>
        <v>+18087738277</v>
      </c>
      <c r="CX1222" t="s">
        <v>16473</v>
      </c>
      <c r="CY1222" t="s">
        <v>138</v>
      </c>
      <c r="CZ1222" t="s">
        <v>139</v>
      </c>
      <c r="DA1222" t="s">
        <v>134</v>
      </c>
      <c r="DB1222" t="s">
        <v>134</v>
      </c>
      <c r="DC1222" t="s">
        <v>114</v>
      </c>
      <c r="DD1222" t="s">
        <v>134</v>
      </c>
      <c r="DE1222" t="s">
        <v>16471</v>
      </c>
      <c r="DF1222" t="s">
        <v>16472</v>
      </c>
      <c r="DG1222" t="s">
        <v>1857</v>
      </c>
      <c r="DH1222" t="s">
        <v>16477</v>
      </c>
      <c r="DI1222" t="s">
        <v>16473</v>
      </c>
    </row>
    <row r="1223" spans="1:113" ht="15" customHeight="1" x14ac:dyDescent="0.25">
      <c r="A1223" t="s">
        <v>15382</v>
      </c>
      <c r="B1223" t="s">
        <v>113</v>
      </c>
      <c r="C1223" s="1">
        <v>44832.486535763892</v>
      </c>
      <c r="D1223" s="1">
        <v>44862</v>
      </c>
      <c r="E1223" t="s">
        <v>134</v>
      </c>
      <c r="F1223" t="s">
        <v>9052</v>
      </c>
      <c r="G1223" t="str">
        <f>"43-4081.00"</f>
        <v>43-4081.00</v>
      </c>
      <c r="H1223" t="s">
        <v>2463</v>
      </c>
      <c r="I1223">
        <v>2</v>
      </c>
      <c r="K1223" s="1">
        <v>44907</v>
      </c>
      <c r="L1223" s="1">
        <v>45248</v>
      </c>
      <c r="O1223" t="s">
        <v>168</v>
      </c>
      <c r="P1223" t="s">
        <v>15383</v>
      </c>
      <c r="Q1223" t="s">
        <v>15384</v>
      </c>
      <c r="R1223" t="s">
        <v>15385</v>
      </c>
      <c r="T1223" t="s">
        <v>15386</v>
      </c>
      <c r="U1223" t="s">
        <v>848</v>
      </c>
      <c r="V1223" s="4" t="str">
        <f>"13088"</f>
        <v>13088</v>
      </c>
      <c r="W1223" t="s">
        <v>120</v>
      </c>
      <c r="Y1223" s="5">
        <v>13154513800</v>
      </c>
      <c r="AA1223">
        <v>721110</v>
      </c>
      <c r="AB1223" t="s">
        <v>2212</v>
      </c>
      <c r="AC1223" t="s">
        <v>1628</v>
      </c>
      <c r="AD1223" t="s">
        <v>11684</v>
      </c>
      <c r="AE1223" t="s">
        <v>1567</v>
      </c>
      <c r="AF1223" t="s">
        <v>15385</v>
      </c>
      <c r="AH1223" t="s">
        <v>15386</v>
      </c>
      <c r="AI1223" t="s">
        <v>848</v>
      </c>
      <c r="AJ1223" s="4" t="str">
        <f>"13088"</f>
        <v>13088</v>
      </c>
      <c r="AK1223" t="s">
        <v>120</v>
      </c>
      <c r="AM1223" s="5">
        <v>13154513800</v>
      </c>
      <c r="AN1223">
        <v>751</v>
      </c>
      <c r="AO1223" t="s">
        <v>15387</v>
      </c>
      <c r="AX1223" s="4" t="str">
        <f>""</f>
        <v/>
      </c>
      <c r="BG1223" t="s">
        <v>848</v>
      </c>
      <c r="BH1223" s="1">
        <v>44794.833333333336</v>
      </c>
      <c r="BI1223">
        <v>56</v>
      </c>
      <c r="BJ1223">
        <v>8</v>
      </c>
      <c r="BK1223">
        <v>8</v>
      </c>
      <c r="BL1223">
        <v>8</v>
      </c>
      <c r="BM1223">
        <v>8</v>
      </c>
      <c r="BN1223">
        <v>8</v>
      </c>
      <c r="BO1223">
        <v>8</v>
      </c>
      <c r="BP1223">
        <v>8</v>
      </c>
      <c r="BQ1223" t="str">
        <f>"7:00 AM"</f>
        <v>7:00 AM</v>
      </c>
      <c r="BR1223" t="str">
        <f>"3:00 PM"</f>
        <v>3:00 PM</v>
      </c>
      <c r="BS1223" t="s">
        <v>295</v>
      </c>
      <c r="BT1223">
        <v>0</v>
      </c>
      <c r="BU1223">
        <v>0</v>
      </c>
      <c r="BV1223" t="s">
        <v>134</v>
      </c>
      <c r="BX1223" t="s">
        <v>15388</v>
      </c>
      <c r="BY1223" t="s">
        <v>15385</v>
      </c>
      <c r="CA1223" t="s">
        <v>15386</v>
      </c>
      <c r="CB1223" t="s">
        <v>848</v>
      </c>
      <c r="CC1223" s="4" t="str">
        <f>"13088"</f>
        <v>13088</v>
      </c>
      <c r="CD1223" t="s">
        <v>7040</v>
      </c>
      <c r="CE1223" t="s">
        <v>7041</v>
      </c>
      <c r="CF1223" s="6">
        <v>14</v>
      </c>
      <c r="CG1223" s="6">
        <v>16</v>
      </c>
      <c r="CH1223" s="6">
        <v>21</v>
      </c>
      <c r="CI1223" s="6">
        <v>24</v>
      </c>
      <c r="CJ1223" t="s">
        <v>137</v>
      </c>
      <c r="CL1223" t="s">
        <v>15389</v>
      </c>
      <c r="CO1223" t="s">
        <v>138</v>
      </c>
      <c r="CP1223" t="s">
        <v>134</v>
      </c>
      <c r="CQ1223" t="s">
        <v>134</v>
      </c>
      <c r="CR1223" t="s">
        <v>114</v>
      </c>
      <c r="CS1223" t="s">
        <v>114</v>
      </c>
      <c r="CT1223" t="s">
        <v>114</v>
      </c>
      <c r="CU1223" t="s">
        <v>114</v>
      </c>
      <c r="CV1223" t="s">
        <v>9260</v>
      </c>
      <c r="CW1223" s="5" t="str">
        <f>"+13154513800"</f>
        <v>+13154513800</v>
      </c>
      <c r="CX1223" t="s">
        <v>15390</v>
      </c>
      <c r="CY1223" t="s">
        <v>138</v>
      </c>
      <c r="CZ1223" t="s">
        <v>139</v>
      </c>
      <c r="DA1223" t="s">
        <v>134</v>
      </c>
      <c r="DB1223" t="s">
        <v>134</v>
      </c>
      <c r="DC1223" t="s">
        <v>114</v>
      </c>
      <c r="DD1223" t="s">
        <v>134</v>
      </c>
      <c r="DE1223" t="s">
        <v>2212</v>
      </c>
      <c r="DF1223" t="s">
        <v>1628</v>
      </c>
      <c r="DG1223" t="s">
        <v>114</v>
      </c>
      <c r="DH1223" t="s">
        <v>15391</v>
      </c>
      <c r="DI1223" t="s">
        <v>15390</v>
      </c>
    </row>
    <row r="1224" spans="1:113" ht="15" customHeight="1" x14ac:dyDescent="0.25">
      <c r="A1224" t="s">
        <v>15107</v>
      </c>
      <c r="B1224" t="s">
        <v>113</v>
      </c>
      <c r="C1224" s="1">
        <v>44824.684560300928</v>
      </c>
      <c r="D1224" s="1">
        <v>44862</v>
      </c>
      <c r="E1224" t="s">
        <v>134</v>
      </c>
      <c r="F1224" t="s">
        <v>15108</v>
      </c>
      <c r="G1224" t="str">
        <f>"49-3031.00"</f>
        <v>49-3031.00</v>
      </c>
      <c r="H1224" t="s">
        <v>1121</v>
      </c>
      <c r="I1224">
        <v>6</v>
      </c>
      <c r="K1224" s="1">
        <v>44899</v>
      </c>
      <c r="L1224" s="1">
        <v>45108</v>
      </c>
      <c r="O1224" t="s">
        <v>117</v>
      </c>
      <c r="P1224" t="s">
        <v>15109</v>
      </c>
      <c r="R1224" t="s">
        <v>15110</v>
      </c>
      <c r="T1224" t="s">
        <v>15111</v>
      </c>
      <c r="U1224" t="s">
        <v>232</v>
      </c>
      <c r="V1224" s="4" t="str">
        <f>"78852"</f>
        <v>78852</v>
      </c>
      <c r="W1224" t="s">
        <v>120</v>
      </c>
      <c r="Y1224" s="5">
        <v>18307766661</v>
      </c>
      <c r="AA1224">
        <v>811111</v>
      </c>
      <c r="AB1224" t="s">
        <v>15112</v>
      </c>
      <c r="AC1224" t="s">
        <v>7548</v>
      </c>
      <c r="AE1224" t="s">
        <v>700</v>
      </c>
      <c r="AF1224" t="s">
        <v>15113</v>
      </c>
      <c r="AH1224" t="s">
        <v>15111</v>
      </c>
      <c r="AI1224" t="s">
        <v>232</v>
      </c>
      <c r="AJ1224" s="4" t="str">
        <f>"78852"</f>
        <v>78852</v>
      </c>
      <c r="AK1224" t="s">
        <v>120</v>
      </c>
      <c r="AM1224" s="5">
        <v>18307766661</v>
      </c>
      <c r="AO1224" t="s">
        <v>15114</v>
      </c>
      <c r="AX1224" s="4" t="str">
        <f>""</f>
        <v/>
      </c>
      <c r="BG1224" t="s">
        <v>232</v>
      </c>
      <c r="BH1224" s="1">
        <v>44796.833333333336</v>
      </c>
      <c r="BI1224">
        <v>40</v>
      </c>
      <c r="BJ1224">
        <v>0</v>
      </c>
      <c r="BK1224">
        <v>8</v>
      </c>
      <c r="BL1224">
        <v>8</v>
      </c>
      <c r="BM1224">
        <v>8</v>
      </c>
      <c r="BN1224">
        <v>8</v>
      </c>
      <c r="BO1224">
        <v>8</v>
      </c>
      <c r="BP1224">
        <v>0</v>
      </c>
      <c r="BQ1224" t="str">
        <f>"7:00 AM"</f>
        <v>7:00 AM</v>
      </c>
      <c r="BR1224" t="str">
        <f>"4:00 PM"</f>
        <v>4:00 PM</v>
      </c>
      <c r="BS1224" t="s">
        <v>133</v>
      </c>
      <c r="BT1224">
        <v>0</v>
      </c>
      <c r="BU1224">
        <v>0</v>
      </c>
      <c r="BV1224" t="s">
        <v>134</v>
      </c>
      <c r="BX1224" t="s">
        <v>138</v>
      </c>
      <c r="BY1224" t="s">
        <v>15110</v>
      </c>
      <c r="CA1224" t="s">
        <v>15111</v>
      </c>
      <c r="CB1224" t="s">
        <v>232</v>
      </c>
      <c r="CC1224" s="4" t="str">
        <f>"78852"</f>
        <v>78852</v>
      </c>
      <c r="CD1224" t="s">
        <v>5870</v>
      </c>
      <c r="CE1224" t="s">
        <v>4670</v>
      </c>
      <c r="CF1224" s="6">
        <v>16.079999999999998</v>
      </c>
      <c r="CG1224" s="6">
        <v>18</v>
      </c>
      <c r="CH1224" s="6">
        <v>24.12</v>
      </c>
      <c r="CI1224" s="6">
        <v>27</v>
      </c>
      <c r="CJ1224" t="s">
        <v>137</v>
      </c>
      <c r="CL1224" t="s">
        <v>15115</v>
      </c>
      <c r="CO1224" t="s">
        <v>138</v>
      </c>
      <c r="CP1224" t="s">
        <v>134</v>
      </c>
      <c r="CQ1224" t="s">
        <v>114</v>
      </c>
      <c r="CR1224" t="s">
        <v>114</v>
      </c>
      <c r="CS1224" t="s">
        <v>134</v>
      </c>
      <c r="CT1224" t="s">
        <v>114</v>
      </c>
      <c r="CU1224" t="s">
        <v>114</v>
      </c>
      <c r="CV1224" t="s">
        <v>15116</v>
      </c>
      <c r="CW1224" s="5" t="str">
        <f>"+18307766661"</f>
        <v>+18307766661</v>
      </c>
      <c r="CX1224" t="s">
        <v>15114</v>
      </c>
      <c r="CY1224" t="s">
        <v>138</v>
      </c>
      <c r="CZ1224" t="s">
        <v>139</v>
      </c>
      <c r="DA1224" t="s">
        <v>134</v>
      </c>
      <c r="DB1224" t="s">
        <v>134</v>
      </c>
      <c r="DC1224" t="s">
        <v>114</v>
      </c>
      <c r="DD1224" t="s">
        <v>134</v>
      </c>
    </row>
    <row r="1225" spans="1:113" ht="15" customHeight="1" x14ac:dyDescent="0.25">
      <c r="A1225" t="s">
        <v>3267</v>
      </c>
      <c r="B1225" t="s">
        <v>113</v>
      </c>
      <c r="C1225" s="1">
        <v>44823.483364583335</v>
      </c>
      <c r="D1225" s="1">
        <v>44862</v>
      </c>
      <c r="E1225" t="s">
        <v>134</v>
      </c>
      <c r="F1225" t="s">
        <v>1591</v>
      </c>
      <c r="G1225" t="str">
        <f>"37-2012.00"</f>
        <v>37-2012.00</v>
      </c>
      <c r="H1225" t="s">
        <v>116</v>
      </c>
      <c r="I1225">
        <v>100</v>
      </c>
      <c r="K1225" s="1">
        <v>44905</v>
      </c>
      <c r="L1225" s="1">
        <v>45168</v>
      </c>
      <c r="O1225" t="s">
        <v>199</v>
      </c>
      <c r="P1225" t="s">
        <v>3268</v>
      </c>
      <c r="Q1225" t="s">
        <v>3268</v>
      </c>
      <c r="R1225" t="s">
        <v>3269</v>
      </c>
      <c r="S1225" t="s">
        <v>3270</v>
      </c>
      <c r="T1225" t="s">
        <v>3271</v>
      </c>
      <c r="U1225" t="s">
        <v>154</v>
      </c>
      <c r="V1225" s="4" t="str">
        <f>"33418"</f>
        <v>33418</v>
      </c>
      <c r="W1225" t="s">
        <v>120</v>
      </c>
      <c r="X1225" t="s">
        <v>3272</v>
      </c>
      <c r="Y1225" s="5">
        <v>15613793601</v>
      </c>
      <c r="AA1225">
        <v>561720</v>
      </c>
      <c r="AB1225" t="s">
        <v>3273</v>
      </c>
      <c r="AC1225" t="s">
        <v>2821</v>
      </c>
      <c r="AE1225" t="s">
        <v>1150</v>
      </c>
      <c r="AF1225" t="s">
        <v>3274</v>
      </c>
      <c r="AG1225">
        <v>221</v>
      </c>
      <c r="AH1225" t="s">
        <v>3275</v>
      </c>
      <c r="AI1225" t="s">
        <v>154</v>
      </c>
      <c r="AJ1225" s="4" t="str">
        <f>"33418"</f>
        <v>33418</v>
      </c>
      <c r="AK1225" t="s">
        <v>120</v>
      </c>
      <c r="AL1225" t="s">
        <v>3276</v>
      </c>
      <c r="AM1225" s="5">
        <v>15613793601</v>
      </c>
      <c r="AO1225" t="s">
        <v>3277</v>
      </c>
      <c r="AP1225" t="s">
        <v>122</v>
      </c>
      <c r="AQ1225" t="s">
        <v>2263</v>
      </c>
      <c r="AR1225" t="s">
        <v>2264</v>
      </c>
      <c r="AS1225" t="s">
        <v>2149</v>
      </c>
      <c r="AT1225" t="s">
        <v>3278</v>
      </c>
      <c r="AU1225" t="s">
        <v>3279</v>
      </c>
      <c r="AV1225" t="s">
        <v>2265</v>
      </c>
      <c r="AW1225" t="s">
        <v>154</v>
      </c>
      <c r="AX1225" s="4" t="str">
        <f>"33547"</f>
        <v>33547</v>
      </c>
      <c r="AY1225" t="s">
        <v>120</v>
      </c>
      <c r="AZ1225" t="s">
        <v>566</v>
      </c>
      <c r="BA1225" s="5">
        <v>18135288934</v>
      </c>
      <c r="BC1225" t="s">
        <v>2266</v>
      </c>
      <c r="BD1225" t="s">
        <v>3278</v>
      </c>
      <c r="BE1225" t="s">
        <v>848</v>
      </c>
      <c r="BF1225" t="s">
        <v>2267</v>
      </c>
      <c r="BG1225" t="s">
        <v>154</v>
      </c>
      <c r="BH1225" s="1">
        <v>44822.833333333336</v>
      </c>
      <c r="BI1225">
        <v>35</v>
      </c>
      <c r="BJ1225">
        <v>5</v>
      </c>
      <c r="BK1225">
        <v>5</v>
      </c>
      <c r="BL1225">
        <v>5</v>
      </c>
      <c r="BM1225">
        <v>5</v>
      </c>
      <c r="BN1225">
        <v>5</v>
      </c>
      <c r="BO1225">
        <v>5</v>
      </c>
      <c r="BP1225">
        <v>5</v>
      </c>
      <c r="BQ1225" t="str">
        <f>"8:00 AM"</f>
        <v>8:00 AM</v>
      </c>
      <c r="BR1225" t="str">
        <f>"4:00 AM"</f>
        <v>4:00 AM</v>
      </c>
      <c r="BS1225" t="s">
        <v>133</v>
      </c>
      <c r="BT1225">
        <v>0</v>
      </c>
      <c r="BU1225">
        <v>3</v>
      </c>
      <c r="BV1225" t="s">
        <v>134</v>
      </c>
      <c r="BX1225" s="2" t="s">
        <v>3280</v>
      </c>
      <c r="BY1225" t="s">
        <v>3281</v>
      </c>
      <c r="BZ1225" t="s">
        <v>3282</v>
      </c>
      <c r="CA1225" t="s">
        <v>3283</v>
      </c>
      <c r="CB1225" t="s">
        <v>154</v>
      </c>
      <c r="CC1225" s="4" t="str">
        <f>"35019"</f>
        <v>35019</v>
      </c>
      <c r="CD1225" t="s">
        <v>2313</v>
      </c>
      <c r="CE1225" t="s">
        <v>1742</v>
      </c>
      <c r="CF1225" s="6">
        <v>13.06</v>
      </c>
      <c r="CG1225" s="6">
        <v>13.06</v>
      </c>
      <c r="CH1225" s="6">
        <v>19.59</v>
      </c>
      <c r="CI1225" s="6">
        <v>19.59</v>
      </c>
      <c r="CJ1225" t="s">
        <v>137</v>
      </c>
      <c r="CL1225" t="s">
        <v>3284</v>
      </c>
      <c r="CO1225" t="s">
        <v>138</v>
      </c>
      <c r="CP1225" t="s">
        <v>134</v>
      </c>
      <c r="CQ1225" t="s">
        <v>114</v>
      </c>
      <c r="CR1225" t="s">
        <v>114</v>
      </c>
      <c r="CS1225" t="s">
        <v>134</v>
      </c>
      <c r="CT1225" t="s">
        <v>114</v>
      </c>
      <c r="CU1225" t="s">
        <v>114</v>
      </c>
      <c r="CV1225" t="s">
        <v>3285</v>
      </c>
      <c r="CW1225" s="5" t="str">
        <f>"+15613793601"</f>
        <v>+15613793601</v>
      </c>
      <c r="CX1225" t="s">
        <v>3277</v>
      </c>
      <c r="CY1225" t="s">
        <v>138</v>
      </c>
      <c r="CZ1225" t="s">
        <v>139</v>
      </c>
      <c r="DA1225" t="s">
        <v>134</v>
      </c>
      <c r="DB1225" t="s">
        <v>134</v>
      </c>
      <c r="DC1225" t="s">
        <v>114</v>
      </c>
      <c r="DD1225" t="s">
        <v>134</v>
      </c>
    </row>
    <row r="1226" spans="1:113" ht="15" customHeight="1" x14ac:dyDescent="0.25">
      <c r="A1226" t="s">
        <v>10651</v>
      </c>
      <c r="B1226" t="s">
        <v>113</v>
      </c>
      <c r="C1226" s="1">
        <v>44813.669429398149</v>
      </c>
      <c r="D1226" s="1">
        <v>44862</v>
      </c>
      <c r="E1226" t="s">
        <v>134</v>
      </c>
      <c r="F1226" t="s">
        <v>1567</v>
      </c>
      <c r="G1226" t="str">
        <f>"41-1011.00"</f>
        <v>41-1011.00</v>
      </c>
      <c r="H1226" t="s">
        <v>2163</v>
      </c>
      <c r="I1226">
        <v>1</v>
      </c>
      <c r="K1226" s="1">
        <v>44819</v>
      </c>
      <c r="L1226" s="1">
        <v>45914</v>
      </c>
      <c r="O1226" t="s">
        <v>168</v>
      </c>
      <c r="P1226" t="s">
        <v>10652</v>
      </c>
      <c r="R1226" t="s">
        <v>10653</v>
      </c>
      <c r="T1226" t="s">
        <v>9044</v>
      </c>
      <c r="U1226" t="s">
        <v>2057</v>
      </c>
      <c r="V1226" s="4" t="str">
        <f>"57732"</f>
        <v>57732</v>
      </c>
      <c r="W1226" t="s">
        <v>120</v>
      </c>
      <c r="Y1226" s="5">
        <v>16057221510</v>
      </c>
      <c r="AA1226">
        <v>453991</v>
      </c>
      <c r="AB1226" t="s">
        <v>10654</v>
      </c>
      <c r="AC1226" t="s">
        <v>626</v>
      </c>
      <c r="AD1226" t="s">
        <v>1841</v>
      </c>
      <c r="AE1226" t="s">
        <v>424</v>
      </c>
      <c r="AF1226" t="s">
        <v>10653</v>
      </c>
      <c r="AH1226" t="s">
        <v>10655</v>
      </c>
      <c r="AI1226" t="s">
        <v>2057</v>
      </c>
      <c r="AJ1226" s="4" t="str">
        <f>"57732"</f>
        <v>57732</v>
      </c>
      <c r="AK1226" t="s">
        <v>120</v>
      </c>
      <c r="AM1226" s="5">
        <v>16057221510</v>
      </c>
      <c r="AO1226" t="s">
        <v>10656</v>
      </c>
      <c r="AX1226" s="4" t="str">
        <f>""</f>
        <v/>
      </c>
      <c r="BG1226" t="s">
        <v>2057</v>
      </c>
      <c r="BH1226" s="1">
        <v>44724.833333333336</v>
      </c>
      <c r="BI1226">
        <v>40</v>
      </c>
      <c r="BJ1226">
        <v>0</v>
      </c>
      <c r="BK1226">
        <v>8</v>
      </c>
      <c r="BL1226">
        <v>8</v>
      </c>
      <c r="BM1226">
        <v>8</v>
      </c>
      <c r="BN1226">
        <v>8</v>
      </c>
      <c r="BO1226">
        <v>8</v>
      </c>
      <c r="BP1226">
        <v>0</v>
      </c>
      <c r="BQ1226" t="str">
        <f>"9:00 AM"</f>
        <v>9:00 AM</v>
      </c>
      <c r="BR1226" t="str">
        <f>"5:00 PM"</f>
        <v>5:00 PM</v>
      </c>
      <c r="BS1226" t="s">
        <v>967</v>
      </c>
      <c r="BT1226">
        <v>6</v>
      </c>
      <c r="BU1226">
        <v>6</v>
      </c>
      <c r="BV1226" t="s">
        <v>114</v>
      </c>
      <c r="BW1226">
        <v>3</v>
      </c>
      <c r="BX1226" t="s">
        <v>10657</v>
      </c>
      <c r="BY1226" t="s">
        <v>10653</v>
      </c>
      <c r="CA1226" t="s">
        <v>9044</v>
      </c>
      <c r="CB1226" t="s">
        <v>2057</v>
      </c>
      <c r="CC1226" s="4" t="str">
        <f>"57732"</f>
        <v>57732</v>
      </c>
      <c r="CD1226" t="s">
        <v>6130</v>
      </c>
      <c r="CE1226" t="s">
        <v>4202</v>
      </c>
      <c r="CF1226" s="6">
        <v>23.23</v>
      </c>
      <c r="CG1226" s="6">
        <v>23.23</v>
      </c>
      <c r="CH1226" s="6">
        <v>34.85</v>
      </c>
      <c r="CI1226" s="6">
        <v>34.85</v>
      </c>
      <c r="CJ1226" t="s">
        <v>137</v>
      </c>
      <c r="CL1226" t="s">
        <v>10658</v>
      </c>
      <c r="CO1226" t="s">
        <v>114</v>
      </c>
      <c r="CP1226" t="s">
        <v>134</v>
      </c>
      <c r="CQ1226" t="s">
        <v>134</v>
      </c>
      <c r="CR1226" t="s">
        <v>114</v>
      </c>
      <c r="CS1226" t="s">
        <v>114</v>
      </c>
      <c r="CT1226" t="s">
        <v>114</v>
      </c>
      <c r="CU1226" t="s">
        <v>134</v>
      </c>
      <c r="CV1226" t="s">
        <v>10659</v>
      </c>
      <c r="CW1226" s="5" t="str">
        <f>"+16057221510"</f>
        <v>+16057221510</v>
      </c>
      <c r="CX1226" t="s">
        <v>10656</v>
      </c>
      <c r="CY1226" t="s">
        <v>10660</v>
      </c>
      <c r="CZ1226" t="s">
        <v>139</v>
      </c>
      <c r="DA1226" t="s">
        <v>134</v>
      </c>
      <c r="DB1226" t="s">
        <v>134</v>
      </c>
      <c r="DC1226" t="s">
        <v>114</v>
      </c>
      <c r="DD1226" t="s">
        <v>134</v>
      </c>
    </row>
    <row r="1227" spans="1:113" ht="15" customHeight="1" x14ac:dyDescent="0.25">
      <c r="A1227" t="s">
        <v>16578</v>
      </c>
      <c r="B1227" t="s">
        <v>113</v>
      </c>
      <c r="C1227" s="1">
        <v>44812.55296828704</v>
      </c>
      <c r="D1227" s="1">
        <v>44862</v>
      </c>
      <c r="E1227" t="s">
        <v>134</v>
      </c>
      <c r="F1227" t="s">
        <v>16579</v>
      </c>
      <c r="G1227" t="str">
        <f>"23-2011.00"</f>
        <v>23-2011.00</v>
      </c>
      <c r="H1227" t="s">
        <v>10398</v>
      </c>
      <c r="I1227">
        <v>1</v>
      </c>
      <c r="K1227" s="1">
        <v>44896</v>
      </c>
      <c r="L1227" s="1">
        <v>45260</v>
      </c>
      <c r="O1227" t="s">
        <v>168</v>
      </c>
      <c r="P1227" t="s">
        <v>16580</v>
      </c>
      <c r="Q1227" t="s">
        <v>16580</v>
      </c>
      <c r="R1227" t="s">
        <v>16581</v>
      </c>
      <c r="T1227" t="s">
        <v>16582</v>
      </c>
      <c r="U1227" t="s">
        <v>2371</v>
      </c>
      <c r="V1227" s="4" t="str">
        <f>"46033"</f>
        <v>46033</v>
      </c>
      <c r="W1227" t="s">
        <v>120</v>
      </c>
      <c r="Y1227" s="5">
        <v>13179957530</v>
      </c>
      <c r="AA1227">
        <v>54111</v>
      </c>
      <c r="AB1227" t="s">
        <v>16583</v>
      </c>
      <c r="AC1227" t="s">
        <v>16584</v>
      </c>
      <c r="AD1227" t="s">
        <v>16585</v>
      </c>
      <c r="AE1227" t="s">
        <v>16586</v>
      </c>
      <c r="AF1227" t="s">
        <v>16581</v>
      </c>
      <c r="AH1227" t="s">
        <v>16582</v>
      </c>
      <c r="AI1227" t="s">
        <v>2371</v>
      </c>
      <c r="AJ1227" s="4" t="str">
        <f>"46033"</f>
        <v>46033</v>
      </c>
      <c r="AK1227" t="s">
        <v>120</v>
      </c>
      <c r="AM1227" s="5">
        <v>13179957530</v>
      </c>
      <c r="AO1227" t="s">
        <v>16587</v>
      </c>
      <c r="AX1227" s="4" t="str">
        <f>""</f>
        <v/>
      </c>
      <c r="BG1227" t="s">
        <v>2371</v>
      </c>
      <c r="BH1227" s="1">
        <v>44811.833333333336</v>
      </c>
      <c r="BI1227">
        <v>40</v>
      </c>
      <c r="BJ1227">
        <v>0</v>
      </c>
      <c r="BK1227">
        <v>8</v>
      </c>
      <c r="BL1227">
        <v>8</v>
      </c>
      <c r="BM1227">
        <v>8</v>
      </c>
      <c r="BN1227">
        <v>8</v>
      </c>
      <c r="BO1227">
        <v>8</v>
      </c>
      <c r="BP1227">
        <v>0</v>
      </c>
      <c r="BQ1227" t="str">
        <f>"8:30 AM"</f>
        <v>8:30 AM</v>
      </c>
      <c r="BR1227" t="str">
        <f>"5:00 PM"</f>
        <v>5:00 PM</v>
      </c>
      <c r="BS1227" t="s">
        <v>295</v>
      </c>
      <c r="BT1227">
        <v>3</v>
      </c>
      <c r="BU1227">
        <v>6</v>
      </c>
      <c r="BV1227" t="s">
        <v>134</v>
      </c>
      <c r="BX1227" s="2" t="s">
        <v>16588</v>
      </c>
      <c r="BY1227" t="s">
        <v>16589</v>
      </c>
      <c r="BZ1227" t="s">
        <v>16590</v>
      </c>
      <c r="CA1227" t="s">
        <v>16582</v>
      </c>
      <c r="CB1227" t="s">
        <v>2371</v>
      </c>
      <c r="CC1227" s="4" t="str">
        <f>"46033"</f>
        <v>46033</v>
      </c>
      <c r="CD1227" t="s">
        <v>1839</v>
      </c>
      <c r="CE1227" t="s">
        <v>2372</v>
      </c>
      <c r="CF1227" s="6">
        <v>25.51</v>
      </c>
      <c r="CG1227" s="6">
        <v>26</v>
      </c>
      <c r="CH1227" s="6">
        <v>38.270000000000003</v>
      </c>
      <c r="CI1227" s="6">
        <v>39</v>
      </c>
      <c r="CJ1227" t="s">
        <v>137</v>
      </c>
      <c r="CL1227" t="s">
        <v>16591</v>
      </c>
      <c r="CO1227" t="s">
        <v>138</v>
      </c>
      <c r="CP1227" t="s">
        <v>134</v>
      </c>
      <c r="CQ1227" t="s">
        <v>114</v>
      </c>
      <c r="CR1227" t="s">
        <v>114</v>
      </c>
      <c r="CS1227" t="s">
        <v>114</v>
      </c>
      <c r="CT1227" t="s">
        <v>114</v>
      </c>
      <c r="CU1227" t="s">
        <v>114</v>
      </c>
      <c r="CV1227" t="s">
        <v>16592</v>
      </c>
      <c r="CW1227" s="5" t="str">
        <f>"+13179957530"</f>
        <v>+13179957530</v>
      </c>
      <c r="CX1227" t="s">
        <v>16587</v>
      </c>
      <c r="CY1227" t="s">
        <v>16593</v>
      </c>
      <c r="CZ1227" t="s">
        <v>139</v>
      </c>
      <c r="DA1227" t="s">
        <v>134</v>
      </c>
      <c r="DB1227" t="s">
        <v>134</v>
      </c>
      <c r="DC1227" t="s">
        <v>114</v>
      </c>
      <c r="DD1227" t="s">
        <v>134</v>
      </c>
    </row>
    <row r="1228" spans="1:113" ht="15" customHeight="1" x14ac:dyDescent="0.25">
      <c r="A1228" t="s">
        <v>14520</v>
      </c>
      <c r="B1228" t="s">
        <v>113</v>
      </c>
      <c r="C1228" s="1">
        <v>44826.503194444442</v>
      </c>
      <c r="D1228" s="1">
        <v>44861</v>
      </c>
      <c r="E1228" t="s">
        <v>134</v>
      </c>
      <c r="F1228" t="s">
        <v>1683</v>
      </c>
      <c r="G1228" t="str">
        <f>"53-3032.00"</f>
        <v>53-3032.00</v>
      </c>
      <c r="H1228" t="s">
        <v>227</v>
      </c>
      <c r="I1228">
        <v>1</v>
      </c>
      <c r="K1228" s="1">
        <v>44903</v>
      </c>
      <c r="L1228" s="1">
        <v>45235</v>
      </c>
      <c r="O1228" t="s">
        <v>3130</v>
      </c>
      <c r="P1228" t="s">
        <v>14521</v>
      </c>
      <c r="Q1228" t="s">
        <v>14521</v>
      </c>
      <c r="R1228" t="s">
        <v>14522</v>
      </c>
      <c r="T1228" t="s">
        <v>1358</v>
      </c>
      <c r="U1228" t="s">
        <v>232</v>
      </c>
      <c r="V1228" s="4" t="str">
        <f>"78130"</f>
        <v>78130</v>
      </c>
      <c r="W1228" t="s">
        <v>120</v>
      </c>
      <c r="Y1228" s="5">
        <v>18005906698</v>
      </c>
      <c r="AA1228">
        <v>484121</v>
      </c>
      <c r="AB1228" t="s">
        <v>14523</v>
      </c>
      <c r="AC1228" t="s">
        <v>4486</v>
      </c>
      <c r="AE1228" t="s">
        <v>1835</v>
      </c>
      <c r="AF1228" t="s">
        <v>14524</v>
      </c>
      <c r="AH1228" t="s">
        <v>1358</v>
      </c>
      <c r="AI1228" t="s">
        <v>232</v>
      </c>
      <c r="AJ1228" s="4" t="str">
        <f>"78130"</f>
        <v>78130</v>
      </c>
      <c r="AK1228" t="s">
        <v>120</v>
      </c>
      <c r="AM1228" s="5">
        <v>12106336445</v>
      </c>
      <c r="AO1228" t="s">
        <v>14525</v>
      </c>
      <c r="AX1228" s="4" t="str">
        <f>""</f>
        <v/>
      </c>
      <c r="BG1228" t="s">
        <v>232</v>
      </c>
      <c r="BH1228" s="1">
        <v>44825.833333333336</v>
      </c>
      <c r="BI1228">
        <v>40</v>
      </c>
      <c r="BJ1228">
        <v>8</v>
      </c>
      <c r="BK1228">
        <v>0</v>
      </c>
      <c r="BL1228">
        <v>0</v>
      </c>
      <c r="BM1228">
        <v>8</v>
      </c>
      <c r="BN1228">
        <v>8</v>
      </c>
      <c r="BO1228">
        <v>8</v>
      </c>
      <c r="BP1228">
        <v>8</v>
      </c>
      <c r="BQ1228" t="str">
        <f>"7:00 AM"</f>
        <v>7:00 AM</v>
      </c>
      <c r="BR1228" t="str">
        <f>"4:00 PM"</f>
        <v>4:00 PM</v>
      </c>
      <c r="BS1228" t="s">
        <v>133</v>
      </c>
      <c r="BT1228">
        <v>12</v>
      </c>
      <c r="BU1228">
        <v>12</v>
      </c>
      <c r="BV1228" t="s">
        <v>134</v>
      </c>
      <c r="BX1228" t="s">
        <v>14526</v>
      </c>
      <c r="BY1228" t="s">
        <v>14522</v>
      </c>
      <c r="CA1228" t="s">
        <v>1358</v>
      </c>
      <c r="CB1228" t="s">
        <v>232</v>
      </c>
      <c r="CC1228" s="4" t="str">
        <f>"78130"</f>
        <v>78130</v>
      </c>
      <c r="CD1228" t="s">
        <v>1341</v>
      </c>
      <c r="CE1228" t="s">
        <v>1342</v>
      </c>
      <c r="CF1228" s="6">
        <v>22.62</v>
      </c>
      <c r="CG1228" s="6">
        <v>24</v>
      </c>
      <c r="CH1228" s="6">
        <v>33.93</v>
      </c>
      <c r="CI1228" s="6">
        <v>36</v>
      </c>
      <c r="CJ1228" t="s">
        <v>137</v>
      </c>
      <c r="CK1228" t="s">
        <v>138</v>
      </c>
      <c r="CL1228" t="s">
        <v>14527</v>
      </c>
      <c r="CO1228" t="s">
        <v>138</v>
      </c>
      <c r="CP1228" t="s">
        <v>134</v>
      </c>
      <c r="CQ1228" t="s">
        <v>134</v>
      </c>
      <c r="CR1228" t="s">
        <v>114</v>
      </c>
      <c r="CS1228" t="s">
        <v>134</v>
      </c>
      <c r="CT1228" t="s">
        <v>114</v>
      </c>
      <c r="CU1228" t="s">
        <v>134</v>
      </c>
      <c r="CV1228" t="s">
        <v>2154</v>
      </c>
      <c r="CW1228" s="5" t="str">
        <f>"+18005906698"</f>
        <v>+18005906698</v>
      </c>
      <c r="CX1228" t="s">
        <v>14525</v>
      </c>
      <c r="CY1228" t="s">
        <v>138</v>
      </c>
      <c r="CZ1228" t="s">
        <v>139</v>
      </c>
      <c r="DA1228" t="s">
        <v>134</v>
      </c>
      <c r="DB1228" t="s">
        <v>134</v>
      </c>
      <c r="DC1228" t="s">
        <v>114</v>
      </c>
      <c r="DD1228" t="s">
        <v>134</v>
      </c>
    </row>
    <row r="1229" spans="1:113" ht="15" customHeight="1" x14ac:dyDescent="0.25">
      <c r="A1229" t="s">
        <v>998</v>
      </c>
      <c r="B1229" t="s">
        <v>113</v>
      </c>
      <c r="C1229" s="1">
        <v>44825.791149421297</v>
      </c>
      <c r="D1229" s="1">
        <v>44861</v>
      </c>
      <c r="E1229" t="s">
        <v>134</v>
      </c>
      <c r="F1229" t="s">
        <v>999</v>
      </c>
      <c r="G1229" t="str">
        <f>"37-3011.00"</f>
        <v>37-3011.00</v>
      </c>
      <c r="H1229" t="s">
        <v>335</v>
      </c>
      <c r="I1229">
        <v>15</v>
      </c>
      <c r="K1229" s="1">
        <v>44900</v>
      </c>
      <c r="L1229" s="1">
        <v>45184</v>
      </c>
      <c r="O1229" t="s">
        <v>199</v>
      </c>
      <c r="P1229" t="s">
        <v>1000</v>
      </c>
      <c r="R1229" t="s">
        <v>1001</v>
      </c>
      <c r="T1229" t="s">
        <v>1002</v>
      </c>
      <c r="U1229" t="s">
        <v>1003</v>
      </c>
      <c r="V1229" s="4" t="str">
        <f>"07420"</f>
        <v>07420</v>
      </c>
      <c r="W1229" t="s">
        <v>120</v>
      </c>
      <c r="Y1229" s="5">
        <v>19732962244</v>
      </c>
      <c r="AA1229">
        <v>561730</v>
      </c>
      <c r="AB1229" t="s">
        <v>1004</v>
      </c>
      <c r="AC1229" t="s">
        <v>370</v>
      </c>
      <c r="AE1229" t="s">
        <v>424</v>
      </c>
      <c r="AF1229" t="s">
        <v>1005</v>
      </c>
      <c r="AH1229" t="s">
        <v>1002</v>
      </c>
      <c r="AI1229" t="s">
        <v>1003</v>
      </c>
      <c r="AJ1229" s="4" t="str">
        <f>"07420"</f>
        <v>07420</v>
      </c>
      <c r="AK1229" t="s">
        <v>120</v>
      </c>
      <c r="AM1229" s="5">
        <v>19732962244</v>
      </c>
      <c r="AO1229" t="s">
        <v>1006</v>
      </c>
      <c r="AX1229" s="4" t="str">
        <f>""</f>
        <v/>
      </c>
      <c r="BG1229" t="s">
        <v>1003</v>
      </c>
      <c r="BH1229" s="1">
        <v>44819.833333333336</v>
      </c>
      <c r="BI1229">
        <v>40</v>
      </c>
      <c r="BJ1229">
        <v>0</v>
      </c>
      <c r="BK1229">
        <v>8</v>
      </c>
      <c r="BL1229">
        <v>8</v>
      </c>
      <c r="BM1229">
        <v>8</v>
      </c>
      <c r="BN1229">
        <v>8</v>
      </c>
      <c r="BO1229">
        <v>8</v>
      </c>
      <c r="BP1229">
        <v>0</v>
      </c>
      <c r="BQ1229" t="str">
        <f>"8:00 AM"</f>
        <v>8:00 AM</v>
      </c>
      <c r="BR1229" t="str">
        <f>"5:00 PM"</f>
        <v>5:00 PM</v>
      </c>
      <c r="BS1229" t="s">
        <v>133</v>
      </c>
      <c r="BT1229">
        <v>0</v>
      </c>
      <c r="BU1229">
        <v>0</v>
      </c>
      <c r="BV1229" t="s">
        <v>134</v>
      </c>
      <c r="BX1229" t="s">
        <v>1007</v>
      </c>
      <c r="BY1229" t="s">
        <v>1001</v>
      </c>
      <c r="CA1229" t="s">
        <v>1002</v>
      </c>
      <c r="CB1229" t="s">
        <v>1003</v>
      </c>
      <c r="CC1229" s="4" t="str">
        <f>"07420"</f>
        <v>07420</v>
      </c>
      <c r="CD1229" t="s">
        <v>1008</v>
      </c>
      <c r="CE1229" t="s">
        <v>1009</v>
      </c>
      <c r="CF1229" s="6">
        <v>19.940000000000001</v>
      </c>
      <c r="CG1229" s="6">
        <v>19.940000000000001</v>
      </c>
      <c r="CH1229" s="6">
        <v>29.91</v>
      </c>
      <c r="CI1229" s="6">
        <v>29.91</v>
      </c>
      <c r="CJ1229" t="s">
        <v>137</v>
      </c>
      <c r="CL1229" t="s">
        <v>1010</v>
      </c>
      <c r="CO1229" t="s">
        <v>138</v>
      </c>
      <c r="CP1229" t="s">
        <v>134</v>
      </c>
      <c r="CQ1229" t="s">
        <v>114</v>
      </c>
      <c r="CR1229" t="s">
        <v>114</v>
      </c>
      <c r="CS1229" t="s">
        <v>114</v>
      </c>
      <c r="CT1229" t="s">
        <v>114</v>
      </c>
      <c r="CU1229" t="s">
        <v>114</v>
      </c>
      <c r="CV1229" t="s">
        <v>1011</v>
      </c>
      <c r="CW1229" s="5" t="str">
        <f>"+19294317980"</f>
        <v>+19294317980</v>
      </c>
      <c r="CX1229" t="s">
        <v>1006</v>
      </c>
      <c r="CY1229" t="s">
        <v>138</v>
      </c>
      <c r="CZ1229" t="s">
        <v>139</v>
      </c>
      <c r="DA1229" t="s">
        <v>134</v>
      </c>
      <c r="DB1229" t="s">
        <v>134</v>
      </c>
      <c r="DC1229" t="s">
        <v>114</v>
      </c>
      <c r="DD1229" t="s">
        <v>134</v>
      </c>
    </row>
    <row r="1230" spans="1:113" ht="15" customHeight="1" x14ac:dyDescent="0.25">
      <c r="A1230" t="s">
        <v>11342</v>
      </c>
      <c r="B1230" t="s">
        <v>113</v>
      </c>
      <c r="C1230" s="1">
        <v>44822.627416087962</v>
      </c>
      <c r="D1230" s="1">
        <v>44861</v>
      </c>
      <c r="E1230" t="s">
        <v>114</v>
      </c>
      <c r="F1230" t="s">
        <v>11343</v>
      </c>
      <c r="G1230" t="str">
        <f>"37-2012.00"</f>
        <v>37-2012.00</v>
      </c>
      <c r="H1230" t="s">
        <v>116</v>
      </c>
      <c r="I1230">
        <v>40</v>
      </c>
      <c r="K1230" s="1">
        <v>44897</v>
      </c>
      <c r="L1230" s="1">
        <v>45107</v>
      </c>
      <c r="O1230" t="s">
        <v>199</v>
      </c>
      <c r="P1230" t="s">
        <v>11344</v>
      </c>
      <c r="R1230" t="s">
        <v>11345</v>
      </c>
      <c r="T1230" t="s">
        <v>587</v>
      </c>
      <c r="U1230" t="s">
        <v>530</v>
      </c>
      <c r="V1230" s="4" t="str">
        <f>"85032"</f>
        <v>85032</v>
      </c>
      <c r="W1230" t="s">
        <v>120</v>
      </c>
      <c r="Y1230" s="5">
        <v>14802237311</v>
      </c>
      <c r="AA1230">
        <v>561720</v>
      </c>
      <c r="AB1230" t="s">
        <v>11346</v>
      </c>
      <c r="AC1230" t="s">
        <v>11347</v>
      </c>
      <c r="AE1230" t="s">
        <v>7132</v>
      </c>
      <c r="AF1230" t="s">
        <v>11348</v>
      </c>
      <c r="AH1230" t="s">
        <v>587</v>
      </c>
      <c r="AI1230" t="s">
        <v>530</v>
      </c>
      <c r="AJ1230" s="4" t="str">
        <f>"85032"</f>
        <v>85032</v>
      </c>
      <c r="AK1230" t="s">
        <v>120</v>
      </c>
      <c r="AM1230" s="5">
        <v>14802237311</v>
      </c>
      <c r="AO1230" t="s">
        <v>11349</v>
      </c>
      <c r="AX1230" s="4" t="str">
        <f>""</f>
        <v/>
      </c>
      <c r="BG1230" t="s">
        <v>154</v>
      </c>
      <c r="BH1230" s="1">
        <v>44816.833333333336</v>
      </c>
      <c r="BI1230">
        <v>35</v>
      </c>
      <c r="BJ1230">
        <v>0</v>
      </c>
      <c r="BK1230">
        <v>6</v>
      </c>
      <c r="BL1230">
        <v>6</v>
      </c>
      <c r="BM1230">
        <v>6</v>
      </c>
      <c r="BN1230">
        <v>6</v>
      </c>
      <c r="BO1230">
        <v>6</v>
      </c>
      <c r="BP1230">
        <v>5</v>
      </c>
      <c r="BQ1230" t="str">
        <f>"9:00 AM"</f>
        <v>9:00 AM</v>
      </c>
      <c r="BR1230" t="str">
        <f>"4:00 PM"</f>
        <v>4:00 PM</v>
      </c>
      <c r="BS1230" t="s">
        <v>133</v>
      </c>
      <c r="BT1230">
        <v>0</v>
      </c>
      <c r="BU1230">
        <v>0</v>
      </c>
      <c r="BV1230" t="s">
        <v>134</v>
      </c>
      <c r="BX1230" t="s">
        <v>2314</v>
      </c>
      <c r="BY1230" t="s">
        <v>11350</v>
      </c>
      <c r="CA1230" t="s">
        <v>11351</v>
      </c>
      <c r="CB1230" t="s">
        <v>154</v>
      </c>
      <c r="CC1230" s="4" t="str">
        <f>"34266"</f>
        <v>34266</v>
      </c>
      <c r="CD1230" t="s">
        <v>2313</v>
      </c>
      <c r="CE1230" t="s">
        <v>1742</v>
      </c>
      <c r="CF1230" s="6">
        <v>13.06</v>
      </c>
      <c r="CG1230" s="6">
        <v>15.5</v>
      </c>
      <c r="CJ1230" t="s">
        <v>137</v>
      </c>
      <c r="CL1230" t="s">
        <v>11352</v>
      </c>
      <c r="CO1230" t="s">
        <v>138</v>
      </c>
      <c r="CP1230" t="s">
        <v>134</v>
      </c>
      <c r="CQ1230" t="s">
        <v>134</v>
      </c>
      <c r="CR1230" t="s">
        <v>134</v>
      </c>
      <c r="CS1230" t="s">
        <v>134</v>
      </c>
      <c r="CT1230" t="s">
        <v>114</v>
      </c>
      <c r="CU1230" t="s">
        <v>114</v>
      </c>
      <c r="CV1230" t="s">
        <v>11353</v>
      </c>
      <c r="CW1230" s="5" t="str">
        <f>"+14802237311"</f>
        <v>+14802237311</v>
      </c>
      <c r="CX1230" t="s">
        <v>11349</v>
      </c>
      <c r="CY1230" t="s">
        <v>138</v>
      </c>
      <c r="CZ1230" t="s">
        <v>139</v>
      </c>
      <c r="DA1230" t="s">
        <v>134</v>
      </c>
      <c r="DB1230" t="s">
        <v>114</v>
      </c>
      <c r="DC1230" t="s">
        <v>114</v>
      </c>
      <c r="DD1230" t="s">
        <v>134</v>
      </c>
    </row>
    <row r="1231" spans="1:113" ht="15" customHeight="1" x14ac:dyDescent="0.25">
      <c r="A1231" t="s">
        <v>13078</v>
      </c>
      <c r="B1231" t="s">
        <v>113</v>
      </c>
      <c r="C1231" s="1">
        <v>44806.420711574072</v>
      </c>
      <c r="D1231" s="1">
        <v>44861</v>
      </c>
      <c r="E1231" t="s">
        <v>134</v>
      </c>
      <c r="F1231" t="s">
        <v>2433</v>
      </c>
      <c r="G1231" t="str">
        <f>"51-3022.00"</f>
        <v>51-3022.00</v>
      </c>
      <c r="H1231" t="s">
        <v>817</v>
      </c>
      <c r="I1231">
        <v>350</v>
      </c>
      <c r="K1231" s="1">
        <v>44896</v>
      </c>
      <c r="L1231" s="1">
        <v>45046</v>
      </c>
      <c r="O1231" t="s">
        <v>199</v>
      </c>
      <c r="P1231" t="s">
        <v>13079</v>
      </c>
      <c r="R1231" t="s">
        <v>13080</v>
      </c>
      <c r="T1231" t="s">
        <v>13081</v>
      </c>
      <c r="U1231" t="s">
        <v>792</v>
      </c>
      <c r="V1231" s="4" t="str">
        <f>"98052"</f>
        <v>98052</v>
      </c>
      <c r="W1231" t="s">
        <v>120</v>
      </c>
      <c r="Y1231" s="5">
        <v>14258818181</v>
      </c>
      <c r="AA1231">
        <v>31171</v>
      </c>
      <c r="AB1231" t="s">
        <v>13082</v>
      </c>
      <c r="AC1231" t="s">
        <v>9750</v>
      </c>
      <c r="AD1231" t="s">
        <v>1869</v>
      </c>
      <c r="AE1231" t="s">
        <v>13083</v>
      </c>
      <c r="AF1231" t="s">
        <v>13080</v>
      </c>
      <c r="AH1231" t="s">
        <v>13081</v>
      </c>
      <c r="AI1231" t="s">
        <v>792</v>
      </c>
      <c r="AJ1231" s="4" t="str">
        <f>"98052"</f>
        <v>98052</v>
      </c>
      <c r="AK1231" t="s">
        <v>120</v>
      </c>
      <c r="AM1231" s="5">
        <v>14258615242</v>
      </c>
      <c r="AO1231" t="s">
        <v>13084</v>
      </c>
      <c r="AP1231" t="s">
        <v>122</v>
      </c>
      <c r="AQ1231" t="s">
        <v>1399</v>
      </c>
      <c r="AR1231" t="s">
        <v>1400</v>
      </c>
      <c r="AS1231" t="s">
        <v>1401</v>
      </c>
      <c r="AT1231" t="s">
        <v>1816</v>
      </c>
      <c r="AU1231" t="s">
        <v>1402</v>
      </c>
      <c r="AV1231" t="s">
        <v>1817</v>
      </c>
      <c r="AW1231" t="s">
        <v>339</v>
      </c>
      <c r="AX1231" s="4" t="str">
        <f>"21117"</f>
        <v>21117</v>
      </c>
      <c r="AY1231" t="s">
        <v>120</v>
      </c>
      <c r="BA1231" s="5">
        <v>14435014240</v>
      </c>
      <c r="BC1231" t="s">
        <v>1818</v>
      </c>
      <c r="BD1231" t="s">
        <v>1819</v>
      </c>
      <c r="BE1231" t="s">
        <v>848</v>
      </c>
      <c r="BF1231" t="s">
        <v>1916</v>
      </c>
      <c r="BG1231" t="s">
        <v>821</v>
      </c>
      <c r="BH1231" s="1">
        <v>44805.833333333336</v>
      </c>
      <c r="BI1231">
        <v>35</v>
      </c>
      <c r="BJ1231">
        <v>5</v>
      </c>
      <c r="BK1231">
        <v>5</v>
      </c>
      <c r="BL1231">
        <v>5</v>
      </c>
      <c r="BM1231">
        <v>5</v>
      </c>
      <c r="BN1231">
        <v>5</v>
      </c>
      <c r="BO1231">
        <v>5</v>
      </c>
      <c r="BP1231">
        <v>5</v>
      </c>
      <c r="BQ1231" t="str">
        <f>"6:00 AM"</f>
        <v>6:00 AM</v>
      </c>
      <c r="BR1231" t="str">
        <f>"6:00 PM"</f>
        <v>6:00 PM</v>
      </c>
      <c r="BS1231" t="s">
        <v>133</v>
      </c>
      <c r="BT1231">
        <v>0</v>
      </c>
      <c r="BU1231">
        <v>0</v>
      </c>
      <c r="BV1231" t="s">
        <v>134</v>
      </c>
      <c r="BX1231" s="2" t="s">
        <v>13085</v>
      </c>
      <c r="BY1231" t="s">
        <v>13086</v>
      </c>
      <c r="CA1231" t="s">
        <v>6652</v>
      </c>
      <c r="CB1231" t="s">
        <v>821</v>
      </c>
      <c r="CC1231" s="4" t="str">
        <f>"99692"</f>
        <v>99692</v>
      </c>
      <c r="CD1231" t="s">
        <v>5273</v>
      </c>
      <c r="CE1231" t="s">
        <v>832</v>
      </c>
      <c r="CF1231" s="6">
        <v>18.059999999999999</v>
      </c>
      <c r="CH1231" s="6">
        <v>27.09</v>
      </c>
      <c r="CJ1231" t="s">
        <v>137</v>
      </c>
      <c r="CK1231" t="s">
        <v>13087</v>
      </c>
      <c r="CL1231" t="s">
        <v>13088</v>
      </c>
      <c r="CO1231" t="s">
        <v>138</v>
      </c>
      <c r="CP1231" t="s">
        <v>134</v>
      </c>
      <c r="CQ1231" t="s">
        <v>114</v>
      </c>
      <c r="CR1231" t="s">
        <v>114</v>
      </c>
      <c r="CS1231" t="s">
        <v>134</v>
      </c>
      <c r="CT1231" t="s">
        <v>114</v>
      </c>
      <c r="CU1231" t="s">
        <v>114</v>
      </c>
      <c r="CV1231" t="s">
        <v>1406</v>
      </c>
      <c r="CW1231" s="5" t="str">
        <f>"+14258818181"</f>
        <v>+14258818181</v>
      </c>
      <c r="CX1231" t="s">
        <v>13089</v>
      </c>
      <c r="CY1231" t="s">
        <v>13090</v>
      </c>
      <c r="CZ1231" t="s">
        <v>139</v>
      </c>
      <c r="DA1231" t="s">
        <v>134</v>
      </c>
      <c r="DB1231" t="s">
        <v>114</v>
      </c>
      <c r="DC1231" t="s">
        <v>114</v>
      </c>
      <c r="DD1231" t="s">
        <v>134</v>
      </c>
    </row>
    <row r="1232" spans="1:113" ht="15" customHeight="1" x14ac:dyDescent="0.25">
      <c r="A1232" t="s">
        <v>1056</v>
      </c>
      <c r="B1232" t="s">
        <v>113</v>
      </c>
      <c r="C1232" s="1">
        <v>44833.711196064818</v>
      </c>
      <c r="D1232" s="1">
        <v>44860</v>
      </c>
      <c r="E1232" t="s">
        <v>134</v>
      </c>
      <c r="F1232" t="s">
        <v>1057</v>
      </c>
      <c r="G1232" t="str">
        <f>"49-9052.00"</f>
        <v>49-9052.00</v>
      </c>
      <c r="H1232" t="s">
        <v>1058</v>
      </c>
      <c r="I1232">
        <v>10</v>
      </c>
      <c r="K1232" s="1">
        <v>44891</v>
      </c>
      <c r="L1232" s="1">
        <v>45100</v>
      </c>
      <c r="O1232" t="s">
        <v>117</v>
      </c>
      <c r="P1232" t="s">
        <v>1059</v>
      </c>
      <c r="Q1232" t="s">
        <v>1059</v>
      </c>
      <c r="R1232" t="s">
        <v>1060</v>
      </c>
      <c r="T1232" t="s">
        <v>1061</v>
      </c>
      <c r="U1232" t="s">
        <v>420</v>
      </c>
      <c r="V1232" s="4" t="str">
        <f>"84047"</f>
        <v>84047</v>
      </c>
      <c r="W1232" t="s">
        <v>120</v>
      </c>
      <c r="Y1232" s="5">
        <v>18012600262</v>
      </c>
      <c r="AA1232">
        <v>517312</v>
      </c>
      <c r="AB1232" t="s">
        <v>1062</v>
      </c>
      <c r="AC1232" t="s">
        <v>1063</v>
      </c>
      <c r="AD1232" t="s">
        <v>1064</v>
      </c>
      <c r="AE1232" t="s">
        <v>1065</v>
      </c>
      <c r="AF1232" t="s">
        <v>1060</v>
      </c>
      <c r="AG1232" t="s">
        <v>1066</v>
      </c>
      <c r="AH1232" t="s">
        <v>1061</v>
      </c>
      <c r="AI1232" t="s">
        <v>420</v>
      </c>
      <c r="AJ1232" s="4" t="str">
        <f>"84047"</f>
        <v>84047</v>
      </c>
      <c r="AK1232" t="s">
        <v>120</v>
      </c>
      <c r="AM1232" s="5">
        <v>18012600262</v>
      </c>
      <c r="AO1232" t="s">
        <v>1067</v>
      </c>
      <c r="AX1232" s="4" t="str">
        <f>""</f>
        <v/>
      </c>
      <c r="BG1232" t="s">
        <v>420</v>
      </c>
      <c r="BH1232" s="1">
        <v>43465.791666666664</v>
      </c>
      <c r="BI1232">
        <v>45</v>
      </c>
      <c r="BJ1232">
        <v>0</v>
      </c>
      <c r="BK1232">
        <v>8</v>
      </c>
      <c r="BL1232">
        <v>8</v>
      </c>
      <c r="BM1232">
        <v>8</v>
      </c>
      <c r="BN1232">
        <v>8</v>
      </c>
      <c r="BO1232">
        <v>8</v>
      </c>
      <c r="BP1232">
        <v>5</v>
      </c>
      <c r="BQ1232" t="str">
        <f>"7:30 AM"</f>
        <v>7:30 AM</v>
      </c>
      <c r="BR1232" t="str">
        <f>"5:30 PM"</f>
        <v>5:30 PM</v>
      </c>
      <c r="BS1232" t="s">
        <v>133</v>
      </c>
      <c r="BT1232">
        <v>6</v>
      </c>
      <c r="BU1232">
        <v>0</v>
      </c>
      <c r="BV1232" t="s">
        <v>134</v>
      </c>
      <c r="BX1232" t="s">
        <v>1068</v>
      </c>
      <c r="BY1232" t="s">
        <v>1060</v>
      </c>
      <c r="CA1232" t="s">
        <v>1061</v>
      </c>
      <c r="CB1232" t="s">
        <v>420</v>
      </c>
      <c r="CC1232" s="4" t="str">
        <f>"84047"</f>
        <v>84047</v>
      </c>
      <c r="CD1232" t="s">
        <v>688</v>
      </c>
      <c r="CE1232" t="s">
        <v>689</v>
      </c>
      <c r="CF1232" s="6">
        <v>26.68</v>
      </c>
      <c r="CG1232" s="6">
        <v>30</v>
      </c>
      <c r="CH1232" s="6">
        <v>40.020000000000003</v>
      </c>
      <c r="CI1232" s="6">
        <v>45</v>
      </c>
      <c r="CJ1232" t="s">
        <v>137</v>
      </c>
      <c r="CL1232" t="s">
        <v>1069</v>
      </c>
      <c r="CO1232" t="s">
        <v>114</v>
      </c>
      <c r="CP1232" t="s">
        <v>134</v>
      </c>
      <c r="CQ1232" t="s">
        <v>114</v>
      </c>
      <c r="CR1232" t="s">
        <v>114</v>
      </c>
      <c r="CS1232" t="s">
        <v>114</v>
      </c>
      <c r="CT1232" t="s">
        <v>114</v>
      </c>
      <c r="CU1232" t="s">
        <v>114</v>
      </c>
      <c r="CV1232" t="s">
        <v>1070</v>
      </c>
      <c r="CW1232" s="5" t="str">
        <f>"+18012600262"</f>
        <v>+18012600262</v>
      </c>
      <c r="CX1232" t="s">
        <v>1071</v>
      </c>
      <c r="CY1232" t="s">
        <v>138</v>
      </c>
      <c r="CZ1232" t="s">
        <v>139</v>
      </c>
      <c r="DA1232" t="s">
        <v>134</v>
      </c>
      <c r="DB1232" t="s">
        <v>134</v>
      </c>
      <c r="DC1232" t="s">
        <v>114</v>
      </c>
      <c r="DD1232" t="s">
        <v>134</v>
      </c>
      <c r="DE1232" t="s">
        <v>1072</v>
      </c>
      <c r="DF1232" t="s">
        <v>1073</v>
      </c>
      <c r="DG1232" t="s">
        <v>1020</v>
      </c>
      <c r="DH1232" t="s">
        <v>1074</v>
      </c>
      <c r="DI1232" t="s">
        <v>1075</v>
      </c>
    </row>
    <row r="1233" spans="1:113" ht="15" customHeight="1" x14ac:dyDescent="0.25">
      <c r="A1233" t="s">
        <v>3696</v>
      </c>
      <c r="B1233" t="s">
        <v>113</v>
      </c>
      <c r="C1233" s="1">
        <v>44830.912770254632</v>
      </c>
      <c r="D1233" s="1">
        <v>44859</v>
      </c>
      <c r="E1233" t="s">
        <v>114</v>
      </c>
      <c r="F1233" t="s">
        <v>3697</v>
      </c>
      <c r="G1233" t="str">
        <f>"37-2012.00"</f>
        <v>37-2012.00</v>
      </c>
      <c r="H1233" t="s">
        <v>116</v>
      </c>
      <c r="I1233">
        <v>100</v>
      </c>
      <c r="K1233" s="1">
        <v>44914</v>
      </c>
      <c r="L1233" s="1">
        <v>45157</v>
      </c>
      <c r="O1233" t="s">
        <v>199</v>
      </c>
      <c r="P1233" t="s">
        <v>3698</v>
      </c>
      <c r="Q1233" t="s">
        <v>3698</v>
      </c>
      <c r="R1233" t="s">
        <v>3699</v>
      </c>
      <c r="T1233" t="s">
        <v>3700</v>
      </c>
      <c r="U1233" t="s">
        <v>154</v>
      </c>
      <c r="V1233" s="4" t="str">
        <f>"32811"</f>
        <v>32811</v>
      </c>
      <c r="W1233" t="s">
        <v>120</v>
      </c>
      <c r="Y1233" s="5">
        <v>14078679822</v>
      </c>
      <c r="AA1233">
        <v>561311</v>
      </c>
      <c r="AB1233" t="s">
        <v>3701</v>
      </c>
      <c r="AC1233" t="s">
        <v>3702</v>
      </c>
      <c r="AD1233" t="s">
        <v>926</v>
      </c>
      <c r="AE1233" t="s">
        <v>3703</v>
      </c>
      <c r="AF1233" t="s">
        <v>3699</v>
      </c>
      <c r="AH1233" t="s">
        <v>3704</v>
      </c>
      <c r="AI1233" t="s">
        <v>154</v>
      </c>
      <c r="AJ1233" s="4" t="str">
        <f>"32818"</f>
        <v>32818</v>
      </c>
      <c r="AK1233" t="s">
        <v>120</v>
      </c>
      <c r="AM1233" s="5">
        <v>14078679822</v>
      </c>
      <c r="AO1233" t="s">
        <v>3705</v>
      </c>
      <c r="AX1233" s="4" t="str">
        <f>""</f>
        <v/>
      </c>
      <c r="BG1233" t="s">
        <v>154</v>
      </c>
      <c r="BH1233" s="1">
        <v>44830.833333333336</v>
      </c>
      <c r="BI1233">
        <v>40</v>
      </c>
      <c r="BJ1233">
        <v>0</v>
      </c>
      <c r="BK1233">
        <v>8</v>
      </c>
      <c r="BL1233">
        <v>8</v>
      </c>
      <c r="BM1233">
        <v>8</v>
      </c>
      <c r="BN1233">
        <v>8</v>
      </c>
      <c r="BO1233">
        <v>8</v>
      </c>
      <c r="BP1233">
        <v>0</v>
      </c>
      <c r="BQ1233" t="str">
        <f>"7:00 AM"</f>
        <v>7:00 AM</v>
      </c>
      <c r="BR1233" t="str">
        <f>"3:00 PM"</f>
        <v>3:00 PM</v>
      </c>
      <c r="BS1233" t="s">
        <v>295</v>
      </c>
      <c r="BT1233">
        <v>1</v>
      </c>
      <c r="BU1233">
        <v>12</v>
      </c>
      <c r="BV1233" t="s">
        <v>134</v>
      </c>
      <c r="BX1233" s="2" t="s">
        <v>3706</v>
      </c>
      <c r="BY1233" t="s">
        <v>3699</v>
      </c>
      <c r="CA1233" t="s">
        <v>3700</v>
      </c>
      <c r="CB1233" t="s">
        <v>154</v>
      </c>
      <c r="CC1233" s="4" t="str">
        <f>"32811"</f>
        <v>32811</v>
      </c>
      <c r="CD1233" t="s">
        <v>2302</v>
      </c>
      <c r="CE1233" t="s">
        <v>3159</v>
      </c>
      <c r="CF1233" s="6">
        <v>14.85</v>
      </c>
      <c r="CG1233" s="6">
        <v>14.85</v>
      </c>
      <c r="CH1233" s="6">
        <v>22.25</v>
      </c>
      <c r="CI1233" s="6">
        <v>22.25</v>
      </c>
      <c r="CJ1233" t="s">
        <v>137</v>
      </c>
      <c r="CL1233" t="s">
        <v>3707</v>
      </c>
      <c r="CO1233" t="s">
        <v>138</v>
      </c>
      <c r="CP1233" t="s">
        <v>114</v>
      </c>
      <c r="CQ1233" t="s">
        <v>114</v>
      </c>
      <c r="CR1233" t="s">
        <v>114</v>
      </c>
      <c r="CS1233" t="s">
        <v>114</v>
      </c>
      <c r="CT1233" t="s">
        <v>114</v>
      </c>
      <c r="CU1233" t="s">
        <v>114</v>
      </c>
      <c r="CV1233" t="s">
        <v>3708</v>
      </c>
      <c r="CW1233" s="5" t="str">
        <f>"+14072379767"</f>
        <v>+14072379767</v>
      </c>
      <c r="CX1233" t="s">
        <v>3709</v>
      </c>
      <c r="CY1233" t="s">
        <v>3710</v>
      </c>
      <c r="CZ1233" t="s">
        <v>139</v>
      </c>
      <c r="DA1233" t="s">
        <v>134</v>
      </c>
      <c r="DB1233" t="s">
        <v>134</v>
      </c>
      <c r="DC1233" t="s">
        <v>114</v>
      </c>
      <c r="DD1233" t="s">
        <v>134</v>
      </c>
      <c r="DE1233" t="s">
        <v>3701</v>
      </c>
      <c r="DF1233" t="s">
        <v>3702</v>
      </c>
      <c r="DG1233" t="s">
        <v>926</v>
      </c>
      <c r="DH1233" t="s">
        <v>3698</v>
      </c>
      <c r="DI1233" t="s">
        <v>3709</v>
      </c>
    </row>
    <row r="1234" spans="1:113" ht="15" customHeight="1" x14ac:dyDescent="0.25">
      <c r="A1234" t="s">
        <v>12195</v>
      </c>
      <c r="B1234" t="s">
        <v>113</v>
      </c>
      <c r="C1234" s="1">
        <v>44830.81766724537</v>
      </c>
      <c r="D1234" s="1">
        <v>44859</v>
      </c>
      <c r="E1234" t="s">
        <v>134</v>
      </c>
      <c r="F1234" t="s">
        <v>1683</v>
      </c>
      <c r="G1234" t="str">
        <f>"53-3032.00"</f>
        <v>53-3032.00</v>
      </c>
      <c r="H1234" t="s">
        <v>227</v>
      </c>
      <c r="I1234">
        <v>1</v>
      </c>
      <c r="K1234" s="1">
        <v>44911</v>
      </c>
      <c r="L1234" s="1">
        <v>45139</v>
      </c>
      <c r="O1234" t="s">
        <v>117</v>
      </c>
      <c r="P1234" t="s">
        <v>12196</v>
      </c>
      <c r="R1234" t="s">
        <v>12197</v>
      </c>
      <c r="T1234" t="s">
        <v>6057</v>
      </c>
      <c r="U1234" t="s">
        <v>444</v>
      </c>
      <c r="V1234" s="4" t="str">
        <f>"93722"</f>
        <v>93722</v>
      </c>
      <c r="W1234" t="s">
        <v>120</v>
      </c>
      <c r="Y1234" s="5">
        <v>15592847369</v>
      </c>
      <c r="AA1234">
        <v>484110</v>
      </c>
      <c r="AB1234" t="s">
        <v>4191</v>
      </c>
      <c r="AC1234" t="s">
        <v>12198</v>
      </c>
      <c r="AE1234" t="s">
        <v>342</v>
      </c>
      <c r="AF1234" t="s">
        <v>12197</v>
      </c>
      <c r="AH1234" t="s">
        <v>6057</v>
      </c>
      <c r="AI1234" t="s">
        <v>444</v>
      </c>
      <c r="AJ1234" s="4" t="str">
        <f>"93722"</f>
        <v>93722</v>
      </c>
      <c r="AK1234" t="s">
        <v>120</v>
      </c>
      <c r="AM1234" s="5">
        <v>15592847369</v>
      </c>
      <c r="AO1234" t="s">
        <v>12199</v>
      </c>
      <c r="AP1234" t="s">
        <v>122</v>
      </c>
      <c r="AQ1234" t="s">
        <v>1301</v>
      </c>
      <c r="AR1234" t="s">
        <v>12200</v>
      </c>
      <c r="AS1234" t="s">
        <v>397</v>
      </c>
      <c r="AT1234" t="s">
        <v>12201</v>
      </c>
      <c r="AU1234" t="s">
        <v>10014</v>
      </c>
      <c r="AV1234" t="s">
        <v>6057</v>
      </c>
      <c r="AW1234" t="s">
        <v>444</v>
      </c>
      <c r="AX1234" s="4" t="str">
        <f>"93711"</f>
        <v>93711</v>
      </c>
      <c r="AY1234" t="s">
        <v>120</v>
      </c>
      <c r="BA1234" s="5">
        <v>15594901490</v>
      </c>
      <c r="BC1234" t="s">
        <v>12202</v>
      </c>
      <c r="BD1234" t="s">
        <v>12203</v>
      </c>
      <c r="BE1234" t="s">
        <v>2081</v>
      </c>
      <c r="BF1234" t="s">
        <v>12204</v>
      </c>
      <c r="BG1234" t="s">
        <v>444</v>
      </c>
      <c r="BH1234" s="1">
        <v>44829.833333333336</v>
      </c>
      <c r="BI1234">
        <v>50</v>
      </c>
      <c r="BJ1234">
        <v>0</v>
      </c>
      <c r="BK1234">
        <v>10</v>
      </c>
      <c r="BL1234">
        <v>10</v>
      </c>
      <c r="BM1234">
        <v>10</v>
      </c>
      <c r="BN1234">
        <v>10</v>
      </c>
      <c r="BO1234">
        <v>10</v>
      </c>
      <c r="BP1234">
        <v>0</v>
      </c>
      <c r="BQ1234" t="str">
        <f>"6:00 AM"</f>
        <v>6:00 AM</v>
      </c>
      <c r="BR1234" t="str">
        <f>"4:00 PM"</f>
        <v>4:00 PM</v>
      </c>
      <c r="BS1234" t="s">
        <v>133</v>
      </c>
      <c r="BT1234">
        <v>0</v>
      </c>
      <c r="BU1234">
        <v>6</v>
      </c>
      <c r="BV1234" t="s">
        <v>134</v>
      </c>
      <c r="BX1234" s="2" t="s">
        <v>12205</v>
      </c>
      <c r="BY1234" t="s">
        <v>12197</v>
      </c>
      <c r="CA1234" t="s">
        <v>6057</v>
      </c>
      <c r="CB1234" t="s">
        <v>444</v>
      </c>
      <c r="CC1234" s="4" t="str">
        <f>"93722"</f>
        <v>93722</v>
      </c>
      <c r="CD1234" t="s">
        <v>580</v>
      </c>
      <c r="CE1234" t="s">
        <v>581</v>
      </c>
      <c r="CF1234" s="6">
        <v>26</v>
      </c>
      <c r="CH1234" s="6">
        <v>39</v>
      </c>
      <c r="CJ1234" t="s">
        <v>137</v>
      </c>
      <c r="CL1234" t="s">
        <v>12206</v>
      </c>
      <c r="CO1234" t="s">
        <v>138</v>
      </c>
      <c r="CP1234" t="s">
        <v>134</v>
      </c>
      <c r="CQ1234" t="s">
        <v>134</v>
      </c>
      <c r="CR1234" t="s">
        <v>114</v>
      </c>
      <c r="CS1234" t="s">
        <v>134</v>
      </c>
      <c r="CT1234" t="s">
        <v>114</v>
      </c>
      <c r="CU1234" t="s">
        <v>134</v>
      </c>
      <c r="CV1234" t="s">
        <v>133</v>
      </c>
      <c r="CW1234" s="5" t="str">
        <f>"+15592847369"</f>
        <v>+15592847369</v>
      </c>
      <c r="CX1234" t="s">
        <v>12199</v>
      </c>
      <c r="CY1234" t="s">
        <v>138</v>
      </c>
      <c r="CZ1234" t="s">
        <v>139</v>
      </c>
      <c r="DA1234" t="s">
        <v>134</v>
      </c>
      <c r="DB1234" t="s">
        <v>134</v>
      </c>
      <c r="DC1234" t="s">
        <v>114</v>
      </c>
      <c r="DD1234" t="s">
        <v>134</v>
      </c>
    </row>
    <row r="1235" spans="1:113" ht="15" customHeight="1" x14ac:dyDescent="0.25">
      <c r="A1235" t="s">
        <v>5346</v>
      </c>
      <c r="B1235" t="s">
        <v>113</v>
      </c>
      <c r="C1235" s="1">
        <v>44827.766020949071</v>
      </c>
      <c r="D1235" s="1">
        <v>44859</v>
      </c>
      <c r="E1235" t="s">
        <v>134</v>
      </c>
      <c r="F1235" t="s">
        <v>5347</v>
      </c>
      <c r="G1235" t="str">
        <f>"53-3032.00"</f>
        <v>53-3032.00</v>
      </c>
      <c r="H1235" t="s">
        <v>227</v>
      </c>
      <c r="I1235">
        <v>9</v>
      </c>
      <c r="K1235" s="1">
        <v>44902</v>
      </c>
      <c r="L1235" s="1">
        <v>45175</v>
      </c>
      <c r="O1235" t="s">
        <v>199</v>
      </c>
      <c r="P1235" t="s">
        <v>5348</v>
      </c>
      <c r="Q1235" t="s">
        <v>5349</v>
      </c>
      <c r="R1235" t="s">
        <v>5350</v>
      </c>
      <c r="T1235" t="s">
        <v>5351</v>
      </c>
      <c r="U1235" t="s">
        <v>232</v>
      </c>
      <c r="V1235" s="4" t="str">
        <f>"78045"</f>
        <v>78045</v>
      </c>
      <c r="W1235" t="s">
        <v>120</v>
      </c>
      <c r="Y1235" s="5">
        <v>19562693141</v>
      </c>
      <c r="AA1235">
        <v>484121</v>
      </c>
      <c r="AB1235" t="s">
        <v>5352</v>
      </c>
      <c r="AC1235" t="s">
        <v>5353</v>
      </c>
      <c r="AD1235" t="s">
        <v>5354</v>
      </c>
      <c r="AE1235" t="s">
        <v>700</v>
      </c>
      <c r="AF1235" t="s">
        <v>5355</v>
      </c>
      <c r="AH1235" t="s">
        <v>5351</v>
      </c>
      <c r="AI1235" t="s">
        <v>232</v>
      </c>
      <c r="AJ1235" s="4" t="str">
        <f>"78045"</f>
        <v>78045</v>
      </c>
      <c r="AK1235" t="s">
        <v>120</v>
      </c>
      <c r="AM1235" s="5">
        <v>19562693141</v>
      </c>
      <c r="AO1235" t="s">
        <v>5356</v>
      </c>
      <c r="AX1235" s="4" t="str">
        <f>""</f>
        <v/>
      </c>
      <c r="BG1235" t="s">
        <v>232</v>
      </c>
      <c r="BH1235" s="1">
        <v>44721.833333333336</v>
      </c>
      <c r="BI1235">
        <v>60</v>
      </c>
      <c r="BJ1235">
        <v>0</v>
      </c>
      <c r="BK1235">
        <v>10</v>
      </c>
      <c r="BL1235">
        <v>10</v>
      </c>
      <c r="BM1235">
        <v>10</v>
      </c>
      <c r="BN1235">
        <v>10</v>
      </c>
      <c r="BO1235">
        <v>10</v>
      </c>
      <c r="BP1235">
        <v>10</v>
      </c>
      <c r="BQ1235" t="str">
        <f>"5:00 AM"</f>
        <v>5:00 AM</v>
      </c>
      <c r="BR1235" t="str">
        <f>"3:00 PM"</f>
        <v>3:00 PM</v>
      </c>
      <c r="BS1235" t="s">
        <v>295</v>
      </c>
      <c r="BT1235">
        <v>24</v>
      </c>
      <c r="BU1235">
        <v>24</v>
      </c>
      <c r="BV1235" t="s">
        <v>134</v>
      </c>
      <c r="BX1235" s="2" t="s">
        <v>5357</v>
      </c>
      <c r="BY1235" t="s">
        <v>5355</v>
      </c>
      <c r="CA1235" t="s">
        <v>5358</v>
      </c>
      <c r="CB1235" t="s">
        <v>232</v>
      </c>
      <c r="CC1235" s="4" t="str">
        <f>"78045"</f>
        <v>78045</v>
      </c>
      <c r="CD1235" t="s">
        <v>5359</v>
      </c>
      <c r="CE1235" t="s">
        <v>5360</v>
      </c>
      <c r="CF1235" s="6">
        <v>700</v>
      </c>
      <c r="CG1235" s="6">
        <v>1000</v>
      </c>
      <c r="CJ1235" t="s">
        <v>137</v>
      </c>
      <c r="CK1235" t="s">
        <v>5361</v>
      </c>
      <c r="CL1235" t="s">
        <v>5362</v>
      </c>
      <c r="CO1235" t="s">
        <v>138</v>
      </c>
      <c r="CP1235" t="s">
        <v>134</v>
      </c>
      <c r="CQ1235" t="s">
        <v>134</v>
      </c>
      <c r="CR1235" t="s">
        <v>134</v>
      </c>
      <c r="CS1235" t="s">
        <v>134</v>
      </c>
      <c r="CT1235" t="s">
        <v>114</v>
      </c>
      <c r="CU1235" t="s">
        <v>114</v>
      </c>
      <c r="CV1235" s="2" t="s">
        <v>5363</v>
      </c>
      <c r="CW1235" s="5" t="str">
        <f>"+19562693141"</f>
        <v>+19562693141</v>
      </c>
      <c r="CX1235" t="s">
        <v>5364</v>
      </c>
      <c r="CY1235" t="s">
        <v>138</v>
      </c>
      <c r="CZ1235" t="s">
        <v>139</v>
      </c>
      <c r="DA1235" t="s">
        <v>134</v>
      </c>
      <c r="DB1235" t="s">
        <v>134</v>
      </c>
      <c r="DC1235" t="s">
        <v>114</v>
      </c>
      <c r="DD1235" t="s">
        <v>134</v>
      </c>
    </row>
    <row r="1236" spans="1:113" ht="15" customHeight="1" x14ac:dyDescent="0.25">
      <c r="A1236" t="s">
        <v>16374</v>
      </c>
      <c r="B1236" t="s">
        <v>113</v>
      </c>
      <c r="C1236" s="1">
        <v>44827.491964351851</v>
      </c>
      <c r="D1236" s="1">
        <v>44859</v>
      </c>
      <c r="E1236" t="s">
        <v>134</v>
      </c>
      <c r="F1236" t="s">
        <v>389</v>
      </c>
      <c r="G1236" t="str">
        <f>"35-3031.00"</f>
        <v>35-3031.00</v>
      </c>
      <c r="H1236" t="s">
        <v>389</v>
      </c>
      <c r="I1236">
        <v>5</v>
      </c>
      <c r="K1236" s="1">
        <v>44907</v>
      </c>
      <c r="L1236" s="1">
        <v>45117</v>
      </c>
      <c r="O1236" t="s">
        <v>199</v>
      </c>
      <c r="P1236" t="s">
        <v>16375</v>
      </c>
      <c r="R1236" t="s">
        <v>16376</v>
      </c>
      <c r="T1236" t="s">
        <v>16377</v>
      </c>
      <c r="U1236" t="s">
        <v>129</v>
      </c>
      <c r="V1236" s="4" t="str">
        <f>"31408"</f>
        <v>31408</v>
      </c>
      <c r="W1236" t="s">
        <v>120</v>
      </c>
      <c r="Y1236" s="5">
        <v>19124650008</v>
      </c>
      <c r="AA1236">
        <v>722511</v>
      </c>
      <c r="AB1236" t="s">
        <v>16378</v>
      </c>
      <c r="AC1236" t="s">
        <v>1486</v>
      </c>
      <c r="AE1236" t="s">
        <v>424</v>
      </c>
      <c r="AF1236" t="s">
        <v>16376</v>
      </c>
      <c r="AH1236" t="s">
        <v>16377</v>
      </c>
      <c r="AI1236" t="s">
        <v>129</v>
      </c>
      <c r="AJ1236" s="4" t="str">
        <f>"31408"</f>
        <v>31408</v>
      </c>
      <c r="AK1236" t="s">
        <v>120</v>
      </c>
      <c r="AM1236" s="5">
        <v>19124650008</v>
      </c>
      <c r="AO1236" t="s">
        <v>16379</v>
      </c>
      <c r="AX1236" s="4" t="str">
        <f>""</f>
        <v/>
      </c>
      <c r="BG1236" t="s">
        <v>129</v>
      </c>
      <c r="BH1236" s="1">
        <v>44790.833333333336</v>
      </c>
      <c r="BI1236">
        <v>40</v>
      </c>
      <c r="BJ1236">
        <v>0</v>
      </c>
      <c r="BK1236">
        <v>0</v>
      </c>
      <c r="BL1236">
        <v>8</v>
      </c>
      <c r="BM1236">
        <v>8</v>
      </c>
      <c r="BN1236">
        <v>8</v>
      </c>
      <c r="BO1236">
        <v>8</v>
      </c>
      <c r="BP1236">
        <v>8</v>
      </c>
      <c r="BQ1236" t="str">
        <f>"11:01 AM"</f>
        <v>11:01 AM</v>
      </c>
      <c r="BR1236" t="str">
        <f>"8:01 PM"</f>
        <v>8:01 PM</v>
      </c>
      <c r="BS1236" t="s">
        <v>295</v>
      </c>
      <c r="BT1236">
        <v>0</v>
      </c>
      <c r="BU1236">
        <v>0</v>
      </c>
      <c r="BV1236" t="s">
        <v>134</v>
      </c>
      <c r="BX1236" t="s">
        <v>1574</v>
      </c>
      <c r="BY1236" t="s">
        <v>16376</v>
      </c>
      <c r="CA1236" t="s">
        <v>16377</v>
      </c>
      <c r="CB1236" t="s">
        <v>129</v>
      </c>
      <c r="CC1236" s="4" t="str">
        <f>"31408"</f>
        <v>31408</v>
      </c>
      <c r="CD1236" t="s">
        <v>2304</v>
      </c>
      <c r="CE1236" t="s">
        <v>2438</v>
      </c>
      <c r="CF1236" s="6">
        <v>11.56</v>
      </c>
      <c r="CH1236" s="6">
        <v>17.34</v>
      </c>
      <c r="CJ1236" t="s">
        <v>137</v>
      </c>
      <c r="CK1236" t="s">
        <v>1574</v>
      </c>
      <c r="CL1236" t="s">
        <v>16380</v>
      </c>
      <c r="CO1236" t="s">
        <v>138</v>
      </c>
      <c r="CP1236" t="s">
        <v>134</v>
      </c>
      <c r="CQ1236" t="s">
        <v>134</v>
      </c>
      <c r="CR1236" t="s">
        <v>114</v>
      </c>
      <c r="CS1236" t="s">
        <v>114</v>
      </c>
      <c r="CT1236" t="s">
        <v>114</v>
      </c>
      <c r="CU1236" t="s">
        <v>114</v>
      </c>
      <c r="CV1236" t="s">
        <v>133</v>
      </c>
      <c r="CW1236" s="5" t="str">
        <f>"+19124650008"</f>
        <v>+19124650008</v>
      </c>
      <c r="CX1236" t="s">
        <v>16379</v>
      </c>
      <c r="CY1236" t="s">
        <v>138</v>
      </c>
      <c r="CZ1236" t="s">
        <v>139</v>
      </c>
      <c r="DA1236" t="s">
        <v>134</v>
      </c>
      <c r="DB1236" t="s">
        <v>134</v>
      </c>
      <c r="DC1236" t="s">
        <v>114</v>
      </c>
      <c r="DD1236" t="s">
        <v>134</v>
      </c>
      <c r="DE1236" t="s">
        <v>138</v>
      </c>
      <c r="DF1236" t="s">
        <v>138</v>
      </c>
      <c r="DG1236" t="s">
        <v>138</v>
      </c>
      <c r="DH1236" t="s">
        <v>16381</v>
      </c>
      <c r="DI1236" t="s">
        <v>138</v>
      </c>
    </row>
    <row r="1237" spans="1:113" ht="15" customHeight="1" x14ac:dyDescent="0.25">
      <c r="A1237" t="s">
        <v>13069</v>
      </c>
      <c r="B1237" t="s">
        <v>113</v>
      </c>
      <c r="C1237" s="1">
        <v>44831.717624074074</v>
      </c>
      <c r="D1237" s="1">
        <v>44858</v>
      </c>
      <c r="E1237" t="s">
        <v>134</v>
      </c>
      <c r="F1237" t="s">
        <v>13070</v>
      </c>
      <c r="G1237" t="str">
        <f>"35-2013.00"</f>
        <v>35-2013.00</v>
      </c>
      <c r="H1237" t="s">
        <v>773</v>
      </c>
      <c r="I1237">
        <v>1</v>
      </c>
      <c r="K1237" s="1">
        <v>44914</v>
      </c>
      <c r="L1237" s="1">
        <v>45199</v>
      </c>
      <c r="O1237" t="s">
        <v>199</v>
      </c>
      <c r="P1237" t="s">
        <v>13071</v>
      </c>
      <c r="R1237" t="s">
        <v>13072</v>
      </c>
      <c r="T1237" t="s">
        <v>5567</v>
      </c>
      <c r="U1237" t="s">
        <v>792</v>
      </c>
      <c r="V1237" s="4" t="str">
        <f>"98208"</f>
        <v>98208</v>
      </c>
      <c r="W1237" t="s">
        <v>120</v>
      </c>
      <c r="Y1237" s="5">
        <v>13092108989</v>
      </c>
      <c r="AA1237">
        <v>814110</v>
      </c>
      <c r="AB1237" t="s">
        <v>4301</v>
      </c>
      <c r="AC1237" t="s">
        <v>1303</v>
      </c>
      <c r="AE1237" t="s">
        <v>424</v>
      </c>
      <c r="AF1237" t="s">
        <v>13072</v>
      </c>
      <c r="AH1237" t="s">
        <v>5567</v>
      </c>
      <c r="AI1237" t="s">
        <v>792</v>
      </c>
      <c r="AJ1237" s="4" t="str">
        <f>"98208"</f>
        <v>98208</v>
      </c>
      <c r="AK1237" t="s">
        <v>120</v>
      </c>
      <c r="AM1237" s="5">
        <v>13092108989</v>
      </c>
      <c r="AO1237" t="s">
        <v>13073</v>
      </c>
      <c r="AX1237" s="4" t="str">
        <f>""</f>
        <v/>
      </c>
      <c r="BG1237" t="s">
        <v>792</v>
      </c>
      <c r="BH1237" s="1">
        <v>44830.833333333336</v>
      </c>
      <c r="BI1237">
        <v>40</v>
      </c>
      <c r="BJ1237">
        <v>0</v>
      </c>
      <c r="BK1237">
        <v>8</v>
      </c>
      <c r="BL1237">
        <v>8</v>
      </c>
      <c r="BM1237">
        <v>8</v>
      </c>
      <c r="BN1237">
        <v>8</v>
      </c>
      <c r="BO1237">
        <v>8</v>
      </c>
      <c r="BP1237">
        <v>0</v>
      </c>
      <c r="BQ1237" t="str">
        <f>"6:30 AM"</f>
        <v>6:30 AM</v>
      </c>
      <c r="BR1237" t="str">
        <f>"3:00 PM"</f>
        <v>3:00 PM</v>
      </c>
      <c r="BS1237" t="s">
        <v>295</v>
      </c>
      <c r="BT1237">
        <v>0</v>
      </c>
      <c r="BU1237">
        <v>0</v>
      </c>
      <c r="BV1237" t="s">
        <v>134</v>
      </c>
      <c r="BX1237" s="2" t="s">
        <v>13074</v>
      </c>
      <c r="BY1237" t="s">
        <v>13072</v>
      </c>
      <c r="CA1237" t="s">
        <v>5567</v>
      </c>
      <c r="CB1237" t="s">
        <v>792</v>
      </c>
      <c r="CC1237" s="4" t="str">
        <f>"98208"</f>
        <v>98208</v>
      </c>
      <c r="CD1237" t="s">
        <v>11803</v>
      </c>
      <c r="CE1237" t="s">
        <v>2680</v>
      </c>
      <c r="CF1237" s="6">
        <v>21</v>
      </c>
      <c r="CG1237" s="6">
        <v>22</v>
      </c>
      <c r="CJ1237" t="s">
        <v>137</v>
      </c>
      <c r="CL1237" t="s">
        <v>13075</v>
      </c>
      <c r="CO1237" t="s">
        <v>138</v>
      </c>
      <c r="CP1237" t="s">
        <v>134</v>
      </c>
      <c r="CQ1237" t="s">
        <v>114</v>
      </c>
      <c r="CR1237" t="s">
        <v>134</v>
      </c>
      <c r="CS1237" t="s">
        <v>114</v>
      </c>
      <c r="CT1237" t="s">
        <v>114</v>
      </c>
      <c r="CU1237" t="s">
        <v>114</v>
      </c>
      <c r="CV1237" s="2" t="s">
        <v>13076</v>
      </c>
      <c r="CW1237" s="5" t="str">
        <f>"+13092108989"</f>
        <v>+13092108989</v>
      </c>
      <c r="CX1237" t="s">
        <v>13073</v>
      </c>
      <c r="CY1237" t="s">
        <v>13077</v>
      </c>
      <c r="CZ1237" t="s">
        <v>139</v>
      </c>
      <c r="DA1237" t="s">
        <v>134</v>
      </c>
      <c r="DB1237" t="s">
        <v>134</v>
      </c>
      <c r="DC1237" t="s">
        <v>114</v>
      </c>
      <c r="DD1237" t="s">
        <v>134</v>
      </c>
    </row>
    <row r="1238" spans="1:113" ht="15" customHeight="1" x14ac:dyDescent="0.25">
      <c r="A1238" t="s">
        <v>5279</v>
      </c>
      <c r="B1238" t="s">
        <v>113</v>
      </c>
      <c r="C1238" s="1">
        <v>44820.619358912038</v>
      </c>
      <c r="D1238" s="1">
        <v>44858</v>
      </c>
      <c r="E1238" t="s">
        <v>114</v>
      </c>
      <c r="F1238" t="s">
        <v>1595</v>
      </c>
      <c r="G1238" t="str">
        <f>"35-2012.00"</f>
        <v>35-2012.00</v>
      </c>
      <c r="H1238" t="s">
        <v>2576</v>
      </c>
      <c r="I1238">
        <v>30</v>
      </c>
      <c r="K1238" s="1">
        <v>44896</v>
      </c>
      <c r="L1238" s="1">
        <v>45198</v>
      </c>
      <c r="O1238" t="s">
        <v>168</v>
      </c>
      <c r="P1238" t="s">
        <v>5280</v>
      </c>
      <c r="Q1238" t="s">
        <v>5281</v>
      </c>
      <c r="R1238" t="s">
        <v>5282</v>
      </c>
      <c r="T1238" t="s">
        <v>5283</v>
      </c>
      <c r="U1238" t="s">
        <v>119</v>
      </c>
      <c r="V1238" s="4" t="str">
        <f>"27103"</f>
        <v>27103</v>
      </c>
      <c r="W1238" t="s">
        <v>120</v>
      </c>
      <c r="Y1238" s="5">
        <v>17863016499</v>
      </c>
      <c r="AA1238">
        <v>722514</v>
      </c>
      <c r="AB1238" t="s">
        <v>5284</v>
      </c>
      <c r="AC1238" t="s">
        <v>536</v>
      </c>
      <c r="AE1238" t="s">
        <v>1150</v>
      </c>
      <c r="AF1238" t="s">
        <v>5285</v>
      </c>
      <c r="AH1238" t="s">
        <v>5286</v>
      </c>
      <c r="AI1238" t="s">
        <v>154</v>
      </c>
      <c r="AJ1238" s="4" t="str">
        <f>"33012"</f>
        <v>33012</v>
      </c>
      <c r="AK1238" t="s">
        <v>120</v>
      </c>
      <c r="AM1238" s="5">
        <v>17863016499</v>
      </c>
      <c r="AO1238" t="s">
        <v>5287</v>
      </c>
      <c r="AX1238" s="4" t="str">
        <f>""</f>
        <v/>
      </c>
      <c r="BG1238" t="s">
        <v>154</v>
      </c>
      <c r="BH1238" s="1">
        <v>44526.791666666664</v>
      </c>
      <c r="BI1238">
        <v>52</v>
      </c>
      <c r="BJ1238">
        <v>10</v>
      </c>
      <c r="BK1238">
        <v>7</v>
      </c>
      <c r="BL1238">
        <v>7</v>
      </c>
      <c r="BM1238">
        <v>3</v>
      </c>
      <c r="BN1238">
        <v>5</v>
      </c>
      <c r="BO1238">
        <v>10</v>
      </c>
      <c r="BP1238">
        <v>10</v>
      </c>
      <c r="BQ1238" t="str">
        <f>"7:00 AM"</f>
        <v>7:00 AM</v>
      </c>
      <c r="BR1238" t="str">
        <f>"10:00 PM"</f>
        <v>10:00 PM</v>
      </c>
      <c r="BS1238" t="s">
        <v>133</v>
      </c>
      <c r="BT1238">
        <v>0</v>
      </c>
      <c r="BU1238">
        <v>0</v>
      </c>
      <c r="BV1238" t="s">
        <v>134</v>
      </c>
      <c r="BX1238" t="s">
        <v>2314</v>
      </c>
      <c r="BY1238" t="s">
        <v>5288</v>
      </c>
      <c r="CA1238" t="s">
        <v>5286</v>
      </c>
      <c r="CB1238" t="s">
        <v>154</v>
      </c>
      <c r="CC1238" s="4" t="str">
        <f>"33012"</f>
        <v>33012</v>
      </c>
      <c r="CD1238" t="s">
        <v>1741</v>
      </c>
      <c r="CE1238" t="s">
        <v>1742</v>
      </c>
      <c r="CF1238" s="6">
        <v>13.5</v>
      </c>
      <c r="CG1238" s="6">
        <v>14</v>
      </c>
      <c r="CH1238" s="6">
        <v>20.25</v>
      </c>
      <c r="CI1238" s="6">
        <v>21</v>
      </c>
      <c r="CJ1238" t="s">
        <v>137</v>
      </c>
      <c r="CL1238" t="s">
        <v>5289</v>
      </c>
      <c r="CO1238" t="s">
        <v>138</v>
      </c>
      <c r="CP1238" t="s">
        <v>134</v>
      </c>
      <c r="CQ1238" t="s">
        <v>134</v>
      </c>
      <c r="CR1238" t="s">
        <v>114</v>
      </c>
      <c r="CS1238" t="s">
        <v>114</v>
      </c>
      <c r="CT1238" t="s">
        <v>114</v>
      </c>
      <c r="CU1238" t="s">
        <v>134</v>
      </c>
      <c r="CV1238" t="s">
        <v>5290</v>
      </c>
      <c r="CW1238" s="5" t="str">
        <f>"+17862458997"</f>
        <v>+17862458997</v>
      </c>
      <c r="CX1238" t="s">
        <v>5291</v>
      </c>
      <c r="CY1238" t="s">
        <v>5292</v>
      </c>
      <c r="CZ1238" t="s">
        <v>139</v>
      </c>
      <c r="DA1238" t="s">
        <v>134</v>
      </c>
      <c r="DB1238" t="s">
        <v>134</v>
      </c>
      <c r="DC1238" t="s">
        <v>114</v>
      </c>
      <c r="DD1238" t="s">
        <v>134</v>
      </c>
    </row>
    <row r="1239" spans="1:113" ht="15" customHeight="1" x14ac:dyDescent="0.25">
      <c r="A1239" t="s">
        <v>16525</v>
      </c>
      <c r="B1239" t="s">
        <v>113</v>
      </c>
      <c r="C1239" s="1">
        <v>44806.401950694446</v>
      </c>
      <c r="D1239" s="1">
        <v>44858</v>
      </c>
      <c r="E1239" t="s">
        <v>134</v>
      </c>
      <c r="F1239" t="s">
        <v>2433</v>
      </c>
      <c r="G1239" t="str">
        <f>"51-3022.00"</f>
        <v>51-3022.00</v>
      </c>
      <c r="H1239" t="s">
        <v>817</v>
      </c>
      <c r="I1239">
        <v>90</v>
      </c>
      <c r="K1239" s="1">
        <v>44896</v>
      </c>
      <c r="L1239" s="1">
        <v>45200</v>
      </c>
      <c r="O1239" t="s">
        <v>199</v>
      </c>
      <c r="P1239" t="s">
        <v>6645</v>
      </c>
      <c r="R1239" t="s">
        <v>6646</v>
      </c>
      <c r="S1239" t="s">
        <v>789</v>
      </c>
      <c r="T1239" t="s">
        <v>6647</v>
      </c>
      <c r="U1239" t="s">
        <v>1593</v>
      </c>
      <c r="V1239" s="4" t="str">
        <f>"04856"</f>
        <v>04856</v>
      </c>
      <c r="W1239" t="s">
        <v>120</v>
      </c>
      <c r="Y1239" s="5">
        <v>12075944444</v>
      </c>
      <c r="AA1239">
        <v>31171</v>
      </c>
      <c r="AB1239" t="s">
        <v>4586</v>
      </c>
      <c r="AC1239" t="s">
        <v>1796</v>
      </c>
      <c r="AD1239" t="s">
        <v>4474</v>
      </c>
      <c r="AE1239" t="s">
        <v>5376</v>
      </c>
      <c r="AF1239" t="s">
        <v>6646</v>
      </c>
      <c r="AG1239" t="s">
        <v>789</v>
      </c>
      <c r="AH1239" t="s">
        <v>6647</v>
      </c>
      <c r="AI1239" t="s">
        <v>1593</v>
      </c>
      <c r="AJ1239" s="4" t="str">
        <f>"04856"</f>
        <v>04856</v>
      </c>
      <c r="AK1239" t="s">
        <v>120</v>
      </c>
      <c r="AM1239" s="5">
        <v>12075944444</v>
      </c>
      <c r="AO1239" t="s">
        <v>6648</v>
      </c>
      <c r="AP1239" t="s">
        <v>122</v>
      </c>
      <c r="AQ1239" t="s">
        <v>1399</v>
      </c>
      <c r="AR1239" t="s">
        <v>1400</v>
      </c>
      <c r="AS1239" t="s">
        <v>1401</v>
      </c>
      <c r="AT1239" t="s">
        <v>1998</v>
      </c>
      <c r="AU1239" t="s">
        <v>1402</v>
      </c>
      <c r="AV1239" t="s">
        <v>1817</v>
      </c>
      <c r="AW1239" t="s">
        <v>339</v>
      </c>
      <c r="AX1239" s="4" t="str">
        <f>"21117"</f>
        <v>21117</v>
      </c>
      <c r="AY1239" t="s">
        <v>120</v>
      </c>
      <c r="BA1239" s="5">
        <v>14435014240</v>
      </c>
      <c r="BC1239" t="s">
        <v>1818</v>
      </c>
      <c r="BD1239" t="s">
        <v>1819</v>
      </c>
      <c r="BE1239" t="s">
        <v>848</v>
      </c>
      <c r="BF1239" t="s">
        <v>1820</v>
      </c>
      <c r="BG1239" t="s">
        <v>821</v>
      </c>
      <c r="BH1239" s="1">
        <v>44805.833333333336</v>
      </c>
      <c r="BI1239">
        <v>40</v>
      </c>
      <c r="BJ1239">
        <v>6</v>
      </c>
      <c r="BK1239">
        <v>6</v>
      </c>
      <c r="BL1239">
        <v>6</v>
      </c>
      <c r="BM1239">
        <v>6</v>
      </c>
      <c r="BN1239">
        <v>6</v>
      </c>
      <c r="BO1239">
        <v>5</v>
      </c>
      <c r="BP1239">
        <v>5</v>
      </c>
      <c r="BQ1239" t="str">
        <f>"6:00 AM"</f>
        <v>6:00 AM</v>
      </c>
      <c r="BR1239" t="str">
        <f>"12:00 AM"</f>
        <v>12:00 AM</v>
      </c>
      <c r="BS1239" t="s">
        <v>133</v>
      </c>
      <c r="BT1239">
        <v>0</v>
      </c>
      <c r="BU1239">
        <v>0</v>
      </c>
      <c r="BV1239" t="s">
        <v>134</v>
      </c>
      <c r="BX1239" s="2" t="s">
        <v>16526</v>
      </c>
      <c r="BY1239" t="s">
        <v>6650</v>
      </c>
      <c r="BZ1239" t="s">
        <v>6651</v>
      </c>
      <c r="CA1239" t="s">
        <v>6652</v>
      </c>
      <c r="CB1239" t="s">
        <v>821</v>
      </c>
      <c r="CC1239" s="4" t="str">
        <f>"99692"</f>
        <v>99692</v>
      </c>
      <c r="CD1239" t="s">
        <v>5273</v>
      </c>
      <c r="CE1239" t="s">
        <v>832</v>
      </c>
      <c r="CF1239" s="6">
        <v>18.059999999999999</v>
      </c>
      <c r="CH1239" s="6">
        <v>27.09</v>
      </c>
      <c r="CJ1239" t="s">
        <v>137</v>
      </c>
      <c r="CK1239" t="s">
        <v>16527</v>
      </c>
      <c r="CL1239" t="s">
        <v>6654</v>
      </c>
      <c r="CO1239" t="s">
        <v>138</v>
      </c>
      <c r="CP1239" t="s">
        <v>114</v>
      </c>
      <c r="CQ1239" t="s">
        <v>114</v>
      </c>
      <c r="CR1239" t="s">
        <v>114</v>
      </c>
      <c r="CS1239" t="s">
        <v>134</v>
      </c>
      <c r="CT1239" t="s">
        <v>114</v>
      </c>
      <c r="CU1239" t="s">
        <v>114</v>
      </c>
      <c r="CV1239" t="s">
        <v>10837</v>
      </c>
      <c r="CW1239" s="5" t="str">
        <f>"+12067064166"</f>
        <v>+12067064166</v>
      </c>
      <c r="CX1239" t="s">
        <v>6656</v>
      </c>
      <c r="CY1239" t="s">
        <v>16528</v>
      </c>
      <c r="CZ1239" t="s">
        <v>139</v>
      </c>
      <c r="DA1239" t="s">
        <v>134</v>
      </c>
      <c r="DB1239" t="s">
        <v>114</v>
      </c>
      <c r="DC1239" t="s">
        <v>114</v>
      </c>
      <c r="DD1239" t="s">
        <v>134</v>
      </c>
    </row>
    <row r="1240" spans="1:113" ht="15" customHeight="1" x14ac:dyDescent="0.25">
      <c r="A1240" t="s">
        <v>8782</v>
      </c>
      <c r="B1240" t="s">
        <v>113</v>
      </c>
      <c r="C1240" s="1">
        <v>44831.531332754632</v>
      </c>
      <c r="D1240" s="1">
        <v>44855</v>
      </c>
      <c r="E1240" t="s">
        <v>134</v>
      </c>
      <c r="F1240" t="s">
        <v>2393</v>
      </c>
      <c r="G1240" t="str">
        <f>"35-1011.00"</f>
        <v>35-1011.00</v>
      </c>
      <c r="H1240" t="s">
        <v>3202</v>
      </c>
      <c r="I1240">
        <v>3</v>
      </c>
      <c r="K1240" s="1">
        <v>44921</v>
      </c>
      <c r="L1240" s="1">
        <v>45976</v>
      </c>
      <c r="O1240" t="s">
        <v>168</v>
      </c>
      <c r="P1240" t="s">
        <v>8783</v>
      </c>
      <c r="R1240" t="s">
        <v>8784</v>
      </c>
      <c r="T1240" t="s">
        <v>8785</v>
      </c>
      <c r="U1240" t="s">
        <v>661</v>
      </c>
      <c r="V1240" s="4" t="str">
        <f>"59911"</f>
        <v>59911</v>
      </c>
      <c r="W1240" t="s">
        <v>120</v>
      </c>
      <c r="Y1240" s="5">
        <v>14066926026</v>
      </c>
      <c r="AA1240">
        <v>722511</v>
      </c>
      <c r="AB1240" t="s">
        <v>8786</v>
      </c>
      <c r="AC1240" t="s">
        <v>1438</v>
      </c>
      <c r="AE1240" t="s">
        <v>424</v>
      </c>
      <c r="AF1240" t="s">
        <v>8787</v>
      </c>
      <c r="AH1240" t="s">
        <v>8785</v>
      </c>
      <c r="AI1240" t="s">
        <v>661</v>
      </c>
      <c r="AJ1240" s="4" t="str">
        <f>"59911"</f>
        <v>59911</v>
      </c>
      <c r="AK1240" t="s">
        <v>120</v>
      </c>
      <c r="AM1240" s="5">
        <v>14062494455</v>
      </c>
      <c r="AO1240" t="s">
        <v>8788</v>
      </c>
      <c r="AX1240" s="4" t="str">
        <f>""</f>
        <v/>
      </c>
      <c r="BG1240" t="s">
        <v>661</v>
      </c>
      <c r="BH1240" s="1">
        <v>44805.833333333336</v>
      </c>
      <c r="BI1240">
        <v>40</v>
      </c>
      <c r="BJ1240">
        <v>8</v>
      </c>
      <c r="BK1240">
        <v>8</v>
      </c>
      <c r="BL1240">
        <v>8</v>
      </c>
      <c r="BM1240">
        <v>0</v>
      </c>
      <c r="BN1240">
        <v>0</v>
      </c>
      <c r="BO1240">
        <v>8</v>
      </c>
      <c r="BP1240">
        <v>8</v>
      </c>
      <c r="BQ1240" t="str">
        <f>"2:00 PM"</f>
        <v>2:00 PM</v>
      </c>
      <c r="BR1240" t="str">
        <f>"10:00 PM"</f>
        <v>10:00 PM</v>
      </c>
      <c r="BS1240" t="s">
        <v>8789</v>
      </c>
      <c r="BT1240">
        <v>0</v>
      </c>
      <c r="BU1240">
        <v>0</v>
      </c>
      <c r="BV1240" t="s">
        <v>114</v>
      </c>
      <c r="BW1240">
        <v>3</v>
      </c>
      <c r="BX1240" t="s">
        <v>8790</v>
      </c>
      <c r="BY1240" t="s">
        <v>8784</v>
      </c>
      <c r="CA1240" t="s">
        <v>8785</v>
      </c>
      <c r="CB1240" t="s">
        <v>661</v>
      </c>
      <c r="CC1240" s="4" t="str">
        <f>"59911"</f>
        <v>59911</v>
      </c>
      <c r="CD1240" t="s">
        <v>1463</v>
      </c>
      <c r="CE1240" t="s">
        <v>8791</v>
      </c>
      <c r="CF1240" s="6">
        <v>16</v>
      </c>
      <c r="CG1240" s="6">
        <v>22</v>
      </c>
      <c r="CH1240" s="6">
        <v>24</v>
      </c>
      <c r="CI1240" s="6">
        <v>33</v>
      </c>
      <c r="CJ1240" t="s">
        <v>137</v>
      </c>
      <c r="CK1240" t="s">
        <v>8792</v>
      </c>
      <c r="CL1240" t="s">
        <v>8793</v>
      </c>
      <c r="CO1240" t="s">
        <v>138</v>
      </c>
      <c r="CP1240" t="s">
        <v>134</v>
      </c>
      <c r="CQ1240" t="s">
        <v>114</v>
      </c>
      <c r="CR1240" t="s">
        <v>114</v>
      </c>
      <c r="CS1240" t="s">
        <v>114</v>
      </c>
      <c r="CT1240" t="s">
        <v>114</v>
      </c>
      <c r="CU1240" t="s">
        <v>114</v>
      </c>
      <c r="CV1240" t="s">
        <v>8794</v>
      </c>
      <c r="CW1240" s="5" t="str">
        <f>"+14062494455"</f>
        <v>+14062494455</v>
      </c>
      <c r="CX1240" t="s">
        <v>8788</v>
      </c>
      <c r="CY1240" t="s">
        <v>8795</v>
      </c>
      <c r="CZ1240" t="s">
        <v>139</v>
      </c>
      <c r="DA1240" t="s">
        <v>134</v>
      </c>
      <c r="DB1240" t="s">
        <v>134</v>
      </c>
      <c r="DC1240" t="s">
        <v>114</v>
      </c>
      <c r="DD1240" t="s">
        <v>134</v>
      </c>
    </row>
    <row r="1241" spans="1:113" ht="15" customHeight="1" x14ac:dyDescent="0.25">
      <c r="A1241" t="s">
        <v>12037</v>
      </c>
      <c r="B1241" t="s">
        <v>113</v>
      </c>
      <c r="C1241" s="1">
        <v>44795.77732951389</v>
      </c>
      <c r="D1241" s="1">
        <v>44855</v>
      </c>
      <c r="E1241" t="s">
        <v>134</v>
      </c>
      <c r="F1241" t="s">
        <v>12038</v>
      </c>
      <c r="G1241" t="str">
        <f>"53-3032.00"</f>
        <v>53-3032.00</v>
      </c>
      <c r="H1241" t="s">
        <v>227</v>
      </c>
      <c r="I1241">
        <v>5</v>
      </c>
      <c r="K1241" s="1">
        <v>44870</v>
      </c>
      <c r="L1241" s="1">
        <v>45139</v>
      </c>
      <c r="O1241" t="s">
        <v>117</v>
      </c>
      <c r="P1241" t="s">
        <v>12039</v>
      </c>
      <c r="R1241" t="s">
        <v>12040</v>
      </c>
      <c r="T1241" t="s">
        <v>12041</v>
      </c>
      <c r="U1241" t="s">
        <v>444</v>
      </c>
      <c r="V1241" s="4" t="str">
        <f>"92509"</f>
        <v>92509</v>
      </c>
      <c r="W1241" t="s">
        <v>120</v>
      </c>
      <c r="Y1241" s="5">
        <v>16262003678</v>
      </c>
      <c r="AA1241">
        <v>484110</v>
      </c>
      <c r="AB1241" t="s">
        <v>12042</v>
      </c>
      <c r="AC1241" t="s">
        <v>12043</v>
      </c>
      <c r="AE1241" t="s">
        <v>4595</v>
      </c>
      <c r="AF1241" t="s">
        <v>12044</v>
      </c>
      <c r="AH1241" t="s">
        <v>12041</v>
      </c>
      <c r="AI1241" t="s">
        <v>444</v>
      </c>
      <c r="AJ1241" s="4" t="str">
        <f>"92509"</f>
        <v>92509</v>
      </c>
      <c r="AK1241" t="s">
        <v>120</v>
      </c>
      <c r="AM1241" s="5">
        <v>16262003678</v>
      </c>
      <c r="AO1241" t="s">
        <v>12045</v>
      </c>
      <c r="AP1241" t="s">
        <v>122</v>
      </c>
      <c r="AQ1241" t="s">
        <v>519</v>
      </c>
      <c r="AR1241" t="s">
        <v>520</v>
      </c>
      <c r="AT1241" t="s">
        <v>506</v>
      </c>
      <c r="AV1241" t="s">
        <v>507</v>
      </c>
      <c r="AW1241" t="s">
        <v>444</v>
      </c>
      <c r="AX1241" s="4" t="str">
        <f>"90016"</f>
        <v>90016</v>
      </c>
      <c r="AY1241" t="s">
        <v>120</v>
      </c>
      <c r="BA1241" s="5">
        <v>13238570034</v>
      </c>
      <c r="BC1241" t="s">
        <v>508</v>
      </c>
      <c r="BD1241" t="s">
        <v>509</v>
      </c>
      <c r="BE1241" t="s">
        <v>444</v>
      </c>
      <c r="BF1241" t="s">
        <v>510</v>
      </c>
      <c r="BG1241" t="s">
        <v>444</v>
      </c>
      <c r="BH1241" s="1">
        <v>44794.833333333336</v>
      </c>
      <c r="BI1241">
        <v>40</v>
      </c>
      <c r="BJ1241">
        <v>0</v>
      </c>
      <c r="BK1241">
        <v>8</v>
      </c>
      <c r="BL1241">
        <v>8</v>
      </c>
      <c r="BM1241">
        <v>8</v>
      </c>
      <c r="BN1241">
        <v>8</v>
      </c>
      <c r="BO1241">
        <v>8</v>
      </c>
      <c r="BP1241">
        <v>0</v>
      </c>
      <c r="BQ1241" t="str">
        <f>"8:00 AM"</f>
        <v>8:00 AM</v>
      </c>
      <c r="BR1241" t="str">
        <f>"5:00 PM"</f>
        <v>5:00 PM</v>
      </c>
      <c r="BS1241" t="s">
        <v>133</v>
      </c>
      <c r="BT1241">
        <v>0</v>
      </c>
      <c r="BU1241">
        <v>12</v>
      </c>
      <c r="BV1241" t="s">
        <v>134</v>
      </c>
      <c r="BX1241" s="2" t="s">
        <v>12046</v>
      </c>
      <c r="BY1241" t="s">
        <v>12047</v>
      </c>
      <c r="CA1241" t="s">
        <v>12041</v>
      </c>
      <c r="CB1241" t="s">
        <v>444</v>
      </c>
      <c r="CC1241" s="4" t="str">
        <f>"92509"</f>
        <v>92509</v>
      </c>
      <c r="CD1241" t="s">
        <v>602</v>
      </c>
      <c r="CE1241" t="s">
        <v>609</v>
      </c>
      <c r="CF1241" s="6">
        <v>24.78</v>
      </c>
      <c r="CG1241" s="6">
        <v>24.78</v>
      </c>
      <c r="CJ1241" t="s">
        <v>137</v>
      </c>
      <c r="CL1241" t="s">
        <v>12048</v>
      </c>
      <c r="CO1241" t="s">
        <v>138</v>
      </c>
      <c r="CP1241" t="s">
        <v>134</v>
      </c>
      <c r="CQ1241" t="s">
        <v>114</v>
      </c>
      <c r="CR1241" t="s">
        <v>134</v>
      </c>
      <c r="CS1241" t="s">
        <v>134</v>
      </c>
      <c r="CT1241" t="s">
        <v>114</v>
      </c>
      <c r="CU1241" t="s">
        <v>134</v>
      </c>
      <c r="CV1241" t="s">
        <v>12049</v>
      </c>
      <c r="CW1241" s="5" t="str">
        <f>"+19092658664"</f>
        <v>+19092658664</v>
      </c>
      <c r="CX1241" t="s">
        <v>12045</v>
      </c>
      <c r="CY1241" t="s">
        <v>12050</v>
      </c>
      <c r="CZ1241" t="s">
        <v>139</v>
      </c>
      <c r="DA1241" t="s">
        <v>134</v>
      </c>
      <c r="DB1241" t="s">
        <v>134</v>
      </c>
      <c r="DC1241" t="s">
        <v>114</v>
      </c>
      <c r="DD1241" t="s">
        <v>134</v>
      </c>
      <c r="DE1241" t="s">
        <v>519</v>
      </c>
      <c r="DF1241" t="s">
        <v>520</v>
      </c>
      <c r="DH1241" t="s">
        <v>521</v>
      </c>
      <c r="DI1241" t="s">
        <v>508</v>
      </c>
    </row>
    <row r="1242" spans="1:113" ht="15" customHeight="1" x14ac:dyDescent="0.25">
      <c r="A1242" t="s">
        <v>10396</v>
      </c>
      <c r="B1242" t="s">
        <v>113</v>
      </c>
      <c r="C1242" s="1">
        <v>44823.871876273151</v>
      </c>
      <c r="D1242" s="1">
        <v>44854</v>
      </c>
      <c r="E1242" t="s">
        <v>134</v>
      </c>
      <c r="F1242" t="s">
        <v>10397</v>
      </c>
      <c r="G1242" t="str">
        <f>"23-2011.00"</f>
        <v>23-2011.00</v>
      </c>
      <c r="H1242" t="s">
        <v>10398</v>
      </c>
      <c r="I1242">
        <v>1</v>
      </c>
      <c r="K1242" s="1">
        <v>44900</v>
      </c>
      <c r="L1242" s="1">
        <v>45203</v>
      </c>
      <c r="O1242" t="s">
        <v>168</v>
      </c>
      <c r="P1242" t="s">
        <v>10399</v>
      </c>
      <c r="R1242" t="s">
        <v>10400</v>
      </c>
      <c r="S1242" t="s">
        <v>10401</v>
      </c>
      <c r="T1242" t="s">
        <v>10402</v>
      </c>
      <c r="U1242" t="s">
        <v>444</v>
      </c>
      <c r="V1242" s="4" t="str">
        <f>"90071"</f>
        <v>90071</v>
      </c>
      <c r="W1242" t="s">
        <v>120</v>
      </c>
      <c r="Y1242" s="5">
        <v>12133400010</v>
      </c>
      <c r="AA1242">
        <v>541110</v>
      </c>
      <c r="AB1242" t="s">
        <v>10403</v>
      </c>
      <c r="AC1242" t="s">
        <v>10404</v>
      </c>
      <c r="AD1242" t="s">
        <v>10405</v>
      </c>
      <c r="AE1242" t="s">
        <v>10406</v>
      </c>
      <c r="AF1242" t="s">
        <v>10400</v>
      </c>
      <c r="AG1242" t="s">
        <v>10401</v>
      </c>
      <c r="AH1242" t="s">
        <v>1766</v>
      </c>
      <c r="AI1242" t="s">
        <v>444</v>
      </c>
      <c r="AJ1242" s="4" t="str">
        <f>"90071"</f>
        <v>90071</v>
      </c>
      <c r="AK1242" t="s">
        <v>120</v>
      </c>
      <c r="AM1242" s="5">
        <v>12133400010</v>
      </c>
      <c r="AO1242" t="s">
        <v>10407</v>
      </c>
      <c r="AP1242" t="s">
        <v>122</v>
      </c>
      <c r="AQ1242" t="s">
        <v>10403</v>
      </c>
      <c r="AR1242" t="s">
        <v>10404</v>
      </c>
      <c r="AS1242" t="s">
        <v>10405</v>
      </c>
      <c r="AT1242" t="s">
        <v>10400</v>
      </c>
      <c r="AU1242" t="s">
        <v>10401</v>
      </c>
      <c r="AV1242" t="s">
        <v>10408</v>
      </c>
      <c r="AW1242" t="s">
        <v>444</v>
      </c>
      <c r="AX1242" s="4" t="str">
        <f>"90071"</f>
        <v>90071</v>
      </c>
      <c r="AY1242" t="s">
        <v>120</v>
      </c>
      <c r="BA1242" s="5">
        <v>12133400010</v>
      </c>
      <c r="BC1242" t="s">
        <v>10407</v>
      </c>
      <c r="BD1242" t="s">
        <v>10409</v>
      </c>
      <c r="BE1242" t="s">
        <v>444</v>
      </c>
      <c r="BF1242" t="s">
        <v>10410</v>
      </c>
      <c r="BG1242" t="s">
        <v>444</v>
      </c>
      <c r="BH1242" s="1">
        <v>44804.833333333336</v>
      </c>
      <c r="BI1242">
        <v>40</v>
      </c>
      <c r="BJ1242">
        <v>0</v>
      </c>
      <c r="BK1242">
        <v>8</v>
      </c>
      <c r="BL1242">
        <v>8</v>
      </c>
      <c r="BM1242">
        <v>8</v>
      </c>
      <c r="BN1242">
        <v>8</v>
      </c>
      <c r="BO1242">
        <v>8</v>
      </c>
      <c r="BP1242">
        <v>0</v>
      </c>
      <c r="BQ1242" t="str">
        <f>"9:00 AM"</f>
        <v>9:00 AM</v>
      </c>
      <c r="BR1242" t="str">
        <f>"5:00 PM"</f>
        <v>5:00 PM</v>
      </c>
      <c r="BS1242" t="s">
        <v>8789</v>
      </c>
      <c r="BT1242">
        <v>24</v>
      </c>
      <c r="BU1242">
        <v>3</v>
      </c>
      <c r="BV1242" t="s">
        <v>134</v>
      </c>
      <c r="BX1242" s="2" t="s">
        <v>10411</v>
      </c>
      <c r="BY1242" t="s">
        <v>10412</v>
      </c>
      <c r="BZ1242" t="s">
        <v>10401</v>
      </c>
      <c r="CA1242" t="s">
        <v>1766</v>
      </c>
      <c r="CB1242" t="s">
        <v>444</v>
      </c>
      <c r="CC1242" s="4" t="str">
        <f>"90071"</f>
        <v>90071</v>
      </c>
      <c r="CD1242" t="s">
        <v>1766</v>
      </c>
      <c r="CE1242" t="s">
        <v>1767</v>
      </c>
      <c r="CF1242" s="6">
        <v>33.26</v>
      </c>
      <c r="CG1242" s="6">
        <v>40</v>
      </c>
      <c r="CJ1242" t="s">
        <v>137</v>
      </c>
      <c r="CL1242" t="s">
        <v>10413</v>
      </c>
      <c r="CO1242" t="s">
        <v>138</v>
      </c>
      <c r="CP1242" t="s">
        <v>134</v>
      </c>
      <c r="CQ1242" t="s">
        <v>134</v>
      </c>
      <c r="CR1242" t="s">
        <v>134</v>
      </c>
      <c r="CS1242" t="s">
        <v>114</v>
      </c>
      <c r="CT1242" t="s">
        <v>114</v>
      </c>
      <c r="CU1242" t="s">
        <v>134</v>
      </c>
      <c r="CV1242" t="s">
        <v>138</v>
      </c>
      <c r="CW1242" s="5" t="str">
        <f>"+12133400010"</f>
        <v>+12133400010</v>
      </c>
      <c r="CX1242" t="s">
        <v>10414</v>
      </c>
      <c r="CY1242" t="s">
        <v>10415</v>
      </c>
      <c r="CZ1242" t="s">
        <v>139</v>
      </c>
      <c r="DA1242" t="s">
        <v>134</v>
      </c>
      <c r="DB1242" t="s">
        <v>134</v>
      </c>
      <c r="DC1242" t="s">
        <v>114</v>
      </c>
      <c r="DD1242" t="s">
        <v>134</v>
      </c>
      <c r="DE1242" t="s">
        <v>10403</v>
      </c>
      <c r="DF1242" t="s">
        <v>10416</v>
      </c>
      <c r="DG1242" t="s">
        <v>1857</v>
      </c>
      <c r="DH1242" t="s">
        <v>10417</v>
      </c>
      <c r="DI1242" t="s">
        <v>10418</v>
      </c>
    </row>
    <row r="1243" spans="1:113" ht="15" customHeight="1" x14ac:dyDescent="0.25">
      <c r="A1243" t="s">
        <v>3538</v>
      </c>
      <c r="B1243" t="s">
        <v>113</v>
      </c>
      <c r="C1243" s="1">
        <v>44806.725333449074</v>
      </c>
      <c r="D1243" s="1">
        <v>44854</v>
      </c>
      <c r="E1243" t="s">
        <v>134</v>
      </c>
      <c r="F1243" t="s">
        <v>2320</v>
      </c>
      <c r="G1243" t="str">
        <f>"47-2061.00"</f>
        <v>47-2061.00</v>
      </c>
      <c r="H1243" t="s">
        <v>1625</v>
      </c>
      <c r="I1243">
        <v>10</v>
      </c>
      <c r="K1243" s="1">
        <v>44881</v>
      </c>
      <c r="L1243" s="1">
        <v>45077</v>
      </c>
      <c r="O1243" t="s">
        <v>117</v>
      </c>
      <c r="P1243" t="s">
        <v>3539</v>
      </c>
      <c r="R1243" t="s">
        <v>3540</v>
      </c>
      <c r="T1243" t="s">
        <v>3541</v>
      </c>
      <c r="U1243" t="s">
        <v>657</v>
      </c>
      <c r="V1243" s="4" t="str">
        <f>"37402"</f>
        <v>37402</v>
      </c>
      <c r="W1243" t="s">
        <v>120</v>
      </c>
      <c r="Y1243" s="5">
        <v>14236988988</v>
      </c>
      <c r="Z1243">
        <v>1040</v>
      </c>
      <c r="AA1243">
        <v>221310</v>
      </c>
      <c r="AB1243" t="s">
        <v>3542</v>
      </c>
      <c r="AC1243" t="s">
        <v>3543</v>
      </c>
      <c r="AE1243" t="s">
        <v>3544</v>
      </c>
      <c r="AF1243" t="s">
        <v>3545</v>
      </c>
      <c r="AG1243" t="s">
        <v>1808</v>
      </c>
      <c r="AH1243" t="s">
        <v>3541</v>
      </c>
      <c r="AI1243" t="s">
        <v>657</v>
      </c>
      <c r="AJ1243" s="4" t="str">
        <f>"37402"</f>
        <v>37402</v>
      </c>
      <c r="AK1243" t="s">
        <v>120</v>
      </c>
      <c r="AM1243" s="5">
        <v>14236988988</v>
      </c>
      <c r="AN1243">
        <v>1040</v>
      </c>
      <c r="AO1243" t="s">
        <v>3546</v>
      </c>
      <c r="AP1243" t="s">
        <v>122</v>
      </c>
      <c r="AQ1243" t="s">
        <v>3547</v>
      </c>
      <c r="AR1243" t="s">
        <v>3548</v>
      </c>
      <c r="AT1243" t="s">
        <v>3549</v>
      </c>
      <c r="AU1243" t="s">
        <v>3550</v>
      </c>
      <c r="AV1243" t="s">
        <v>3541</v>
      </c>
      <c r="AW1243" t="s">
        <v>657</v>
      </c>
      <c r="AX1243" s="4" t="str">
        <f>"37450"</f>
        <v>37450</v>
      </c>
      <c r="AY1243" t="s">
        <v>120</v>
      </c>
      <c r="BA1243" s="5">
        <v>14237568400</v>
      </c>
      <c r="BB1243">
        <v>254</v>
      </c>
      <c r="BC1243" t="s">
        <v>3551</v>
      </c>
      <c r="BD1243" t="s">
        <v>3552</v>
      </c>
      <c r="BE1243" t="s">
        <v>657</v>
      </c>
      <c r="BF1243" t="s">
        <v>322</v>
      </c>
      <c r="BG1243" t="s">
        <v>232</v>
      </c>
      <c r="BH1243" s="1">
        <v>44805.833333333336</v>
      </c>
      <c r="BI1243">
        <v>40</v>
      </c>
      <c r="BJ1243">
        <v>0</v>
      </c>
      <c r="BK1243">
        <v>8</v>
      </c>
      <c r="BL1243">
        <v>8</v>
      </c>
      <c r="BM1243">
        <v>8</v>
      </c>
      <c r="BN1243">
        <v>8</v>
      </c>
      <c r="BO1243">
        <v>8</v>
      </c>
      <c r="BP1243">
        <v>0</v>
      </c>
      <c r="BQ1243" t="str">
        <f>"8:00 AM"</f>
        <v>8:00 AM</v>
      </c>
      <c r="BR1243" t="str">
        <f>"5:00 PM"</f>
        <v>5:00 PM</v>
      </c>
      <c r="BS1243" t="s">
        <v>133</v>
      </c>
      <c r="BT1243">
        <v>0</v>
      </c>
      <c r="BU1243">
        <v>0</v>
      </c>
      <c r="BV1243" t="s">
        <v>134</v>
      </c>
      <c r="BX1243" s="2" t="s">
        <v>3553</v>
      </c>
      <c r="BY1243" t="s">
        <v>3554</v>
      </c>
      <c r="BZ1243" t="s">
        <v>3555</v>
      </c>
      <c r="CA1243" t="s">
        <v>2476</v>
      </c>
      <c r="CB1243" t="s">
        <v>232</v>
      </c>
      <c r="CC1243" s="4" t="str">
        <f>"78621"</f>
        <v>78621</v>
      </c>
      <c r="CD1243" t="s">
        <v>3556</v>
      </c>
      <c r="CE1243" t="s">
        <v>949</v>
      </c>
      <c r="CF1243" s="6">
        <v>17.920000000000002</v>
      </c>
      <c r="CG1243" s="6">
        <v>17.920000000000002</v>
      </c>
      <c r="CH1243" s="6">
        <v>26.88</v>
      </c>
      <c r="CI1243" s="6">
        <v>26.88</v>
      </c>
      <c r="CJ1243" t="s">
        <v>137</v>
      </c>
      <c r="CL1243" t="s">
        <v>3557</v>
      </c>
      <c r="CO1243" t="s">
        <v>138</v>
      </c>
      <c r="CP1243" t="s">
        <v>134</v>
      </c>
      <c r="CQ1243" t="s">
        <v>114</v>
      </c>
      <c r="CR1243" t="s">
        <v>114</v>
      </c>
      <c r="CS1243" t="s">
        <v>114</v>
      </c>
      <c r="CT1243" t="s">
        <v>114</v>
      </c>
      <c r="CU1243" t="s">
        <v>114</v>
      </c>
      <c r="CV1243" s="2" t="s">
        <v>3558</v>
      </c>
      <c r="CW1243" s="5" t="str">
        <f>"+14236988988"</f>
        <v>+14236988988</v>
      </c>
      <c r="CX1243" t="s">
        <v>3546</v>
      </c>
      <c r="CY1243" t="s">
        <v>138</v>
      </c>
      <c r="CZ1243" t="s">
        <v>139</v>
      </c>
      <c r="DA1243" t="s">
        <v>134</v>
      </c>
      <c r="DB1243" t="s">
        <v>114</v>
      </c>
      <c r="DC1243" t="s">
        <v>114</v>
      </c>
      <c r="DD1243" t="s">
        <v>134</v>
      </c>
      <c r="DE1243" t="s">
        <v>3547</v>
      </c>
      <c r="DF1243" t="s">
        <v>3548</v>
      </c>
      <c r="DG1243" t="s">
        <v>3559</v>
      </c>
      <c r="DH1243" t="s">
        <v>3560</v>
      </c>
      <c r="DI1243" t="s">
        <v>3551</v>
      </c>
    </row>
    <row r="1244" spans="1:113" ht="15" customHeight="1" x14ac:dyDescent="0.25">
      <c r="A1244" t="s">
        <v>11489</v>
      </c>
      <c r="B1244" t="s">
        <v>113</v>
      </c>
      <c r="C1244" s="1">
        <v>44800.734972222221</v>
      </c>
      <c r="D1244" s="1">
        <v>44854</v>
      </c>
      <c r="E1244" t="s">
        <v>134</v>
      </c>
      <c r="F1244" t="s">
        <v>9473</v>
      </c>
      <c r="G1244" t="str">
        <f>"35-1011.00"</f>
        <v>35-1011.00</v>
      </c>
      <c r="H1244" t="s">
        <v>3202</v>
      </c>
      <c r="I1244">
        <v>1</v>
      </c>
      <c r="K1244" s="1">
        <v>44879</v>
      </c>
      <c r="L1244" s="1">
        <v>45152</v>
      </c>
      <c r="O1244" t="s">
        <v>168</v>
      </c>
      <c r="P1244" t="s">
        <v>11490</v>
      </c>
      <c r="Q1244" t="s">
        <v>11491</v>
      </c>
      <c r="R1244" t="s">
        <v>11492</v>
      </c>
      <c r="T1244" t="s">
        <v>11493</v>
      </c>
      <c r="U1244" t="s">
        <v>154</v>
      </c>
      <c r="V1244" s="4" t="str">
        <f>"33076"</f>
        <v>33076</v>
      </c>
      <c r="W1244" t="s">
        <v>120</v>
      </c>
      <c r="Y1244" s="5">
        <v>13059049804</v>
      </c>
      <c r="AA1244">
        <v>722511</v>
      </c>
      <c r="AB1244" t="s">
        <v>11494</v>
      </c>
      <c r="AC1244" t="s">
        <v>4347</v>
      </c>
      <c r="AD1244" t="s">
        <v>4377</v>
      </c>
      <c r="AE1244" t="s">
        <v>285</v>
      </c>
      <c r="AF1244" t="s">
        <v>11495</v>
      </c>
      <c r="AH1244" t="s">
        <v>11493</v>
      </c>
      <c r="AI1244" t="s">
        <v>154</v>
      </c>
      <c r="AJ1244" s="4" t="str">
        <f>"33076"</f>
        <v>33076</v>
      </c>
      <c r="AK1244" t="s">
        <v>120</v>
      </c>
      <c r="AM1244" s="5">
        <v>17865937742</v>
      </c>
      <c r="AO1244" t="s">
        <v>11496</v>
      </c>
      <c r="AX1244" s="4" t="str">
        <f>""</f>
        <v/>
      </c>
      <c r="BG1244" t="s">
        <v>154</v>
      </c>
      <c r="BH1244" s="1">
        <v>44799.833333333336</v>
      </c>
      <c r="BI1244">
        <v>40</v>
      </c>
      <c r="BJ1244">
        <v>8</v>
      </c>
      <c r="BK1244">
        <v>8</v>
      </c>
      <c r="BL1244">
        <v>8</v>
      </c>
      <c r="BM1244">
        <v>0</v>
      </c>
      <c r="BN1244">
        <v>0</v>
      </c>
      <c r="BO1244">
        <v>8</v>
      </c>
      <c r="BP1244">
        <v>8</v>
      </c>
      <c r="BQ1244" t="str">
        <f>"11:30 AM"</f>
        <v>11:30 AM</v>
      </c>
      <c r="BR1244" t="str">
        <f>"8:00 PM"</f>
        <v>8:00 PM</v>
      </c>
      <c r="BS1244" t="s">
        <v>295</v>
      </c>
      <c r="BT1244">
        <v>0</v>
      </c>
      <c r="BU1244">
        <v>24</v>
      </c>
      <c r="BV1244" t="s">
        <v>114</v>
      </c>
      <c r="BW1244">
        <v>2</v>
      </c>
      <c r="BX1244" t="s">
        <v>11497</v>
      </c>
      <c r="BY1244" t="s">
        <v>11492</v>
      </c>
      <c r="CA1244" t="s">
        <v>11493</v>
      </c>
      <c r="CB1244" t="s">
        <v>154</v>
      </c>
      <c r="CC1244" s="4" t="str">
        <f>"33076"</f>
        <v>33076</v>
      </c>
      <c r="CD1244" t="s">
        <v>2313</v>
      </c>
      <c r="CE1244" t="s">
        <v>1742</v>
      </c>
      <c r="CF1244" s="6">
        <v>29.05</v>
      </c>
      <c r="CG1244" s="6">
        <v>29.5</v>
      </c>
      <c r="CJ1244" t="s">
        <v>137</v>
      </c>
      <c r="CL1244" t="s">
        <v>11498</v>
      </c>
      <c r="CO1244" t="s">
        <v>138</v>
      </c>
      <c r="CP1244" t="s">
        <v>134</v>
      </c>
      <c r="CQ1244" t="s">
        <v>134</v>
      </c>
      <c r="CR1244" t="s">
        <v>134</v>
      </c>
      <c r="CS1244" t="s">
        <v>134</v>
      </c>
      <c r="CT1244" t="s">
        <v>134</v>
      </c>
      <c r="CU1244" t="s">
        <v>134</v>
      </c>
      <c r="CV1244">
        <v>151.19999999999999</v>
      </c>
      <c r="CW1244" s="5" t="str">
        <f>"+13059049804"</f>
        <v>+13059049804</v>
      </c>
      <c r="CX1244" t="s">
        <v>11499</v>
      </c>
      <c r="CY1244" t="s">
        <v>138</v>
      </c>
      <c r="CZ1244" t="s">
        <v>139</v>
      </c>
      <c r="DA1244" t="s">
        <v>134</v>
      </c>
      <c r="DB1244" t="s">
        <v>134</v>
      </c>
      <c r="DC1244" t="s">
        <v>114</v>
      </c>
      <c r="DD1244" t="s">
        <v>134</v>
      </c>
      <c r="DE1244" t="s">
        <v>11500</v>
      </c>
      <c r="DF1244" t="s">
        <v>7822</v>
      </c>
      <c r="DG1244" t="s">
        <v>423</v>
      </c>
      <c r="DH1244" t="s">
        <v>11501</v>
      </c>
      <c r="DI1244" t="s">
        <v>11502</v>
      </c>
    </row>
    <row r="1245" spans="1:113" ht="15" customHeight="1" x14ac:dyDescent="0.25">
      <c r="A1245" t="s">
        <v>10452</v>
      </c>
      <c r="B1245" t="s">
        <v>113</v>
      </c>
      <c r="C1245" s="1">
        <v>44826.602965393518</v>
      </c>
      <c r="D1245" s="1">
        <v>44853</v>
      </c>
      <c r="E1245" t="s">
        <v>134</v>
      </c>
      <c r="F1245" t="s">
        <v>10453</v>
      </c>
      <c r="G1245" t="str">
        <f>"53-7061.00"</f>
        <v>53-7061.00</v>
      </c>
      <c r="H1245" t="s">
        <v>4602</v>
      </c>
      <c r="I1245">
        <v>16</v>
      </c>
      <c r="K1245" s="1">
        <v>44903</v>
      </c>
      <c r="L1245" s="1">
        <v>45163</v>
      </c>
      <c r="O1245" t="s">
        <v>117</v>
      </c>
      <c r="P1245" t="s">
        <v>3657</v>
      </c>
      <c r="R1245" t="s">
        <v>3658</v>
      </c>
      <c r="T1245" t="s">
        <v>231</v>
      </c>
      <c r="U1245" t="s">
        <v>232</v>
      </c>
      <c r="V1245" s="4" t="str">
        <f>"79705"</f>
        <v>79705</v>
      </c>
      <c r="W1245" t="s">
        <v>120</v>
      </c>
      <c r="Y1245" s="5">
        <v>14326844173</v>
      </c>
      <c r="AA1245">
        <v>484110</v>
      </c>
      <c r="AB1245" t="s">
        <v>3659</v>
      </c>
      <c r="AC1245" t="s">
        <v>3660</v>
      </c>
      <c r="AE1245" t="s">
        <v>3661</v>
      </c>
      <c r="AF1245" t="s">
        <v>3658</v>
      </c>
      <c r="AH1245" t="s">
        <v>231</v>
      </c>
      <c r="AI1245" t="s">
        <v>232</v>
      </c>
      <c r="AJ1245" s="4" t="str">
        <f>"79705"</f>
        <v>79705</v>
      </c>
      <c r="AK1245" t="s">
        <v>120</v>
      </c>
      <c r="AM1245" s="5">
        <v>14326844173</v>
      </c>
      <c r="AO1245" t="s">
        <v>3663</v>
      </c>
      <c r="AX1245" s="4" t="str">
        <f>""</f>
        <v/>
      </c>
      <c r="BG1245" t="s">
        <v>232</v>
      </c>
      <c r="BH1245" s="1">
        <v>44797.833333333336</v>
      </c>
      <c r="BI1245">
        <v>40</v>
      </c>
      <c r="BJ1245">
        <v>0</v>
      </c>
      <c r="BK1245">
        <v>8</v>
      </c>
      <c r="BL1245">
        <v>8</v>
      </c>
      <c r="BM1245">
        <v>8</v>
      </c>
      <c r="BN1245">
        <v>8</v>
      </c>
      <c r="BO1245">
        <v>8</v>
      </c>
      <c r="BP1245">
        <v>0</v>
      </c>
      <c r="BQ1245" t="str">
        <f>"8:00 AM"</f>
        <v>8:00 AM</v>
      </c>
      <c r="BR1245" t="str">
        <f>"5:00 PM"</f>
        <v>5:00 PM</v>
      </c>
      <c r="BS1245" t="s">
        <v>133</v>
      </c>
      <c r="BT1245">
        <v>0</v>
      </c>
      <c r="BU1245">
        <v>0</v>
      </c>
      <c r="BV1245" t="s">
        <v>134</v>
      </c>
      <c r="BX1245" t="s">
        <v>138</v>
      </c>
      <c r="BY1245" t="s">
        <v>10454</v>
      </c>
      <c r="CA1245" t="s">
        <v>231</v>
      </c>
      <c r="CB1245" t="s">
        <v>232</v>
      </c>
      <c r="CC1245" s="4" t="str">
        <f>"78705"</f>
        <v>78705</v>
      </c>
      <c r="CD1245" t="s">
        <v>231</v>
      </c>
      <c r="CE1245" t="s">
        <v>240</v>
      </c>
      <c r="CF1245" s="6">
        <v>15</v>
      </c>
      <c r="CG1245" s="6">
        <v>20</v>
      </c>
      <c r="CH1245" s="6">
        <v>22.5</v>
      </c>
      <c r="CI1245" s="6">
        <v>30</v>
      </c>
      <c r="CJ1245" t="s">
        <v>137</v>
      </c>
      <c r="CL1245" t="s">
        <v>10455</v>
      </c>
      <c r="CO1245" t="s">
        <v>138</v>
      </c>
      <c r="CP1245" t="s">
        <v>134</v>
      </c>
      <c r="CQ1245" t="s">
        <v>114</v>
      </c>
      <c r="CR1245" t="s">
        <v>114</v>
      </c>
      <c r="CS1245" t="s">
        <v>134</v>
      </c>
      <c r="CT1245" t="s">
        <v>114</v>
      </c>
      <c r="CU1245" t="s">
        <v>114</v>
      </c>
      <c r="CV1245" t="s">
        <v>6767</v>
      </c>
      <c r="CW1245" s="5" t="str">
        <f>"+14326844173"</f>
        <v>+14326844173</v>
      </c>
      <c r="CX1245" t="s">
        <v>3663</v>
      </c>
      <c r="CY1245" t="s">
        <v>138</v>
      </c>
      <c r="CZ1245" t="s">
        <v>139</v>
      </c>
      <c r="DA1245" t="s">
        <v>134</v>
      </c>
      <c r="DB1245" t="s">
        <v>134</v>
      </c>
      <c r="DC1245" t="s">
        <v>114</v>
      </c>
      <c r="DD1245" t="s">
        <v>134</v>
      </c>
    </row>
    <row r="1246" spans="1:113" ht="15" customHeight="1" x14ac:dyDescent="0.25">
      <c r="A1246" t="s">
        <v>6765</v>
      </c>
      <c r="B1246" t="s">
        <v>113</v>
      </c>
      <c r="C1246" s="1">
        <v>44826.594588657405</v>
      </c>
      <c r="D1246" s="1">
        <v>44853</v>
      </c>
      <c r="E1246" t="s">
        <v>134</v>
      </c>
      <c r="F1246" t="s">
        <v>1612</v>
      </c>
      <c r="G1246" t="str">
        <f>"37-3011.00"</f>
        <v>37-3011.00</v>
      </c>
      <c r="H1246" t="s">
        <v>335</v>
      </c>
      <c r="I1246">
        <v>8</v>
      </c>
      <c r="K1246" s="1">
        <v>44903</v>
      </c>
      <c r="L1246" s="1">
        <v>45190</v>
      </c>
      <c r="O1246" t="s">
        <v>117</v>
      </c>
      <c r="P1246" t="s">
        <v>3657</v>
      </c>
      <c r="R1246" t="s">
        <v>3658</v>
      </c>
      <c r="T1246" t="s">
        <v>231</v>
      </c>
      <c r="U1246" t="s">
        <v>232</v>
      </c>
      <c r="V1246" s="4" t="str">
        <f>"79708"</f>
        <v>79708</v>
      </c>
      <c r="W1246" t="s">
        <v>120</v>
      </c>
      <c r="Y1246" s="5">
        <v>14326844173</v>
      </c>
      <c r="AA1246">
        <v>484110</v>
      </c>
      <c r="AB1246" t="s">
        <v>3659</v>
      </c>
      <c r="AC1246" t="s">
        <v>3660</v>
      </c>
      <c r="AE1246" t="s">
        <v>3661</v>
      </c>
      <c r="AF1246" t="s">
        <v>3658</v>
      </c>
      <c r="AH1246" t="s">
        <v>231</v>
      </c>
      <c r="AI1246" t="s">
        <v>232</v>
      </c>
      <c r="AJ1246" s="4" t="str">
        <f>"79708"</f>
        <v>79708</v>
      </c>
      <c r="AK1246" t="s">
        <v>120</v>
      </c>
      <c r="AM1246" s="5">
        <v>14326844173</v>
      </c>
      <c r="AO1246" t="s">
        <v>3663</v>
      </c>
      <c r="AX1246" s="4" t="str">
        <f>""</f>
        <v/>
      </c>
      <c r="BG1246" t="s">
        <v>232</v>
      </c>
      <c r="BH1246" s="1">
        <v>44797.833333333336</v>
      </c>
      <c r="BI1246">
        <v>40</v>
      </c>
      <c r="BJ1246">
        <v>0</v>
      </c>
      <c r="BK1246">
        <v>8</v>
      </c>
      <c r="BL1246">
        <v>8</v>
      </c>
      <c r="BM1246">
        <v>8</v>
      </c>
      <c r="BN1246">
        <v>8</v>
      </c>
      <c r="BO1246">
        <v>8</v>
      </c>
      <c r="BP1246">
        <v>0</v>
      </c>
      <c r="BQ1246" t="str">
        <f>"8:00 AM"</f>
        <v>8:00 AM</v>
      </c>
      <c r="BR1246" t="str">
        <f>"5:00 PM"</f>
        <v>5:00 PM</v>
      </c>
      <c r="BS1246" t="s">
        <v>133</v>
      </c>
      <c r="BT1246">
        <v>0</v>
      </c>
      <c r="BU1246">
        <v>0</v>
      </c>
      <c r="BV1246" t="s">
        <v>134</v>
      </c>
      <c r="BX1246" t="s">
        <v>138</v>
      </c>
      <c r="BY1246" t="s">
        <v>3658</v>
      </c>
      <c r="CA1246" t="s">
        <v>231</v>
      </c>
      <c r="CB1246" t="s">
        <v>232</v>
      </c>
      <c r="CC1246" s="4" t="str">
        <f>"79708"</f>
        <v>79708</v>
      </c>
      <c r="CD1246" t="s">
        <v>231</v>
      </c>
      <c r="CE1246" t="s">
        <v>240</v>
      </c>
      <c r="CF1246" s="6">
        <v>16.62</v>
      </c>
      <c r="CG1246" s="6">
        <v>20</v>
      </c>
      <c r="CH1246" s="6">
        <v>25</v>
      </c>
      <c r="CI1246" s="6">
        <v>30</v>
      </c>
      <c r="CJ1246" t="s">
        <v>137</v>
      </c>
      <c r="CL1246" t="s">
        <v>6766</v>
      </c>
      <c r="CO1246" t="s">
        <v>138</v>
      </c>
      <c r="CP1246" t="s">
        <v>134</v>
      </c>
      <c r="CQ1246" t="s">
        <v>114</v>
      </c>
      <c r="CR1246" t="s">
        <v>114</v>
      </c>
      <c r="CS1246" t="s">
        <v>134</v>
      </c>
      <c r="CT1246" t="s">
        <v>114</v>
      </c>
      <c r="CU1246" t="s">
        <v>114</v>
      </c>
      <c r="CV1246" t="s">
        <v>6767</v>
      </c>
      <c r="CW1246" s="5" t="str">
        <f>"+14326844173"</f>
        <v>+14326844173</v>
      </c>
      <c r="CX1246" t="s">
        <v>3663</v>
      </c>
      <c r="CY1246" t="s">
        <v>138</v>
      </c>
      <c r="CZ1246" t="s">
        <v>139</v>
      </c>
      <c r="DA1246" t="s">
        <v>134</v>
      </c>
      <c r="DB1246" t="s">
        <v>134</v>
      </c>
      <c r="DC1246" t="s">
        <v>114</v>
      </c>
      <c r="DD1246" t="s">
        <v>134</v>
      </c>
    </row>
    <row r="1247" spans="1:113" ht="15" customHeight="1" x14ac:dyDescent="0.25">
      <c r="A1247" t="s">
        <v>9627</v>
      </c>
      <c r="B1247" t="s">
        <v>113</v>
      </c>
      <c r="C1247" s="1">
        <v>44826.560446875003</v>
      </c>
      <c r="D1247" s="1">
        <v>44853</v>
      </c>
      <c r="E1247" t="s">
        <v>134</v>
      </c>
      <c r="F1247" t="s">
        <v>9628</v>
      </c>
      <c r="G1247" t="str">
        <f>"37-2011.00"</f>
        <v>37-2011.00</v>
      </c>
      <c r="H1247" t="s">
        <v>672</v>
      </c>
      <c r="I1247">
        <v>5</v>
      </c>
      <c r="K1247" s="1">
        <v>44901</v>
      </c>
      <c r="L1247" s="1">
        <v>45177</v>
      </c>
      <c r="O1247" t="s">
        <v>117</v>
      </c>
      <c r="P1247" t="s">
        <v>3657</v>
      </c>
      <c r="R1247" t="s">
        <v>3658</v>
      </c>
      <c r="T1247" t="s">
        <v>231</v>
      </c>
      <c r="U1247" t="s">
        <v>232</v>
      </c>
      <c r="V1247" s="4" t="str">
        <f>"79708"</f>
        <v>79708</v>
      </c>
      <c r="W1247" t="s">
        <v>120</v>
      </c>
      <c r="Y1247" s="5">
        <v>14326844173</v>
      </c>
      <c r="AA1247">
        <v>484110</v>
      </c>
      <c r="AB1247" t="s">
        <v>3659</v>
      </c>
      <c r="AC1247" t="s">
        <v>3660</v>
      </c>
      <c r="AE1247" t="s">
        <v>3661</v>
      </c>
      <c r="AF1247" t="s">
        <v>3658</v>
      </c>
      <c r="AH1247" t="s">
        <v>231</v>
      </c>
      <c r="AI1247" t="s">
        <v>232</v>
      </c>
      <c r="AJ1247" s="4" t="str">
        <f>"79708"</f>
        <v>79708</v>
      </c>
      <c r="AK1247" t="s">
        <v>120</v>
      </c>
      <c r="AM1247" s="5">
        <v>17326844173</v>
      </c>
      <c r="AO1247" t="s">
        <v>3663</v>
      </c>
      <c r="AX1247" s="4" t="str">
        <f>""</f>
        <v/>
      </c>
      <c r="BG1247" t="s">
        <v>232</v>
      </c>
      <c r="BH1247" s="1">
        <v>44797.833333333336</v>
      </c>
      <c r="BI1247">
        <v>40</v>
      </c>
      <c r="BJ1247">
        <v>0</v>
      </c>
      <c r="BK1247">
        <v>8</v>
      </c>
      <c r="BL1247">
        <v>8</v>
      </c>
      <c r="BM1247">
        <v>8</v>
      </c>
      <c r="BN1247">
        <v>8</v>
      </c>
      <c r="BO1247">
        <v>8</v>
      </c>
      <c r="BP1247">
        <v>0</v>
      </c>
      <c r="BQ1247" t="str">
        <f>"8:00 AM"</f>
        <v>8:00 AM</v>
      </c>
      <c r="BR1247" t="str">
        <f>"5:00 PM"</f>
        <v>5:00 PM</v>
      </c>
      <c r="BS1247" t="s">
        <v>133</v>
      </c>
      <c r="BT1247">
        <v>0</v>
      </c>
      <c r="BU1247">
        <v>0</v>
      </c>
      <c r="BV1247" t="s">
        <v>134</v>
      </c>
      <c r="BX1247" t="s">
        <v>138</v>
      </c>
      <c r="BY1247" t="s">
        <v>3658</v>
      </c>
      <c r="CA1247" t="s">
        <v>231</v>
      </c>
      <c r="CB1247" t="s">
        <v>232</v>
      </c>
      <c r="CC1247" s="4" t="str">
        <f>"79708"</f>
        <v>79708</v>
      </c>
      <c r="CD1247" t="s">
        <v>231</v>
      </c>
      <c r="CE1247" t="s">
        <v>240</v>
      </c>
      <c r="CF1247" s="6">
        <v>14.04</v>
      </c>
      <c r="CG1247" s="6">
        <v>18</v>
      </c>
      <c r="CH1247" s="6">
        <v>21.06</v>
      </c>
      <c r="CI1247" s="6">
        <v>27</v>
      </c>
      <c r="CJ1247" t="s">
        <v>137</v>
      </c>
      <c r="CL1247" t="s">
        <v>9629</v>
      </c>
      <c r="CO1247" t="s">
        <v>138</v>
      </c>
      <c r="CP1247" t="s">
        <v>134</v>
      </c>
      <c r="CQ1247" t="s">
        <v>114</v>
      </c>
      <c r="CR1247" t="s">
        <v>114</v>
      </c>
      <c r="CS1247" t="s">
        <v>134</v>
      </c>
      <c r="CT1247" t="s">
        <v>114</v>
      </c>
      <c r="CU1247" t="s">
        <v>114</v>
      </c>
      <c r="CV1247" t="s">
        <v>9630</v>
      </c>
      <c r="CW1247" s="5" t="str">
        <f>"+14326844173"</f>
        <v>+14326844173</v>
      </c>
      <c r="CX1247" t="s">
        <v>3663</v>
      </c>
      <c r="CY1247" t="s">
        <v>138</v>
      </c>
      <c r="CZ1247" t="s">
        <v>139</v>
      </c>
      <c r="DA1247" t="s">
        <v>134</v>
      </c>
      <c r="DB1247" t="s">
        <v>134</v>
      </c>
      <c r="DC1247" t="s">
        <v>114</v>
      </c>
      <c r="DD1247" t="s">
        <v>134</v>
      </c>
    </row>
    <row r="1248" spans="1:113" ht="15" customHeight="1" x14ac:dyDescent="0.25">
      <c r="A1248" t="s">
        <v>3655</v>
      </c>
      <c r="B1248" t="s">
        <v>113</v>
      </c>
      <c r="C1248" s="1">
        <v>44826.503929398146</v>
      </c>
      <c r="D1248" s="1">
        <v>44853</v>
      </c>
      <c r="E1248" t="s">
        <v>134</v>
      </c>
      <c r="F1248" t="s">
        <v>3656</v>
      </c>
      <c r="G1248" t="str">
        <f>"49-9098.00"</f>
        <v>49-9098.00</v>
      </c>
      <c r="H1248" t="s">
        <v>525</v>
      </c>
      <c r="I1248">
        <v>6</v>
      </c>
      <c r="K1248" s="1">
        <v>44903</v>
      </c>
      <c r="L1248" s="1">
        <v>45163</v>
      </c>
      <c r="O1248" t="s">
        <v>117</v>
      </c>
      <c r="P1248" t="s">
        <v>3657</v>
      </c>
      <c r="R1248" t="s">
        <v>3658</v>
      </c>
      <c r="T1248" t="s">
        <v>231</v>
      </c>
      <c r="U1248" t="s">
        <v>232</v>
      </c>
      <c r="V1248" s="4" t="str">
        <f>"79708"</f>
        <v>79708</v>
      </c>
      <c r="W1248" t="s">
        <v>120</v>
      </c>
      <c r="Y1248" s="5">
        <v>14326844173</v>
      </c>
      <c r="AA1248">
        <v>484110</v>
      </c>
      <c r="AB1248" t="s">
        <v>3659</v>
      </c>
      <c r="AC1248" t="s">
        <v>3660</v>
      </c>
      <c r="AE1248" t="s">
        <v>3661</v>
      </c>
      <c r="AF1248" t="s">
        <v>3662</v>
      </c>
      <c r="AH1248" t="s">
        <v>231</v>
      </c>
      <c r="AI1248" t="s">
        <v>232</v>
      </c>
      <c r="AJ1248" s="4" t="str">
        <f>"79707"</f>
        <v>79707</v>
      </c>
      <c r="AK1248" t="s">
        <v>120</v>
      </c>
      <c r="AM1248" s="5">
        <v>14329678228</v>
      </c>
      <c r="AO1248" t="s">
        <v>3663</v>
      </c>
      <c r="AX1248" s="4" t="str">
        <f>""</f>
        <v/>
      </c>
      <c r="BG1248" t="s">
        <v>232</v>
      </c>
      <c r="BH1248" s="1">
        <v>44797.833333333336</v>
      </c>
      <c r="BI1248">
        <v>40</v>
      </c>
      <c r="BJ1248">
        <v>0</v>
      </c>
      <c r="BK1248">
        <v>8</v>
      </c>
      <c r="BL1248">
        <v>8</v>
      </c>
      <c r="BM1248">
        <v>8</v>
      </c>
      <c r="BN1248">
        <v>8</v>
      </c>
      <c r="BO1248">
        <v>8</v>
      </c>
      <c r="BP1248">
        <v>0</v>
      </c>
      <c r="BQ1248" t="str">
        <f>"7:00 AM"</f>
        <v>7:00 AM</v>
      </c>
      <c r="BR1248" t="str">
        <f>"4:00 AM"</f>
        <v>4:00 AM</v>
      </c>
      <c r="BS1248" t="s">
        <v>133</v>
      </c>
      <c r="BT1248">
        <v>0</v>
      </c>
      <c r="BU1248">
        <v>0</v>
      </c>
      <c r="BV1248" t="s">
        <v>134</v>
      </c>
      <c r="BX1248" t="s">
        <v>138</v>
      </c>
      <c r="BY1248" t="s">
        <v>3658</v>
      </c>
      <c r="CA1248" t="s">
        <v>231</v>
      </c>
      <c r="CB1248" t="s">
        <v>232</v>
      </c>
      <c r="CC1248" s="4" t="str">
        <f>"79708"</f>
        <v>79708</v>
      </c>
      <c r="CD1248" t="s">
        <v>231</v>
      </c>
      <c r="CE1248" t="s">
        <v>240</v>
      </c>
      <c r="CF1248" s="6">
        <v>18.309999999999999</v>
      </c>
      <c r="CG1248" s="6">
        <v>20</v>
      </c>
      <c r="CH1248" s="6">
        <v>27.46</v>
      </c>
      <c r="CI1248" s="6">
        <v>30</v>
      </c>
      <c r="CJ1248" t="s">
        <v>137</v>
      </c>
      <c r="CL1248" t="s">
        <v>3664</v>
      </c>
      <c r="CO1248" t="s">
        <v>138</v>
      </c>
      <c r="CP1248" t="s">
        <v>134</v>
      </c>
      <c r="CQ1248" t="s">
        <v>114</v>
      </c>
      <c r="CR1248" t="s">
        <v>114</v>
      </c>
      <c r="CS1248" t="s">
        <v>134</v>
      </c>
      <c r="CT1248" t="s">
        <v>114</v>
      </c>
      <c r="CU1248" t="s">
        <v>114</v>
      </c>
      <c r="CV1248" t="s">
        <v>3665</v>
      </c>
      <c r="CW1248" s="5" t="str">
        <f>"+14326844173"</f>
        <v>+14326844173</v>
      </c>
      <c r="CX1248" t="s">
        <v>3663</v>
      </c>
      <c r="CY1248" t="s">
        <v>138</v>
      </c>
      <c r="CZ1248" t="s">
        <v>139</v>
      </c>
      <c r="DA1248" t="s">
        <v>134</v>
      </c>
      <c r="DB1248" t="s">
        <v>134</v>
      </c>
      <c r="DC1248" t="s">
        <v>114</v>
      </c>
      <c r="DD1248" t="s">
        <v>134</v>
      </c>
    </row>
    <row r="1249" spans="1:113" ht="15" customHeight="1" x14ac:dyDescent="0.25">
      <c r="A1249" t="s">
        <v>13614</v>
      </c>
      <c r="B1249" t="s">
        <v>113</v>
      </c>
      <c r="C1249" s="1">
        <v>44824.604620138889</v>
      </c>
      <c r="D1249" s="1">
        <v>44853</v>
      </c>
      <c r="E1249" t="s">
        <v>114</v>
      </c>
      <c r="F1249" t="s">
        <v>13615</v>
      </c>
      <c r="G1249" t="str">
        <f>"49-3031.00"</f>
        <v>49-3031.00</v>
      </c>
      <c r="H1249" t="s">
        <v>1121</v>
      </c>
      <c r="I1249">
        <v>4</v>
      </c>
      <c r="K1249" s="1">
        <v>44914</v>
      </c>
      <c r="L1249" s="1">
        <v>45156</v>
      </c>
      <c r="O1249" t="s">
        <v>117</v>
      </c>
      <c r="P1249" t="s">
        <v>13616</v>
      </c>
      <c r="Q1249" t="s">
        <v>13616</v>
      </c>
      <c r="R1249" t="s">
        <v>13617</v>
      </c>
      <c r="T1249" t="s">
        <v>13618</v>
      </c>
      <c r="U1249" t="s">
        <v>444</v>
      </c>
      <c r="V1249" s="4" t="str">
        <f>"94577"</f>
        <v>94577</v>
      </c>
      <c r="W1249" t="s">
        <v>120</v>
      </c>
      <c r="Y1249" s="5">
        <v>15107601201</v>
      </c>
      <c r="AA1249">
        <v>811111</v>
      </c>
      <c r="AB1249" t="s">
        <v>13619</v>
      </c>
      <c r="AC1249" t="s">
        <v>13620</v>
      </c>
      <c r="AE1249" t="s">
        <v>1567</v>
      </c>
      <c r="AF1249" t="s">
        <v>13617</v>
      </c>
      <c r="AH1249" t="s">
        <v>13618</v>
      </c>
      <c r="AI1249" t="s">
        <v>444</v>
      </c>
      <c r="AJ1249" s="4" t="str">
        <f>"94577"</f>
        <v>94577</v>
      </c>
      <c r="AK1249" t="s">
        <v>120</v>
      </c>
      <c r="AM1249" s="5">
        <v>15107601201</v>
      </c>
      <c r="AO1249" t="s">
        <v>13621</v>
      </c>
      <c r="AX1249" s="4" t="str">
        <f>""</f>
        <v/>
      </c>
      <c r="BG1249" t="s">
        <v>444</v>
      </c>
      <c r="BH1249" s="1">
        <v>44781.833333333336</v>
      </c>
      <c r="BI1249">
        <v>40</v>
      </c>
      <c r="BJ1249">
        <v>0</v>
      </c>
      <c r="BK1249">
        <v>8</v>
      </c>
      <c r="BL1249">
        <v>8</v>
      </c>
      <c r="BM1249">
        <v>8</v>
      </c>
      <c r="BN1249">
        <v>8</v>
      </c>
      <c r="BO1249">
        <v>8</v>
      </c>
      <c r="BP1249">
        <v>0</v>
      </c>
      <c r="BQ1249" t="str">
        <f>"8:00 AM"</f>
        <v>8:00 AM</v>
      </c>
      <c r="BR1249" t="str">
        <f>"4:30 PM"</f>
        <v>4:30 PM</v>
      </c>
      <c r="BS1249" t="s">
        <v>8789</v>
      </c>
      <c r="BT1249">
        <v>18</v>
      </c>
      <c r="BU1249">
        <v>18</v>
      </c>
      <c r="BV1249" t="s">
        <v>134</v>
      </c>
      <c r="BX1249" t="s">
        <v>13622</v>
      </c>
      <c r="BY1249" t="s">
        <v>13617</v>
      </c>
      <c r="CA1249" t="s">
        <v>13618</v>
      </c>
      <c r="CB1249" t="s">
        <v>444</v>
      </c>
      <c r="CC1249" s="4" t="str">
        <f>"94577"</f>
        <v>94577</v>
      </c>
      <c r="CD1249" t="s">
        <v>6924</v>
      </c>
      <c r="CE1249" t="s">
        <v>2575</v>
      </c>
      <c r="CF1249" s="6">
        <v>35.29</v>
      </c>
      <c r="CG1249" s="6">
        <v>40</v>
      </c>
      <c r="CH1249" s="6">
        <v>52.94</v>
      </c>
      <c r="CI1249" s="6">
        <v>60</v>
      </c>
      <c r="CJ1249" t="s">
        <v>137</v>
      </c>
      <c r="CL1249" t="s">
        <v>13623</v>
      </c>
      <c r="CO1249" t="s">
        <v>138</v>
      </c>
      <c r="CP1249" t="s">
        <v>134</v>
      </c>
      <c r="CQ1249" t="s">
        <v>114</v>
      </c>
      <c r="CR1249" t="s">
        <v>114</v>
      </c>
      <c r="CS1249" t="s">
        <v>114</v>
      </c>
      <c r="CT1249" t="s">
        <v>114</v>
      </c>
      <c r="CU1249" t="s">
        <v>114</v>
      </c>
      <c r="CV1249" t="s">
        <v>2314</v>
      </c>
      <c r="CW1249" s="5" t="str">
        <f>"+15107601201"</f>
        <v>+15107601201</v>
      </c>
      <c r="CX1249" t="s">
        <v>13621</v>
      </c>
      <c r="CY1249" t="s">
        <v>13624</v>
      </c>
      <c r="CZ1249" t="s">
        <v>139</v>
      </c>
      <c r="DA1249" t="s">
        <v>134</v>
      </c>
      <c r="DB1249" t="s">
        <v>134</v>
      </c>
      <c r="DC1249" t="s">
        <v>114</v>
      </c>
      <c r="DD1249" t="s">
        <v>134</v>
      </c>
    </row>
    <row r="1250" spans="1:113" ht="15" customHeight="1" x14ac:dyDescent="0.25">
      <c r="A1250" t="s">
        <v>15337</v>
      </c>
      <c r="B1250" t="s">
        <v>113</v>
      </c>
      <c r="C1250" s="1">
        <v>44820.62753287037</v>
      </c>
      <c r="D1250" s="1">
        <v>44853</v>
      </c>
      <c r="E1250" t="s">
        <v>134</v>
      </c>
      <c r="F1250" t="s">
        <v>4194</v>
      </c>
      <c r="G1250" t="str">
        <f>"35-2014.00"</f>
        <v>35-2014.00</v>
      </c>
      <c r="H1250" t="s">
        <v>915</v>
      </c>
      <c r="I1250">
        <v>12</v>
      </c>
      <c r="K1250" s="1">
        <v>44910</v>
      </c>
      <c r="L1250" s="1">
        <v>45184</v>
      </c>
      <c r="O1250" t="s">
        <v>117</v>
      </c>
      <c r="P1250" t="s">
        <v>15338</v>
      </c>
      <c r="Q1250" t="s">
        <v>15339</v>
      </c>
      <c r="R1250" t="s">
        <v>15340</v>
      </c>
      <c r="T1250" t="s">
        <v>5499</v>
      </c>
      <c r="U1250" t="s">
        <v>1003</v>
      </c>
      <c r="V1250" s="4" t="str">
        <f>"07419"</f>
        <v>07419</v>
      </c>
      <c r="W1250" t="s">
        <v>120</v>
      </c>
      <c r="Y1250" s="5">
        <v>19738646381</v>
      </c>
      <c r="AA1250">
        <v>721110</v>
      </c>
      <c r="AB1250" t="s">
        <v>15341</v>
      </c>
      <c r="AC1250" t="s">
        <v>1303</v>
      </c>
      <c r="AD1250" t="s">
        <v>1723</v>
      </c>
      <c r="AE1250" t="s">
        <v>15342</v>
      </c>
      <c r="AF1250" t="s">
        <v>15343</v>
      </c>
      <c r="AH1250" t="s">
        <v>5499</v>
      </c>
      <c r="AI1250" t="s">
        <v>1003</v>
      </c>
      <c r="AJ1250" s="4" t="str">
        <f>"07419"</f>
        <v>07419</v>
      </c>
      <c r="AK1250" t="s">
        <v>120</v>
      </c>
      <c r="AM1250" s="5">
        <v>19738646381</v>
      </c>
      <c r="AO1250" t="s">
        <v>15344</v>
      </c>
      <c r="AP1250" t="s">
        <v>122</v>
      </c>
      <c r="AQ1250" t="s">
        <v>12906</v>
      </c>
      <c r="AR1250" t="s">
        <v>9750</v>
      </c>
      <c r="AS1250" t="s">
        <v>7045</v>
      </c>
      <c r="AT1250" t="s">
        <v>15345</v>
      </c>
      <c r="AU1250" t="s">
        <v>12661</v>
      </c>
      <c r="AV1250" t="s">
        <v>15346</v>
      </c>
      <c r="AW1250" t="s">
        <v>1003</v>
      </c>
      <c r="AX1250" s="4" t="str">
        <f>"07927"</f>
        <v>07927</v>
      </c>
      <c r="AY1250" t="s">
        <v>120</v>
      </c>
      <c r="BA1250" s="5">
        <v>19737378315</v>
      </c>
      <c r="BC1250" t="s">
        <v>15347</v>
      </c>
      <c r="BD1250" t="s">
        <v>15348</v>
      </c>
      <c r="BE1250" t="s">
        <v>1003</v>
      </c>
      <c r="BF1250" t="s">
        <v>15349</v>
      </c>
      <c r="BG1250" t="s">
        <v>1003</v>
      </c>
      <c r="BH1250" s="1">
        <v>44819.833333333336</v>
      </c>
      <c r="BI1250">
        <v>40</v>
      </c>
      <c r="BJ1250">
        <v>8</v>
      </c>
      <c r="BK1250">
        <v>8</v>
      </c>
      <c r="BL1250">
        <v>0</v>
      </c>
      <c r="BM1250">
        <v>0</v>
      </c>
      <c r="BN1250">
        <v>8</v>
      </c>
      <c r="BO1250">
        <v>8</v>
      </c>
      <c r="BP1250">
        <v>8</v>
      </c>
      <c r="BQ1250" t="str">
        <f>"1:00 PM"</f>
        <v>1:00 PM</v>
      </c>
      <c r="BR1250" t="str">
        <f>"9:00 PM"</f>
        <v>9:00 PM</v>
      </c>
      <c r="BS1250" t="s">
        <v>133</v>
      </c>
      <c r="BT1250">
        <v>3</v>
      </c>
      <c r="BU1250">
        <v>3</v>
      </c>
      <c r="BV1250" t="s">
        <v>134</v>
      </c>
      <c r="BX1250" t="s">
        <v>15350</v>
      </c>
      <c r="BY1250" t="s">
        <v>15351</v>
      </c>
      <c r="CA1250" t="s">
        <v>5499</v>
      </c>
      <c r="CB1250" t="s">
        <v>1003</v>
      </c>
      <c r="CC1250" s="4" t="str">
        <f>"07419"</f>
        <v>07419</v>
      </c>
      <c r="CD1250" t="s">
        <v>4719</v>
      </c>
      <c r="CE1250" t="s">
        <v>1009</v>
      </c>
      <c r="CF1250" s="6">
        <v>18.100000000000001</v>
      </c>
      <c r="CG1250" s="6">
        <v>18.100000000000001</v>
      </c>
      <c r="CH1250" s="6">
        <v>27.15</v>
      </c>
      <c r="CI1250" s="6">
        <v>27.15</v>
      </c>
      <c r="CJ1250" t="s">
        <v>137</v>
      </c>
      <c r="CL1250" t="s">
        <v>15352</v>
      </c>
      <c r="CO1250" t="s">
        <v>138</v>
      </c>
      <c r="CP1250" t="s">
        <v>114</v>
      </c>
      <c r="CQ1250" t="s">
        <v>114</v>
      </c>
      <c r="CR1250" t="s">
        <v>114</v>
      </c>
      <c r="CS1250" t="s">
        <v>114</v>
      </c>
      <c r="CT1250" t="s">
        <v>114</v>
      </c>
      <c r="CU1250" t="s">
        <v>114</v>
      </c>
      <c r="CV1250" t="s">
        <v>15353</v>
      </c>
      <c r="CW1250" s="5" t="str">
        <f>"+19735348081"</f>
        <v>+19735348081</v>
      </c>
      <c r="CX1250" t="s">
        <v>15344</v>
      </c>
      <c r="CY1250" t="s">
        <v>138</v>
      </c>
      <c r="CZ1250" t="s">
        <v>139</v>
      </c>
      <c r="DA1250" t="s">
        <v>134</v>
      </c>
      <c r="DB1250" t="s">
        <v>134</v>
      </c>
      <c r="DC1250" t="s">
        <v>114</v>
      </c>
      <c r="DD1250" t="s">
        <v>134</v>
      </c>
      <c r="DE1250" t="s">
        <v>12906</v>
      </c>
      <c r="DF1250" t="s">
        <v>9750</v>
      </c>
      <c r="DG1250" t="s">
        <v>7045</v>
      </c>
      <c r="DH1250" t="s">
        <v>15354</v>
      </c>
      <c r="DI1250" t="s">
        <v>15347</v>
      </c>
    </row>
    <row r="1251" spans="1:113" ht="15" customHeight="1" x14ac:dyDescent="0.25">
      <c r="A1251" t="s">
        <v>8848</v>
      </c>
      <c r="B1251" t="s">
        <v>113</v>
      </c>
      <c r="C1251" s="1">
        <v>44819.397656712965</v>
      </c>
      <c r="D1251" s="1">
        <v>44853</v>
      </c>
      <c r="E1251" t="s">
        <v>134</v>
      </c>
      <c r="F1251" t="s">
        <v>8849</v>
      </c>
      <c r="G1251" t="str">
        <f>"35-3031.00"</f>
        <v>35-3031.00</v>
      </c>
      <c r="H1251" t="s">
        <v>389</v>
      </c>
      <c r="I1251">
        <v>6</v>
      </c>
      <c r="K1251" s="1">
        <v>44895</v>
      </c>
      <c r="L1251" s="1">
        <v>45100</v>
      </c>
      <c r="O1251" t="s">
        <v>168</v>
      </c>
      <c r="P1251" t="s">
        <v>8850</v>
      </c>
      <c r="R1251" t="s">
        <v>8851</v>
      </c>
      <c r="T1251" t="s">
        <v>8852</v>
      </c>
      <c r="U1251" t="s">
        <v>129</v>
      </c>
      <c r="V1251" s="4" t="str">
        <f>"30144"</f>
        <v>30144</v>
      </c>
      <c r="W1251" t="s">
        <v>120</v>
      </c>
      <c r="Y1251" s="5">
        <v>16784013719</v>
      </c>
      <c r="AA1251">
        <v>722511</v>
      </c>
      <c r="AB1251" t="s">
        <v>8853</v>
      </c>
      <c r="AC1251" t="s">
        <v>8853</v>
      </c>
      <c r="AD1251" t="s">
        <v>1905</v>
      </c>
      <c r="AE1251" t="s">
        <v>424</v>
      </c>
      <c r="AF1251" t="s">
        <v>8854</v>
      </c>
      <c r="AH1251" t="s">
        <v>8855</v>
      </c>
      <c r="AI1251" t="s">
        <v>129</v>
      </c>
      <c r="AJ1251" s="4" t="str">
        <f>"30101"</f>
        <v>30101</v>
      </c>
      <c r="AK1251" t="s">
        <v>120</v>
      </c>
      <c r="AM1251" s="5">
        <v>14042467331</v>
      </c>
      <c r="AO1251" t="s">
        <v>8856</v>
      </c>
      <c r="AX1251" s="4" t="str">
        <f>""</f>
        <v/>
      </c>
      <c r="BG1251" t="s">
        <v>129</v>
      </c>
      <c r="BH1251" s="1">
        <v>44746.833333333336</v>
      </c>
      <c r="BI1251">
        <v>35</v>
      </c>
      <c r="BJ1251">
        <v>0</v>
      </c>
      <c r="BK1251">
        <v>0</v>
      </c>
      <c r="BL1251">
        <v>5</v>
      </c>
      <c r="BM1251">
        <v>5</v>
      </c>
      <c r="BN1251">
        <v>5</v>
      </c>
      <c r="BO1251">
        <v>10</v>
      </c>
      <c r="BP1251">
        <v>10</v>
      </c>
      <c r="BQ1251" t="str">
        <f>"9:30 AM"</f>
        <v>9:30 AM</v>
      </c>
      <c r="BR1251" t="str">
        <f>"3:00 PM"</f>
        <v>3:00 PM</v>
      </c>
      <c r="BS1251" t="s">
        <v>295</v>
      </c>
      <c r="BT1251">
        <v>0</v>
      </c>
      <c r="BU1251">
        <v>3</v>
      </c>
      <c r="BV1251" t="s">
        <v>134</v>
      </c>
      <c r="BX1251" s="2" t="s">
        <v>8857</v>
      </c>
      <c r="BY1251" t="s">
        <v>8851</v>
      </c>
      <c r="CA1251" t="s">
        <v>8852</v>
      </c>
      <c r="CB1251" t="s">
        <v>129</v>
      </c>
      <c r="CC1251" s="4" t="str">
        <f>"30144"</f>
        <v>30144</v>
      </c>
      <c r="CD1251" t="s">
        <v>1540</v>
      </c>
      <c r="CE1251" t="s">
        <v>908</v>
      </c>
      <c r="CF1251" s="6">
        <v>11.1</v>
      </c>
      <c r="CJ1251" t="s">
        <v>137</v>
      </c>
      <c r="CK1251" t="s">
        <v>8858</v>
      </c>
      <c r="CL1251" t="s">
        <v>8859</v>
      </c>
      <c r="CO1251" t="s">
        <v>138</v>
      </c>
      <c r="CP1251" t="s">
        <v>134</v>
      </c>
      <c r="CQ1251" t="s">
        <v>114</v>
      </c>
      <c r="CR1251" t="s">
        <v>134</v>
      </c>
      <c r="CS1251" t="s">
        <v>114</v>
      </c>
      <c r="CT1251" t="s">
        <v>114</v>
      </c>
      <c r="CU1251" t="s">
        <v>114</v>
      </c>
      <c r="CV1251" t="s">
        <v>138</v>
      </c>
      <c r="CW1251" s="5" t="str">
        <f>"+14042467331"</f>
        <v>+14042467331</v>
      </c>
      <c r="CX1251" t="s">
        <v>8856</v>
      </c>
      <c r="CY1251" t="s">
        <v>138</v>
      </c>
      <c r="CZ1251" t="s">
        <v>139</v>
      </c>
      <c r="DA1251" t="s">
        <v>134</v>
      </c>
      <c r="DB1251" t="s">
        <v>134</v>
      </c>
      <c r="DC1251" t="s">
        <v>114</v>
      </c>
      <c r="DD1251" t="s">
        <v>134</v>
      </c>
    </row>
    <row r="1252" spans="1:113" ht="15" customHeight="1" x14ac:dyDescent="0.25">
      <c r="A1252" t="s">
        <v>9723</v>
      </c>
      <c r="B1252" t="s">
        <v>113</v>
      </c>
      <c r="C1252" s="1">
        <v>44816.589417361109</v>
      </c>
      <c r="D1252" s="1">
        <v>44853</v>
      </c>
      <c r="E1252" t="s">
        <v>134</v>
      </c>
      <c r="F1252" t="s">
        <v>1057</v>
      </c>
      <c r="G1252" t="str">
        <f>"49-9052.00"</f>
        <v>49-9052.00</v>
      </c>
      <c r="H1252" t="s">
        <v>1058</v>
      </c>
      <c r="I1252">
        <v>10</v>
      </c>
      <c r="K1252" s="1">
        <v>44866</v>
      </c>
      <c r="L1252" s="1">
        <v>45100</v>
      </c>
      <c r="O1252" t="s">
        <v>3130</v>
      </c>
      <c r="P1252" t="s">
        <v>1059</v>
      </c>
      <c r="Q1252" t="s">
        <v>1059</v>
      </c>
      <c r="R1252" t="s">
        <v>1060</v>
      </c>
      <c r="T1252" t="s">
        <v>1061</v>
      </c>
      <c r="U1252" t="s">
        <v>420</v>
      </c>
      <c r="V1252" s="4" t="str">
        <f>"84047"</f>
        <v>84047</v>
      </c>
      <c r="W1252" t="s">
        <v>120</v>
      </c>
      <c r="Y1252" s="5">
        <v>18012600262</v>
      </c>
      <c r="AA1252">
        <v>517312</v>
      </c>
      <c r="AB1252" t="s">
        <v>1062</v>
      </c>
      <c r="AC1252" t="s">
        <v>1063</v>
      </c>
      <c r="AD1252" t="s">
        <v>1064</v>
      </c>
      <c r="AE1252" t="s">
        <v>1065</v>
      </c>
      <c r="AF1252" t="s">
        <v>1060</v>
      </c>
      <c r="AG1252" t="s">
        <v>1066</v>
      </c>
      <c r="AH1252" t="s">
        <v>1061</v>
      </c>
      <c r="AI1252" t="s">
        <v>420</v>
      </c>
      <c r="AJ1252" s="4" t="str">
        <f>"84047"</f>
        <v>84047</v>
      </c>
      <c r="AK1252" t="s">
        <v>120</v>
      </c>
      <c r="AM1252" s="5">
        <v>18012600262</v>
      </c>
      <c r="AO1252" t="s">
        <v>1067</v>
      </c>
      <c r="AX1252" s="4" t="str">
        <f>""</f>
        <v/>
      </c>
      <c r="BG1252" t="s">
        <v>420</v>
      </c>
      <c r="BH1252" s="1">
        <v>43833.791666666664</v>
      </c>
      <c r="BI1252">
        <v>45</v>
      </c>
      <c r="BJ1252">
        <v>0</v>
      </c>
      <c r="BK1252">
        <v>8</v>
      </c>
      <c r="BL1252">
        <v>8</v>
      </c>
      <c r="BM1252">
        <v>8</v>
      </c>
      <c r="BN1252">
        <v>8</v>
      </c>
      <c r="BO1252">
        <v>8</v>
      </c>
      <c r="BP1252">
        <v>5</v>
      </c>
      <c r="BQ1252" t="str">
        <f>"7:30 AM"</f>
        <v>7:30 AM</v>
      </c>
      <c r="BR1252" t="str">
        <f>"6:30 PM"</f>
        <v>6:30 PM</v>
      </c>
      <c r="BS1252" t="s">
        <v>133</v>
      </c>
      <c r="BT1252">
        <v>2</v>
      </c>
      <c r="BU1252">
        <v>0</v>
      </c>
      <c r="BV1252" t="s">
        <v>134</v>
      </c>
      <c r="BX1252" t="s">
        <v>2314</v>
      </c>
      <c r="BY1252" t="s">
        <v>1060</v>
      </c>
      <c r="CA1252" t="s">
        <v>1061</v>
      </c>
      <c r="CB1252" t="s">
        <v>420</v>
      </c>
      <c r="CC1252" s="4" t="str">
        <f>"84047"</f>
        <v>84047</v>
      </c>
      <c r="CD1252" t="s">
        <v>688</v>
      </c>
      <c r="CE1252" t="s">
        <v>689</v>
      </c>
      <c r="CF1252" s="6">
        <v>26.68</v>
      </c>
      <c r="CG1252" s="6">
        <v>30</v>
      </c>
      <c r="CH1252" s="6">
        <v>40.020000000000003</v>
      </c>
      <c r="CI1252" s="6">
        <v>45</v>
      </c>
      <c r="CJ1252" t="s">
        <v>137</v>
      </c>
      <c r="CL1252" t="s">
        <v>1069</v>
      </c>
      <c r="CO1252" t="s">
        <v>114</v>
      </c>
      <c r="CP1252" t="s">
        <v>114</v>
      </c>
      <c r="CQ1252" t="s">
        <v>114</v>
      </c>
      <c r="CR1252" t="s">
        <v>114</v>
      </c>
      <c r="CS1252" t="s">
        <v>114</v>
      </c>
      <c r="CT1252" t="s">
        <v>114</v>
      </c>
      <c r="CU1252" t="s">
        <v>114</v>
      </c>
      <c r="CV1252" t="s">
        <v>9724</v>
      </c>
      <c r="CW1252" s="5" t="str">
        <f>"+18012600262"</f>
        <v>+18012600262</v>
      </c>
      <c r="CX1252" t="s">
        <v>1071</v>
      </c>
      <c r="CY1252" t="s">
        <v>138</v>
      </c>
      <c r="CZ1252" t="s">
        <v>139</v>
      </c>
      <c r="DA1252" t="s">
        <v>134</v>
      </c>
      <c r="DB1252" t="s">
        <v>134</v>
      </c>
      <c r="DC1252" t="s">
        <v>114</v>
      </c>
      <c r="DD1252" t="s">
        <v>134</v>
      </c>
    </row>
    <row r="1253" spans="1:113" ht="15" customHeight="1" x14ac:dyDescent="0.25">
      <c r="A1253" t="s">
        <v>8531</v>
      </c>
      <c r="B1253" t="s">
        <v>113</v>
      </c>
      <c r="C1253" s="1">
        <v>44800.789052314816</v>
      </c>
      <c r="D1253" s="1">
        <v>44853</v>
      </c>
      <c r="E1253" t="s">
        <v>134</v>
      </c>
      <c r="F1253" t="s">
        <v>8532</v>
      </c>
      <c r="G1253" t="str">
        <f>"39-9021.00"</f>
        <v>39-9021.00</v>
      </c>
      <c r="H1253" t="s">
        <v>3583</v>
      </c>
      <c r="I1253">
        <v>8</v>
      </c>
      <c r="K1253" s="1">
        <v>44887</v>
      </c>
      <c r="L1253" s="1">
        <v>45189</v>
      </c>
      <c r="O1253" t="s">
        <v>168</v>
      </c>
      <c r="P1253" t="s">
        <v>8533</v>
      </c>
      <c r="R1253" t="s">
        <v>8534</v>
      </c>
      <c r="T1253" t="s">
        <v>1650</v>
      </c>
      <c r="U1253" t="s">
        <v>154</v>
      </c>
      <c r="V1253" s="4" t="str">
        <f>"32955"</f>
        <v>32955</v>
      </c>
      <c r="W1253" t="s">
        <v>120</v>
      </c>
      <c r="Y1253" s="5">
        <v>13218774001</v>
      </c>
      <c r="AA1253">
        <v>623311</v>
      </c>
      <c r="AB1253" t="s">
        <v>8535</v>
      </c>
      <c r="AC1253" t="s">
        <v>2534</v>
      </c>
      <c r="AD1253" t="s">
        <v>975</v>
      </c>
      <c r="AE1253" t="s">
        <v>8536</v>
      </c>
      <c r="AF1253" t="s">
        <v>8537</v>
      </c>
      <c r="AG1253">
        <v>1147</v>
      </c>
      <c r="AH1253" t="s">
        <v>4962</v>
      </c>
      <c r="AI1253" t="s">
        <v>1846</v>
      </c>
      <c r="AJ1253" s="4" t="str">
        <f>"05672"</f>
        <v>05672</v>
      </c>
      <c r="AK1253" t="s">
        <v>120</v>
      </c>
      <c r="AM1253" s="5">
        <v>18023237422</v>
      </c>
      <c r="AO1253" t="s">
        <v>8538</v>
      </c>
      <c r="AX1253" s="4" t="str">
        <f>""</f>
        <v/>
      </c>
      <c r="BG1253" t="s">
        <v>154</v>
      </c>
      <c r="BH1253" s="1">
        <v>44797.833333333336</v>
      </c>
      <c r="BI1253">
        <v>35</v>
      </c>
      <c r="BJ1253">
        <v>7</v>
      </c>
      <c r="BK1253">
        <v>7</v>
      </c>
      <c r="BL1253">
        <v>7</v>
      </c>
      <c r="BM1253">
        <v>7</v>
      </c>
      <c r="BN1253">
        <v>7</v>
      </c>
      <c r="BO1253">
        <v>0</v>
      </c>
      <c r="BP1253">
        <v>0</v>
      </c>
      <c r="BQ1253" t="str">
        <f>"7:00 AM"</f>
        <v>7:00 AM</v>
      </c>
      <c r="BR1253" t="str">
        <f>"2:00 PM"</f>
        <v>2:00 PM</v>
      </c>
      <c r="BS1253" t="s">
        <v>295</v>
      </c>
      <c r="BT1253">
        <v>0</v>
      </c>
      <c r="BU1253">
        <v>0</v>
      </c>
      <c r="BV1253" t="s">
        <v>134</v>
      </c>
      <c r="BX1253" t="s">
        <v>2154</v>
      </c>
      <c r="BY1253" t="s">
        <v>8534</v>
      </c>
      <c r="CA1253" t="s">
        <v>1650</v>
      </c>
      <c r="CB1253" t="s">
        <v>154</v>
      </c>
      <c r="CC1253" s="4" t="str">
        <f>"32955"</f>
        <v>32955</v>
      </c>
      <c r="CD1253" t="s">
        <v>1651</v>
      </c>
      <c r="CE1253" t="s">
        <v>1652</v>
      </c>
      <c r="CF1253" s="6">
        <v>12</v>
      </c>
      <c r="CG1253" s="6">
        <v>12</v>
      </c>
      <c r="CH1253" s="6">
        <v>18</v>
      </c>
      <c r="CI1253" s="6">
        <v>18</v>
      </c>
      <c r="CJ1253" t="s">
        <v>137</v>
      </c>
      <c r="CK1253" t="s">
        <v>8539</v>
      </c>
      <c r="CL1253" t="s">
        <v>8540</v>
      </c>
      <c r="CO1253" t="s">
        <v>138</v>
      </c>
      <c r="CP1253" t="s">
        <v>134</v>
      </c>
      <c r="CQ1253" t="s">
        <v>134</v>
      </c>
      <c r="CR1253" t="s">
        <v>114</v>
      </c>
      <c r="CS1253" t="s">
        <v>114</v>
      </c>
      <c r="CT1253" t="s">
        <v>114</v>
      </c>
      <c r="CU1253" t="s">
        <v>114</v>
      </c>
      <c r="CV1253" s="2" t="s">
        <v>8541</v>
      </c>
      <c r="CW1253" s="5" t="str">
        <f>"+19549372330"</f>
        <v>+19549372330</v>
      </c>
      <c r="CX1253" t="s">
        <v>8542</v>
      </c>
      <c r="CY1253" t="s">
        <v>8543</v>
      </c>
      <c r="CZ1253" t="s">
        <v>139</v>
      </c>
      <c r="DA1253" t="s">
        <v>134</v>
      </c>
      <c r="DB1253" t="s">
        <v>134</v>
      </c>
      <c r="DC1253" t="s">
        <v>114</v>
      </c>
      <c r="DD1253" t="s">
        <v>134</v>
      </c>
    </row>
    <row r="1254" spans="1:113" ht="15" customHeight="1" x14ac:dyDescent="0.25">
      <c r="A1254" t="s">
        <v>13744</v>
      </c>
      <c r="B1254" t="s">
        <v>113</v>
      </c>
      <c r="C1254" s="1">
        <v>44797.777231018517</v>
      </c>
      <c r="D1254" s="1">
        <v>44853</v>
      </c>
      <c r="E1254" t="s">
        <v>134</v>
      </c>
      <c r="F1254" t="s">
        <v>13745</v>
      </c>
      <c r="G1254" t="str">
        <f>"39-2021.00"</f>
        <v>39-2021.00</v>
      </c>
      <c r="H1254" t="s">
        <v>615</v>
      </c>
      <c r="I1254">
        <v>1</v>
      </c>
      <c r="K1254" s="1">
        <v>44872</v>
      </c>
      <c r="L1254" s="1">
        <v>45138</v>
      </c>
      <c r="O1254" t="s">
        <v>3130</v>
      </c>
      <c r="P1254" t="s">
        <v>13746</v>
      </c>
      <c r="R1254" t="s">
        <v>13747</v>
      </c>
      <c r="T1254" t="s">
        <v>13748</v>
      </c>
      <c r="U1254" t="s">
        <v>281</v>
      </c>
      <c r="V1254" s="4" t="str">
        <f>"01537"</f>
        <v>01537</v>
      </c>
      <c r="W1254" t="s">
        <v>120</v>
      </c>
      <c r="Y1254" s="5">
        <v>15089876141</v>
      </c>
      <c r="AA1254">
        <v>71121</v>
      </c>
      <c r="AB1254" t="s">
        <v>13749</v>
      </c>
      <c r="AC1254" t="s">
        <v>13750</v>
      </c>
      <c r="AE1254" t="s">
        <v>7132</v>
      </c>
      <c r="AF1254" t="s">
        <v>13747</v>
      </c>
      <c r="AH1254" t="s">
        <v>13748</v>
      </c>
      <c r="AI1254" t="s">
        <v>281</v>
      </c>
      <c r="AJ1254" s="4" t="str">
        <f>"01537"</f>
        <v>01537</v>
      </c>
      <c r="AK1254" t="s">
        <v>120</v>
      </c>
      <c r="AM1254" s="5">
        <v>15089876141</v>
      </c>
      <c r="AO1254" t="s">
        <v>13751</v>
      </c>
      <c r="AX1254" s="4" t="str">
        <f>""</f>
        <v/>
      </c>
      <c r="BG1254" t="s">
        <v>281</v>
      </c>
      <c r="BH1254" s="1">
        <v>44796.833333333336</v>
      </c>
      <c r="BI1254">
        <v>40</v>
      </c>
      <c r="BJ1254">
        <v>8</v>
      </c>
      <c r="BK1254">
        <v>0</v>
      </c>
      <c r="BL1254">
        <v>8</v>
      </c>
      <c r="BM1254">
        <v>8</v>
      </c>
      <c r="BN1254">
        <v>0</v>
      </c>
      <c r="BO1254">
        <v>8</v>
      </c>
      <c r="BP1254">
        <v>8</v>
      </c>
      <c r="BQ1254" t="str">
        <f>"8:00 AM"</f>
        <v>8:00 AM</v>
      </c>
      <c r="BR1254" t="str">
        <f>"5:00 PM"</f>
        <v>5:00 PM</v>
      </c>
      <c r="BS1254" t="s">
        <v>295</v>
      </c>
      <c r="BT1254">
        <v>0</v>
      </c>
      <c r="BU1254">
        <v>12</v>
      </c>
      <c r="BV1254" t="s">
        <v>134</v>
      </c>
      <c r="BX1254" t="s">
        <v>13752</v>
      </c>
      <c r="BY1254" t="s">
        <v>13747</v>
      </c>
      <c r="CA1254" t="s">
        <v>13753</v>
      </c>
      <c r="CB1254" t="s">
        <v>281</v>
      </c>
      <c r="CC1254" s="4" t="str">
        <f>"01527"</f>
        <v>01527</v>
      </c>
      <c r="CD1254" t="s">
        <v>11690</v>
      </c>
      <c r="CE1254" t="s">
        <v>11691</v>
      </c>
      <c r="CF1254" s="6">
        <v>16.5</v>
      </c>
      <c r="CG1254" s="6">
        <v>17</v>
      </c>
      <c r="CJ1254" t="s">
        <v>137</v>
      </c>
      <c r="CL1254" t="s">
        <v>13754</v>
      </c>
      <c r="CO1254" t="s">
        <v>138</v>
      </c>
      <c r="CP1254" t="s">
        <v>134</v>
      </c>
      <c r="CQ1254" t="s">
        <v>134</v>
      </c>
      <c r="CR1254" t="s">
        <v>134</v>
      </c>
      <c r="CS1254" t="s">
        <v>134</v>
      </c>
      <c r="CT1254" t="s">
        <v>114</v>
      </c>
      <c r="CU1254" t="s">
        <v>114</v>
      </c>
      <c r="CV1254" t="s">
        <v>13755</v>
      </c>
      <c r="CW1254" s="5" t="str">
        <f>"+15089876141"</f>
        <v>+15089876141</v>
      </c>
      <c r="CX1254" t="s">
        <v>138</v>
      </c>
      <c r="CY1254" t="s">
        <v>13756</v>
      </c>
      <c r="CZ1254" t="s">
        <v>139</v>
      </c>
      <c r="DA1254" t="s">
        <v>134</v>
      </c>
      <c r="DB1254" t="s">
        <v>134</v>
      </c>
      <c r="DC1254" t="s">
        <v>114</v>
      </c>
      <c r="DD1254" t="s">
        <v>134</v>
      </c>
    </row>
    <row r="1255" spans="1:113" ht="15" customHeight="1" x14ac:dyDescent="0.25">
      <c r="A1255" t="s">
        <v>11354</v>
      </c>
      <c r="B1255" t="s">
        <v>113</v>
      </c>
      <c r="C1255" s="1">
        <v>44789.493035300926</v>
      </c>
      <c r="D1255" s="1">
        <v>44853</v>
      </c>
      <c r="E1255" t="s">
        <v>134</v>
      </c>
      <c r="F1255" t="s">
        <v>11355</v>
      </c>
      <c r="G1255" t="str">
        <f>"51-9198.00"</f>
        <v>51-9198.00</v>
      </c>
      <c r="H1255" t="s">
        <v>277</v>
      </c>
      <c r="I1255">
        <v>10</v>
      </c>
      <c r="K1255" s="1">
        <v>44864</v>
      </c>
      <c r="L1255" s="1">
        <v>45046</v>
      </c>
      <c r="O1255" t="s">
        <v>199</v>
      </c>
      <c r="P1255" t="s">
        <v>11356</v>
      </c>
      <c r="R1255" t="s">
        <v>11357</v>
      </c>
      <c r="S1255" t="s">
        <v>6941</v>
      </c>
      <c r="T1255" t="s">
        <v>6940</v>
      </c>
      <c r="U1255" t="s">
        <v>184</v>
      </c>
      <c r="V1255" s="4" t="str">
        <f>"60016"</f>
        <v>60016</v>
      </c>
      <c r="W1255" t="s">
        <v>120</v>
      </c>
      <c r="Y1255" s="5">
        <v>12243613435</v>
      </c>
      <c r="AA1255">
        <v>488490</v>
      </c>
      <c r="AB1255" t="s">
        <v>11358</v>
      </c>
      <c r="AC1255" t="s">
        <v>2077</v>
      </c>
      <c r="AE1255" t="s">
        <v>1855</v>
      </c>
      <c r="AF1255" t="s">
        <v>11359</v>
      </c>
      <c r="AG1255" t="s">
        <v>6941</v>
      </c>
      <c r="AH1255" t="s">
        <v>11360</v>
      </c>
      <c r="AI1255" t="s">
        <v>184</v>
      </c>
      <c r="AJ1255" s="4" t="str">
        <f>"60016"</f>
        <v>60016</v>
      </c>
      <c r="AK1255" t="s">
        <v>120</v>
      </c>
      <c r="AM1255" s="5">
        <v>12243613435</v>
      </c>
      <c r="AO1255" t="s">
        <v>11361</v>
      </c>
      <c r="AP1255" t="s">
        <v>122</v>
      </c>
      <c r="AQ1255" t="s">
        <v>3603</v>
      </c>
      <c r="AR1255" t="s">
        <v>2534</v>
      </c>
      <c r="AS1255" t="s">
        <v>2026</v>
      </c>
      <c r="AT1255" t="s">
        <v>3604</v>
      </c>
      <c r="AU1255" t="s">
        <v>5658</v>
      </c>
      <c r="AV1255" t="s">
        <v>2004</v>
      </c>
      <c r="AW1255" t="s">
        <v>184</v>
      </c>
      <c r="AX1255" s="4" t="str">
        <f>"60641"</f>
        <v>60641</v>
      </c>
      <c r="AY1255" t="s">
        <v>120</v>
      </c>
      <c r="BA1255" s="5">
        <v>17737751717</v>
      </c>
      <c r="BC1255" t="s">
        <v>3606</v>
      </c>
      <c r="BD1255" t="s">
        <v>3607</v>
      </c>
      <c r="BE1255" t="s">
        <v>1414</v>
      </c>
      <c r="BF1255" t="s">
        <v>3608</v>
      </c>
      <c r="BG1255" t="s">
        <v>184</v>
      </c>
      <c r="BH1255" s="1">
        <v>44788.833333333336</v>
      </c>
      <c r="BI1255">
        <v>40</v>
      </c>
      <c r="BJ1255">
        <v>0</v>
      </c>
      <c r="BK1255">
        <v>8</v>
      </c>
      <c r="BL1255">
        <v>8</v>
      </c>
      <c r="BM1255">
        <v>8</v>
      </c>
      <c r="BN1255">
        <v>8</v>
      </c>
      <c r="BO1255">
        <v>8</v>
      </c>
      <c r="BP1255">
        <v>0</v>
      </c>
      <c r="BQ1255" t="str">
        <f>"9:00 AM"</f>
        <v>9:00 AM</v>
      </c>
      <c r="BR1255" t="str">
        <f>"5:00 PM"</f>
        <v>5:00 PM</v>
      </c>
      <c r="BS1255" t="s">
        <v>133</v>
      </c>
      <c r="BT1255">
        <v>0</v>
      </c>
      <c r="BU1255">
        <v>1</v>
      </c>
      <c r="BV1255" t="s">
        <v>134</v>
      </c>
      <c r="BX1255" t="s">
        <v>133</v>
      </c>
      <c r="BY1255" t="s">
        <v>11357</v>
      </c>
      <c r="BZ1255" t="s">
        <v>6941</v>
      </c>
      <c r="CA1255" t="s">
        <v>6940</v>
      </c>
      <c r="CB1255" t="s">
        <v>184</v>
      </c>
      <c r="CC1255" s="4" t="str">
        <f>"60016"</f>
        <v>60016</v>
      </c>
      <c r="CD1255" t="s">
        <v>1595</v>
      </c>
      <c r="CE1255" t="s">
        <v>1556</v>
      </c>
      <c r="CF1255" s="6">
        <v>17.13</v>
      </c>
      <c r="CG1255" s="6">
        <v>17.13</v>
      </c>
      <c r="CJ1255" t="s">
        <v>137</v>
      </c>
      <c r="CL1255" t="s">
        <v>11362</v>
      </c>
      <c r="CO1255" t="s">
        <v>138</v>
      </c>
      <c r="CP1255" t="s">
        <v>114</v>
      </c>
      <c r="CQ1255" t="s">
        <v>134</v>
      </c>
      <c r="CR1255" t="s">
        <v>134</v>
      </c>
      <c r="CS1255" t="s">
        <v>134</v>
      </c>
      <c r="CT1255" t="s">
        <v>114</v>
      </c>
      <c r="CU1255" t="s">
        <v>134</v>
      </c>
      <c r="CV1255" t="s">
        <v>3774</v>
      </c>
      <c r="CW1255" s="5" t="str">
        <f>"+12243613435"</f>
        <v>+12243613435</v>
      </c>
      <c r="CX1255" t="s">
        <v>11361</v>
      </c>
      <c r="CY1255" t="s">
        <v>138</v>
      </c>
      <c r="CZ1255" t="s">
        <v>139</v>
      </c>
      <c r="DA1255" t="s">
        <v>134</v>
      </c>
      <c r="DB1255" t="s">
        <v>134</v>
      </c>
      <c r="DC1255" t="s">
        <v>114</v>
      </c>
      <c r="DD1255" t="s">
        <v>134</v>
      </c>
    </row>
    <row r="1256" spans="1:113" ht="15" customHeight="1" x14ac:dyDescent="0.25">
      <c r="A1256" t="s">
        <v>3581</v>
      </c>
      <c r="B1256" t="s">
        <v>113</v>
      </c>
      <c r="C1256" s="1">
        <v>44826.553304166664</v>
      </c>
      <c r="D1256" s="1">
        <v>44852</v>
      </c>
      <c r="E1256" t="s">
        <v>134</v>
      </c>
      <c r="F1256" t="s">
        <v>3582</v>
      </c>
      <c r="G1256" t="str">
        <f>"31-1122.00"</f>
        <v>31-1122.00</v>
      </c>
      <c r="H1256" t="s">
        <v>3583</v>
      </c>
      <c r="I1256">
        <v>4</v>
      </c>
      <c r="K1256" s="1">
        <v>44905</v>
      </c>
      <c r="L1256" s="1">
        <v>45170</v>
      </c>
      <c r="O1256" t="s">
        <v>168</v>
      </c>
      <c r="P1256" t="s">
        <v>3584</v>
      </c>
      <c r="Q1256" t="s">
        <v>3584</v>
      </c>
      <c r="R1256" t="s">
        <v>3585</v>
      </c>
      <c r="S1256" t="s">
        <v>3586</v>
      </c>
      <c r="T1256" t="s">
        <v>1504</v>
      </c>
      <c r="U1256" t="s">
        <v>154</v>
      </c>
      <c r="V1256" s="4" t="str">
        <f>"33901"</f>
        <v>33901</v>
      </c>
      <c r="W1256" t="s">
        <v>120</v>
      </c>
      <c r="X1256" t="s">
        <v>2249</v>
      </c>
      <c r="Y1256" s="5">
        <v>12398720718</v>
      </c>
      <c r="AA1256">
        <v>62321</v>
      </c>
      <c r="AB1256" t="s">
        <v>3587</v>
      </c>
      <c r="AC1256" t="s">
        <v>3588</v>
      </c>
      <c r="AE1256" t="s">
        <v>3589</v>
      </c>
      <c r="AF1256" t="s">
        <v>3585</v>
      </c>
      <c r="AG1256" t="s">
        <v>3586</v>
      </c>
      <c r="AH1256" t="s">
        <v>1504</v>
      </c>
      <c r="AI1256" t="s">
        <v>154</v>
      </c>
      <c r="AJ1256" s="4" t="str">
        <f>"33901"</f>
        <v>33901</v>
      </c>
      <c r="AK1256" t="s">
        <v>120</v>
      </c>
      <c r="AL1256" t="s">
        <v>3590</v>
      </c>
      <c r="AM1256" s="5">
        <v>12398720718</v>
      </c>
      <c r="AO1256" t="s">
        <v>3591</v>
      </c>
      <c r="AX1256" s="4" t="str">
        <f>""</f>
        <v/>
      </c>
      <c r="BG1256" t="s">
        <v>154</v>
      </c>
      <c r="BH1256" s="1">
        <v>44825.833333333336</v>
      </c>
      <c r="BI1256">
        <v>40</v>
      </c>
      <c r="BJ1256">
        <v>0</v>
      </c>
      <c r="BK1256">
        <v>8</v>
      </c>
      <c r="BL1256">
        <v>8</v>
      </c>
      <c r="BM1256">
        <v>8</v>
      </c>
      <c r="BN1256">
        <v>8</v>
      </c>
      <c r="BO1256">
        <v>8</v>
      </c>
      <c r="BP1256">
        <v>0</v>
      </c>
      <c r="BQ1256" t="str">
        <f>"9:00 AM"</f>
        <v>9:00 AM</v>
      </c>
      <c r="BR1256" t="str">
        <f>"5:00 PM"</f>
        <v>5:00 PM</v>
      </c>
      <c r="BS1256" t="s">
        <v>133</v>
      </c>
      <c r="BT1256">
        <v>0</v>
      </c>
      <c r="BU1256">
        <v>0</v>
      </c>
      <c r="BV1256" t="s">
        <v>134</v>
      </c>
      <c r="BX1256" t="s">
        <v>133</v>
      </c>
      <c r="BY1256" t="s">
        <v>3592</v>
      </c>
      <c r="CA1256" t="s">
        <v>3593</v>
      </c>
      <c r="CB1256" t="s">
        <v>154</v>
      </c>
      <c r="CC1256" s="4" t="str">
        <f>"33976"</f>
        <v>33976</v>
      </c>
      <c r="CD1256" t="s">
        <v>1505</v>
      </c>
      <c r="CE1256" t="s">
        <v>1506</v>
      </c>
      <c r="CF1256" s="6">
        <v>14.42</v>
      </c>
      <c r="CJ1256" t="s">
        <v>137</v>
      </c>
      <c r="CL1256" t="s">
        <v>3594</v>
      </c>
      <c r="CO1256" t="s">
        <v>138</v>
      </c>
      <c r="CP1256" t="s">
        <v>134</v>
      </c>
      <c r="CQ1256" t="s">
        <v>114</v>
      </c>
      <c r="CR1256" t="s">
        <v>134</v>
      </c>
      <c r="CS1256" t="s">
        <v>114</v>
      </c>
      <c r="CT1256" t="s">
        <v>114</v>
      </c>
      <c r="CU1256" t="s">
        <v>114</v>
      </c>
      <c r="CV1256" t="s">
        <v>3595</v>
      </c>
      <c r="CW1256" s="5" t="str">
        <f>"+12398720718"</f>
        <v>+12398720718</v>
      </c>
      <c r="CX1256" t="s">
        <v>3591</v>
      </c>
      <c r="CY1256" t="s">
        <v>3591</v>
      </c>
      <c r="CZ1256" t="s">
        <v>139</v>
      </c>
      <c r="DA1256" t="s">
        <v>134</v>
      </c>
      <c r="DB1256" t="s">
        <v>134</v>
      </c>
      <c r="DC1256" t="s">
        <v>114</v>
      </c>
      <c r="DD1256" t="s">
        <v>134</v>
      </c>
    </row>
    <row r="1257" spans="1:113" ht="15" customHeight="1" x14ac:dyDescent="0.25">
      <c r="A1257" t="s">
        <v>13794</v>
      </c>
      <c r="B1257" t="s">
        <v>113</v>
      </c>
      <c r="C1257" s="1">
        <v>44825.0561087963</v>
      </c>
      <c r="D1257" s="1">
        <v>44852</v>
      </c>
      <c r="E1257" t="s">
        <v>114</v>
      </c>
      <c r="F1257" t="s">
        <v>3873</v>
      </c>
      <c r="G1257" t="str">
        <f>"43-6014.00"</f>
        <v>43-6014.00</v>
      </c>
      <c r="H1257" t="s">
        <v>3874</v>
      </c>
      <c r="I1257">
        <v>20</v>
      </c>
      <c r="K1257" s="1">
        <v>44935</v>
      </c>
      <c r="L1257" s="1">
        <v>45198</v>
      </c>
      <c r="O1257" t="s">
        <v>199</v>
      </c>
      <c r="P1257" t="s">
        <v>3875</v>
      </c>
      <c r="R1257" t="s">
        <v>3876</v>
      </c>
      <c r="T1257" t="s">
        <v>3877</v>
      </c>
      <c r="U1257" t="s">
        <v>154</v>
      </c>
      <c r="V1257" s="4" t="str">
        <f>"33409"</f>
        <v>33409</v>
      </c>
      <c r="W1257" t="s">
        <v>120</v>
      </c>
      <c r="Y1257" s="5">
        <v>18443739635</v>
      </c>
      <c r="AA1257">
        <v>561410</v>
      </c>
      <c r="AB1257" t="s">
        <v>3878</v>
      </c>
      <c r="AC1257" t="s">
        <v>3879</v>
      </c>
      <c r="AD1257" t="s">
        <v>1020</v>
      </c>
      <c r="AE1257" t="s">
        <v>1150</v>
      </c>
      <c r="AF1257" t="s">
        <v>3876</v>
      </c>
      <c r="AH1257" t="s">
        <v>3877</v>
      </c>
      <c r="AI1257" t="s">
        <v>154</v>
      </c>
      <c r="AJ1257" s="4" t="str">
        <f>"33409"</f>
        <v>33409</v>
      </c>
      <c r="AK1257" t="s">
        <v>120</v>
      </c>
      <c r="AM1257" s="5">
        <v>18443739635</v>
      </c>
      <c r="AO1257" t="s">
        <v>3880</v>
      </c>
      <c r="AP1257" t="s">
        <v>256</v>
      </c>
      <c r="AQ1257" t="s">
        <v>3878</v>
      </c>
      <c r="AR1257" t="s">
        <v>3879</v>
      </c>
      <c r="AS1257" t="s">
        <v>1020</v>
      </c>
      <c r="AT1257" t="s">
        <v>3876</v>
      </c>
      <c r="AV1257" t="s">
        <v>3877</v>
      </c>
      <c r="AW1257" t="s">
        <v>154</v>
      </c>
      <c r="AX1257" s="4" t="str">
        <f>"33409"</f>
        <v>33409</v>
      </c>
      <c r="AY1257" t="s">
        <v>120</v>
      </c>
      <c r="BA1257" s="5">
        <v>18443739635</v>
      </c>
      <c r="BC1257" t="s">
        <v>3880</v>
      </c>
      <c r="BD1257" t="s">
        <v>3875</v>
      </c>
      <c r="BG1257" t="s">
        <v>154</v>
      </c>
      <c r="BH1257" s="1">
        <v>44934.791666666664</v>
      </c>
      <c r="BI1257">
        <v>40</v>
      </c>
      <c r="BJ1257">
        <v>0</v>
      </c>
      <c r="BK1257">
        <v>8</v>
      </c>
      <c r="BL1257">
        <v>8</v>
      </c>
      <c r="BM1257">
        <v>8</v>
      </c>
      <c r="BN1257">
        <v>8</v>
      </c>
      <c r="BO1257">
        <v>8</v>
      </c>
      <c r="BP1257">
        <v>0</v>
      </c>
      <c r="BQ1257" t="str">
        <f>"9:00 AM"</f>
        <v>9:00 AM</v>
      </c>
      <c r="BR1257" t="str">
        <f>"5:00 PM"</f>
        <v>5:00 PM</v>
      </c>
      <c r="BS1257" t="s">
        <v>295</v>
      </c>
      <c r="BT1257">
        <v>1</v>
      </c>
      <c r="BU1257">
        <v>1</v>
      </c>
      <c r="BV1257" t="s">
        <v>134</v>
      </c>
      <c r="BX1257" t="s">
        <v>13795</v>
      </c>
      <c r="BY1257" t="s">
        <v>3876</v>
      </c>
      <c r="CA1257" t="s">
        <v>3877</v>
      </c>
      <c r="CB1257" t="s">
        <v>154</v>
      </c>
      <c r="CC1257" s="4" t="str">
        <f>"33409"</f>
        <v>33409</v>
      </c>
      <c r="CD1257" t="s">
        <v>3882</v>
      </c>
      <c r="CE1257" t="s">
        <v>1742</v>
      </c>
      <c r="CF1257" s="6">
        <v>15</v>
      </c>
      <c r="CG1257" s="6">
        <v>19</v>
      </c>
      <c r="CJ1257" t="s">
        <v>137</v>
      </c>
      <c r="CL1257" t="s">
        <v>3883</v>
      </c>
      <c r="CO1257" t="s">
        <v>114</v>
      </c>
      <c r="CP1257" t="s">
        <v>134</v>
      </c>
      <c r="CQ1257" t="s">
        <v>134</v>
      </c>
      <c r="CR1257" t="s">
        <v>134</v>
      </c>
      <c r="CS1257" t="s">
        <v>134</v>
      </c>
      <c r="CT1257" t="s">
        <v>114</v>
      </c>
      <c r="CU1257" t="s">
        <v>114</v>
      </c>
      <c r="CV1257" t="s">
        <v>13796</v>
      </c>
      <c r="CW1257" s="5" t="str">
        <f>"+18443739635"</f>
        <v>+18443739635</v>
      </c>
      <c r="CX1257" t="s">
        <v>3880</v>
      </c>
      <c r="CY1257" t="s">
        <v>138</v>
      </c>
      <c r="CZ1257" t="s">
        <v>139</v>
      </c>
      <c r="DA1257" t="s">
        <v>134</v>
      </c>
      <c r="DB1257" t="s">
        <v>134</v>
      </c>
      <c r="DC1257" t="s">
        <v>114</v>
      </c>
      <c r="DD1257" t="s">
        <v>134</v>
      </c>
    </row>
    <row r="1258" spans="1:113" ht="15" customHeight="1" x14ac:dyDescent="0.25">
      <c r="A1258" t="s">
        <v>16614</v>
      </c>
      <c r="B1258" t="s">
        <v>113</v>
      </c>
      <c r="C1258" s="1">
        <v>44819.726166898145</v>
      </c>
      <c r="D1258" s="1">
        <v>44852</v>
      </c>
      <c r="E1258" t="s">
        <v>114</v>
      </c>
      <c r="F1258" t="s">
        <v>16615</v>
      </c>
      <c r="G1258" t="str">
        <f>"53-7061.00"</f>
        <v>53-7061.00</v>
      </c>
      <c r="H1258" t="s">
        <v>4602</v>
      </c>
      <c r="I1258">
        <v>3</v>
      </c>
      <c r="K1258" s="1">
        <v>44896</v>
      </c>
      <c r="L1258" s="1">
        <v>45170</v>
      </c>
      <c r="O1258" t="s">
        <v>199</v>
      </c>
      <c r="P1258" t="s">
        <v>16616</v>
      </c>
      <c r="R1258" t="s">
        <v>16617</v>
      </c>
      <c r="T1258" t="s">
        <v>16618</v>
      </c>
      <c r="U1258" t="s">
        <v>154</v>
      </c>
      <c r="V1258" s="4" t="str">
        <f>"34994"</f>
        <v>34994</v>
      </c>
      <c r="W1258" t="s">
        <v>120</v>
      </c>
      <c r="Y1258" s="5">
        <v>19545474899</v>
      </c>
      <c r="AA1258">
        <v>811490</v>
      </c>
      <c r="AB1258" t="s">
        <v>16619</v>
      </c>
      <c r="AC1258" t="s">
        <v>16620</v>
      </c>
      <c r="AD1258" t="s">
        <v>16621</v>
      </c>
      <c r="AE1258" t="s">
        <v>7132</v>
      </c>
      <c r="AF1258" t="s">
        <v>16617</v>
      </c>
      <c r="AH1258" t="s">
        <v>16618</v>
      </c>
      <c r="AI1258" t="s">
        <v>154</v>
      </c>
      <c r="AJ1258" s="4" t="str">
        <f>"34994"</f>
        <v>34994</v>
      </c>
      <c r="AK1258" t="s">
        <v>120</v>
      </c>
      <c r="AM1258" s="5">
        <v>19545474899</v>
      </c>
      <c r="AO1258" t="s">
        <v>16622</v>
      </c>
      <c r="AX1258" s="4" t="str">
        <f>""</f>
        <v/>
      </c>
      <c r="BG1258" t="s">
        <v>154</v>
      </c>
      <c r="BH1258" s="1">
        <v>44762.833333333336</v>
      </c>
      <c r="BI1258">
        <v>40</v>
      </c>
      <c r="BJ1258">
        <v>10</v>
      </c>
      <c r="BK1258">
        <v>10</v>
      </c>
      <c r="BL1258">
        <v>0</v>
      </c>
      <c r="BM1258">
        <v>0</v>
      </c>
      <c r="BN1258">
        <v>0</v>
      </c>
      <c r="BO1258">
        <v>10</v>
      </c>
      <c r="BP1258">
        <v>10</v>
      </c>
      <c r="BQ1258" t="str">
        <f>"4:00 AM"</f>
        <v>4:00 AM</v>
      </c>
      <c r="BR1258" t="str">
        <f>"2:00 PM"</f>
        <v>2:00 PM</v>
      </c>
      <c r="BS1258" t="s">
        <v>133</v>
      </c>
      <c r="BT1258">
        <v>0</v>
      </c>
      <c r="BU1258">
        <v>0</v>
      </c>
      <c r="BV1258" t="s">
        <v>134</v>
      </c>
      <c r="BX1258" t="s">
        <v>15605</v>
      </c>
      <c r="BY1258" t="s">
        <v>16623</v>
      </c>
      <c r="CA1258" t="s">
        <v>16618</v>
      </c>
      <c r="CB1258" t="s">
        <v>154</v>
      </c>
      <c r="CC1258" s="4" t="str">
        <f>"34997"</f>
        <v>34997</v>
      </c>
      <c r="CD1258" t="s">
        <v>2821</v>
      </c>
      <c r="CE1258" t="s">
        <v>3971</v>
      </c>
      <c r="CF1258" s="6">
        <v>12.9</v>
      </c>
      <c r="CG1258" s="6">
        <v>12.91</v>
      </c>
      <c r="CJ1258" t="s">
        <v>137</v>
      </c>
      <c r="CL1258" t="s">
        <v>16624</v>
      </c>
      <c r="CO1258" t="s">
        <v>138</v>
      </c>
      <c r="CP1258" t="s">
        <v>134</v>
      </c>
      <c r="CQ1258" t="s">
        <v>134</v>
      </c>
      <c r="CR1258" t="s">
        <v>134</v>
      </c>
      <c r="CS1258" t="s">
        <v>134</v>
      </c>
      <c r="CT1258" t="s">
        <v>134</v>
      </c>
      <c r="CU1258" t="s">
        <v>134</v>
      </c>
      <c r="CV1258" t="s">
        <v>138</v>
      </c>
      <c r="CW1258" s="5" t="str">
        <f>"+14073019589"</f>
        <v>+14073019589</v>
      </c>
      <c r="CX1258" t="s">
        <v>16625</v>
      </c>
      <c r="CY1258" t="s">
        <v>138</v>
      </c>
      <c r="CZ1258" t="s">
        <v>139</v>
      </c>
      <c r="DA1258" t="s">
        <v>134</v>
      </c>
      <c r="DB1258" t="s">
        <v>134</v>
      </c>
      <c r="DC1258" t="s">
        <v>114</v>
      </c>
      <c r="DD1258" t="s">
        <v>134</v>
      </c>
    </row>
    <row r="1259" spans="1:113" ht="15" customHeight="1" x14ac:dyDescent="0.25">
      <c r="A1259" t="s">
        <v>14613</v>
      </c>
      <c r="B1259" t="s">
        <v>113</v>
      </c>
      <c r="C1259" s="1">
        <v>44819.583069328706</v>
      </c>
      <c r="D1259" s="1">
        <v>44852</v>
      </c>
      <c r="E1259" t="s">
        <v>134</v>
      </c>
      <c r="F1259" t="s">
        <v>14614</v>
      </c>
      <c r="G1259" t="str">
        <f>"35-2021.00"</f>
        <v>35-2021.00</v>
      </c>
      <c r="H1259" t="s">
        <v>718</v>
      </c>
      <c r="I1259">
        <v>10</v>
      </c>
      <c r="K1259" s="1">
        <v>44895</v>
      </c>
      <c r="L1259" s="1">
        <v>45189</v>
      </c>
      <c r="O1259" t="s">
        <v>117</v>
      </c>
      <c r="P1259" t="s">
        <v>14615</v>
      </c>
      <c r="Q1259" t="s">
        <v>14616</v>
      </c>
      <c r="R1259" t="s">
        <v>14617</v>
      </c>
      <c r="T1259" t="s">
        <v>14618</v>
      </c>
      <c r="U1259" t="s">
        <v>444</v>
      </c>
      <c r="V1259" s="4" t="str">
        <f>"91801"</f>
        <v>91801</v>
      </c>
      <c r="W1259" t="s">
        <v>120</v>
      </c>
      <c r="Y1259" s="5">
        <v>16267661512</v>
      </c>
      <c r="AA1259">
        <v>722515</v>
      </c>
      <c r="AB1259" t="s">
        <v>14619</v>
      </c>
      <c r="AC1259" t="s">
        <v>4248</v>
      </c>
      <c r="AE1259" t="s">
        <v>342</v>
      </c>
      <c r="AF1259" t="s">
        <v>14617</v>
      </c>
      <c r="AH1259" t="s">
        <v>14618</v>
      </c>
      <c r="AI1259" t="s">
        <v>444</v>
      </c>
      <c r="AJ1259" s="4" t="str">
        <f>"91702"</f>
        <v>91702</v>
      </c>
      <c r="AK1259" t="s">
        <v>120</v>
      </c>
      <c r="AM1259" s="5">
        <v>16267661512</v>
      </c>
      <c r="AO1259" t="s">
        <v>14620</v>
      </c>
      <c r="AP1259" t="s">
        <v>122</v>
      </c>
      <c r="AQ1259" t="s">
        <v>1815</v>
      </c>
      <c r="AR1259" t="s">
        <v>1614</v>
      </c>
      <c r="AS1259" t="s">
        <v>1649</v>
      </c>
      <c r="AT1259" t="s">
        <v>14621</v>
      </c>
      <c r="AU1259" t="s">
        <v>14622</v>
      </c>
      <c r="AV1259" t="s">
        <v>14623</v>
      </c>
      <c r="AW1259" t="s">
        <v>444</v>
      </c>
      <c r="AX1259" s="4" t="str">
        <f>"92705"</f>
        <v>92705</v>
      </c>
      <c r="AY1259" t="s">
        <v>120</v>
      </c>
      <c r="BA1259" s="5">
        <v>17145418000</v>
      </c>
      <c r="BC1259" t="s">
        <v>14624</v>
      </c>
      <c r="BD1259" t="s">
        <v>14625</v>
      </c>
      <c r="BE1259" t="s">
        <v>444</v>
      </c>
      <c r="BF1259" t="s">
        <v>1619</v>
      </c>
      <c r="BG1259" t="s">
        <v>444</v>
      </c>
      <c r="BH1259" s="1">
        <v>44811.833333333336</v>
      </c>
      <c r="BI1259">
        <v>40</v>
      </c>
      <c r="BJ1259">
        <v>6</v>
      </c>
      <c r="BK1259">
        <v>5</v>
      </c>
      <c r="BL1259">
        <v>5</v>
      </c>
      <c r="BM1259">
        <v>6</v>
      </c>
      <c r="BN1259">
        <v>6</v>
      </c>
      <c r="BO1259">
        <v>6</v>
      </c>
      <c r="BP1259">
        <v>6</v>
      </c>
      <c r="BQ1259" t="str">
        <f>"12:00 PM"</f>
        <v>12:00 PM</v>
      </c>
      <c r="BR1259" t="str">
        <f>"7:00 PM"</f>
        <v>7:00 PM</v>
      </c>
      <c r="BS1259" t="s">
        <v>295</v>
      </c>
      <c r="BT1259">
        <v>1</v>
      </c>
      <c r="BU1259">
        <v>2</v>
      </c>
      <c r="BV1259" t="s">
        <v>114</v>
      </c>
      <c r="BW1259">
        <v>1</v>
      </c>
      <c r="BX1259" t="s">
        <v>1897</v>
      </c>
      <c r="BY1259" t="s">
        <v>14626</v>
      </c>
      <c r="BZ1259" t="s">
        <v>14627</v>
      </c>
      <c r="CA1259" t="s">
        <v>14628</v>
      </c>
      <c r="CB1259" t="s">
        <v>444</v>
      </c>
      <c r="CC1259" s="4" t="str">
        <f>"91776"</f>
        <v>91776</v>
      </c>
      <c r="CD1259" t="s">
        <v>1766</v>
      </c>
      <c r="CE1259" t="s">
        <v>1767</v>
      </c>
      <c r="CF1259" s="6">
        <v>17</v>
      </c>
      <c r="CG1259" s="6">
        <v>17</v>
      </c>
      <c r="CJ1259" t="s">
        <v>137</v>
      </c>
      <c r="CL1259" t="s">
        <v>14629</v>
      </c>
      <c r="CO1259" t="s">
        <v>138</v>
      </c>
      <c r="CP1259" t="s">
        <v>114</v>
      </c>
      <c r="CQ1259" t="s">
        <v>134</v>
      </c>
      <c r="CR1259" t="s">
        <v>134</v>
      </c>
      <c r="CS1259" t="s">
        <v>114</v>
      </c>
      <c r="CT1259" t="s">
        <v>114</v>
      </c>
      <c r="CU1259" t="s">
        <v>114</v>
      </c>
      <c r="CV1259" t="s">
        <v>133</v>
      </c>
      <c r="CW1259" s="5" t="str">
        <f>"+16267661512"</f>
        <v>+16267661512</v>
      </c>
      <c r="CX1259" t="s">
        <v>14630</v>
      </c>
      <c r="CY1259" t="s">
        <v>14631</v>
      </c>
      <c r="CZ1259" t="s">
        <v>139</v>
      </c>
      <c r="DA1259" t="s">
        <v>134</v>
      </c>
      <c r="DB1259" t="s">
        <v>134</v>
      </c>
      <c r="DC1259" t="s">
        <v>114</v>
      </c>
      <c r="DD1259" t="s">
        <v>134</v>
      </c>
      <c r="DE1259" t="s">
        <v>1815</v>
      </c>
      <c r="DF1259" t="s">
        <v>1614</v>
      </c>
      <c r="DG1259" t="s">
        <v>4044</v>
      </c>
      <c r="DH1259" t="s">
        <v>14625</v>
      </c>
      <c r="DI1259" t="s">
        <v>14624</v>
      </c>
    </row>
    <row r="1260" spans="1:113" ht="15" customHeight="1" x14ac:dyDescent="0.25">
      <c r="A1260" t="s">
        <v>10704</v>
      </c>
      <c r="B1260" t="s">
        <v>113</v>
      </c>
      <c r="C1260" s="1">
        <v>44791.706690624997</v>
      </c>
      <c r="D1260" s="1">
        <v>44852</v>
      </c>
      <c r="E1260" t="s">
        <v>134</v>
      </c>
      <c r="F1260" t="s">
        <v>115</v>
      </c>
      <c r="G1260" t="str">
        <f>"37-2012.00"</f>
        <v>37-2012.00</v>
      </c>
      <c r="H1260" t="s">
        <v>116</v>
      </c>
      <c r="I1260">
        <v>6</v>
      </c>
      <c r="K1260" s="1">
        <v>44866</v>
      </c>
      <c r="L1260" s="1">
        <v>44926</v>
      </c>
      <c r="O1260" t="s">
        <v>117</v>
      </c>
      <c r="P1260" t="s">
        <v>8117</v>
      </c>
      <c r="Q1260" t="s">
        <v>8118</v>
      </c>
      <c r="R1260" t="s">
        <v>8119</v>
      </c>
      <c r="S1260" t="s">
        <v>8120</v>
      </c>
      <c r="T1260" t="s">
        <v>8121</v>
      </c>
      <c r="U1260" t="s">
        <v>511</v>
      </c>
      <c r="V1260" s="4" t="str">
        <f>"97124"</f>
        <v>97124</v>
      </c>
      <c r="W1260" t="s">
        <v>120</v>
      </c>
      <c r="Y1260" s="5">
        <v>18049351719</v>
      </c>
      <c r="AA1260">
        <v>72111</v>
      </c>
      <c r="AB1260" t="s">
        <v>1480</v>
      </c>
      <c r="AC1260" t="s">
        <v>5892</v>
      </c>
      <c r="AD1260" t="s">
        <v>1857</v>
      </c>
      <c r="AE1260" t="s">
        <v>342</v>
      </c>
      <c r="AF1260" t="s">
        <v>8119</v>
      </c>
      <c r="AG1260" t="s">
        <v>8120</v>
      </c>
      <c r="AH1260" t="s">
        <v>8121</v>
      </c>
      <c r="AI1260" t="s">
        <v>511</v>
      </c>
      <c r="AJ1260" s="4" t="str">
        <f>"97124"</f>
        <v>97124</v>
      </c>
      <c r="AK1260" t="s">
        <v>120</v>
      </c>
      <c r="AM1260" s="5">
        <v>18049351719</v>
      </c>
      <c r="AO1260" t="s">
        <v>138</v>
      </c>
      <c r="AP1260" t="s">
        <v>256</v>
      </c>
      <c r="AQ1260" t="s">
        <v>475</v>
      </c>
      <c r="AR1260" t="s">
        <v>476</v>
      </c>
      <c r="AT1260" t="s">
        <v>477</v>
      </c>
      <c r="AV1260" t="s">
        <v>478</v>
      </c>
      <c r="AW1260" t="s">
        <v>479</v>
      </c>
      <c r="AX1260" s="4" t="str">
        <f>"22903"</f>
        <v>22903</v>
      </c>
      <c r="AY1260" t="s">
        <v>120</v>
      </c>
      <c r="BA1260" s="5">
        <v>14342634300</v>
      </c>
      <c r="BC1260" t="s">
        <v>1549</v>
      </c>
      <c r="BD1260" t="s">
        <v>481</v>
      </c>
      <c r="BG1260" t="s">
        <v>511</v>
      </c>
      <c r="BH1260" s="1">
        <v>44790.833333333336</v>
      </c>
      <c r="BI1260">
        <v>40</v>
      </c>
      <c r="BJ1260">
        <v>0</v>
      </c>
      <c r="BK1260">
        <v>8</v>
      </c>
      <c r="BL1260">
        <v>8</v>
      </c>
      <c r="BM1260">
        <v>8</v>
      </c>
      <c r="BN1260">
        <v>8</v>
      </c>
      <c r="BO1260">
        <v>8</v>
      </c>
      <c r="BP1260">
        <v>0</v>
      </c>
      <c r="BQ1260" t="str">
        <f>"9:00 AM"</f>
        <v>9:00 AM</v>
      </c>
      <c r="BR1260" t="str">
        <f>"5:30 PM"</f>
        <v>5:30 PM</v>
      </c>
      <c r="BS1260" t="s">
        <v>133</v>
      </c>
      <c r="BT1260">
        <v>0</v>
      </c>
      <c r="BU1260">
        <v>0</v>
      </c>
      <c r="BV1260" t="s">
        <v>134</v>
      </c>
      <c r="BX1260" s="2" t="s">
        <v>10705</v>
      </c>
      <c r="BY1260" t="s">
        <v>8119</v>
      </c>
      <c r="CA1260" t="s">
        <v>8121</v>
      </c>
      <c r="CB1260" t="s">
        <v>511</v>
      </c>
      <c r="CC1260" s="4" t="str">
        <f>"97124"</f>
        <v>97124</v>
      </c>
      <c r="CD1260" t="s">
        <v>1345</v>
      </c>
      <c r="CE1260" t="s">
        <v>2137</v>
      </c>
      <c r="CF1260" s="6">
        <v>16.43</v>
      </c>
      <c r="CH1260" s="6">
        <v>24.65</v>
      </c>
      <c r="CJ1260" t="s">
        <v>137</v>
      </c>
      <c r="CL1260" t="s">
        <v>10706</v>
      </c>
      <c r="CO1260" t="s">
        <v>138</v>
      </c>
      <c r="CP1260" t="s">
        <v>134</v>
      </c>
      <c r="CQ1260" t="s">
        <v>114</v>
      </c>
      <c r="CR1260" t="s">
        <v>114</v>
      </c>
      <c r="CS1260" t="s">
        <v>114</v>
      </c>
      <c r="CT1260" t="s">
        <v>114</v>
      </c>
      <c r="CU1260" t="s">
        <v>114</v>
      </c>
      <c r="CV1260" t="s">
        <v>10707</v>
      </c>
      <c r="CW1260" s="5" t="str">
        <f>"N/A"</f>
        <v>N/A</v>
      </c>
      <c r="CX1260" t="s">
        <v>8122</v>
      </c>
      <c r="CY1260" t="s">
        <v>1680</v>
      </c>
      <c r="CZ1260" t="s">
        <v>139</v>
      </c>
      <c r="DA1260" t="s">
        <v>134</v>
      </c>
      <c r="DB1260" t="s">
        <v>114</v>
      </c>
      <c r="DC1260" t="s">
        <v>114</v>
      </c>
      <c r="DD1260" t="s">
        <v>134</v>
      </c>
      <c r="DE1260" t="s">
        <v>1551</v>
      </c>
      <c r="DF1260" t="s">
        <v>1377</v>
      </c>
      <c r="DH1260" t="s">
        <v>481</v>
      </c>
      <c r="DI1260" t="s">
        <v>1549</v>
      </c>
    </row>
    <row r="1261" spans="1:113" ht="15" customHeight="1" x14ac:dyDescent="0.25">
      <c r="A1261" t="s">
        <v>12957</v>
      </c>
      <c r="B1261" t="s">
        <v>113</v>
      </c>
      <c r="C1261" s="1">
        <v>44786.644829861114</v>
      </c>
      <c r="D1261" s="1">
        <v>44852</v>
      </c>
      <c r="E1261" t="s">
        <v>134</v>
      </c>
      <c r="F1261" t="s">
        <v>12958</v>
      </c>
      <c r="G1261" t="str">
        <f>"17-1012.00"</f>
        <v>17-1012.00</v>
      </c>
      <c r="H1261" t="s">
        <v>12959</v>
      </c>
      <c r="I1261">
        <v>2</v>
      </c>
      <c r="K1261" s="1">
        <v>44865</v>
      </c>
      <c r="L1261" s="1">
        <v>45016</v>
      </c>
      <c r="O1261" t="s">
        <v>199</v>
      </c>
      <c r="P1261" t="s">
        <v>12960</v>
      </c>
      <c r="R1261" t="s">
        <v>12961</v>
      </c>
      <c r="T1261" t="s">
        <v>11808</v>
      </c>
      <c r="U1261" t="s">
        <v>848</v>
      </c>
      <c r="V1261" s="4" t="str">
        <f>"11236"</f>
        <v>11236</v>
      </c>
      <c r="W1261" t="s">
        <v>120</v>
      </c>
      <c r="Y1261" s="5">
        <v>17186849886</v>
      </c>
      <c r="AA1261">
        <v>561730</v>
      </c>
      <c r="AB1261" t="s">
        <v>12962</v>
      </c>
      <c r="AC1261" t="s">
        <v>12963</v>
      </c>
      <c r="AD1261" t="s">
        <v>12964</v>
      </c>
      <c r="AE1261" t="s">
        <v>1516</v>
      </c>
      <c r="AF1261" t="s">
        <v>12961</v>
      </c>
      <c r="AH1261" t="s">
        <v>11808</v>
      </c>
      <c r="AI1261" t="s">
        <v>848</v>
      </c>
      <c r="AJ1261" s="4" t="str">
        <f>"11236"</f>
        <v>11236</v>
      </c>
      <c r="AK1261" t="s">
        <v>120</v>
      </c>
      <c r="AM1261" s="5">
        <v>13476155124</v>
      </c>
      <c r="AO1261" t="s">
        <v>12965</v>
      </c>
      <c r="AX1261" s="4" t="str">
        <f>""</f>
        <v/>
      </c>
      <c r="BG1261" t="s">
        <v>848</v>
      </c>
      <c r="BH1261" s="1">
        <v>44766.833333333336</v>
      </c>
      <c r="BI1261">
        <v>40</v>
      </c>
      <c r="BJ1261">
        <v>0</v>
      </c>
      <c r="BK1261">
        <v>8</v>
      </c>
      <c r="BL1261">
        <v>8</v>
      </c>
      <c r="BM1261">
        <v>8</v>
      </c>
      <c r="BN1261">
        <v>8</v>
      </c>
      <c r="BO1261">
        <v>8</v>
      </c>
      <c r="BP1261">
        <v>0</v>
      </c>
      <c r="BQ1261" t="str">
        <f>"8:00 AM"</f>
        <v>8:00 AM</v>
      </c>
      <c r="BR1261" t="str">
        <f>"4:00 PM"</f>
        <v>4:00 PM</v>
      </c>
      <c r="BS1261" t="s">
        <v>133</v>
      </c>
      <c r="BT1261">
        <v>0</v>
      </c>
      <c r="BU1261">
        <v>0</v>
      </c>
      <c r="BV1261" t="s">
        <v>134</v>
      </c>
      <c r="BX1261" t="s">
        <v>219</v>
      </c>
      <c r="BY1261" t="s">
        <v>12961</v>
      </c>
      <c r="CA1261" t="s">
        <v>11808</v>
      </c>
      <c r="CB1261" t="s">
        <v>848</v>
      </c>
      <c r="CC1261" s="4" t="str">
        <f>"11236"</f>
        <v>11236</v>
      </c>
      <c r="CD1261" t="s">
        <v>4300</v>
      </c>
      <c r="CE1261" t="s">
        <v>1009</v>
      </c>
      <c r="CF1261" s="6">
        <v>42.96</v>
      </c>
      <c r="CH1261" s="6">
        <v>64.44</v>
      </c>
      <c r="CJ1261" t="s">
        <v>137</v>
      </c>
      <c r="CL1261" t="s">
        <v>12966</v>
      </c>
      <c r="CO1261" t="s">
        <v>138</v>
      </c>
      <c r="CP1261" t="s">
        <v>114</v>
      </c>
      <c r="CQ1261" t="s">
        <v>114</v>
      </c>
      <c r="CR1261" t="s">
        <v>134</v>
      </c>
      <c r="CS1261" t="s">
        <v>114</v>
      </c>
      <c r="CT1261" t="s">
        <v>114</v>
      </c>
      <c r="CU1261" t="s">
        <v>114</v>
      </c>
      <c r="CV1261" t="s">
        <v>12967</v>
      </c>
      <c r="CW1261" s="5" t="str">
        <f>"+17186849886"</f>
        <v>+17186849886</v>
      </c>
      <c r="CX1261" t="s">
        <v>12965</v>
      </c>
      <c r="CY1261" t="s">
        <v>138</v>
      </c>
      <c r="CZ1261" t="s">
        <v>139</v>
      </c>
      <c r="DA1261" t="s">
        <v>134</v>
      </c>
      <c r="DB1261" t="s">
        <v>134</v>
      </c>
      <c r="DC1261" t="s">
        <v>114</v>
      </c>
      <c r="DD1261" t="s">
        <v>134</v>
      </c>
    </row>
    <row r="1262" spans="1:113" ht="15" customHeight="1" x14ac:dyDescent="0.25">
      <c r="A1262" t="s">
        <v>3486</v>
      </c>
      <c r="B1262" t="s">
        <v>113</v>
      </c>
      <c r="C1262" s="1">
        <v>44818.688680555555</v>
      </c>
      <c r="D1262" s="1">
        <v>44851</v>
      </c>
      <c r="E1262" t="s">
        <v>134</v>
      </c>
      <c r="F1262" t="s">
        <v>3487</v>
      </c>
      <c r="G1262" t="str">
        <f>"53-3032.00"</f>
        <v>53-3032.00</v>
      </c>
      <c r="H1262" t="s">
        <v>227</v>
      </c>
      <c r="I1262">
        <v>6</v>
      </c>
      <c r="K1262" s="1">
        <v>44835</v>
      </c>
      <c r="L1262" s="1">
        <v>45107</v>
      </c>
      <c r="O1262" t="s">
        <v>117</v>
      </c>
      <c r="P1262" t="s">
        <v>3488</v>
      </c>
      <c r="R1262" t="s">
        <v>3489</v>
      </c>
      <c r="S1262" t="s">
        <v>3490</v>
      </c>
      <c r="T1262" t="s">
        <v>2143</v>
      </c>
      <c r="U1262" t="s">
        <v>339</v>
      </c>
      <c r="V1262" s="4" t="str">
        <f>"20904"</f>
        <v>20904</v>
      </c>
      <c r="W1262" t="s">
        <v>120</v>
      </c>
      <c r="Y1262" s="5">
        <v>12023944499</v>
      </c>
      <c r="AA1262">
        <v>4841</v>
      </c>
      <c r="AB1262" t="s">
        <v>3491</v>
      </c>
      <c r="AC1262" t="s">
        <v>3492</v>
      </c>
      <c r="AD1262" t="s">
        <v>3493</v>
      </c>
      <c r="AE1262" t="s">
        <v>424</v>
      </c>
      <c r="AF1262" t="s">
        <v>3489</v>
      </c>
      <c r="AG1262" t="s">
        <v>3490</v>
      </c>
      <c r="AH1262" t="s">
        <v>2143</v>
      </c>
      <c r="AI1262" t="s">
        <v>339</v>
      </c>
      <c r="AJ1262" s="4" t="str">
        <f>"20904"</f>
        <v>20904</v>
      </c>
      <c r="AK1262" t="s">
        <v>120</v>
      </c>
      <c r="AM1262" s="5">
        <v>12023944499</v>
      </c>
      <c r="AO1262" t="s">
        <v>3494</v>
      </c>
      <c r="AP1262" t="s">
        <v>122</v>
      </c>
      <c r="AQ1262" t="s">
        <v>3495</v>
      </c>
      <c r="AR1262" t="s">
        <v>3496</v>
      </c>
      <c r="AT1262" t="s">
        <v>3497</v>
      </c>
      <c r="AV1262" t="s">
        <v>3498</v>
      </c>
      <c r="AW1262" t="s">
        <v>2970</v>
      </c>
      <c r="AX1262" s="4" t="str">
        <f>"20001"</f>
        <v>20001</v>
      </c>
      <c r="AY1262" t="s">
        <v>120</v>
      </c>
      <c r="BA1262" s="5">
        <v>12023444226</v>
      </c>
      <c r="BC1262" t="s">
        <v>3499</v>
      </c>
      <c r="BD1262" t="s">
        <v>3500</v>
      </c>
      <c r="BE1262" t="s">
        <v>2970</v>
      </c>
      <c r="BF1262" t="s">
        <v>3501</v>
      </c>
      <c r="BG1262" t="s">
        <v>339</v>
      </c>
      <c r="BH1262" s="1">
        <v>44816.833333333336</v>
      </c>
      <c r="BI1262">
        <v>55</v>
      </c>
      <c r="BJ1262">
        <v>0</v>
      </c>
      <c r="BK1262">
        <v>11</v>
      </c>
      <c r="BL1262">
        <v>11</v>
      </c>
      <c r="BM1262">
        <v>11</v>
      </c>
      <c r="BN1262">
        <v>11</v>
      </c>
      <c r="BO1262">
        <v>11</v>
      </c>
      <c r="BP1262">
        <v>0</v>
      </c>
      <c r="BQ1262" t="str">
        <f>"7:00 AM"</f>
        <v>7:00 AM</v>
      </c>
      <c r="BR1262" t="str">
        <f>"6:00 PM"</f>
        <v>6:00 PM</v>
      </c>
      <c r="BS1262" t="s">
        <v>133</v>
      </c>
      <c r="BT1262">
        <v>0</v>
      </c>
      <c r="BU1262">
        <v>24</v>
      </c>
      <c r="BV1262" t="s">
        <v>134</v>
      </c>
      <c r="BX1262" t="s">
        <v>3502</v>
      </c>
      <c r="BY1262" t="s">
        <v>3489</v>
      </c>
      <c r="BZ1262" t="s">
        <v>3490</v>
      </c>
      <c r="CA1262" t="s">
        <v>2143</v>
      </c>
      <c r="CB1262" t="s">
        <v>339</v>
      </c>
      <c r="CC1262" s="4" t="str">
        <f>"20904"</f>
        <v>20904</v>
      </c>
      <c r="CD1262" t="s">
        <v>2007</v>
      </c>
      <c r="CE1262" t="s">
        <v>355</v>
      </c>
      <c r="CF1262" s="6">
        <v>1200</v>
      </c>
      <c r="CG1262" s="6">
        <v>1600</v>
      </c>
      <c r="CJ1262" t="s">
        <v>3503</v>
      </c>
      <c r="CK1262" t="s">
        <v>138</v>
      </c>
      <c r="CL1262" t="s">
        <v>3504</v>
      </c>
      <c r="CO1262" t="s">
        <v>114</v>
      </c>
      <c r="CP1262" t="s">
        <v>114</v>
      </c>
      <c r="CQ1262" t="s">
        <v>134</v>
      </c>
      <c r="CR1262" t="s">
        <v>134</v>
      </c>
      <c r="CS1262" t="s">
        <v>134</v>
      </c>
      <c r="CT1262" t="s">
        <v>114</v>
      </c>
      <c r="CU1262" t="s">
        <v>114</v>
      </c>
      <c r="CV1262" t="s">
        <v>133</v>
      </c>
      <c r="CW1262" s="5" t="str">
        <f>"+12023944499"</f>
        <v>+12023944499</v>
      </c>
      <c r="CX1262" t="s">
        <v>3494</v>
      </c>
      <c r="CY1262" t="s">
        <v>138</v>
      </c>
      <c r="CZ1262" t="s">
        <v>139</v>
      </c>
      <c r="DA1262" t="s">
        <v>134</v>
      </c>
      <c r="DB1262" t="s">
        <v>134</v>
      </c>
      <c r="DC1262" t="s">
        <v>114</v>
      </c>
      <c r="DD1262" t="s">
        <v>134</v>
      </c>
      <c r="DE1262" t="s">
        <v>3505</v>
      </c>
      <c r="DF1262" t="s">
        <v>3506</v>
      </c>
      <c r="DG1262" t="s">
        <v>2217</v>
      </c>
      <c r="DH1262" t="s">
        <v>3500</v>
      </c>
      <c r="DI1262" t="s">
        <v>3507</v>
      </c>
    </row>
    <row r="1263" spans="1:113" ht="15" customHeight="1" x14ac:dyDescent="0.25">
      <c r="A1263" t="s">
        <v>9841</v>
      </c>
      <c r="B1263" t="s">
        <v>113</v>
      </c>
      <c r="C1263" s="1">
        <v>44817.690484837964</v>
      </c>
      <c r="D1263" s="1">
        <v>44851</v>
      </c>
      <c r="E1263" t="s">
        <v>134</v>
      </c>
      <c r="F1263" t="s">
        <v>115</v>
      </c>
      <c r="G1263" t="str">
        <f>"37-2012.00"</f>
        <v>37-2012.00</v>
      </c>
      <c r="H1263" t="s">
        <v>116</v>
      </c>
      <c r="I1263">
        <v>8</v>
      </c>
      <c r="K1263" s="1">
        <v>44893</v>
      </c>
      <c r="L1263" s="1">
        <v>45016</v>
      </c>
      <c r="O1263" t="s">
        <v>199</v>
      </c>
      <c r="P1263" t="s">
        <v>9842</v>
      </c>
      <c r="R1263" t="s">
        <v>9843</v>
      </c>
      <c r="T1263" t="s">
        <v>9844</v>
      </c>
      <c r="U1263" t="s">
        <v>479</v>
      </c>
      <c r="V1263" s="4" t="str">
        <f>"24060"</f>
        <v>24060</v>
      </c>
      <c r="W1263" t="s">
        <v>120</v>
      </c>
      <c r="Y1263" s="5">
        <v>15407504400</v>
      </c>
      <c r="AA1263">
        <v>72111</v>
      </c>
      <c r="AB1263" t="s">
        <v>2505</v>
      </c>
      <c r="AC1263" t="s">
        <v>9845</v>
      </c>
      <c r="AD1263" t="s">
        <v>4256</v>
      </c>
      <c r="AE1263" t="s">
        <v>2272</v>
      </c>
      <c r="AF1263" t="s">
        <v>9843</v>
      </c>
      <c r="AH1263" t="s">
        <v>9844</v>
      </c>
      <c r="AI1263" t="s">
        <v>479</v>
      </c>
      <c r="AJ1263" s="4" t="str">
        <f>"24060"</f>
        <v>24060</v>
      </c>
      <c r="AK1263" t="s">
        <v>120</v>
      </c>
      <c r="AM1263" s="5">
        <v>15407504400</v>
      </c>
      <c r="AO1263" t="s">
        <v>138</v>
      </c>
      <c r="AP1263" t="s">
        <v>122</v>
      </c>
      <c r="AQ1263" t="s">
        <v>864</v>
      </c>
      <c r="AR1263" t="s">
        <v>865</v>
      </c>
      <c r="AS1263" t="s">
        <v>370</v>
      </c>
      <c r="AT1263" t="s">
        <v>2109</v>
      </c>
      <c r="AV1263" t="s">
        <v>9846</v>
      </c>
      <c r="AW1263" t="s">
        <v>232</v>
      </c>
      <c r="AX1263" s="4" t="str">
        <f>"78748"</f>
        <v>78748</v>
      </c>
      <c r="AY1263" t="s">
        <v>120</v>
      </c>
      <c r="BA1263" s="5">
        <v>15123470007</v>
      </c>
      <c r="BC1263" t="s">
        <v>6082</v>
      </c>
      <c r="BD1263" t="s">
        <v>2111</v>
      </c>
      <c r="BE1263" t="s">
        <v>657</v>
      </c>
      <c r="BF1263" t="s">
        <v>6917</v>
      </c>
      <c r="BG1263" t="s">
        <v>479</v>
      </c>
      <c r="BH1263" s="1">
        <v>44816.833333333336</v>
      </c>
      <c r="BI1263">
        <v>40</v>
      </c>
      <c r="BJ1263">
        <v>0</v>
      </c>
      <c r="BK1263">
        <v>8</v>
      </c>
      <c r="BL1263">
        <v>8</v>
      </c>
      <c r="BM1263">
        <v>8</v>
      </c>
      <c r="BN1263">
        <v>8</v>
      </c>
      <c r="BO1263">
        <v>8</v>
      </c>
      <c r="BP1263">
        <v>0</v>
      </c>
      <c r="BQ1263" t="str">
        <f>"8:00 AM"</f>
        <v>8:00 AM</v>
      </c>
      <c r="BR1263" t="str">
        <f>"5:00 PM"</f>
        <v>5:00 PM</v>
      </c>
      <c r="BS1263" t="s">
        <v>133</v>
      </c>
      <c r="BT1263">
        <v>0</v>
      </c>
      <c r="BU1263">
        <v>0</v>
      </c>
      <c r="BV1263" t="s">
        <v>134</v>
      </c>
      <c r="BX1263" t="s">
        <v>138</v>
      </c>
      <c r="BY1263" t="s">
        <v>9843</v>
      </c>
      <c r="CA1263" t="s">
        <v>9844</v>
      </c>
      <c r="CB1263" t="s">
        <v>479</v>
      </c>
      <c r="CC1263" s="4" t="str">
        <f>"24060"</f>
        <v>24060</v>
      </c>
      <c r="CD1263" t="s">
        <v>2007</v>
      </c>
      <c r="CE1263" t="s">
        <v>5628</v>
      </c>
      <c r="CF1263" s="6">
        <v>11.51</v>
      </c>
      <c r="CH1263" s="6">
        <v>17.27</v>
      </c>
      <c r="CJ1263" t="s">
        <v>137</v>
      </c>
      <c r="CK1263" t="s">
        <v>5559</v>
      </c>
      <c r="CL1263" t="s">
        <v>9847</v>
      </c>
      <c r="CO1263" t="s">
        <v>138</v>
      </c>
      <c r="CP1263" t="s">
        <v>134</v>
      </c>
      <c r="CQ1263" t="s">
        <v>114</v>
      </c>
      <c r="CR1263" t="s">
        <v>114</v>
      </c>
      <c r="CS1263" t="s">
        <v>114</v>
      </c>
      <c r="CT1263" t="s">
        <v>114</v>
      </c>
      <c r="CU1263" t="s">
        <v>114</v>
      </c>
      <c r="CV1263" s="2" t="s">
        <v>9848</v>
      </c>
      <c r="CW1263" s="5" t="str">
        <f>"+15407504400"</f>
        <v>+15407504400</v>
      </c>
      <c r="CX1263" t="s">
        <v>9849</v>
      </c>
      <c r="CY1263" t="s">
        <v>138</v>
      </c>
      <c r="CZ1263" t="s">
        <v>139</v>
      </c>
      <c r="DA1263" t="s">
        <v>134</v>
      </c>
      <c r="DB1263" t="s">
        <v>134</v>
      </c>
      <c r="DC1263" t="s">
        <v>114</v>
      </c>
      <c r="DD1263" t="s">
        <v>134</v>
      </c>
    </row>
    <row r="1264" spans="1:113" ht="15" customHeight="1" x14ac:dyDescent="0.25">
      <c r="A1264" t="s">
        <v>12390</v>
      </c>
      <c r="B1264" t="s">
        <v>113</v>
      </c>
      <c r="C1264" s="1">
        <v>44812.535047916666</v>
      </c>
      <c r="D1264" s="1">
        <v>44851</v>
      </c>
      <c r="E1264" t="s">
        <v>134</v>
      </c>
      <c r="F1264" t="s">
        <v>3806</v>
      </c>
      <c r="G1264" t="str">
        <f>"37-3011.00"</f>
        <v>37-3011.00</v>
      </c>
      <c r="H1264" t="s">
        <v>335</v>
      </c>
      <c r="I1264">
        <v>15</v>
      </c>
      <c r="K1264" s="1">
        <v>44887</v>
      </c>
      <c r="L1264" s="1">
        <v>45015</v>
      </c>
      <c r="O1264" t="s">
        <v>199</v>
      </c>
      <c r="P1264" t="s">
        <v>12391</v>
      </c>
      <c r="R1264" t="s">
        <v>12392</v>
      </c>
      <c r="S1264" t="s">
        <v>12393</v>
      </c>
      <c r="T1264" t="s">
        <v>684</v>
      </c>
      <c r="U1264" t="s">
        <v>232</v>
      </c>
      <c r="V1264" s="4" t="str">
        <f>"78744"</f>
        <v>78744</v>
      </c>
      <c r="W1264" t="s">
        <v>120</v>
      </c>
      <c r="Y1264" s="5">
        <v>15123224004</v>
      </c>
      <c r="AA1264">
        <v>23799</v>
      </c>
      <c r="AB1264" t="s">
        <v>5241</v>
      </c>
      <c r="AC1264" t="s">
        <v>7896</v>
      </c>
      <c r="AD1264" t="s">
        <v>2000</v>
      </c>
      <c r="AE1264" t="s">
        <v>1555</v>
      </c>
      <c r="AF1264" t="s">
        <v>12394</v>
      </c>
      <c r="AG1264" t="s">
        <v>12393</v>
      </c>
      <c r="AH1264" t="s">
        <v>684</v>
      </c>
      <c r="AI1264" t="s">
        <v>232</v>
      </c>
      <c r="AJ1264" s="4" t="str">
        <f>"78744"</f>
        <v>78744</v>
      </c>
      <c r="AK1264" t="s">
        <v>120</v>
      </c>
      <c r="AM1264" s="5">
        <v>15123224004</v>
      </c>
      <c r="AO1264" t="s">
        <v>138</v>
      </c>
      <c r="AP1264" t="s">
        <v>122</v>
      </c>
      <c r="AQ1264" t="s">
        <v>864</v>
      </c>
      <c r="AR1264" t="s">
        <v>865</v>
      </c>
      <c r="AS1264" t="s">
        <v>370</v>
      </c>
      <c r="AT1264" t="s">
        <v>2109</v>
      </c>
      <c r="AV1264" t="s">
        <v>684</v>
      </c>
      <c r="AW1264" t="s">
        <v>232</v>
      </c>
      <c r="AX1264" s="4" t="str">
        <f>"78748"</f>
        <v>78748</v>
      </c>
      <c r="AY1264" t="s">
        <v>120</v>
      </c>
      <c r="BA1264" s="5">
        <v>15123470007</v>
      </c>
      <c r="BC1264" t="s">
        <v>2110</v>
      </c>
      <c r="BD1264" t="s">
        <v>2111</v>
      </c>
      <c r="BE1264" t="s">
        <v>232</v>
      </c>
      <c r="BF1264" t="s">
        <v>10137</v>
      </c>
      <c r="BG1264" t="s">
        <v>232</v>
      </c>
      <c r="BH1264" s="1">
        <v>44811.833333333336</v>
      </c>
      <c r="BI1264">
        <v>40</v>
      </c>
      <c r="BJ1264">
        <v>0</v>
      </c>
      <c r="BK1264">
        <v>8</v>
      </c>
      <c r="BL1264">
        <v>8</v>
      </c>
      <c r="BM1264">
        <v>8</v>
      </c>
      <c r="BN1264">
        <v>8</v>
      </c>
      <c r="BO1264">
        <v>8</v>
      </c>
      <c r="BP1264">
        <v>0</v>
      </c>
      <c r="BQ1264" t="str">
        <f>"7:00 AM"</f>
        <v>7:00 AM</v>
      </c>
      <c r="BR1264" t="str">
        <f>"4:00 PM"</f>
        <v>4:00 PM</v>
      </c>
      <c r="BS1264" t="s">
        <v>133</v>
      </c>
      <c r="BT1264">
        <v>0</v>
      </c>
      <c r="BU1264">
        <v>0</v>
      </c>
      <c r="BV1264" t="s">
        <v>134</v>
      </c>
      <c r="BX1264" t="s">
        <v>138</v>
      </c>
      <c r="BY1264" t="s">
        <v>12395</v>
      </c>
      <c r="CA1264" t="s">
        <v>684</v>
      </c>
      <c r="CB1264" t="s">
        <v>232</v>
      </c>
      <c r="CC1264" s="4" t="str">
        <f>"78744"</f>
        <v>78744</v>
      </c>
      <c r="CD1264" t="s">
        <v>948</v>
      </c>
      <c r="CE1264" t="s">
        <v>949</v>
      </c>
      <c r="CF1264" s="6">
        <v>16.079999999999998</v>
      </c>
      <c r="CH1264" s="6">
        <v>24.12</v>
      </c>
      <c r="CJ1264" t="s">
        <v>137</v>
      </c>
      <c r="CK1264" t="s">
        <v>12396</v>
      </c>
      <c r="CL1264" t="s">
        <v>12397</v>
      </c>
      <c r="CO1264" t="s">
        <v>138</v>
      </c>
      <c r="CP1264" t="s">
        <v>114</v>
      </c>
      <c r="CQ1264" t="s">
        <v>114</v>
      </c>
      <c r="CR1264" t="s">
        <v>114</v>
      </c>
      <c r="CS1264" t="s">
        <v>114</v>
      </c>
      <c r="CT1264" t="s">
        <v>114</v>
      </c>
      <c r="CU1264" t="s">
        <v>134</v>
      </c>
      <c r="CV1264" s="2" t="s">
        <v>12398</v>
      </c>
      <c r="CW1264" s="5" t="str">
        <f>"+15123224004"</f>
        <v>+15123224004</v>
      </c>
      <c r="CX1264" t="s">
        <v>12399</v>
      </c>
      <c r="CY1264" t="s">
        <v>138</v>
      </c>
      <c r="CZ1264" t="s">
        <v>139</v>
      </c>
      <c r="DA1264" t="s">
        <v>134</v>
      </c>
      <c r="DB1264" t="s">
        <v>134</v>
      </c>
      <c r="DC1264" t="s">
        <v>114</v>
      </c>
      <c r="DD1264" t="s">
        <v>134</v>
      </c>
    </row>
    <row r="1265" spans="1:113" ht="15" customHeight="1" x14ac:dyDescent="0.25">
      <c r="A1265" t="s">
        <v>196</v>
      </c>
      <c r="B1265" t="s">
        <v>113</v>
      </c>
      <c r="C1265" s="1">
        <v>44796.72565104167</v>
      </c>
      <c r="D1265" s="1">
        <v>44851</v>
      </c>
      <c r="E1265" t="s">
        <v>134</v>
      </c>
      <c r="F1265" t="s">
        <v>197</v>
      </c>
      <c r="G1265" t="str">
        <f>"45-4022.00"</f>
        <v>45-4022.00</v>
      </c>
      <c r="H1265" t="s">
        <v>198</v>
      </c>
      <c r="I1265">
        <v>25</v>
      </c>
      <c r="K1265" s="1">
        <v>44871</v>
      </c>
      <c r="L1265" s="1">
        <v>45107</v>
      </c>
      <c r="O1265" t="s">
        <v>199</v>
      </c>
      <c r="P1265" t="s">
        <v>200</v>
      </c>
      <c r="R1265" t="s">
        <v>201</v>
      </c>
      <c r="T1265" t="s">
        <v>202</v>
      </c>
      <c r="U1265" t="s">
        <v>203</v>
      </c>
      <c r="V1265" s="4" t="str">
        <f>"35405"</f>
        <v>35405</v>
      </c>
      <c r="W1265" t="s">
        <v>120</v>
      </c>
      <c r="Y1265" s="5">
        <v>12056578889</v>
      </c>
      <c r="AA1265">
        <v>11531</v>
      </c>
      <c r="AB1265" t="s">
        <v>204</v>
      </c>
      <c r="AC1265" t="s">
        <v>205</v>
      </c>
      <c r="AE1265" t="s">
        <v>206</v>
      </c>
      <c r="AF1265" t="s">
        <v>201</v>
      </c>
      <c r="AH1265" t="s">
        <v>202</v>
      </c>
      <c r="AI1265" t="s">
        <v>203</v>
      </c>
      <c r="AJ1265" s="4" t="str">
        <f>"35405"</f>
        <v>35405</v>
      </c>
      <c r="AK1265" t="s">
        <v>120</v>
      </c>
      <c r="AM1265" s="5">
        <v>12056578889</v>
      </c>
      <c r="AO1265" t="s">
        <v>207</v>
      </c>
      <c r="AP1265" t="s">
        <v>122</v>
      </c>
      <c r="AQ1265" t="s">
        <v>208</v>
      </c>
      <c r="AR1265" t="s">
        <v>209</v>
      </c>
      <c r="AS1265" t="s">
        <v>210</v>
      </c>
      <c r="AT1265" t="s">
        <v>211</v>
      </c>
      <c r="AU1265" t="s">
        <v>212</v>
      </c>
      <c r="AV1265" t="s">
        <v>213</v>
      </c>
      <c r="AW1265" t="s">
        <v>214</v>
      </c>
      <c r="AX1265" s="4" t="str">
        <f>"70130"</f>
        <v>70130</v>
      </c>
      <c r="AY1265" t="s">
        <v>120</v>
      </c>
      <c r="AZ1265" t="s">
        <v>215</v>
      </c>
      <c r="BA1265" s="5">
        <v>15045849312</v>
      </c>
      <c r="BC1265" t="s">
        <v>216</v>
      </c>
      <c r="BD1265" t="s">
        <v>217</v>
      </c>
      <c r="BE1265" t="s">
        <v>214</v>
      </c>
      <c r="BF1265" t="s">
        <v>218</v>
      </c>
      <c r="BG1265" t="s">
        <v>129</v>
      </c>
      <c r="BH1265" s="1">
        <v>44748.833333333336</v>
      </c>
      <c r="BI1265">
        <v>40</v>
      </c>
      <c r="BJ1265">
        <v>0</v>
      </c>
      <c r="BK1265">
        <v>8</v>
      </c>
      <c r="BL1265">
        <v>8</v>
      </c>
      <c r="BM1265">
        <v>8</v>
      </c>
      <c r="BN1265">
        <v>8</v>
      </c>
      <c r="BO1265">
        <v>8</v>
      </c>
      <c r="BP1265">
        <v>0</v>
      </c>
      <c r="BQ1265" t="str">
        <f>"7:00 AM"</f>
        <v>7:00 AM</v>
      </c>
      <c r="BR1265" t="str">
        <f>"4:00 PM"</f>
        <v>4:00 PM</v>
      </c>
      <c r="BS1265" t="s">
        <v>133</v>
      </c>
      <c r="BT1265">
        <v>0</v>
      </c>
      <c r="BU1265">
        <v>0</v>
      </c>
      <c r="BV1265" t="s">
        <v>134</v>
      </c>
      <c r="BX1265" t="s">
        <v>219</v>
      </c>
      <c r="BY1265" t="s">
        <v>220</v>
      </c>
      <c r="CA1265" t="s">
        <v>221</v>
      </c>
      <c r="CB1265" t="s">
        <v>203</v>
      </c>
      <c r="CC1265" s="4" t="str">
        <f>"35404"</f>
        <v>35404</v>
      </c>
      <c r="CD1265" t="s">
        <v>202</v>
      </c>
      <c r="CE1265" t="s">
        <v>222</v>
      </c>
      <c r="CF1265" s="6">
        <v>18.579999999999998</v>
      </c>
      <c r="CG1265" s="6">
        <v>18.579999999999998</v>
      </c>
      <c r="CH1265" s="6">
        <v>27.87</v>
      </c>
      <c r="CI1265" s="6">
        <v>27.87</v>
      </c>
      <c r="CJ1265" t="s">
        <v>137</v>
      </c>
      <c r="CL1265" t="s">
        <v>223</v>
      </c>
      <c r="CO1265" t="s">
        <v>138</v>
      </c>
      <c r="CP1265" t="s">
        <v>114</v>
      </c>
      <c r="CQ1265" t="s">
        <v>114</v>
      </c>
      <c r="CR1265" t="s">
        <v>114</v>
      </c>
      <c r="CS1265" t="s">
        <v>114</v>
      </c>
      <c r="CT1265" t="s">
        <v>114</v>
      </c>
      <c r="CU1265" t="s">
        <v>114</v>
      </c>
      <c r="CV1265" t="s">
        <v>224</v>
      </c>
      <c r="CW1265" s="5" t="str">
        <f>"+12056578889"</f>
        <v>+12056578889</v>
      </c>
      <c r="CX1265" t="s">
        <v>207</v>
      </c>
      <c r="CY1265" t="s">
        <v>138</v>
      </c>
      <c r="CZ1265" t="s">
        <v>139</v>
      </c>
      <c r="DA1265" t="s">
        <v>134</v>
      </c>
      <c r="DB1265" t="s">
        <v>134</v>
      </c>
      <c r="DC1265" t="s">
        <v>114</v>
      </c>
      <c r="DD1265" t="s">
        <v>134</v>
      </c>
    </row>
    <row r="1266" spans="1:113" ht="15" customHeight="1" x14ac:dyDescent="0.25">
      <c r="A1266" t="s">
        <v>3397</v>
      </c>
      <c r="B1266" t="s">
        <v>113</v>
      </c>
      <c r="C1266" s="1">
        <v>44793.925109143522</v>
      </c>
      <c r="D1266" s="1">
        <v>44851</v>
      </c>
      <c r="E1266" t="s">
        <v>134</v>
      </c>
      <c r="F1266" t="s">
        <v>3398</v>
      </c>
      <c r="G1266" t="str">
        <f>"27-4015.00"</f>
        <v>27-4015.00</v>
      </c>
      <c r="H1266" t="s">
        <v>3399</v>
      </c>
      <c r="I1266">
        <v>2</v>
      </c>
      <c r="K1266" s="1">
        <v>44869</v>
      </c>
      <c r="L1266" s="1">
        <v>44957</v>
      </c>
      <c r="O1266" t="s">
        <v>199</v>
      </c>
      <c r="P1266" t="s">
        <v>3400</v>
      </c>
      <c r="R1266" t="s">
        <v>3401</v>
      </c>
      <c r="T1266" t="s">
        <v>3402</v>
      </c>
      <c r="U1266" t="s">
        <v>129</v>
      </c>
      <c r="V1266" s="4" t="str">
        <f>"30241"</f>
        <v>30241</v>
      </c>
      <c r="W1266" t="s">
        <v>120</v>
      </c>
      <c r="Y1266" s="5">
        <v>17064521013</v>
      </c>
      <c r="AA1266">
        <v>335121</v>
      </c>
      <c r="AB1266" t="s">
        <v>3403</v>
      </c>
      <c r="AC1266" t="s">
        <v>173</v>
      </c>
      <c r="AE1266" t="s">
        <v>424</v>
      </c>
      <c r="AF1266" t="s">
        <v>3404</v>
      </c>
      <c r="AH1266" t="s">
        <v>3402</v>
      </c>
      <c r="AI1266" t="s">
        <v>129</v>
      </c>
      <c r="AJ1266" s="4" t="str">
        <f>"30241"</f>
        <v>30241</v>
      </c>
      <c r="AK1266" t="s">
        <v>120</v>
      </c>
      <c r="AM1266" s="5">
        <v>18034511535</v>
      </c>
      <c r="AO1266" t="s">
        <v>3405</v>
      </c>
      <c r="AX1266" s="4" t="str">
        <f>""</f>
        <v/>
      </c>
      <c r="BG1266" t="s">
        <v>129</v>
      </c>
      <c r="BH1266" s="1">
        <v>44778.833333333336</v>
      </c>
      <c r="BI1266">
        <v>40</v>
      </c>
      <c r="BJ1266">
        <v>0</v>
      </c>
      <c r="BK1266">
        <v>8</v>
      </c>
      <c r="BL1266">
        <v>8</v>
      </c>
      <c r="BM1266">
        <v>8</v>
      </c>
      <c r="BN1266">
        <v>8</v>
      </c>
      <c r="BO1266">
        <v>8</v>
      </c>
      <c r="BP1266">
        <v>0</v>
      </c>
      <c r="BQ1266" t="str">
        <f>"9:00 AM"</f>
        <v>9:00 AM</v>
      </c>
      <c r="BR1266" t="str">
        <f>"5:00 PM"</f>
        <v>5:00 PM</v>
      </c>
      <c r="BS1266" t="s">
        <v>133</v>
      </c>
      <c r="BT1266">
        <v>1</v>
      </c>
      <c r="BU1266">
        <v>0</v>
      </c>
      <c r="BV1266" t="s">
        <v>134</v>
      </c>
      <c r="BX1266" s="2" t="s">
        <v>3406</v>
      </c>
      <c r="BY1266" t="s">
        <v>3401</v>
      </c>
      <c r="CA1266" t="s">
        <v>3402</v>
      </c>
      <c r="CB1266" t="s">
        <v>129</v>
      </c>
      <c r="CC1266" s="4" t="str">
        <f>"30241"</f>
        <v>30241</v>
      </c>
      <c r="CD1266" t="s">
        <v>3407</v>
      </c>
      <c r="CE1266" t="s">
        <v>2331</v>
      </c>
      <c r="CF1266" s="6">
        <v>42.5</v>
      </c>
      <c r="CG1266" s="6">
        <v>50</v>
      </c>
      <c r="CH1266" s="6">
        <v>85</v>
      </c>
      <c r="CI1266" s="6">
        <v>100</v>
      </c>
      <c r="CJ1266" t="s">
        <v>137</v>
      </c>
      <c r="CK1266" t="s">
        <v>3408</v>
      </c>
      <c r="CL1266" t="s">
        <v>3409</v>
      </c>
      <c r="CO1266" t="s">
        <v>138</v>
      </c>
      <c r="CP1266" t="s">
        <v>114</v>
      </c>
      <c r="CQ1266" t="s">
        <v>114</v>
      </c>
      <c r="CR1266" t="s">
        <v>114</v>
      </c>
      <c r="CS1266" t="s">
        <v>114</v>
      </c>
      <c r="CT1266" t="s">
        <v>114</v>
      </c>
      <c r="CU1266" t="s">
        <v>114</v>
      </c>
      <c r="CV1266" t="s">
        <v>133</v>
      </c>
      <c r="CW1266" s="5" t="str">
        <f>"+17064511535"</f>
        <v>+17064511535</v>
      </c>
      <c r="CX1266" t="s">
        <v>3405</v>
      </c>
      <c r="CY1266" t="s">
        <v>138</v>
      </c>
      <c r="CZ1266" t="s">
        <v>139</v>
      </c>
      <c r="DA1266" t="s">
        <v>134</v>
      </c>
      <c r="DB1266" t="s">
        <v>134</v>
      </c>
      <c r="DC1266" t="s">
        <v>114</v>
      </c>
      <c r="DD1266" t="s">
        <v>134</v>
      </c>
    </row>
    <row r="1267" spans="1:113" ht="15" customHeight="1" x14ac:dyDescent="0.25">
      <c r="A1267" t="s">
        <v>6569</v>
      </c>
      <c r="B1267" t="s">
        <v>113</v>
      </c>
      <c r="C1267" s="1">
        <v>44777.689461689813</v>
      </c>
      <c r="D1267" s="1">
        <v>44851</v>
      </c>
      <c r="E1267" t="s">
        <v>134</v>
      </c>
      <c r="F1267" t="s">
        <v>1683</v>
      </c>
      <c r="G1267" t="str">
        <f>"53-3032.00"</f>
        <v>53-3032.00</v>
      </c>
      <c r="H1267" t="s">
        <v>227</v>
      </c>
      <c r="I1267">
        <v>20</v>
      </c>
      <c r="K1267" s="1">
        <v>44854</v>
      </c>
      <c r="L1267" s="1">
        <v>45137</v>
      </c>
      <c r="O1267" t="s">
        <v>199</v>
      </c>
      <c r="P1267" t="s">
        <v>6570</v>
      </c>
      <c r="R1267" t="s">
        <v>6571</v>
      </c>
      <c r="T1267" t="s">
        <v>2014</v>
      </c>
      <c r="U1267" t="s">
        <v>154</v>
      </c>
      <c r="V1267" s="4" t="str">
        <f>"33175"</f>
        <v>33175</v>
      </c>
      <c r="W1267" t="s">
        <v>120</v>
      </c>
      <c r="Y1267" s="5">
        <v>13053815155</v>
      </c>
      <c r="AA1267">
        <v>4884</v>
      </c>
      <c r="AB1267" t="s">
        <v>6572</v>
      </c>
      <c r="AC1267" t="s">
        <v>1547</v>
      </c>
      <c r="AE1267" t="s">
        <v>342</v>
      </c>
      <c r="AF1267" t="s">
        <v>6571</v>
      </c>
      <c r="AH1267" t="s">
        <v>2014</v>
      </c>
      <c r="AI1267" t="s">
        <v>154</v>
      </c>
      <c r="AJ1267" s="4" t="str">
        <f>"33175"</f>
        <v>33175</v>
      </c>
      <c r="AK1267" t="s">
        <v>120</v>
      </c>
      <c r="AM1267" s="5">
        <v>13053815155</v>
      </c>
      <c r="AO1267" t="s">
        <v>6573</v>
      </c>
      <c r="AX1267" s="4" t="str">
        <f>""</f>
        <v/>
      </c>
      <c r="BG1267" t="s">
        <v>154</v>
      </c>
      <c r="BH1267" s="1">
        <v>44776.833333333336</v>
      </c>
      <c r="BI1267">
        <v>40</v>
      </c>
      <c r="BJ1267">
        <v>0</v>
      </c>
      <c r="BK1267">
        <v>8</v>
      </c>
      <c r="BL1267">
        <v>8</v>
      </c>
      <c r="BM1267">
        <v>8</v>
      </c>
      <c r="BN1267">
        <v>8</v>
      </c>
      <c r="BO1267">
        <v>8</v>
      </c>
      <c r="BP1267">
        <v>0</v>
      </c>
      <c r="BQ1267" t="str">
        <f>"8:00 PM"</f>
        <v>8:00 PM</v>
      </c>
      <c r="BR1267" t="str">
        <f>"4:00 PM"</f>
        <v>4:00 PM</v>
      </c>
      <c r="BS1267" t="s">
        <v>133</v>
      </c>
      <c r="BT1267">
        <v>0</v>
      </c>
      <c r="BU1267">
        <v>0</v>
      </c>
      <c r="BV1267" t="s">
        <v>134</v>
      </c>
      <c r="BX1267" s="2" t="s">
        <v>6574</v>
      </c>
      <c r="BY1267" t="s">
        <v>6571</v>
      </c>
      <c r="CA1267" t="s">
        <v>1157</v>
      </c>
      <c r="CB1267" t="s">
        <v>154</v>
      </c>
      <c r="CC1267" s="4" t="str">
        <f>"33175"</f>
        <v>33175</v>
      </c>
      <c r="CD1267" t="s">
        <v>1741</v>
      </c>
      <c r="CE1267" t="s">
        <v>1742</v>
      </c>
      <c r="CF1267" s="6">
        <v>19.63</v>
      </c>
      <c r="CH1267" s="6">
        <v>29.45</v>
      </c>
      <c r="CJ1267" t="s">
        <v>137</v>
      </c>
      <c r="CL1267" t="s">
        <v>6575</v>
      </c>
      <c r="CO1267" t="s">
        <v>138</v>
      </c>
      <c r="CP1267" t="s">
        <v>134</v>
      </c>
      <c r="CQ1267" t="s">
        <v>114</v>
      </c>
      <c r="CR1267" t="s">
        <v>114</v>
      </c>
      <c r="CS1267" t="s">
        <v>114</v>
      </c>
      <c r="CT1267" t="s">
        <v>114</v>
      </c>
      <c r="CU1267" t="s">
        <v>134</v>
      </c>
      <c r="CV1267" t="s">
        <v>133</v>
      </c>
      <c r="CW1267" s="5" t="str">
        <f>"+13053815155"</f>
        <v>+13053815155</v>
      </c>
      <c r="CX1267" t="s">
        <v>6573</v>
      </c>
      <c r="CY1267" t="s">
        <v>138</v>
      </c>
      <c r="CZ1267" t="s">
        <v>139</v>
      </c>
      <c r="DA1267" t="s">
        <v>134</v>
      </c>
      <c r="DB1267" t="s">
        <v>134</v>
      </c>
      <c r="DC1267" t="s">
        <v>114</v>
      </c>
      <c r="DD1267" t="s">
        <v>134</v>
      </c>
    </row>
    <row r="1268" spans="1:113" ht="15" customHeight="1" x14ac:dyDescent="0.25">
      <c r="A1268" t="s">
        <v>13112</v>
      </c>
      <c r="B1268" t="s">
        <v>113</v>
      </c>
      <c r="C1268" s="1">
        <v>44760.589305787034</v>
      </c>
      <c r="D1268" s="1">
        <v>44851</v>
      </c>
      <c r="E1268" t="s">
        <v>134</v>
      </c>
      <c r="F1268" t="s">
        <v>13113</v>
      </c>
      <c r="G1268" t="str">
        <f>"53-7064.00"</f>
        <v>53-7064.00</v>
      </c>
      <c r="H1268" t="s">
        <v>4749</v>
      </c>
      <c r="I1268">
        <v>30</v>
      </c>
      <c r="K1268" s="1">
        <v>44835</v>
      </c>
      <c r="L1268" s="1">
        <v>45139</v>
      </c>
      <c r="O1268" t="s">
        <v>199</v>
      </c>
      <c r="P1268" t="s">
        <v>13114</v>
      </c>
      <c r="Q1268" t="s">
        <v>1897</v>
      </c>
      <c r="R1268" t="s">
        <v>13115</v>
      </c>
      <c r="T1268" t="s">
        <v>1856</v>
      </c>
      <c r="U1268" t="s">
        <v>2164</v>
      </c>
      <c r="V1268" s="4" t="str">
        <f>"83001"</f>
        <v>83001</v>
      </c>
      <c r="W1268" t="s">
        <v>120</v>
      </c>
      <c r="Y1268" s="5">
        <v>16166175068</v>
      </c>
      <c r="AA1268">
        <v>115115</v>
      </c>
      <c r="AB1268" t="s">
        <v>13116</v>
      </c>
      <c r="AC1268" t="s">
        <v>536</v>
      </c>
      <c r="AE1268" t="s">
        <v>13117</v>
      </c>
      <c r="AF1268" t="s">
        <v>13115</v>
      </c>
      <c r="AH1268" t="s">
        <v>1856</v>
      </c>
      <c r="AI1268" t="s">
        <v>2164</v>
      </c>
      <c r="AJ1268" s="4" t="str">
        <f>"83001"</f>
        <v>83001</v>
      </c>
      <c r="AK1268" t="s">
        <v>120</v>
      </c>
      <c r="AM1268" s="5">
        <v>16166175068</v>
      </c>
      <c r="AO1268" t="s">
        <v>13118</v>
      </c>
      <c r="AX1268" s="4" t="str">
        <f>""</f>
        <v/>
      </c>
      <c r="BG1268" t="s">
        <v>129</v>
      </c>
      <c r="BH1268" s="1">
        <v>44727.833333333336</v>
      </c>
      <c r="BI1268">
        <v>40</v>
      </c>
      <c r="BJ1268">
        <v>0</v>
      </c>
      <c r="BK1268">
        <v>7</v>
      </c>
      <c r="BL1268">
        <v>7</v>
      </c>
      <c r="BM1268">
        <v>7</v>
      </c>
      <c r="BN1268">
        <v>7</v>
      </c>
      <c r="BO1268">
        <v>7</v>
      </c>
      <c r="BP1268">
        <v>5</v>
      </c>
      <c r="BQ1268" t="str">
        <f>"7:00 AM"</f>
        <v>7:00 AM</v>
      </c>
      <c r="BR1268" t="str">
        <f>"4:00 PM"</f>
        <v>4:00 PM</v>
      </c>
      <c r="BS1268" t="s">
        <v>133</v>
      </c>
      <c r="BT1268">
        <v>0</v>
      </c>
      <c r="BU1268">
        <v>0</v>
      </c>
      <c r="BV1268" t="s">
        <v>134</v>
      </c>
      <c r="BX1268" t="s">
        <v>13119</v>
      </c>
      <c r="BY1268" t="s">
        <v>13120</v>
      </c>
      <c r="CA1268" t="s">
        <v>13121</v>
      </c>
      <c r="CB1268" t="s">
        <v>129</v>
      </c>
      <c r="CC1268" s="4" t="str">
        <f>"30297"</f>
        <v>30297</v>
      </c>
      <c r="CD1268" t="s">
        <v>4350</v>
      </c>
      <c r="CE1268" t="s">
        <v>908</v>
      </c>
      <c r="CF1268" s="6">
        <v>12.13</v>
      </c>
      <c r="CG1268" s="6">
        <v>12.13</v>
      </c>
      <c r="CJ1268" t="s">
        <v>137</v>
      </c>
      <c r="CK1268" s="2" t="s">
        <v>13122</v>
      </c>
      <c r="CL1268" t="s">
        <v>13123</v>
      </c>
      <c r="CO1268" t="s">
        <v>138</v>
      </c>
      <c r="CP1268" t="s">
        <v>134</v>
      </c>
      <c r="CQ1268" t="s">
        <v>114</v>
      </c>
      <c r="CR1268" t="s">
        <v>134</v>
      </c>
      <c r="CS1268" t="s">
        <v>134</v>
      </c>
      <c r="CT1268" t="s">
        <v>114</v>
      </c>
      <c r="CU1268" t="s">
        <v>114</v>
      </c>
      <c r="CV1268" s="2" t="s">
        <v>13124</v>
      </c>
      <c r="CW1268" s="5" t="str">
        <f>"+16166175068"</f>
        <v>+16166175068</v>
      </c>
      <c r="CX1268" t="s">
        <v>13118</v>
      </c>
      <c r="CY1268" t="s">
        <v>138</v>
      </c>
      <c r="CZ1268" t="s">
        <v>5804</v>
      </c>
      <c r="DA1268" t="s">
        <v>114</v>
      </c>
      <c r="DB1268" t="s">
        <v>134</v>
      </c>
      <c r="DC1268" t="s">
        <v>114</v>
      </c>
      <c r="DD1268" t="s">
        <v>134</v>
      </c>
    </row>
    <row r="1269" spans="1:113" ht="15" customHeight="1" x14ac:dyDescent="0.25">
      <c r="A1269" t="s">
        <v>7661</v>
      </c>
      <c r="B1269" t="s">
        <v>113</v>
      </c>
      <c r="C1269" s="1">
        <v>44822.82677939815</v>
      </c>
      <c r="D1269" s="1">
        <v>44848</v>
      </c>
      <c r="E1269" t="s">
        <v>134</v>
      </c>
      <c r="F1269" t="s">
        <v>5347</v>
      </c>
      <c r="G1269" t="str">
        <f>"53-3032.00"</f>
        <v>53-3032.00</v>
      </c>
      <c r="H1269" t="s">
        <v>227</v>
      </c>
      <c r="I1269">
        <v>4</v>
      </c>
      <c r="K1269" s="1">
        <v>44897</v>
      </c>
      <c r="L1269" s="1">
        <v>45170</v>
      </c>
      <c r="O1269" t="s">
        <v>199</v>
      </c>
      <c r="P1269" t="s">
        <v>7662</v>
      </c>
      <c r="R1269" t="s">
        <v>7663</v>
      </c>
      <c r="T1269" t="s">
        <v>5351</v>
      </c>
      <c r="U1269" t="s">
        <v>232</v>
      </c>
      <c r="V1269" s="4" t="str">
        <f>"78041"</f>
        <v>78041</v>
      </c>
      <c r="W1269" t="s">
        <v>120</v>
      </c>
      <c r="Y1269" s="5">
        <v>19565991055</v>
      </c>
      <c r="AA1269">
        <v>484121</v>
      </c>
      <c r="AB1269" t="s">
        <v>7664</v>
      </c>
      <c r="AC1269" t="s">
        <v>7665</v>
      </c>
      <c r="AE1269" t="s">
        <v>700</v>
      </c>
      <c r="AF1269" t="s">
        <v>7666</v>
      </c>
      <c r="AH1269" t="s">
        <v>5351</v>
      </c>
      <c r="AI1269" t="s">
        <v>232</v>
      </c>
      <c r="AJ1269" s="4" t="str">
        <f>"78043"</f>
        <v>78043</v>
      </c>
      <c r="AK1269" t="s">
        <v>120</v>
      </c>
      <c r="AM1269" s="5">
        <v>19565991055</v>
      </c>
      <c r="AO1269" t="s">
        <v>7667</v>
      </c>
      <c r="AX1269" s="4" t="str">
        <f>""</f>
        <v/>
      </c>
      <c r="BG1269" t="s">
        <v>232</v>
      </c>
      <c r="BH1269" s="1">
        <v>44731.833333333336</v>
      </c>
      <c r="BI1269">
        <v>70</v>
      </c>
      <c r="BJ1269">
        <v>10</v>
      </c>
      <c r="BK1269">
        <v>10</v>
      </c>
      <c r="BL1269">
        <v>10</v>
      </c>
      <c r="BM1269">
        <v>10</v>
      </c>
      <c r="BN1269">
        <v>10</v>
      </c>
      <c r="BO1269">
        <v>10</v>
      </c>
      <c r="BP1269">
        <v>10</v>
      </c>
      <c r="BQ1269" t="str">
        <f>"8:00 AM"</f>
        <v>8:00 AM</v>
      </c>
      <c r="BR1269" t="str">
        <f>"6:00 PM"</f>
        <v>6:00 PM</v>
      </c>
      <c r="BS1269" t="s">
        <v>295</v>
      </c>
      <c r="BT1269">
        <v>0</v>
      </c>
      <c r="BU1269">
        <v>24</v>
      </c>
      <c r="BV1269" t="s">
        <v>134</v>
      </c>
      <c r="BX1269" s="2" t="s">
        <v>5357</v>
      </c>
      <c r="BY1269" t="s">
        <v>7668</v>
      </c>
      <c r="CA1269" t="s">
        <v>5351</v>
      </c>
      <c r="CB1269" t="s">
        <v>232</v>
      </c>
      <c r="CC1269" s="4" t="str">
        <f>"78041"</f>
        <v>78041</v>
      </c>
      <c r="CD1269" t="s">
        <v>5359</v>
      </c>
      <c r="CE1269" t="s">
        <v>5360</v>
      </c>
      <c r="CF1269" s="6">
        <v>837.6</v>
      </c>
      <c r="CG1269" s="6">
        <v>1465.8</v>
      </c>
      <c r="CJ1269" t="s">
        <v>137</v>
      </c>
      <c r="CL1269" t="s">
        <v>7669</v>
      </c>
      <c r="CO1269" t="s">
        <v>138</v>
      </c>
      <c r="CP1269" t="s">
        <v>134</v>
      </c>
      <c r="CQ1269" t="s">
        <v>134</v>
      </c>
      <c r="CR1269" t="s">
        <v>134</v>
      </c>
      <c r="CS1269" t="s">
        <v>134</v>
      </c>
      <c r="CT1269" t="s">
        <v>114</v>
      </c>
      <c r="CU1269" t="s">
        <v>134</v>
      </c>
      <c r="CV1269" s="2" t="s">
        <v>7670</v>
      </c>
      <c r="CW1269" s="5" t="str">
        <f>"+19565991055"</f>
        <v>+19565991055</v>
      </c>
      <c r="CX1269" t="s">
        <v>7667</v>
      </c>
      <c r="CY1269" t="s">
        <v>138</v>
      </c>
      <c r="CZ1269" t="s">
        <v>139</v>
      </c>
      <c r="DA1269" t="s">
        <v>134</v>
      </c>
      <c r="DB1269" t="s">
        <v>134</v>
      </c>
      <c r="DC1269" t="s">
        <v>114</v>
      </c>
      <c r="DD1269" t="s">
        <v>134</v>
      </c>
    </row>
    <row r="1270" spans="1:113" ht="15" customHeight="1" x14ac:dyDescent="0.25">
      <c r="A1270" t="s">
        <v>692</v>
      </c>
      <c r="B1270" t="s">
        <v>113</v>
      </c>
      <c r="C1270" s="1">
        <v>44819.422256481485</v>
      </c>
      <c r="D1270" s="1">
        <v>44848</v>
      </c>
      <c r="E1270" t="s">
        <v>134</v>
      </c>
      <c r="F1270" t="s">
        <v>693</v>
      </c>
      <c r="G1270" t="str">
        <f>"37-2011.00"</f>
        <v>37-2011.00</v>
      </c>
      <c r="H1270" t="s">
        <v>672</v>
      </c>
      <c r="I1270">
        <v>7</v>
      </c>
      <c r="K1270" s="1">
        <v>44894</v>
      </c>
      <c r="L1270" s="1">
        <v>44941</v>
      </c>
      <c r="O1270" t="s">
        <v>199</v>
      </c>
      <c r="P1270" t="s">
        <v>694</v>
      </c>
      <c r="R1270" t="s">
        <v>695</v>
      </c>
      <c r="T1270" t="s">
        <v>696</v>
      </c>
      <c r="U1270" t="s">
        <v>697</v>
      </c>
      <c r="V1270" s="4" t="str">
        <f>"63005"</f>
        <v>63005</v>
      </c>
      <c r="W1270" t="s">
        <v>120</v>
      </c>
      <c r="Y1270" s="5">
        <v>16368517070</v>
      </c>
      <c r="AA1270">
        <v>56173</v>
      </c>
      <c r="AB1270" t="s">
        <v>698</v>
      </c>
      <c r="AC1270" t="s">
        <v>210</v>
      </c>
      <c r="AD1270" t="s">
        <v>699</v>
      </c>
      <c r="AE1270" t="s">
        <v>700</v>
      </c>
      <c r="AF1270" t="s">
        <v>695</v>
      </c>
      <c r="AH1270" t="s">
        <v>696</v>
      </c>
      <c r="AI1270" t="s">
        <v>697</v>
      </c>
      <c r="AJ1270" s="4" t="str">
        <f>"63005"</f>
        <v>63005</v>
      </c>
      <c r="AK1270" t="s">
        <v>120</v>
      </c>
      <c r="AM1270" s="5">
        <v>16362209991</v>
      </c>
      <c r="AO1270" t="s">
        <v>701</v>
      </c>
      <c r="AP1270" t="s">
        <v>122</v>
      </c>
      <c r="AQ1270" t="s">
        <v>702</v>
      </c>
      <c r="AR1270" t="s">
        <v>703</v>
      </c>
      <c r="AS1270" t="s">
        <v>704</v>
      </c>
      <c r="AT1270" t="s">
        <v>705</v>
      </c>
      <c r="AU1270" t="s">
        <v>706</v>
      </c>
      <c r="AV1270" t="s">
        <v>707</v>
      </c>
      <c r="AW1270" t="s">
        <v>232</v>
      </c>
      <c r="AX1270" s="4" t="str">
        <f>"78746"</f>
        <v>78746</v>
      </c>
      <c r="AY1270" t="s">
        <v>120</v>
      </c>
      <c r="BA1270" s="5">
        <v>15123470007</v>
      </c>
      <c r="BC1270" t="s">
        <v>708</v>
      </c>
      <c r="BD1270" t="s">
        <v>709</v>
      </c>
      <c r="BE1270" t="s">
        <v>232</v>
      </c>
      <c r="BF1270" t="s">
        <v>710</v>
      </c>
      <c r="BG1270" t="s">
        <v>697</v>
      </c>
      <c r="BH1270" s="1">
        <v>44818.833333333336</v>
      </c>
      <c r="BI1270">
        <v>40</v>
      </c>
      <c r="BJ1270">
        <v>0</v>
      </c>
      <c r="BK1270">
        <v>8</v>
      </c>
      <c r="BL1270">
        <v>8</v>
      </c>
      <c r="BM1270">
        <v>8</v>
      </c>
      <c r="BN1270">
        <v>8</v>
      </c>
      <c r="BO1270">
        <v>8</v>
      </c>
      <c r="BP1270">
        <v>0</v>
      </c>
      <c r="BQ1270" t="str">
        <f>"7:00 AM"</f>
        <v>7:00 AM</v>
      </c>
      <c r="BR1270" t="str">
        <f>"4:00 PM"</f>
        <v>4:00 PM</v>
      </c>
      <c r="BS1270" t="s">
        <v>133</v>
      </c>
      <c r="BT1270">
        <v>0</v>
      </c>
      <c r="BU1270">
        <v>0</v>
      </c>
      <c r="BV1270" t="s">
        <v>134</v>
      </c>
      <c r="BX1270" s="2" t="s">
        <v>711</v>
      </c>
      <c r="BY1270" t="s">
        <v>695</v>
      </c>
      <c r="CA1270" t="s">
        <v>696</v>
      </c>
      <c r="CB1270" t="s">
        <v>697</v>
      </c>
      <c r="CC1270" s="4" t="str">
        <f>"63005"</f>
        <v>63005</v>
      </c>
      <c r="CD1270" t="s">
        <v>712</v>
      </c>
      <c r="CE1270" t="s">
        <v>713</v>
      </c>
      <c r="CF1270" s="6">
        <v>15.01</v>
      </c>
      <c r="CG1270" s="6">
        <v>19</v>
      </c>
      <c r="CH1270" s="6">
        <v>22.52</v>
      </c>
      <c r="CI1270" s="6">
        <v>28.5</v>
      </c>
      <c r="CJ1270" t="s">
        <v>137</v>
      </c>
      <c r="CL1270" t="s">
        <v>714</v>
      </c>
      <c r="CO1270" t="s">
        <v>138</v>
      </c>
      <c r="CP1270" t="s">
        <v>134</v>
      </c>
      <c r="CQ1270" t="s">
        <v>114</v>
      </c>
      <c r="CR1270" t="s">
        <v>114</v>
      </c>
      <c r="CS1270" t="s">
        <v>114</v>
      </c>
      <c r="CT1270" t="s">
        <v>114</v>
      </c>
      <c r="CU1270" t="s">
        <v>134</v>
      </c>
      <c r="CV1270" t="s">
        <v>715</v>
      </c>
      <c r="CW1270" s="5" t="str">
        <f>"+16368517070"</f>
        <v>+16368517070</v>
      </c>
      <c r="CX1270" t="s">
        <v>701</v>
      </c>
      <c r="CY1270" t="s">
        <v>138</v>
      </c>
      <c r="CZ1270" t="s">
        <v>139</v>
      </c>
      <c r="DA1270" t="s">
        <v>134</v>
      </c>
      <c r="DB1270" t="s">
        <v>134</v>
      </c>
      <c r="DC1270" t="s">
        <v>114</v>
      </c>
      <c r="DD1270" t="s">
        <v>134</v>
      </c>
    </row>
    <row r="1271" spans="1:113" ht="15" customHeight="1" x14ac:dyDescent="0.25">
      <c r="A1271" t="s">
        <v>13125</v>
      </c>
      <c r="B1271" t="s">
        <v>113</v>
      </c>
      <c r="C1271" s="1">
        <v>44818.529956018516</v>
      </c>
      <c r="D1271" s="1">
        <v>44848</v>
      </c>
      <c r="E1271" t="s">
        <v>134</v>
      </c>
      <c r="F1271" t="s">
        <v>13126</v>
      </c>
      <c r="G1271" t="str">
        <f>"13-1131.00"</f>
        <v>13-1131.00</v>
      </c>
      <c r="H1271" t="s">
        <v>13127</v>
      </c>
      <c r="I1271">
        <v>50</v>
      </c>
      <c r="K1271" s="1">
        <v>44896</v>
      </c>
      <c r="L1271" s="1">
        <v>44905</v>
      </c>
      <c r="O1271" t="s">
        <v>199</v>
      </c>
      <c r="P1271" t="s">
        <v>8105</v>
      </c>
      <c r="R1271" t="s">
        <v>13128</v>
      </c>
      <c r="T1271" t="s">
        <v>13129</v>
      </c>
      <c r="V1271" s="4" t="str">
        <f>"22260"</f>
        <v>22260</v>
      </c>
      <c r="W1271" t="s">
        <v>13130</v>
      </c>
      <c r="X1271" t="s">
        <v>13131</v>
      </c>
      <c r="Y1271" s="5">
        <v>526646168382</v>
      </c>
      <c r="AA1271">
        <v>611710</v>
      </c>
      <c r="AB1271" t="s">
        <v>13132</v>
      </c>
      <c r="AC1271" t="s">
        <v>13133</v>
      </c>
      <c r="AE1271" t="s">
        <v>13134</v>
      </c>
      <c r="AF1271" t="s">
        <v>13135</v>
      </c>
      <c r="AG1271" t="s">
        <v>13136</v>
      </c>
      <c r="AH1271" t="s">
        <v>13136</v>
      </c>
      <c r="AI1271" t="s">
        <v>154</v>
      </c>
      <c r="AJ1271" s="4" t="str">
        <f>"33162"</f>
        <v>33162</v>
      </c>
      <c r="AK1271" t="s">
        <v>120</v>
      </c>
      <c r="AM1271" s="5">
        <v>16155267337</v>
      </c>
      <c r="AO1271" t="s">
        <v>13137</v>
      </c>
      <c r="AX1271" s="4" t="str">
        <f>""</f>
        <v/>
      </c>
      <c r="BG1271" t="s">
        <v>154</v>
      </c>
      <c r="BH1271" s="1">
        <v>44815.833333333336</v>
      </c>
      <c r="BI1271">
        <v>48</v>
      </c>
      <c r="BJ1271">
        <v>0</v>
      </c>
      <c r="BK1271">
        <v>8</v>
      </c>
      <c r="BL1271">
        <v>8</v>
      </c>
      <c r="BM1271">
        <v>8</v>
      </c>
      <c r="BN1271">
        <v>8</v>
      </c>
      <c r="BO1271">
        <v>8</v>
      </c>
      <c r="BP1271">
        <v>8</v>
      </c>
      <c r="BQ1271" t="str">
        <f>"9:42 AM"</f>
        <v>9:42 AM</v>
      </c>
      <c r="BR1271" t="str">
        <f>"4:30 AM"</f>
        <v>4:30 AM</v>
      </c>
      <c r="BS1271" t="s">
        <v>133</v>
      </c>
      <c r="BT1271">
        <v>3</v>
      </c>
      <c r="BU1271">
        <v>3</v>
      </c>
      <c r="BV1271" t="s">
        <v>114</v>
      </c>
      <c r="BW1271">
        <v>50</v>
      </c>
      <c r="BX1271" t="s">
        <v>13138</v>
      </c>
      <c r="BY1271" t="s">
        <v>13139</v>
      </c>
      <c r="CA1271" t="s">
        <v>13140</v>
      </c>
      <c r="CB1271" t="s">
        <v>154</v>
      </c>
      <c r="CC1271" s="4" t="str">
        <f>"33162"</f>
        <v>33162</v>
      </c>
      <c r="CD1271" t="s">
        <v>1741</v>
      </c>
      <c r="CE1271" t="s">
        <v>1742</v>
      </c>
      <c r="CF1271" s="6">
        <v>28.33</v>
      </c>
      <c r="CG1271" s="6">
        <v>28.33</v>
      </c>
      <c r="CJ1271" t="s">
        <v>3503</v>
      </c>
      <c r="CL1271" t="s">
        <v>13141</v>
      </c>
      <c r="CO1271" t="s">
        <v>138</v>
      </c>
      <c r="CP1271" t="s">
        <v>114</v>
      </c>
      <c r="CQ1271" t="s">
        <v>114</v>
      </c>
      <c r="CR1271" t="s">
        <v>114</v>
      </c>
      <c r="CS1271" t="s">
        <v>114</v>
      </c>
      <c r="CT1271" t="s">
        <v>114</v>
      </c>
      <c r="CU1271" t="s">
        <v>114</v>
      </c>
      <c r="CV1271" t="s">
        <v>13142</v>
      </c>
      <c r="CW1271" s="5" t="str">
        <f>"+18576150102"</f>
        <v>+18576150102</v>
      </c>
      <c r="CX1271" t="s">
        <v>8106</v>
      </c>
      <c r="CY1271" t="s">
        <v>8107</v>
      </c>
      <c r="CZ1271" t="s">
        <v>5804</v>
      </c>
      <c r="DA1271" t="s">
        <v>114</v>
      </c>
      <c r="DB1271" t="s">
        <v>134</v>
      </c>
      <c r="DC1271" t="s">
        <v>114</v>
      </c>
      <c r="DD1271" t="s">
        <v>114</v>
      </c>
    </row>
    <row r="1272" spans="1:113" ht="15" customHeight="1" x14ac:dyDescent="0.25">
      <c r="A1272" t="s">
        <v>16460</v>
      </c>
      <c r="B1272" t="s">
        <v>113</v>
      </c>
      <c r="C1272" s="1">
        <v>44814.389845254627</v>
      </c>
      <c r="D1272" s="1">
        <v>44848</v>
      </c>
      <c r="E1272" t="s">
        <v>134</v>
      </c>
      <c r="F1272" t="s">
        <v>3582</v>
      </c>
      <c r="G1272" t="str">
        <f>"31-1122.00"</f>
        <v>31-1122.00</v>
      </c>
      <c r="H1272" t="s">
        <v>3583</v>
      </c>
      <c r="I1272">
        <v>4</v>
      </c>
      <c r="K1272" s="1">
        <v>44896</v>
      </c>
      <c r="L1272" s="1">
        <v>45170</v>
      </c>
      <c r="O1272" t="s">
        <v>168</v>
      </c>
      <c r="P1272" t="s">
        <v>3584</v>
      </c>
      <c r="Q1272" t="s">
        <v>3584</v>
      </c>
      <c r="R1272" t="s">
        <v>3585</v>
      </c>
      <c r="S1272" t="s">
        <v>3586</v>
      </c>
      <c r="T1272" t="s">
        <v>1504</v>
      </c>
      <c r="U1272" t="s">
        <v>154</v>
      </c>
      <c r="V1272" s="4" t="str">
        <f>"33901"</f>
        <v>33901</v>
      </c>
      <c r="W1272" t="s">
        <v>120</v>
      </c>
      <c r="X1272" t="s">
        <v>2249</v>
      </c>
      <c r="Y1272" s="5">
        <v>12398720718</v>
      </c>
      <c r="AA1272">
        <v>62321</v>
      </c>
      <c r="AB1272" t="s">
        <v>3587</v>
      </c>
      <c r="AC1272" t="s">
        <v>3588</v>
      </c>
      <c r="AE1272" t="s">
        <v>3589</v>
      </c>
      <c r="AF1272" t="s">
        <v>3585</v>
      </c>
      <c r="AG1272" t="s">
        <v>3586</v>
      </c>
      <c r="AH1272" t="s">
        <v>1504</v>
      </c>
      <c r="AI1272" t="s">
        <v>154</v>
      </c>
      <c r="AJ1272" s="4" t="str">
        <f>"33901"</f>
        <v>33901</v>
      </c>
      <c r="AK1272" t="s">
        <v>120</v>
      </c>
      <c r="AL1272" t="s">
        <v>3590</v>
      </c>
      <c r="AM1272" s="5">
        <v>12398720718</v>
      </c>
      <c r="AO1272" t="s">
        <v>3591</v>
      </c>
      <c r="AX1272" s="4" t="str">
        <f>""</f>
        <v/>
      </c>
      <c r="BG1272" t="s">
        <v>154</v>
      </c>
      <c r="BH1272" s="1">
        <v>44738.833333333336</v>
      </c>
      <c r="BI1272">
        <v>40</v>
      </c>
      <c r="BJ1272">
        <v>0</v>
      </c>
      <c r="BK1272">
        <v>8</v>
      </c>
      <c r="BL1272">
        <v>8</v>
      </c>
      <c r="BM1272">
        <v>8</v>
      </c>
      <c r="BN1272">
        <v>0</v>
      </c>
      <c r="BO1272">
        <v>8</v>
      </c>
      <c r="BP1272">
        <v>8</v>
      </c>
      <c r="BQ1272" t="str">
        <f>"7:00 AM"</f>
        <v>7:00 AM</v>
      </c>
      <c r="BR1272" t="str">
        <f>"3:00 PM"</f>
        <v>3:00 PM</v>
      </c>
      <c r="BS1272" t="s">
        <v>133</v>
      </c>
      <c r="BT1272">
        <v>0</v>
      </c>
      <c r="BU1272">
        <v>0</v>
      </c>
      <c r="BV1272" t="s">
        <v>134</v>
      </c>
      <c r="BX1272" t="s">
        <v>16461</v>
      </c>
      <c r="BY1272" t="s">
        <v>3592</v>
      </c>
      <c r="CA1272" t="s">
        <v>3593</v>
      </c>
      <c r="CB1272" t="s">
        <v>154</v>
      </c>
      <c r="CC1272" s="4" t="str">
        <f>"33976"</f>
        <v>33976</v>
      </c>
      <c r="CD1272" t="s">
        <v>1505</v>
      </c>
      <c r="CE1272" t="s">
        <v>1506</v>
      </c>
      <c r="CF1272" s="6">
        <v>14.42</v>
      </c>
      <c r="CJ1272" t="s">
        <v>137</v>
      </c>
      <c r="CL1272" t="s">
        <v>3594</v>
      </c>
      <c r="CO1272" t="s">
        <v>138</v>
      </c>
      <c r="CP1272" t="s">
        <v>134</v>
      </c>
      <c r="CQ1272" t="s">
        <v>114</v>
      </c>
      <c r="CR1272" t="s">
        <v>134</v>
      </c>
      <c r="CS1272" t="s">
        <v>114</v>
      </c>
      <c r="CT1272" t="s">
        <v>114</v>
      </c>
      <c r="CU1272" t="s">
        <v>114</v>
      </c>
      <c r="CV1272" t="s">
        <v>16462</v>
      </c>
      <c r="CW1272" s="5" t="str">
        <f>"+12398720718"</f>
        <v>+12398720718</v>
      </c>
      <c r="CX1272" t="s">
        <v>3591</v>
      </c>
      <c r="CY1272" t="s">
        <v>16463</v>
      </c>
      <c r="CZ1272" t="s">
        <v>139</v>
      </c>
      <c r="DA1272" t="s">
        <v>134</v>
      </c>
      <c r="DB1272" t="s">
        <v>134</v>
      </c>
      <c r="DC1272" t="s">
        <v>114</v>
      </c>
      <c r="DD1272" t="s">
        <v>134</v>
      </c>
    </row>
    <row r="1273" spans="1:113" ht="15" customHeight="1" x14ac:dyDescent="0.25">
      <c r="A1273" t="s">
        <v>8716</v>
      </c>
      <c r="B1273" t="s">
        <v>113</v>
      </c>
      <c r="C1273" s="1">
        <v>44812.554671527774</v>
      </c>
      <c r="D1273" s="1">
        <v>44848</v>
      </c>
      <c r="E1273" t="s">
        <v>134</v>
      </c>
      <c r="F1273" t="s">
        <v>8717</v>
      </c>
      <c r="G1273" t="str">
        <f>"51-4081.00"</f>
        <v>51-4081.00</v>
      </c>
      <c r="H1273" t="s">
        <v>8718</v>
      </c>
      <c r="I1273">
        <v>15</v>
      </c>
      <c r="K1273" s="1">
        <v>44887</v>
      </c>
      <c r="L1273" s="1">
        <v>45016</v>
      </c>
      <c r="O1273" t="s">
        <v>117</v>
      </c>
      <c r="P1273" t="s">
        <v>8719</v>
      </c>
      <c r="Q1273" t="s">
        <v>8720</v>
      </c>
      <c r="R1273" t="s">
        <v>8721</v>
      </c>
      <c r="T1273" t="s">
        <v>8722</v>
      </c>
      <c r="U1273" t="s">
        <v>184</v>
      </c>
      <c r="V1273" s="4" t="str">
        <f>"60139"</f>
        <v>60139</v>
      </c>
      <c r="W1273" t="s">
        <v>120</v>
      </c>
      <c r="Y1273" s="5">
        <v>16304740743</v>
      </c>
      <c r="AA1273">
        <v>333517</v>
      </c>
      <c r="AB1273" t="s">
        <v>8723</v>
      </c>
      <c r="AC1273" t="s">
        <v>146</v>
      </c>
      <c r="AD1273" t="s">
        <v>976</v>
      </c>
      <c r="AE1273" t="s">
        <v>1272</v>
      </c>
      <c r="AF1273" t="s">
        <v>8721</v>
      </c>
      <c r="AH1273" t="s">
        <v>8722</v>
      </c>
      <c r="AI1273" t="s">
        <v>184</v>
      </c>
      <c r="AJ1273" s="4" t="str">
        <f>"60139"</f>
        <v>60139</v>
      </c>
      <c r="AK1273" t="s">
        <v>120</v>
      </c>
      <c r="AM1273" s="5">
        <v>16304740734</v>
      </c>
      <c r="AO1273" t="s">
        <v>138</v>
      </c>
      <c r="AP1273" t="s">
        <v>122</v>
      </c>
      <c r="AQ1273" t="s">
        <v>864</v>
      </c>
      <c r="AR1273" t="s">
        <v>865</v>
      </c>
      <c r="AS1273" t="s">
        <v>370</v>
      </c>
      <c r="AT1273" t="s">
        <v>2109</v>
      </c>
      <c r="AV1273" t="s">
        <v>684</v>
      </c>
      <c r="AW1273" t="s">
        <v>232</v>
      </c>
      <c r="AX1273" s="4" t="str">
        <f>"78748"</f>
        <v>78748</v>
      </c>
      <c r="AY1273" t="s">
        <v>120</v>
      </c>
      <c r="BA1273" s="5">
        <v>15123470007</v>
      </c>
      <c r="BC1273" t="s">
        <v>2110</v>
      </c>
      <c r="BD1273" t="s">
        <v>2111</v>
      </c>
      <c r="BE1273" t="s">
        <v>232</v>
      </c>
      <c r="BF1273" t="s">
        <v>687</v>
      </c>
      <c r="BG1273" t="s">
        <v>184</v>
      </c>
      <c r="BH1273" s="1">
        <v>44811.833333333336</v>
      </c>
      <c r="BI1273">
        <v>40</v>
      </c>
      <c r="BJ1273">
        <v>0</v>
      </c>
      <c r="BK1273">
        <v>8</v>
      </c>
      <c r="BL1273">
        <v>8</v>
      </c>
      <c r="BM1273">
        <v>8</v>
      </c>
      <c r="BN1273">
        <v>8</v>
      </c>
      <c r="BO1273">
        <v>8</v>
      </c>
      <c r="BP1273">
        <v>0</v>
      </c>
      <c r="BQ1273" t="str">
        <f>"5:00 AM"</f>
        <v>5:00 AM</v>
      </c>
      <c r="BR1273" t="str">
        <f>"3:00 PM"</f>
        <v>3:00 PM</v>
      </c>
      <c r="BS1273" t="s">
        <v>133</v>
      </c>
      <c r="BT1273">
        <v>0</v>
      </c>
      <c r="BU1273">
        <v>3</v>
      </c>
      <c r="BV1273" t="s">
        <v>134</v>
      </c>
      <c r="BX1273" s="2" t="s">
        <v>8724</v>
      </c>
      <c r="BY1273" t="s">
        <v>8725</v>
      </c>
      <c r="CA1273" t="s">
        <v>8726</v>
      </c>
      <c r="CB1273" t="s">
        <v>1147</v>
      </c>
      <c r="CC1273" s="4" t="str">
        <f>"48054"</f>
        <v>48054</v>
      </c>
      <c r="CD1273" t="s">
        <v>8727</v>
      </c>
      <c r="CE1273" t="s">
        <v>1556</v>
      </c>
      <c r="CF1273" s="6">
        <v>2035</v>
      </c>
      <c r="CH1273" s="6">
        <v>30.86</v>
      </c>
      <c r="CJ1273" t="s">
        <v>137</v>
      </c>
      <c r="CK1273" t="s">
        <v>6918</v>
      </c>
      <c r="CL1273" t="s">
        <v>8728</v>
      </c>
      <c r="CO1273" t="s">
        <v>138</v>
      </c>
      <c r="CP1273" t="s">
        <v>134</v>
      </c>
      <c r="CQ1273" t="s">
        <v>114</v>
      </c>
      <c r="CR1273" t="s">
        <v>114</v>
      </c>
      <c r="CS1273" t="s">
        <v>134</v>
      </c>
      <c r="CT1273" t="s">
        <v>114</v>
      </c>
      <c r="CU1273" t="s">
        <v>114</v>
      </c>
      <c r="CV1273" s="2" t="s">
        <v>8729</v>
      </c>
      <c r="CW1273" s="5" t="str">
        <f>"+16304740735"</f>
        <v>+16304740735</v>
      </c>
      <c r="CX1273" t="s">
        <v>8730</v>
      </c>
      <c r="CY1273" t="s">
        <v>138</v>
      </c>
      <c r="CZ1273" t="s">
        <v>139</v>
      </c>
      <c r="DA1273" t="s">
        <v>134</v>
      </c>
      <c r="DB1273" t="s">
        <v>134</v>
      </c>
      <c r="DC1273" t="s">
        <v>114</v>
      </c>
      <c r="DD1273" t="s">
        <v>134</v>
      </c>
    </row>
    <row r="1274" spans="1:113" ht="15" customHeight="1" x14ac:dyDescent="0.25">
      <c r="A1274" t="s">
        <v>4986</v>
      </c>
      <c r="B1274" t="s">
        <v>113</v>
      </c>
      <c r="C1274" s="1">
        <v>44818.624649189813</v>
      </c>
      <c r="D1274" s="1">
        <v>44847</v>
      </c>
      <c r="E1274" t="s">
        <v>134</v>
      </c>
      <c r="F1274" t="s">
        <v>4987</v>
      </c>
      <c r="G1274" t="str">
        <f>"25-3021.00"</f>
        <v>25-3021.00</v>
      </c>
      <c r="H1274" t="s">
        <v>4988</v>
      </c>
      <c r="I1274">
        <v>5</v>
      </c>
      <c r="K1274" s="1">
        <v>44896</v>
      </c>
      <c r="L1274" s="1">
        <v>45032</v>
      </c>
      <c r="O1274" t="s">
        <v>199</v>
      </c>
      <c r="P1274" t="s">
        <v>4989</v>
      </c>
      <c r="Q1274" t="s">
        <v>4990</v>
      </c>
      <c r="R1274" t="s">
        <v>4991</v>
      </c>
      <c r="T1274" t="s">
        <v>4992</v>
      </c>
      <c r="U1274" t="s">
        <v>792</v>
      </c>
      <c r="V1274" s="4" t="str">
        <f>"98022"</f>
        <v>98022</v>
      </c>
      <c r="W1274" t="s">
        <v>120</v>
      </c>
      <c r="Y1274" s="5">
        <v>18332797895</v>
      </c>
      <c r="AA1274">
        <v>721110</v>
      </c>
      <c r="AB1274" t="s">
        <v>4993</v>
      </c>
      <c r="AC1274" t="s">
        <v>4471</v>
      </c>
      <c r="AE1274" t="s">
        <v>474</v>
      </c>
      <c r="AF1274" t="s">
        <v>4991</v>
      </c>
      <c r="AH1274" t="s">
        <v>4992</v>
      </c>
      <c r="AI1274" t="s">
        <v>792</v>
      </c>
      <c r="AJ1274" s="4" t="str">
        <f>"98022"</f>
        <v>98022</v>
      </c>
      <c r="AK1274" t="s">
        <v>120</v>
      </c>
      <c r="AM1274" s="5">
        <v>18332797895</v>
      </c>
      <c r="AO1274" t="s">
        <v>4994</v>
      </c>
      <c r="AP1274" t="s">
        <v>122</v>
      </c>
      <c r="AQ1274" t="s">
        <v>3685</v>
      </c>
      <c r="AR1274" t="s">
        <v>2874</v>
      </c>
      <c r="AS1274" t="s">
        <v>3686</v>
      </c>
      <c r="AT1274" t="s">
        <v>3687</v>
      </c>
      <c r="AU1274" t="s">
        <v>152</v>
      </c>
      <c r="AV1274" t="s">
        <v>3688</v>
      </c>
      <c r="AW1274" t="s">
        <v>444</v>
      </c>
      <c r="AX1274" s="4" t="str">
        <f>"91361"</f>
        <v>91361</v>
      </c>
      <c r="AY1274" t="s">
        <v>120</v>
      </c>
      <c r="BA1274" s="5">
        <v>18052611393</v>
      </c>
      <c r="BC1274" t="s">
        <v>3689</v>
      </c>
      <c r="BD1274" t="s">
        <v>3690</v>
      </c>
      <c r="BE1274" t="s">
        <v>154</v>
      </c>
      <c r="BF1274" t="s">
        <v>157</v>
      </c>
      <c r="BG1274" t="s">
        <v>792</v>
      </c>
      <c r="BH1274" s="1">
        <v>44816.833333333336</v>
      </c>
      <c r="BI1274">
        <v>35</v>
      </c>
      <c r="BJ1274">
        <v>5</v>
      </c>
      <c r="BK1274">
        <v>5</v>
      </c>
      <c r="BL1274">
        <v>5</v>
      </c>
      <c r="BM1274">
        <v>5</v>
      </c>
      <c r="BN1274">
        <v>5</v>
      </c>
      <c r="BO1274">
        <v>5</v>
      </c>
      <c r="BP1274">
        <v>5</v>
      </c>
      <c r="BQ1274" t="str">
        <f>"7:00 AM"</f>
        <v>7:00 AM</v>
      </c>
      <c r="BR1274" t="str">
        <f>"4:00 PM"</f>
        <v>4:00 PM</v>
      </c>
      <c r="BS1274" t="s">
        <v>133</v>
      </c>
      <c r="BT1274">
        <v>0</v>
      </c>
      <c r="BU1274">
        <v>12</v>
      </c>
      <c r="BV1274" t="s">
        <v>134</v>
      </c>
      <c r="BX1274" s="2" t="s">
        <v>4995</v>
      </c>
      <c r="BY1274" t="s">
        <v>4991</v>
      </c>
      <c r="CA1274" t="s">
        <v>4992</v>
      </c>
      <c r="CB1274" t="s">
        <v>792</v>
      </c>
      <c r="CC1274" s="4" t="str">
        <f>"98022"</f>
        <v>98022</v>
      </c>
      <c r="CD1274" t="s">
        <v>2679</v>
      </c>
      <c r="CE1274" t="s">
        <v>2680</v>
      </c>
      <c r="CF1274" s="6">
        <v>24.52</v>
      </c>
      <c r="CG1274" s="6">
        <v>29</v>
      </c>
      <c r="CJ1274" t="s">
        <v>137</v>
      </c>
      <c r="CK1274" t="s">
        <v>4996</v>
      </c>
      <c r="CL1274" t="s">
        <v>4997</v>
      </c>
      <c r="CO1274" t="s">
        <v>138</v>
      </c>
      <c r="CP1274" t="s">
        <v>134</v>
      </c>
      <c r="CQ1274" t="s">
        <v>114</v>
      </c>
      <c r="CR1274" t="s">
        <v>134</v>
      </c>
      <c r="CS1274" t="s">
        <v>114</v>
      </c>
      <c r="CT1274" t="s">
        <v>114</v>
      </c>
      <c r="CU1274" t="s">
        <v>114</v>
      </c>
      <c r="CV1274" s="2" t="s">
        <v>4998</v>
      </c>
      <c r="CW1274" s="5" t="str">
        <f>"+13606633031"</f>
        <v>+13606633031</v>
      </c>
      <c r="CX1274" t="s">
        <v>4999</v>
      </c>
      <c r="CY1274" t="s">
        <v>138</v>
      </c>
      <c r="CZ1274" t="s">
        <v>139</v>
      </c>
      <c r="DA1274" t="s">
        <v>134</v>
      </c>
      <c r="DB1274" t="s">
        <v>134</v>
      </c>
      <c r="DC1274" t="s">
        <v>114</v>
      </c>
      <c r="DD1274" t="s">
        <v>134</v>
      </c>
    </row>
    <row r="1275" spans="1:113" ht="15" customHeight="1" x14ac:dyDescent="0.25">
      <c r="A1275" t="s">
        <v>13941</v>
      </c>
      <c r="B1275" t="s">
        <v>113</v>
      </c>
      <c r="C1275" s="1">
        <v>44813.661626041663</v>
      </c>
      <c r="D1275" s="1">
        <v>44847</v>
      </c>
      <c r="E1275" t="s">
        <v>134</v>
      </c>
      <c r="F1275" t="s">
        <v>1683</v>
      </c>
      <c r="G1275" t="str">
        <f>"53-3032.00"</f>
        <v>53-3032.00</v>
      </c>
      <c r="H1275" t="s">
        <v>227</v>
      </c>
      <c r="I1275">
        <v>3</v>
      </c>
      <c r="K1275" s="1">
        <v>44889</v>
      </c>
      <c r="L1275" s="1">
        <v>45161</v>
      </c>
      <c r="O1275" t="s">
        <v>199</v>
      </c>
      <c r="P1275" t="s">
        <v>13942</v>
      </c>
      <c r="R1275" t="s">
        <v>13943</v>
      </c>
      <c r="T1275" t="s">
        <v>13944</v>
      </c>
      <c r="U1275" t="s">
        <v>1003</v>
      </c>
      <c r="V1275" s="4" t="str">
        <f>"07501"</f>
        <v>07501</v>
      </c>
      <c r="W1275" t="s">
        <v>120</v>
      </c>
      <c r="Y1275" s="5">
        <v>12012030331</v>
      </c>
      <c r="AA1275">
        <v>484230</v>
      </c>
      <c r="AB1275" t="s">
        <v>13945</v>
      </c>
      <c r="AC1275" t="s">
        <v>5508</v>
      </c>
      <c r="AE1275" t="s">
        <v>424</v>
      </c>
      <c r="AF1275" t="s">
        <v>13946</v>
      </c>
      <c r="AH1275" t="s">
        <v>13944</v>
      </c>
      <c r="AI1275" t="s">
        <v>1003</v>
      </c>
      <c r="AJ1275" s="4" t="str">
        <f>"07501"</f>
        <v>07501</v>
      </c>
      <c r="AK1275" t="s">
        <v>120</v>
      </c>
      <c r="AM1275" s="5">
        <v>12012030331</v>
      </c>
      <c r="AO1275" t="s">
        <v>13947</v>
      </c>
      <c r="AP1275" t="s">
        <v>122</v>
      </c>
      <c r="AQ1275" t="s">
        <v>13948</v>
      </c>
      <c r="AR1275" t="s">
        <v>1841</v>
      </c>
      <c r="AS1275" t="s">
        <v>1487</v>
      </c>
      <c r="AT1275" t="s">
        <v>13949</v>
      </c>
      <c r="AV1275" t="s">
        <v>8910</v>
      </c>
      <c r="AW1275" t="s">
        <v>1003</v>
      </c>
      <c r="AX1275" s="4" t="str">
        <f>"07011"</f>
        <v>07011</v>
      </c>
      <c r="AY1275" t="s">
        <v>120</v>
      </c>
      <c r="BA1275" s="5">
        <v>19734736889</v>
      </c>
      <c r="BC1275" t="s">
        <v>13950</v>
      </c>
      <c r="BD1275" t="s">
        <v>13951</v>
      </c>
      <c r="BE1275" t="s">
        <v>1003</v>
      </c>
      <c r="BF1275" t="s">
        <v>1873</v>
      </c>
      <c r="BG1275" t="s">
        <v>1003</v>
      </c>
      <c r="BH1275" s="1">
        <v>44783.833333333336</v>
      </c>
      <c r="BI1275">
        <v>50</v>
      </c>
      <c r="BJ1275">
        <v>0</v>
      </c>
      <c r="BK1275">
        <v>10</v>
      </c>
      <c r="BL1275">
        <v>10</v>
      </c>
      <c r="BM1275">
        <v>10</v>
      </c>
      <c r="BN1275">
        <v>10</v>
      </c>
      <c r="BO1275">
        <v>10</v>
      </c>
      <c r="BP1275">
        <v>0</v>
      </c>
      <c r="BQ1275" t="str">
        <f>"9:00 AM"</f>
        <v>9:00 AM</v>
      </c>
      <c r="BR1275" t="str">
        <f>"8:00 PM"</f>
        <v>8:00 PM</v>
      </c>
      <c r="BS1275" t="s">
        <v>133</v>
      </c>
      <c r="BT1275">
        <v>0</v>
      </c>
      <c r="BU1275">
        <v>12</v>
      </c>
      <c r="BV1275" t="s">
        <v>134</v>
      </c>
      <c r="BX1275" t="s">
        <v>13952</v>
      </c>
      <c r="BY1275" t="s">
        <v>13953</v>
      </c>
      <c r="CA1275" t="s">
        <v>13954</v>
      </c>
      <c r="CB1275" t="s">
        <v>1003</v>
      </c>
      <c r="CC1275" s="4" t="str">
        <f>"07885"</f>
        <v>07885</v>
      </c>
      <c r="CD1275" t="s">
        <v>1640</v>
      </c>
      <c r="CE1275" t="s">
        <v>1009</v>
      </c>
      <c r="CF1275" s="6">
        <v>28.17</v>
      </c>
      <c r="CH1275" s="6">
        <v>42.26</v>
      </c>
      <c r="CJ1275" t="s">
        <v>137</v>
      </c>
      <c r="CL1275" t="s">
        <v>13955</v>
      </c>
      <c r="CO1275" t="s">
        <v>138</v>
      </c>
      <c r="CP1275" t="s">
        <v>134</v>
      </c>
      <c r="CQ1275" t="s">
        <v>134</v>
      </c>
      <c r="CR1275" t="s">
        <v>114</v>
      </c>
      <c r="CS1275" t="s">
        <v>134</v>
      </c>
      <c r="CT1275" t="s">
        <v>114</v>
      </c>
      <c r="CU1275" t="s">
        <v>114</v>
      </c>
      <c r="CV1275" t="s">
        <v>13956</v>
      </c>
      <c r="CW1275" s="5" t="str">
        <f>"+12012030331"</f>
        <v>+12012030331</v>
      </c>
      <c r="CX1275" t="s">
        <v>13947</v>
      </c>
      <c r="CY1275" t="s">
        <v>138</v>
      </c>
      <c r="CZ1275" t="s">
        <v>139</v>
      </c>
      <c r="DA1275" t="s">
        <v>134</v>
      </c>
      <c r="DB1275" t="s">
        <v>134</v>
      </c>
      <c r="DC1275" t="s">
        <v>114</v>
      </c>
      <c r="DD1275" t="s">
        <v>134</v>
      </c>
      <c r="DE1275" t="s">
        <v>13948</v>
      </c>
      <c r="DF1275" t="s">
        <v>13957</v>
      </c>
      <c r="DH1275" t="s">
        <v>13951</v>
      </c>
      <c r="DI1275" t="s">
        <v>13950</v>
      </c>
    </row>
    <row r="1276" spans="1:113" ht="15" customHeight="1" x14ac:dyDescent="0.25">
      <c r="A1276" t="s">
        <v>6576</v>
      </c>
      <c r="B1276" t="s">
        <v>113</v>
      </c>
      <c r="C1276" s="1">
        <v>44813.484622222219</v>
      </c>
      <c r="D1276" s="1">
        <v>44847</v>
      </c>
      <c r="E1276" t="s">
        <v>134</v>
      </c>
      <c r="F1276" t="s">
        <v>6577</v>
      </c>
      <c r="G1276" t="str">
        <f>"37-2012.00"</f>
        <v>37-2012.00</v>
      </c>
      <c r="H1276" t="s">
        <v>116</v>
      </c>
      <c r="I1276">
        <v>6</v>
      </c>
      <c r="K1276" s="1">
        <v>44888</v>
      </c>
      <c r="L1276" s="1">
        <v>45911</v>
      </c>
      <c r="O1276" t="s">
        <v>199</v>
      </c>
      <c r="P1276" t="s">
        <v>6578</v>
      </c>
      <c r="R1276" t="s">
        <v>6579</v>
      </c>
      <c r="T1276" t="s">
        <v>6580</v>
      </c>
      <c r="U1276" t="s">
        <v>1414</v>
      </c>
      <c r="V1276" s="4" t="str">
        <f>"49090"</f>
        <v>49090</v>
      </c>
      <c r="W1276" t="s">
        <v>120</v>
      </c>
      <c r="Y1276" s="5">
        <v>12699061132</v>
      </c>
      <c r="AA1276">
        <v>531110</v>
      </c>
      <c r="AB1276" t="s">
        <v>6581</v>
      </c>
      <c r="AC1276" t="s">
        <v>4292</v>
      </c>
      <c r="AE1276" t="s">
        <v>424</v>
      </c>
      <c r="AF1276" t="s">
        <v>6582</v>
      </c>
      <c r="AH1276" t="s">
        <v>6580</v>
      </c>
      <c r="AI1276" t="s">
        <v>1414</v>
      </c>
      <c r="AJ1276" s="4" t="str">
        <f>"49090"</f>
        <v>49090</v>
      </c>
      <c r="AK1276" t="s">
        <v>120</v>
      </c>
      <c r="AM1276" s="5">
        <v>12699061132</v>
      </c>
      <c r="AO1276" t="s">
        <v>6583</v>
      </c>
      <c r="AP1276" t="s">
        <v>122</v>
      </c>
      <c r="AQ1276" t="s">
        <v>6584</v>
      </c>
      <c r="AR1276" t="s">
        <v>975</v>
      </c>
      <c r="AS1276" t="s">
        <v>976</v>
      </c>
      <c r="AT1276" t="s">
        <v>6585</v>
      </c>
      <c r="AU1276" t="s">
        <v>6586</v>
      </c>
      <c r="AV1276" t="s">
        <v>5555</v>
      </c>
      <c r="AW1276" t="s">
        <v>1414</v>
      </c>
      <c r="AX1276" s="4" t="str">
        <f>"49007"</f>
        <v>49007</v>
      </c>
      <c r="AY1276" t="s">
        <v>120</v>
      </c>
      <c r="BA1276" s="5">
        <v>12692262979</v>
      </c>
      <c r="BC1276" t="s">
        <v>6587</v>
      </c>
      <c r="BD1276" t="s">
        <v>6588</v>
      </c>
      <c r="BE1276" t="s">
        <v>1414</v>
      </c>
      <c r="BF1276" t="s">
        <v>322</v>
      </c>
      <c r="BG1276" t="s">
        <v>1414</v>
      </c>
      <c r="BH1276" s="1">
        <v>44809.833333333336</v>
      </c>
      <c r="BI1276">
        <v>42</v>
      </c>
      <c r="BJ1276">
        <v>6</v>
      </c>
      <c r="BK1276">
        <v>6</v>
      </c>
      <c r="BL1276">
        <v>6</v>
      </c>
      <c r="BM1276">
        <v>6</v>
      </c>
      <c r="BN1276">
        <v>6</v>
      </c>
      <c r="BO1276">
        <v>6</v>
      </c>
      <c r="BP1276">
        <v>6</v>
      </c>
      <c r="BQ1276" t="str">
        <f>"10:00 AM"</f>
        <v>10:00 AM</v>
      </c>
      <c r="BR1276" t="str">
        <f>"6:00 PM"</f>
        <v>6:00 PM</v>
      </c>
      <c r="BS1276" t="s">
        <v>133</v>
      </c>
      <c r="BT1276">
        <v>0</v>
      </c>
      <c r="BU1276">
        <v>0</v>
      </c>
      <c r="BV1276" t="s">
        <v>134</v>
      </c>
      <c r="BX1276" s="2" t="s">
        <v>6589</v>
      </c>
      <c r="BY1276" t="s">
        <v>6582</v>
      </c>
      <c r="BZ1276" t="s">
        <v>6590</v>
      </c>
      <c r="CA1276" t="s">
        <v>6580</v>
      </c>
      <c r="CB1276" t="s">
        <v>1414</v>
      </c>
      <c r="CC1276" s="4" t="str">
        <f>"49090"</f>
        <v>49090</v>
      </c>
      <c r="CD1276" t="s">
        <v>6591</v>
      </c>
      <c r="CE1276" t="s">
        <v>5504</v>
      </c>
      <c r="CF1276" s="6">
        <v>13.38</v>
      </c>
      <c r="CG1276" s="6">
        <v>16</v>
      </c>
      <c r="CH1276" s="6">
        <v>20.07</v>
      </c>
      <c r="CI1276" s="6">
        <v>30.1</v>
      </c>
      <c r="CJ1276" t="s">
        <v>137</v>
      </c>
      <c r="CL1276" t="s">
        <v>6592</v>
      </c>
      <c r="CO1276" t="s">
        <v>138</v>
      </c>
      <c r="CP1276" t="s">
        <v>114</v>
      </c>
      <c r="CQ1276" t="s">
        <v>134</v>
      </c>
      <c r="CR1276" t="s">
        <v>114</v>
      </c>
      <c r="CS1276" t="s">
        <v>134</v>
      </c>
      <c r="CT1276" t="s">
        <v>114</v>
      </c>
      <c r="CU1276" t="s">
        <v>134</v>
      </c>
      <c r="CV1276" t="s">
        <v>2814</v>
      </c>
      <c r="CW1276" s="5" t="str">
        <f>"+12699061132"</f>
        <v>+12699061132</v>
      </c>
      <c r="CX1276" t="s">
        <v>6583</v>
      </c>
      <c r="CY1276" t="s">
        <v>138</v>
      </c>
      <c r="CZ1276" t="s">
        <v>139</v>
      </c>
      <c r="DA1276" t="s">
        <v>134</v>
      </c>
      <c r="DB1276" t="s">
        <v>134</v>
      </c>
      <c r="DC1276" t="s">
        <v>114</v>
      </c>
      <c r="DD1276" t="s">
        <v>134</v>
      </c>
    </row>
    <row r="1277" spans="1:113" ht="15" customHeight="1" x14ac:dyDescent="0.25">
      <c r="A1277" t="s">
        <v>10434</v>
      </c>
      <c r="B1277" t="s">
        <v>113</v>
      </c>
      <c r="C1277" s="1">
        <v>44789.514482754632</v>
      </c>
      <c r="D1277" s="1">
        <v>44847</v>
      </c>
      <c r="E1277" t="s">
        <v>134</v>
      </c>
      <c r="F1277" t="s">
        <v>10435</v>
      </c>
      <c r="G1277" t="str">
        <f>"37-2011.00"</f>
        <v>37-2011.00</v>
      </c>
      <c r="H1277" t="s">
        <v>672</v>
      </c>
      <c r="I1277">
        <v>10</v>
      </c>
      <c r="K1277" s="1">
        <v>44866</v>
      </c>
      <c r="L1277" s="1">
        <v>45017</v>
      </c>
      <c r="O1277" t="s">
        <v>117</v>
      </c>
      <c r="P1277" t="s">
        <v>8085</v>
      </c>
      <c r="R1277" t="s">
        <v>8086</v>
      </c>
      <c r="T1277" t="s">
        <v>8087</v>
      </c>
      <c r="U1277" t="s">
        <v>2081</v>
      </c>
      <c r="V1277" s="4" t="str">
        <f>"51331"</f>
        <v>51331</v>
      </c>
      <c r="W1277" t="s">
        <v>120</v>
      </c>
      <c r="Y1277" s="5">
        <v>17123326521</v>
      </c>
      <c r="AA1277">
        <v>71311</v>
      </c>
      <c r="AB1277" t="s">
        <v>8088</v>
      </c>
      <c r="AC1277" t="s">
        <v>780</v>
      </c>
      <c r="AE1277" t="s">
        <v>1654</v>
      </c>
      <c r="AF1277" t="s">
        <v>8086</v>
      </c>
      <c r="AH1277" t="s">
        <v>8087</v>
      </c>
      <c r="AI1277" t="s">
        <v>2081</v>
      </c>
      <c r="AJ1277" s="4" t="str">
        <f>"51331"</f>
        <v>51331</v>
      </c>
      <c r="AK1277" t="s">
        <v>120</v>
      </c>
      <c r="AM1277" s="5">
        <v>17123326521</v>
      </c>
      <c r="AO1277" t="s">
        <v>1574</v>
      </c>
      <c r="AP1277" t="s">
        <v>256</v>
      </c>
      <c r="AQ1277" t="s">
        <v>2145</v>
      </c>
      <c r="AR1277" t="s">
        <v>1965</v>
      </c>
      <c r="AT1277" t="s">
        <v>1943</v>
      </c>
      <c r="AU1277" t="s">
        <v>1944</v>
      </c>
      <c r="AV1277" t="s">
        <v>1945</v>
      </c>
      <c r="AW1277" t="s">
        <v>631</v>
      </c>
      <c r="AX1277" s="4" t="str">
        <f>"74136"</f>
        <v>74136</v>
      </c>
      <c r="AY1277" t="s">
        <v>120</v>
      </c>
      <c r="AZ1277" t="s">
        <v>5588</v>
      </c>
      <c r="BA1277" s="5">
        <v>19189065212</v>
      </c>
      <c r="BC1277" t="s">
        <v>5589</v>
      </c>
      <c r="BD1277" t="s">
        <v>1947</v>
      </c>
      <c r="BG1277" t="s">
        <v>2081</v>
      </c>
      <c r="BH1277" s="1">
        <v>44783.833333333336</v>
      </c>
      <c r="BI1277">
        <v>40</v>
      </c>
      <c r="BJ1277">
        <v>8</v>
      </c>
      <c r="BK1277">
        <v>0</v>
      </c>
      <c r="BL1277">
        <v>0</v>
      </c>
      <c r="BM1277">
        <v>8</v>
      </c>
      <c r="BN1277">
        <v>8</v>
      </c>
      <c r="BO1277">
        <v>8</v>
      </c>
      <c r="BP1277">
        <v>8</v>
      </c>
      <c r="BQ1277" t="str">
        <f>"8:00 AM"</f>
        <v>8:00 AM</v>
      </c>
      <c r="BR1277" t="str">
        <f>"5:00 PM"</f>
        <v>5:00 PM</v>
      </c>
      <c r="BS1277" t="s">
        <v>295</v>
      </c>
      <c r="BT1277">
        <v>0</v>
      </c>
      <c r="BU1277">
        <v>0</v>
      </c>
      <c r="BV1277" t="s">
        <v>134</v>
      </c>
      <c r="BX1277" s="2" t="s">
        <v>10436</v>
      </c>
      <c r="BY1277" t="s">
        <v>8086</v>
      </c>
      <c r="CA1277" t="s">
        <v>8087</v>
      </c>
      <c r="CB1277" t="s">
        <v>2081</v>
      </c>
      <c r="CC1277" s="4" t="str">
        <f>"51331"</f>
        <v>51331</v>
      </c>
      <c r="CD1277" t="s">
        <v>2621</v>
      </c>
      <c r="CE1277" t="s">
        <v>2085</v>
      </c>
      <c r="CF1277" s="6">
        <v>15</v>
      </c>
      <c r="CG1277" s="6">
        <v>15</v>
      </c>
      <c r="CH1277" s="6">
        <v>22.5</v>
      </c>
      <c r="CI1277" s="6">
        <v>22.5</v>
      </c>
      <c r="CJ1277" t="s">
        <v>137</v>
      </c>
      <c r="CK1277" t="s">
        <v>1948</v>
      </c>
      <c r="CL1277" t="s">
        <v>10437</v>
      </c>
      <c r="CO1277" t="s">
        <v>138</v>
      </c>
      <c r="CP1277" t="s">
        <v>134</v>
      </c>
      <c r="CQ1277" t="s">
        <v>134</v>
      </c>
      <c r="CR1277" t="s">
        <v>114</v>
      </c>
      <c r="CS1277" t="s">
        <v>114</v>
      </c>
      <c r="CT1277" t="s">
        <v>114</v>
      </c>
      <c r="CU1277" t="s">
        <v>114</v>
      </c>
      <c r="CV1277" s="2" t="s">
        <v>10438</v>
      </c>
      <c r="CW1277" s="5" t="str">
        <f>"+17123326521"</f>
        <v>+17123326521</v>
      </c>
      <c r="CX1277" t="s">
        <v>138</v>
      </c>
      <c r="CY1277" t="s">
        <v>2087</v>
      </c>
      <c r="CZ1277" t="s">
        <v>139</v>
      </c>
      <c r="DA1277" t="s">
        <v>134</v>
      </c>
      <c r="DB1277" t="s">
        <v>134</v>
      </c>
      <c r="DC1277" t="s">
        <v>114</v>
      </c>
      <c r="DD1277" t="s">
        <v>134</v>
      </c>
    </row>
    <row r="1278" spans="1:113" ht="15" customHeight="1" x14ac:dyDescent="0.25">
      <c r="A1278" t="s">
        <v>3745</v>
      </c>
      <c r="B1278" t="s">
        <v>113</v>
      </c>
      <c r="C1278" s="1">
        <v>44778.765040509257</v>
      </c>
      <c r="D1278" s="1">
        <v>44847</v>
      </c>
      <c r="E1278" t="s">
        <v>134</v>
      </c>
      <c r="F1278" t="s">
        <v>3746</v>
      </c>
      <c r="G1278" t="str">
        <f>"39-5011.00"</f>
        <v>39-5011.00</v>
      </c>
      <c r="H1278" t="s">
        <v>3747</v>
      </c>
      <c r="I1278">
        <v>1</v>
      </c>
      <c r="K1278" s="1">
        <v>44853</v>
      </c>
      <c r="L1278" s="1">
        <v>45138</v>
      </c>
      <c r="O1278" t="s">
        <v>199</v>
      </c>
      <c r="P1278" t="s">
        <v>3748</v>
      </c>
      <c r="Q1278" t="s">
        <v>3749</v>
      </c>
      <c r="R1278" t="s">
        <v>3750</v>
      </c>
      <c r="T1278" t="s">
        <v>3751</v>
      </c>
      <c r="U1278" t="s">
        <v>119</v>
      </c>
      <c r="V1278" s="4" t="str">
        <f>"27203"</f>
        <v>27203</v>
      </c>
      <c r="W1278" t="s">
        <v>120</v>
      </c>
      <c r="Y1278" s="5">
        <v>17188130016</v>
      </c>
      <c r="AA1278">
        <v>812112</v>
      </c>
      <c r="AB1278" t="s">
        <v>3752</v>
      </c>
      <c r="AC1278" t="s">
        <v>3753</v>
      </c>
      <c r="AE1278" t="s">
        <v>424</v>
      </c>
      <c r="AF1278" t="s">
        <v>3750</v>
      </c>
      <c r="AH1278" t="s">
        <v>3751</v>
      </c>
      <c r="AI1278" t="s">
        <v>119</v>
      </c>
      <c r="AJ1278" s="4" t="str">
        <f>"27203"</f>
        <v>27203</v>
      </c>
      <c r="AK1278" t="s">
        <v>120</v>
      </c>
      <c r="AM1278" s="5">
        <v>17188130016</v>
      </c>
      <c r="AO1278" t="s">
        <v>3754</v>
      </c>
      <c r="AP1278" t="s">
        <v>122</v>
      </c>
      <c r="AQ1278" t="s">
        <v>3755</v>
      </c>
      <c r="AR1278" t="s">
        <v>2311</v>
      </c>
      <c r="AT1278" t="s">
        <v>3756</v>
      </c>
      <c r="AU1278" t="s">
        <v>2379</v>
      </c>
      <c r="AV1278" t="s">
        <v>2014</v>
      </c>
      <c r="AW1278" t="s">
        <v>154</v>
      </c>
      <c r="AX1278" s="4" t="str">
        <f>"33130"</f>
        <v>33130</v>
      </c>
      <c r="AY1278" t="s">
        <v>120</v>
      </c>
      <c r="BA1278" s="5">
        <v>17862929704</v>
      </c>
      <c r="BC1278" t="s">
        <v>3757</v>
      </c>
      <c r="BD1278" t="s">
        <v>3758</v>
      </c>
      <c r="BE1278" t="s">
        <v>154</v>
      </c>
      <c r="BF1278" t="s">
        <v>458</v>
      </c>
      <c r="BG1278" t="s">
        <v>119</v>
      </c>
      <c r="BH1278" s="1">
        <v>44744.833333333336</v>
      </c>
      <c r="BI1278">
        <v>54</v>
      </c>
      <c r="BJ1278">
        <v>0</v>
      </c>
      <c r="BK1278">
        <v>9</v>
      </c>
      <c r="BL1278">
        <v>9</v>
      </c>
      <c r="BM1278">
        <v>9</v>
      </c>
      <c r="BN1278">
        <v>9</v>
      </c>
      <c r="BO1278">
        <v>9</v>
      </c>
      <c r="BP1278">
        <v>9</v>
      </c>
      <c r="BQ1278" t="str">
        <f>"10:00 AM"</f>
        <v>10:00 AM</v>
      </c>
      <c r="BR1278" t="str">
        <f>"7:00 PM"</f>
        <v>7:00 PM</v>
      </c>
      <c r="BS1278" t="s">
        <v>133</v>
      </c>
      <c r="BT1278">
        <v>0</v>
      </c>
      <c r="BU1278">
        <v>0</v>
      </c>
      <c r="BV1278" t="s">
        <v>134</v>
      </c>
      <c r="BX1278" s="2" t="s">
        <v>3759</v>
      </c>
      <c r="BY1278" t="s">
        <v>3750</v>
      </c>
      <c r="CA1278" t="s">
        <v>3751</v>
      </c>
      <c r="CB1278" t="s">
        <v>119</v>
      </c>
      <c r="CC1278" s="4" t="str">
        <f>"27203"</f>
        <v>27203</v>
      </c>
      <c r="CD1278" t="s">
        <v>3760</v>
      </c>
      <c r="CE1278" t="s">
        <v>3761</v>
      </c>
      <c r="CF1278" s="6">
        <v>23.98</v>
      </c>
      <c r="CG1278" s="6">
        <v>24</v>
      </c>
      <c r="CH1278" s="6">
        <v>35.97</v>
      </c>
      <c r="CI1278" s="6">
        <v>36</v>
      </c>
      <c r="CJ1278" t="s">
        <v>137</v>
      </c>
      <c r="CL1278" t="s">
        <v>3762</v>
      </c>
      <c r="CO1278" t="s">
        <v>138</v>
      </c>
      <c r="CP1278" t="s">
        <v>134</v>
      </c>
      <c r="CQ1278" t="s">
        <v>114</v>
      </c>
      <c r="CR1278" t="s">
        <v>114</v>
      </c>
      <c r="CS1278" t="s">
        <v>114</v>
      </c>
      <c r="CT1278" t="s">
        <v>114</v>
      </c>
      <c r="CU1278" t="s">
        <v>114</v>
      </c>
      <c r="CV1278" t="s">
        <v>3763</v>
      </c>
      <c r="CW1278" s="5" t="str">
        <f>"+17188130016"</f>
        <v>+17188130016</v>
      </c>
      <c r="CX1278" t="s">
        <v>3754</v>
      </c>
      <c r="CY1278" t="s">
        <v>138</v>
      </c>
      <c r="CZ1278" t="s">
        <v>139</v>
      </c>
      <c r="DA1278" t="s">
        <v>134</v>
      </c>
      <c r="DB1278" t="s">
        <v>134</v>
      </c>
      <c r="DC1278" t="s">
        <v>114</v>
      </c>
      <c r="DD1278" t="s">
        <v>134</v>
      </c>
    </row>
    <row r="1279" spans="1:113" ht="15" customHeight="1" x14ac:dyDescent="0.25">
      <c r="A1279" t="s">
        <v>8755</v>
      </c>
      <c r="B1279" t="s">
        <v>113</v>
      </c>
      <c r="C1279" s="1">
        <v>44819.612843518516</v>
      </c>
      <c r="D1279" s="1">
        <v>44846</v>
      </c>
      <c r="E1279" t="s">
        <v>134</v>
      </c>
      <c r="F1279" t="s">
        <v>8756</v>
      </c>
      <c r="G1279" t="str">
        <f>"37-3011.00"</f>
        <v>37-3011.00</v>
      </c>
      <c r="H1279" t="s">
        <v>335</v>
      </c>
      <c r="I1279">
        <v>20</v>
      </c>
      <c r="K1279" s="1">
        <v>44894</v>
      </c>
      <c r="L1279" s="1">
        <v>45078</v>
      </c>
      <c r="O1279" t="s">
        <v>3130</v>
      </c>
      <c r="P1279" t="s">
        <v>8757</v>
      </c>
      <c r="Q1279" t="s">
        <v>8757</v>
      </c>
      <c r="R1279" t="s">
        <v>8758</v>
      </c>
      <c r="T1279" t="s">
        <v>8759</v>
      </c>
      <c r="U1279" t="s">
        <v>444</v>
      </c>
      <c r="V1279" s="4" t="str">
        <f>"91710"</f>
        <v>91710</v>
      </c>
      <c r="W1279" t="s">
        <v>120</v>
      </c>
      <c r="Y1279" s="5">
        <v>19094578260</v>
      </c>
      <c r="AA1279">
        <v>237990</v>
      </c>
      <c r="AB1279" t="s">
        <v>2211</v>
      </c>
      <c r="AC1279" t="s">
        <v>8760</v>
      </c>
      <c r="AD1279" t="s">
        <v>8761</v>
      </c>
      <c r="AE1279" t="s">
        <v>1919</v>
      </c>
      <c r="AF1279" t="s">
        <v>8758</v>
      </c>
      <c r="AH1279" t="s">
        <v>8759</v>
      </c>
      <c r="AI1279" t="s">
        <v>444</v>
      </c>
      <c r="AJ1279" s="4" t="str">
        <f>"91710"</f>
        <v>91710</v>
      </c>
      <c r="AK1279" t="s">
        <v>120</v>
      </c>
      <c r="AM1279" s="5">
        <v>19094578260</v>
      </c>
      <c r="AO1279" t="s">
        <v>8762</v>
      </c>
      <c r="AX1279" s="4" t="str">
        <f>""</f>
        <v/>
      </c>
      <c r="BG1279" t="s">
        <v>444</v>
      </c>
      <c r="BH1279" s="1">
        <v>44818.833333333336</v>
      </c>
      <c r="BI1279">
        <v>40</v>
      </c>
      <c r="BJ1279">
        <v>0</v>
      </c>
      <c r="BK1279">
        <v>8</v>
      </c>
      <c r="BL1279">
        <v>8</v>
      </c>
      <c r="BM1279">
        <v>8</v>
      </c>
      <c r="BN1279">
        <v>8</v>
      </c>
      <c r="BO1279">
        <v>8</v>
      </c>
      <c r="BP1279">
        <v>0</v>
      </c>
      <c r="BQ1279" t="str">
        <f>"7:00 AM"</f>
        <v>7:00 AM</v>
      </c>
      <c r="BR1279" t="str">
        <f>"4:00 PM"</f>
        <v>4:00 PM</v>
      </c>
      <c r="BS1279" t="s">
        <v>295</v>
      </c>
      <c r="BT1279">
        <v>0</v>
      </c>
      <c r="BU1279">
        <v>6</v>
      </c>
      <c r="BV1279" t="s">
        <v>134</v>
      </c>
      <c r="BX1279" t="s">
        <v>8763</v>
      </c>
      <c r="BY1279" t="s">
        <v>8758</v>
      </c>
      <c r="CA1279" t="s">
        <v>8764</v>
      </c>
      <c r="CB1279" t="s">
        <v>444</v>
      </c>
      <c r="CC1279" s="4" t="str">
        <f>"91710"</f>
        <v>91710</v>
      </c>
      <c r="CD1279" t="s">
        <v>1789</v>
      </c>
      <c r="CE1279" t="s">
        <v>609</v>
      </c>
      <c r="CF1279" s="6">
        <v>17.93</v>
      </c>
      <c r="CJ1279" t="s">
        <v>3503</v>
      </c>
      <c r="CL1279" t="s">
        <v>8765</v>
      </c>
      <c r="CO1279" t="s">
        <v>138</v>
      </c>
      <c r="CP1279" t="s">
        <v>114</v>
      </c>
      <c r="CQ1279" t="s">
        <v>134</v>
      </c>
      <c r="CR1279" t="s">
        <v>134</v>
      </c>
      <c r="CS1279" t="s">
        <v>114</v>
      </c>
      <c r="CT1279" t="s">
        <v>114</v>
      </c>
      <c r="CU1279" t="s">
        <v>134</v>
      </c>
      <c r="CV1279" s="2" t="s">
        <v>8766</v>
      </c>
      <c r="CW1279" s="5" t="str">
        <f>"+19094578260"</f>
        <v>+19094578260</v>
      </c>
      <c r="CX1279" t="s">
        <v>8767</v>
      </c>
      <c r="CY1279" t="s">
        <v>8768</v>
      </c>
      <c r="CZ1279" t="s">
        <v>139</v>
      </c>
      <c r="DA1279" t="s">
        <v>134</v>
      </c>
      <c r="DB1279" t="s">
        <v>134</v>
      </c>
      <c r="DC1279" t="s">
        <v>114</v>
      </c>
      <c r="DD1279" t="s">
        <v>134</v>
      </c>
    </row>
    <row r="1280" spans="1:113" ht="15" customHeight="1" x14ac:dyDescent="0.25">
      <c r="A1280" t="s">
        <v>7693</v>
      </c>
      <c r="B1280" t="s">
        <v>113</v>
      </c>
      <c r="C1280" s="1">
        <v>44760.747615624998</v>
      </c>
      <c r="D1280" s="1">
        <v>44846</v>
      </c>
      <c r="E1280" t="s">
        <v>134</v>
      </c>
      <c r="F1280" t="s">
        <v>7694</v>
      </c>
      <c r="G1280" t="str">
        <f>"45-4011.00"</f>
        <v>45-4011.00</v>
      </c>
      <c r="H1280" t="s">
        <v>1107</v>
      </c>
      <c r="I1280">
        <v>20</v>
      </c>
      <c r="K1280" s="1">
        <v>44835</v>
      </c>
      <c r="L1280" s="1">
        <v>44896</v>
      </c>
      <c r="O1280" t="s">
        <v>199</v>
      </c>
      <c r="P1280" t="s">
        <v>7695</v>
      </c>
      <c r="R1280" t="s">
        <v>7696</v>
      </c>
      <c r="T1280" t="s">
        <v>1110</v>
      </c>
      <c r="U1280" t="s">
        <v>511</v>
      </c>
      <c r="V1280" s="4" t="str">
        <f>"97501"</f>
        <v>97501</v>
      </c>
      <c r="W1280" t="s">
        <v>120</v>
      </c>
      <c r="X1280" t="s">
        <v>138</v>
      </c>
      <c r="Y1280" s="5">
        <v>15416134922</v>
      </c>
      <c r="AA1280">
        <v>115310</v>
      </c>
      <c r="AB1280" t="s">
        <v>7697</v>
      </c>
      <c r="AC1280" t="s">
        <v>7698</v>
      </c>
      <c r="AD1280" t="s">
        <v>138</v>
      </c>
      <c r="AE1280" t="s">
        <v>424</v>
      </c>
      <c r="AF1280" t="s">
        <v>7696</v>
      </c>
      <c r="AH1280" t="s">
        <v>1110</v>
      </c>
      <c r="AI1280" t="s">
        <v>511</v>
      </c>
      <c r="AJ1280" s="4" t="str">
        <f>"97501"</f>
        <v>97501</v>
      </c>
      <c r="AK1280" t="s">
        <v>120</v>
      </c>
      <c r="AM1280" s="5">
        <v>15416134922</v>
      </c>
      <c r="AO1280" t="s">
        <v>7699</v>
      </c>
      <c r="AP1280" t="s">
        <v>256</v>
      </c>
      <c r="AQ1280" t="s">
        <v>2231</v>
      </c>
      <c r="AR1280" t="s">
        <v>1670</v>
      </c>
      <c r="AT1280" t="s">
        <v>2232</v>
      </c>
      <c r="AU1280" t="s">
        <v>347</v>
      </c>
      <c r="AV1280" t="s">
        <v>828</v>
      </c>
      <c r="AW1280" t="s">
        <v>349</v>
      </c>
      <c r="AX1280" s="4" t="str">
        <f>"83814"</f>
        <v>83814</v>
      </c>
      <c r="AY1280" t="s">
        <v>120</v>
      </c>
      <c r="BA1280" s="5">
        <v>12087772654</v>
      </c>
      <c r="BC1280" t="s">
        <v>2233</v>
      </c>
      <c r="BD1280" t="s">
        <v>351</v>
      </c>
      <c r="BG1280" t="s">
        <v>511</v>
      </c>
      <c r="BH1280" s="1">
        <v>44759.833333333336</v>
      </c>
      <c r="BI1280">
        <v>40</v>
      </c>
      <c r="BJ1280">
        <v>0</v>
      </c>
      <c r="BK1280">
        <v>8</v>
      </c>
      <c r="BL1280">
        <v>8</v>
      </c>
      <c r="BM1280">
        <v>8</v>
      </c>
      <c r="BN1280">
        <v>8</v>
      </c>
      <c r="BO1280">
        <v>8</v>
      </c>
      <c r="BP1280">
        <v>0</v>
      </c>
      <c r="BQ1280" t="str">
        <f>"7:00 AM"</f>
        <v>7:00 AM</v>
      </c>
      <c r="BR1280" t="str">
        <f>"3:30 PM"</f>
        <v>3:30 PM</v>
      </c>
      <c r="BS1280" t="s">
        <v>133</v>
      </c>
      <c r="BT1280">
        <v>0</v>
      </c>
      <c r="BU1280">
        <v>3</v>
      </c>
      <c r="BV1280" t="s">
        <v>134</v>
      </c>
      <c r="BX1280" s="2" t="s">
        <v>7700</v>
      </c>
      <c r="BY1280" t="s">
        <v>7701</v>
      </c>
      <c r="CA1280" t="s">
        <v>1110</v>
      </c>
      <c r="CB1280" t="s">
        <v>511</v>
      </c>
      <c r="CC1280" s="4" t="str">
        <f>"97501"</f>
        <v>97501</v>
      </c>
      <c r="CD1280" t="s">
        <v>1116</v>
      </c>
      <c r="CE1280" t="s">
        <v>1117</v>
      </c>
      <c r="CF1280" s="6">
        <v>15</v>
      </c>
      <c r="CG1280" s="6">
        <v>19.55</v>
      </c>
      <c r="CH1280" s="6">
        <v>22.5</v>
      </c>
      <c r="CI1280" s="6">
        <v>29.33</v>
      </c>
      <c r="CJ1280" t="s">
        <v>137</v>
      </c>
      <c r="CK1280" t="s">
        <v>2125</v>
      </c>
      <c r="CL1280" t="s">
        <v>7702</v>
      </c>
      <c r="CO1280" t="s">
        <v>138</v>
      </c>
      <c r="CP1280" t="s">
        <v>114</v>
      </c>
      <c r="CQ1280" t="s">
        <v>114</v>
      </c>
      <c r="CR1280" t="s">
        <v>114</v>
      </c>
      <c r="CS1280" t="s">
        <v>134</v>
      </c>
      <c r="CT1280" t="s">
        <v>114</v>
      </c>
      <c r="CU1280" t="s">
        <v>114</v>
      </c>
      <c r="CV1280" t="s">
        <v>358</v>
      </c>
      <c r="CW1280" s="5" t="str">
        <f>"+15416134922"</f>
        <v>+15416134922</v>
      </c>
      <c r="CX1280" t="s">
        <v>7699</v>
      </c>
      <c r="CY1280" t="s">
        <v>3471</v>
      </c>
      <c r="CZ1280" t="s">
        <v>139</v>
      </c>
      <c r="DA1280" t="s">
        <v>134</v>
      </c>
      <c r="DB1280" t="s">
        <v>114</v>
      </c>
      <c r="DC1280" t="s">
        <v>114</v>
      </c>
      <c r="DD1280" t="s">
        <v>134</v>
      </c>
    </row>
    <row r="1281" spans="1:113" ht="15" customHeight="1" x14ac:dyDescent="0.25">
      <c r="A1281" t="s">
        <v>15790</v>
      </c>
      <c r="B1281" t="s">
        <v>113</v>
      </c>
      <c r="C1281" s="1">
        <v>44816.581943750003</v>
      </c>
      <c r="D1281" s="1">
        <v>44845</v>
      </c>
      <c r="E1281" t="s">
        <v>134</v>
      </c>
      <c r="F1281" t="s">
        <v>1057</v>
      </c>
      <c r="G1281" t="str">
        <f>"49-9052.00"</f>
        <v>49-9052.00</v>
      </c>
      <c r="H1281" t="s">
        <v>1058</v>
      </c>
      <c r="I1281">
        <v>10</v>
      </c>
      <c r="K1281" s="1">
        <v>44837</v>
      </c>
      <c r="L1281" s="1">
        <v>45107</v>
      </c>
      <c r="O1281" t="s">
        <v>117</v>
      </c>
      <c r="P1281" t="s">
        <v>1059</v>
      </c>
      <c r="Q1281" t="s">
        <v>1059</v>
      </c>
      <c r="R1281" t="s">
        <v>1060</v>
      </c>
      <c r="T1281" t="s">
        <v>1061</v>
      </c>
      <c r="U1281" t="s">
        <v>420</v>
      </c>
      <c r="V1281" s="4" t="str">
        <f>"84047"</f>
        <v>84047</v>
      </c>
      <c r="W1281" t="s">
        <v>120</v>
      </c>
      <c r="Y1281" s="5">
        <v>18012600262</v>
      </c>
      <c r="AA1281">
        <v>517312</v>
      </c>
      <c r="AB1281" t="s">
        <v>1062</v>
      </c>
      <c r="AC1281" t="s">
        <v>1063</v>
      </c>
      <c r="AD1281" t="s">
        <v>1064</v>
      </c>
      <c r="AE1281" t="s">
        <v>1065</v>
      </c>
      <c r="AF1281" t="s">
        <v>1060</v>
      </c>
      <c r="AG1281" t="s">
        <v>1066</v>
      </c>
      <c r="AH1281" t="s">
        <v>1061</v>
      </c>
      <c r="AI1281" t="s">
        <v>420</v>
      </c>
      <c r="AJ1281" s="4" t="str">
        <f>"84047"</f>
        <v>84047</v>
      </c>
      <c r="AK1281" t="s">
        <v>120</v>
      </c>
      <c r="AM1281" s="5">
        <v>18012600262</v>
      </c>
      <c r="AO1281" t="s">
        <v>1067</v>
      </c>
      <c r="AX1281" s="4" t="str">
        <f>""</f>
        <v/>
      </c>
      <c r="BG1281" t="s">
        <v>420</v>
      </c>
      <c r="BH1281" s="1">
        <v>43830.791666666664</v>
      </c>
      <c r="BI1281">
        <v>48</v>
      </c>
      <c r="BJ1281">
        <v>0</v>
      </c>
      <c r="BK1281">
        <v>8</v>
      </c>
      <c r="BL1281">
        <v>8</v>
      </c>
      <c r="BM1281">
        <v>8</v>
      </c>
      <c r="BN1281">
        <v>8</v>
      </c>
      <c r="BO1281">
        <v>8</v>
      </c>
      <c r="BP1281">
        <v>8</v>
      </c>
      <c r="BQ1281" t="str">
        <f>"7:30 AM"</f>
        <v>7:30 AM</v>
      </c>
      <c r="BR1281" t="str">
        <f>"6:30 PM"</f>
        <v>6:30 PM</v>
      </c>
      <c r="BS1281" t="s">
        <v>133</v>
      </c>
      <c r="BT1281">
        <v>2</v>
      </c>
      <c r="BU1281">
        <v>0</v>
      </c>
      <c r="BV1281" t="s">
        <v>134</v>
      </c>
      <c r="BX1281" t="s">
        <v>15791</v>
      </c>
      <c r="BY1281" t="s">
        <v>1060</v>
      </c>
      <c r="CA1281" t="s">
        <v>1061</v>
      </c>
      <c r="CB1281" t="s">
        <v>420</v>
      </c>
      <c r="CC1281" s="4" t="str">
        <f>"84047"</f>
        <v>84047</v>
      </c>
      <c r="CD1281" t="s">
        <v>688</v>
      </c>
      <c r="CE1281" t="s">
        <v>689</v>
      </c>
      <c r="CF1281" s="6">
        <v>26.68</v>
      </c>
      <c r="CG1281" s="6">
        <v>30</v>
      </c>
      <c r="CH1281" s="6">
        <v>40.020000000000003</v>
      </c>
      <c r="CI1281" s="6">
        <v>45</v>
      </c>
      <c r="CJ1281" t="s">
        <v>137</v>
      </c>
      <c r="CL1281" t="s">
        <v>1069</v>
      </c>
      <c r="CO1281" t="s">
        <v>114</v>
      </c>
      <c r="CP1281" t="s">
        <v>134</v>
      </c>
      <c r="CQ1281" t="s">
        <v>114</v>
      </c>
      <c r="CR1281" t="s">
        <v>114</v>
      </c>
      <c r="CS1281" t="s">
        <v>114</v>
      </c>
      <c r="CT1281" t="s">
        <v>114</v>
      </c>
      <c r="CU1281" t="s">
        <v>114</v>
      </c>
      <c r="CV1281" t="s">
        <v>15792</v>
      </c>
      <c r="CW1281" s="5" t="str">
        <f>"+18012600262"</f>
        <v>+18012600262</v>
      </c>
      <c r="CX1281" t="s">
        <v>1071</v>
      </c>
      <c r="CY1281" t="s">
        <v>138</v>
      </c>
      <c r="CZ1281" t="s">
        <v>139</v>
      </c>
      <c r="DA1281" t="s">
        <v>134</v>
      </c>
      <c r="DB1281" t="s">
        <v>134</v>
      </c>
      <c r="DC1281" t="s">
        <v>114</v>
      </c>
      <c r="DD1281" t="s">
        <v>134</v>
      </c>
    </row>
    <row r="1282" spans="1:113" ht="15" customHeight="1" x14ac:dyDescent="0.25">
      <c r="A1282" t="s">
        <v>15872</v>
      </c>
      <c r="B1282" t="s">
        <v>113</v>
      </c>
      <c r="C1282" s="1">
        <v>44795.518296064816</v>
      </c>
      <c r="D1282" s="1">
        <v>44845</v>
      </c>
      <c r="E1282" t="s">
        <v>114</v>
      </c>
      <c r="F1282" t="s">
        <v>1106</v>
      </c>
      <c r="G1282" t="str">
        <f>"45-4011.00"</f>
        <v>45-4011.00</v>
      </c>
      <c r="H1282" t="s">
        <v>1107</v>
      </c>
      <c r="I1282">
        <v>32</v>
      </c>
      <c r="K1282" s="1">
        <v>44870</v>
      </c>
      <c r="L1282" s="1">
        <v>45107</v>
      </c>
      <c r="O1282" t="s">
        <v>199</v>
      </c>
      <c r="P1282" t="s">
        <v>14735</v>
      </c>
      <c r="R1282" t="s">
        <v>14736</v>
      </c>
      <c r="T1282" t="s">
        <v>14737</v>
      </c>
      <c r="U1282" t="s">
        <v>119</v>
      </c>
      <c r="V1282" s="4" t="str">
        <f>"28345"</f>
        <v>28345</v>
      </c>
      <c r="W1282" t="s">
        <v>120</v>
      </c>
      <c r="Y1282" s="5">
        <v>19109951794</v>
      </c>
      <c r="AA1282">
        <v>1132</v>
      </c>
      <c r="AB1282" t="s">
        <v>1352</v>
      </c>
      <c r="AC1282" t="s">
        <v>14738</v>
      </c>
      <c r="AE1282" t="s">
        <v>424</v>
      </c>
      <c r="AF1282" t="s">
        <v>14736</v>
      </c>
      <c r="AH1282" t="s">
        <v>14737</v>
      </c>
      <c r="AI1282" t="s">
        <v>119</v>
      </c>
      <c r="AJ1282" s="4" t="str">
        <f>"28345"</f>
        <v>28345</v>
      </c>
      <c r="AK1282" t="s">
        <v>120</v>
      </c>
      <c r="AM1282" s="5">
        <v>19109951794</v>
      </c>
      <c r="AO1282" t="s">
        <v>14739</v>
      </c>
      <c r="AX1282" s="4" t="str">
        <f>""</f>
        <v/>
      </c>
      <c r="BG1282" t="s">
        <v>119</v>
      </c>
      <c r="BH1282" s="1">
        <v>44794.833333333336</v>
      </c>
      <c r="BI1282">
        <v>35</v>
      </c>
      <c r="BJ1282">
        <v>0</v>
      </c>
      <c r="BK1282">
        <v>7</v>
      </c>
      <c r="BL1282">
        <v>7</v>
      </c>
      <c r="BM1282">
        <v>7</v>
      </c>
      <c r="BN1282">
        <v>7</v>
      </c>
      <c r="BO1282">
        <v>7</v>
      </c>
      <c r="BP1282">
        <v>0</v>
      </c>
      <c r="BQ1282" t="str">
        <f>"8:00 AM"</f>
        <v>8:00 AM</v>
      </c>
      <c r="BR1282" t="str">
        <f>"3:00 PM"</f>
        <v>3:00 PM</v>
      </c>
      <c r="BS1282" t="s">
        <v>133</v>
      </c>
      <c r="BT1282">
        <v>0</v>
      </c>
      <c r="BU1282">
        <v>3</v>
      </c>
      <c r="BV1282" t="s">
        <v>134</v>
      </c>
      <c r="BX1282" s="2" t="s">
        <v>14740</v>
      </c>
      <c r="BY1282" t="s">
        <v>14736</v>
      </c>
      <c r="CA1282" t="s">
        <v>14737</v>
      </c>
      <c r="CB1282" t="s">
        <v>119</v>
      </c>
      <c r="CC1282" s="4" t="str">
        <f>"28345"</f>
        <v>28345</v>
      </c>
      <c r="CD1282" t="s">
        <v>1902</v>
      </c>
      <c r="CE1282" t="s">
        <v>5864</v>
      </c>
      <c r="CF1282" s="6">
        <v>13.87</v>
      </c>
      <c r="CG1282" s="6">
        <v>20.04</v>
      </c>
      <c r="CH1282" s="6">
        <v>20.81</v>
      </c>
      <c r="CI1282" s="6">
        <v>30.06</v>
      </c>
      <c r="CJ1282" t="s">
        <v>137</v>
      </c>
      <c r="CL1282" t="s">
        <v>15424</v>
      </c>
      <c r="CM1282" t="s">
        <v>14741</v>
      </c>
      <c r="CO1282" t="s">
        <v>138</v>
      </c>
      <c r="CP1282" t="s">
        <v>114</v>
      </c>
      <c r="CQ1282" t="s">
        <v>114</v>
      </c>
      <c r="CR1282" t="s">
        <v>114</v>
      </c>
      <c r="CS1282" t="s">
        <v>134</v>
      </c>
      <c r="CT1282" t="s">
        <v>114</v>
      </c>
      <c r="CU1282" t="s">
        <v>114</v>
      </c>
      <c r="CV1282" t="s">
        <v>133</v>
      </c>
      <c r="CW1282" s="5" t="str">
        <f>"+19109951794"</f>
        <v>+19109951794</v>
      </c>
      <c r="CX1282" t="s">
        <v>14739</v>
      </c>
      <c r="CY1282" t="s">
        <v>138</v>
      </c>
      <c r="CZ1282" t="s">
        <v>139</v>
      </c>
      <c r="DA1282" t="s">
        <v>134</v>
      </c>
      <c r="DB1282" t="s">
        <v>134</v>
      </c>
      <c r="DC1282" t="s">
        <v>114</v>
      </c>
      <c r="DD1282" t="s">
        <v>134</v>
      </c>
    </row>
    <row r="1283" spans="1:113" ht="15" customHeight="1" x14ac:dyDescent="0.25">
      <c r="A1283" t="s">
        <v>1168</v>
      </c>
      <c r="B1283" t="s">
        <v>113</v>
      </c>
      <c r="C1283" s="1">
        <v>44792.685639814816</v>
      </c>
      <c r="D1283" s="1">
        <v>44845</v>
      </c>
      <c r="E1283" t="s">
        <v>114</v>
      </c>
      <c r="F1283" t="s">
        <v>1169</v>
      </c>
      <c r="G1283" t="str">
        <f>"37-2012.00"</f>
        <v>37-2012.00</v>
      </c>
      <c r="H1283" t="s">
        <v>116</v>
      </c>
      <c r="I1283">
        <v>3</v>
      </c>
      <c r="K1283" s="1">
        <v>44867</v>
      </c>
      <c r="L1283" s="1">
        <v>45138</v>
      </c>
      <c r="O1283" t="s">
        <v>117</v>
      </c>
      <c r="P1283" t="s">
        <v>1170</v>
      </c>
      <c r="Q1283" t="s">
        <v>1171</v>
      </c>
      <c r="R1283" t="s">
        <v>1172</v>
      </c>
      <c r="T1283" t="s">
        <v>1173</v>
      </c>
      <c r="U1283" t="s">
        <v>792</v>
      </c>
      <c r="V1283" s="4" t="str">
        <f>"98188"</f>
        <v>98188</v>
      </c>
      <c r="W1283" t="s">
        <v>120</v>
      </c>
      <c r="Y1283" s="5">
        <v>12064318000</v>
      </c>
      <c r="AA1283">
        <v>721110</v>
      </c>
      <c r="AB1283" t="s">
        <v>1174</v>
      </c>
      <c r="AC1283" t="s">
        <v>1175</v>
      </c>
      <c r="AE1283" t="s">
        <v>1176</v>
      </c>
      <c r="AF1283" t="s">
        <v>1172</v>
      </c>
      <c r="AH1283" t="s">
        <v>1173</v>
      </c>
      <c r="AI1283" t="s">
        <v>792</v>
      </c>
      <c r="AJ1283" s="4" t="str">
        <f>"98188"</f>
        <v>98188</v>
      </c>
      <c r="AK1283" t="s">
        <v>120</v>
      </c>
      <c r="AM1283" s="5">
        <v>12064318000</v>
      </c>
      <c r="AO1283" t="s">
        <v>1177</v>
      </c>
      <c r="AX1283" s="4" t="str">
        <f>""</f>
        <v/>
      </c>
      <c r="BG1283" t="s">
        <v>349</v>
      </c>
      <c r="BH1283" s="1">
        <v>44790.833333333336</v>
      </c>
      <c r="BI1283">
        <v>96</v>
      </c>
      <c r="BJ1283">
        <v>16</v>
      </c>
      <c r="BK1283">
        <v>16</v>
      </c>
      <c r="BL1283">
        <v>8</v>
      </c>
      <c r="BM1283">
        <v>8</v>
      </c>
      <c r="BN1283">
        <v>16</v>
      </c>
      <c r="BO1283">
        <v>16</v>
      </c>
      <c r="BP1283">
        <v>16</v>
      </c>
      <c r="BQ1283" t="str">
        <f>"8:00 AM"</f>
        <v>8:00 AM</v>
      </c>
      <c r="BR1283" t="str">
        <f>"4:00 PM"</f>
        <v>4:00 PM</v>
      </c>
      <c r="BS1283" t="s">
        <v>133</v>
      </c>
      <c r="BT1283">
        <v>0</v>
      </c>
      <c r="BU1283">
        <v>0</v>
      </c>
      <c r="BV1283" t="s">
        <v>134</v>
      </c>
      <c r="BX1283" t="s">
        <v>138</v>
      </c>
      <c r="BY1283" t="s">
        <v>1178</v>
      </c>
      <c r="CA1283" t="s">
        <v>1179</v>
      </c>
      <c r="CB1283" t="s">
        <v>349</v>
      </c>
      <c r="CC1283" s="4" t="str">
        <f>"83706"</f>
        <v>83706</v>
      </c>
      <c r="CD1283" t="s">
        <v>969</v>
      </c>
      <c r="CE1283" t="s">
        <v>970</v>
      </c>
      <c r="CF1283" s="6">
        <v>14</v>
      </c>
      <c r="CG1283" s="6">
        <v>16</v>
      </c>
      <c r="CH1283" s="6">
        <v>21</v>
      </c>
      <c r="CI1283" s="6">
        <v>24</v>
      </c>
      <c r="CJ1283" t="s">
        <v>137</v>
      </c>
      <c r="CK1283" t="s">
        <v>1180</v>
      </c>
      <c r="CL1283" t="s">
        <v>1181</v>
      </c>
      <c r="CO1283" t="s">
        <v>138</v>
      </c>
      <c r="CP1283" t="s">
        <v>134</v>
      </c>
      <c r="CQ1283" t="s">
        <v>134</v>
      </c>
      <c r="CR1283" t="s">
        <v>114</v>
      </c>
      <c r="CS1283" t="s">
        <v>114</v>
      </c>
      <c r="CT1283" t="s">
        <v>114</v>
      </c>
      <c r="CU1283" t="s">
        <v>134</v>
      </c>
      <c r="CV1283" t="s">
        <v>1182</v>
      </c>
      <c r="CW1283" s="5" t="str">
        <f>"N/A"</f>
        <v>N/A</v>
      </c>
      <c r="CX1283" t="s">
        <v>1183</v>
      </c>
      <c r="CY1283" t="s">
        <v>1184</v>
      </c>
      <c r="CZ1283" t="s">
        <v>139</v>
      </c>
      <c r="DA1283" t="s">
        <v>134</v>
      </c>
      <c r="DB1283" t="s">
        <v>134</v>
      </c>
      <c r="DC1283" t="s">
        <v>114</v>
      </c>
      <c r="DD1283" t="s">
        <v>134</v>
      </c>
    </row>
    <row r="1284" spans="1:113" ht="15" customHeight="1" x14ac:dyDescent="0.25">
      <c r="A1284" t="s">
        <v>15312</v>
      </c>
      <c r="B1284" t="s">
        <v>113</v>
      </c>
      <c r="C1284" s="1">
        <v>44792.676756134257</v>
      </c>
      <c r="D1284" s="1">
        <v>44845</v>
      </c>
      <c r="E1284" t="s">
        <v>114</v>
      </c>
      <c r="F1284" t="s">
        <v>5001</v>
      </c>
      <c r="G1284" t="str">
        <f>"37-2012.00"</f>
        <v>37-2012.00</v>
      </c>
      <c r="H1284" t="s">
        <v>116</v>
      </c>
      <c r="I1284">
        <v>1</v>
      </c>
      <c r="K1284" s="1">
        <v>44867</v>
      </c>
      <c r="L1284" s="1">
        <v>45138</v>
      </c>
      <c r="O1284" t="s">
        <v>117</v>
      </c>
      <c r="P1284" t="s">
        <v>1170</v>
      </c>
      <c r="Q1284" t="s">
        <v>9568</v>
      </c>
      <c r="R1284" t="s">
        <v>1172</v>
      </c>
      <c r="T1284" t="s">
        <v>1173</v>
      </c>
      <c r="U1284" t="s">
        <v>792</v>
      </c>
      <c r="V1284" s="4" t="str">
        <f>"98188"</f>
        <v>98188</v>
      </c>
      <c r="W1284" t="s">
        <v>120</v>
      </c>
      <c r="Y1284" s="5">
        <v>12064318000</v>
      </c>
      <c r="AA1284">
        <v>721110</v>
      </c>
      <c r="AB1284" t="s">
        <v>1174</v>
      </c>
      <c r="AC1284" t="s">
        <v>1175</v>
      </c>
      <c r="AE1284" t="s">
        <v>1176</v>
      </c>
      <c r="AF1284" t="s">
        <v>1172</v>
      </c>
      <c r="AH1284" t="s">
        <v>1173</v>
      </c>
      <c r="AI1284" t="s">
        <v>792</v>
      </c>
      <c r="AJ1284" s="4" t="str">
        <f>"98188"</f>
        <v>98188</v>
      </c>
      <c r="AK1284" t="s">
        <v>120</v>
      </c>
      <c r="AM1284" s="5">
        <v>12064318000</v>
      </c>
      <c r="AO1284" t="s">
        <v>1177</v>
      </c>
      <c r="AX1284" s="4" t="str">
        <f>""</f>
        <v/>
      </c>
      <c r="BG1284" t="s">
        <v>661</v>
      </c>
      <c r="BH1284" s="1">
        <v>44790.833333333336</v>
      </c>
      <c r="BI1284">
        <v>40</v>
      </c>
      <c r="BJ1284">
        <v>8</v>
      </c>
      <c r="BK1284">
        <v>0</v>
      </c>
      <c r="BL1284">
        <v>0</v>
      </c>
      <c r="BM1284">
        <v>8</v>
      </c>
      <c r="BN1284">
        <v>8</v>
      </c>
      <c r="BO1284">
        <v>8</v>
      </c>
      <c r="BP1284">
        <v>8</v>
      </c>
      <c r="BQ1284" t="str">
        <f>"9:00 AM"</f>
        <v>9:00 AM</v>
      </c>
      <c r="BR1284" t="str">
        <f>"5:00 PM"</f>
        <v>5:00 PM</v>
      </c>
      <c r="BS1284" t="s">
        <v>133</v>
      </c>
      <c r="BT1284">
        <v>0</v>
      </c>
      <c r="BU1284">
        <v>0</v>
      </c>
      <c r="BV1284" t="s">
        <v>134</v>
      </c>
      <c r="BX1284" t="s">
        <v>138</v>
      </c>
      <c r="BY1284" t="s">
        <v>9569</v>
      </c>
      <c r="CA1284" t="s">
        <v>2471</v>
      </c>
      <c r="CB1284" t="s">
        <v>661</v>
      </c>
      <c r="CC1284" s="4" t="str">
        <f>"59715"</f>
        <v>59715</v>
      </c>
      <c r="CD1284" t="s">
        <v>665</v>
      </c>
      <c r="CE1284" t="s">
        <v>666</v>
      </c>
      <c r="CF1284" s="6">
        <v>17</v>
      </c>
      <c r="CG1284" s="6">
        <v>18</v>
      </c>
      <c r="CH1284" s="6">
        <v>25.5</v>
      </c>
      <c r="CI1284" s="6">
        <v>27</v>
      </c>
      <c r="CJ1284" t="s">
        <v>137</v>
      </c>
      <c r="CK1284" t="s">
        <v>1180</v>
      </c>
      <c r="CL1284" t="s">
        <v>15313</v>
      </c>
      <c r="CO1284" t="s">
        <v>138</v>
      </c>
      <c r="CP1284" t="s">
        <v>134</v>
      </c>
      <c r="CQ1284" t="s">
        <v>134</v>
      </c>
      <c r="CR1284" t="s">
        <v>114</v>
      </c>
      <c r="CS1284" t="s">
        <v>114</v>
      </c>
      <c r="CT1284" t="s">
        <v>114</v>
      </c>
      <c r="CU1284" t="s">
        <v>134</v>
      </c>
      <c r="CV1284" t="s">
        <v>15314</v>
      </c>
      <c r="CW1284" s="5" t="str">
        <f>"N/A"</f>
        <v>N/A</v>
      </c>
      <c r="CX1284" t="s">
        <v>9571</v>
      </c>
      <c r="CY1284" t="s">
        <v>1184</v>
      </c>
      <c r="CZ1284" t="s">
        <v>139</v>
      </c>
      <c r="DA1284" t="s">
        <v>134</v>
      </c>
      <c r="DB1284" t="s">
        <v>134</v>
      </c>
      <c r="DC1284" t="s">
        <v>114</v>
      </c>
      <c r="DD1284" t="s">
        <v>134</v>
      </c>
    </row>
    <row r="1285" spans="1:113" ht="15" customHeight="1" x14ac:dyDescent="0.25">
      <c r="A1285" t="s">
        <v>11250</v>
      </c>
      <c r="B1285" t="s">
        <v>113</v>
      </c>
      <c r="C1285" s="1">
        <v>44812.713024189812</v>
      </c>
      <c r="D1285" s="1">
        <v>44841</v>
      </c>
      <c r="E1285" t="s">
        <v>134</v>
      </c>
      <c r="F1285" t="s">
        <v>115</v>
      </c>
      <c r="G1285" t="str">
        <f>"37-2012.00"</f>
        <v>37-2012.00</v>
      </c>
      <c r="H1285" t="s">
        <v>116</v>
      </c>
      <c r="I1285">
        <v>16</v>
      </c>
      <c r="K1285" s="1">
        <v>44887</v>
      </c>
      <c r="L1285" s="1">
        <v>45107</v>
      </c>
      <c r="O1285" t="s">
        <v>117</v>
      </c>
      <c r="P1285" t="s">
        <v>11251</v>
      </c>
      <c r="Q1285" t="s">
        <v>11252</v>
      </c>
      <c r="R1285" t="s">
        <v>11253</v>
      </c>
      <c r="T1285" t="s">
        <v>2206</v>
      </c>
      <c r="U1285" t="s">
        <v>232</v>
      </c>
      <c r="V1285" s="4" t="str">
        <f>"76102"</f>
        <v>76102</v>
      </c>
      <c r="W1285" t="s">
        <v>120</v>
      </c>
      <c r="Y1285" s="5">
        <v>18175356664</v>
      </c>
      <c r="AA1285">
        <v>72111</v>
      </c>
      <c r="AB1285" t="s">
        <v>262</v>
      </c>
      <c r="AC1285" t="s">
        <v>11254</v>
      </c>
      <c r="AE1285" t="s">
        <v>474</v>
      </c>
      <c r="AF1285" t="s">
        <v>11253</v>
      </c>
      <c r="AH1285" t="s">
        <v>2206</v>
      </c>
      <c r="AI1285" t="s">
        <v>232</v>
      </c>
      <c r="AJ1285" s="4" t="str">
        <f>"76102"</f>
        <v>76102</v>
      </c>
      <c r="AK1285" t="s">
        <v>120</v>
      </c>
      <c r="AM1285" s="5">
        <v>18175356664</v>
      </c>
      <c r="AO1285" t="s">
        <v>2094</v>
      </c>
      <c r="AP1285" t="s">
        <v>256</v>
      </c>
      <c r="AQ1285" t="s">
        <v>400</v>
      </c>
      <c r="AR1285" t="s">
        <v>401</v>
      </c>
      <c r="AS1285" t="s">
        <v>397</v>
      </c>
      <c r="AT1285" t="s">
        <v>402</v>
      </c>
      <c r="AU1285" t="s">
        <v>152</v>
      </c>
      <c r="AV1285" t="s">
        <v>403</v>
      </c>
      <c r="AW1285" t="s">
        <v>232</v>
      </c>
      <c r="AX1285" s="4" t="str">
        <f>"75033"</f>
        <v>75033</v>
      </c>
      <c r="AY1285" t="s">
        <v>120</v>
      </c>
      <c r="BA1285" s="5">
        <v>19727789690</v>
      </c>
      <c r="BC1285" t="s">
        <v>1503</v>
      </c>
      <c r="BD1285" t="s">
        <v>405</v>
      </c>
      <c r="BG1285" t="s">
        <v>232</v>
      </c>
      <c r="BH1285" s="1">
        <v>44811.833333333336</v>
      </c>
      <c r="BI1285">
        <v>40</v>
      </c>
      <c r="BJ1285">
        <v>8</v>
      </c>
      <c r="BK1285">
        <v>8</v>
      </c>
      <c r="BL1285">
        <v>0</v>
      </c>
      <c r="BM1285">
        <v>0</v>
      </c>
      <c r="BN1285">
        <v>8</v>
      </c>
      <c r="BO1285">
        <v>8</v>
      </c>
      <c r="BP1285">
        <v>8</v>
      </c>
      <c r="BQ1285" t="str">
        <f>"8:00 AM"</f>
        <v>8:00 AM</v>
      </c>
      <c r="BR1285" t="str">
        <f>"4:30 PM"</f>
        <v>4:30 PM</v>
      </c>
      <c r="BS1285" t="s">
        <v>133</v>
      </c>
      <c r="BT1285">
        <v>0</v>
      </c>
      <c r="BU1285">
        <v>0</v>
      </c>
      <c r="BV1285" t="s">
        <v>134</v>
      </c>
      <c r="BX1285" s="2" t="s">
        <v>11255</v>
      </c>
      <c r="BY1285" t="s">
        <v>11253</v>
      </c>
      <c r="CA1285" t="s">
        <v>2206</v>
      </c>
      <c r="CB1285" t="s">
        <v>232</v>
      </c>
      <c r="CC1285" s="4" t="str">
        <f>"76102"</f>
        <v>76102</v>
      </c>
      <c r="CD1285" t="s">
        <v>2054</v>
      </c>
      <c r="CE1285" t="s">
        <v>1528</v>
      </c>
      <c r="CF1285" s="6">
        <v>15</v>
      </c>
      <c r="CH1285" s="6">
        <v>22.5</v>
      </c>
      <c r="CJ1285" t="s">
        <v>137</v>
      </c>
      <c r="CK1285" t="s">
        <v>4437</v>
      </c>
      <c r="CL1285" t="s">
        <v>11256</v>
      </c>
      <c r="CO1285" t="s">
        <v>138</v>
      </c>
      <c r="CP1285" t="s">
        <v>134</v>
      </c>
      <c r="CQ1285" t="s">
        <v>134</v>
      </c>
      <c r="CR1285" t="s">
        <v>114</v>
      </c>
      <c r="CS1285" t="s">
        <v>114</v>
      </c>
      <c r="CT1285" t="s">
        <v>114</v>
      </c>
      <c r="CU1285" t="s">
        <v>114</v>
      </c>
      <c r="CV1285" t="s">
        <v>11257</v>
      </c>
      <c r="CW1285" s="5" t="str">
        <f>"+18173504060"</f>
        <v>+18173504060</v>
      </c>
      <c r="CX1285" t="s">
        <v>138</v>
      </c>
      <c r="CY1285" t="s">
        <v>11258</v>
      </c>
      <c r="CZ1285" t="s">
        <v>139</v>
      </c>
      <c r="DA1285" t="s">
        <v>134</v>
      </c>
      <c r="DB1285" t="s">
        <v>114</v>
      </c>
      <c r="DC1285" t="s">
        <v>114</v>
      </c>
      <c r="DD1285" t="s">
        <v>134</v>
      </c>
    </row>
    <row r="1286" spans="1:113" ht="15" customHeight="1" x14ac:dyDescent="0.25">
      <c r="A1286" t="s">
        <v>11275</v>
      </c>
      <c r="B1286" t="s">
        <v>113</v>
      </c>
      <c r="C1286" s="1">
        <v>44814.369510879631</v>
      </c>
      <c r="D1286" s="1">
        <v>44840</v>
      </c>
      <c r="E1286" t="s">
        <v>134</v>
      </c>
      <c r="F1286" t="s">
        <v>11276</v>
      </c>
      <c r="G1286" t="str">
        <f>"27-3099.00"</f>
        <v>27-3099.00</v>
      </c>
      <c r="H1286" t="s">
        <v>11277</v>
      </c>
      <c r="I1286">
        <v>3</v>
      </c>
      <c r="K1286" s="1">
        <v>44896</v>
      </c>
      <c r="L1286" s="1">
        <v>45199</v>
      </c>
      <c r="O1286" t="s">
        <v>199</v>
      </c>
      <c r="P1286" t="s">
        <v>7515</v>
      </c>
      <c r="R1286" t="s">
        <v>7516</v>
      </c>
      <c r="T1286" t="s">
        <v>1339</v>
      </c>
      <c r="U1286" t="s">
        <v>154</v>
      </c>
      <c r="V1286" s="4" t="str">
        <f>"32819"</f>
        <v>32819</v>
      </c>
      <c r="W1286" t="s">
        <v>120</v>
      </c>
      <c r="Y1286" s="5">
        <v>14077263456</v>
      </c>
      <c r="AA1286">
        <v>722511</v>
      </c>
      <c r="AB1286" t="s">
        <v>7517</v>
      </c>
      <c r="AC1286" t="s">
        <v>7518</v>
      </c>
      <c r="AE1286" t="s">
        <v>252</v>
      </c>
      <c r="AF1286" t="s">
        <v>7516</v>
      </c>
      <c r="AH1286" t="s">
        <v>1339</v>
      </c>
      <c r="AI1286" t="s">
        <v>154</v>
      </c>
      <c r="AJ1286" s="4" t="str">
        <f>"32819"</f>
        <v>32819</v>
      </c>
      <c r="AK1286" t="s">
        <v>120</v>
      </c>
      <c r="AM1286" s="5">
        <v>14077263456</v>
      </c>
      <c r="AO1286" t="s">
        <v>7519</v>
      </c>
      <c r="AP1286" t="s">
        <v>122</v>
      </c>
      <c r="AQ1286" t="s">
        <v>7520</v>
      </c>
      <c r="AR1286" t="s">
        <v>7521</v>
      </c>
      <c r="AT1286" t="s">
        <v>7522</v>
      </c>
      <c r="AU1286" t="s">
        <v>7523</v>
      </c>
      <c r="AV1286" t="s">
        <v>1339</v>
      </c>
      <c r="AW1286" t="s">
        <v>154</v>
      </c>
      <c r="AX1286" s="4" t="str">
        <f>"32821"</f>
        <v>32821</v>
      </c>
      <c r="AY1286" t="s">
        <v>120</v>
      </c>
      <c r="BA1286" s="5">
        <v>14074147899</v>
      </c>
      <c r="BC1286" t="s">
        <v>7524</v>
      </c>
      <c r="BD1286" t="s">
        <v>7525</v>
      </c>
      <c r="BE1286" t="s">
        <v>848</v>
      </c>
      <c r="BF1286" t="s">
        <v>11278</v>
      </c>
      <c r="BG1286" t="s">
        <v>154</v>
      </c>
      <c r="BH1286" s="1">
        <v>44813.833333333336</v>
      </c>
      <c r="BI1286">
        <v>40</v>
      </c>
      <c r="BJ1286">
        <v>0</v>
      </c>
      <c r="BK1286">
        <v>8</v>
      </c>
      <c r="BL1286">
        <v>8</v>
      </c>
      <c r="BM1286">
        <v>8</v>
      </c>
      <c r="BN1286">
        <v>8</v>
      </c>
      <c r="BO1286">
        <v>8</v>
      </c>
      <c r="BP1286">
        <v>0</v>
      </c>
      <c r="BQ1286" t="str">
        <f>"9:00 PM"</f>
        <v>9:00 PM</v>
      </c>
      <c r="BR1286" t="str">
        <f>"5:00 PM"</f>
        <v>5:00 PM</v>
      </c>
      <c r="BS1286" t="s">
        <v>133</v>
      </c>
      <c r="BT1286">
        <v>0</v>
      </c>
      <c r="BU1286">
        <v>0</v>
      </c>
      <c r="BV1286" t="s">
        <v>134</v>
      </c>
      <c r="BX1286" s="2" t="s">
        <v>11279</v>
      </c>
      <c r="BY1286" t="s">
        <v>7516</v>
      </c>
      <c r="CA1286" t="s">
        <v>1339</v>
      </c>
      <c r="CB1286" t="s">
        <v>154</v>
      </c>
      <c r="CC1286" s="4" t="str">
        <f>"32819"</f>
        <v>32819</v>
      </c>
      <c r="CD1286" t="s">
        <v>2302</v>
      </c>
      <c r="CE1286" t="s">
        <v>3159</v>
      </c>
      <c r="CF1286" s="6">
        <v>29.97</v>
      </c>
      <c r="CJ1286" t="s">
        <v>137</v>
      </c>
      <c r="CL1286" t="s">
        <v>11280</v>
      </c>
      <c r="CO1286" t="s">
        <v>138</v>
      </c>
      <c r="CP1286" t="s">
        <v>134</v>
      </c>
      <c r="CQ1286" t="s">
        <v>134</v>
      </c>
      <c r="CR1286" t="s">
        <v>114</v>
      </c>
      <c r="CS1286" t="s">
        <v>114</v>
      </c>
      <c r="CT1286" t="s">
        <v>114</v>
      </c>
      <c r="CU1286" t="s">
        <v>134</v>
      </c>
      <c r="CV1286" t="s">
        <v>133</v>
      </c>
      <c r="CW1286" s="5" t="str">
        <f>"+14077845158"</f>
        <v>+14077845158</v>
      </c>
      <c r="CX1286" t="s">
        <v>7519</v>
      </c>
      <c r="CY1286" t="s">
        <v>138</v>
      </c>
      <c r="CZ1286" t="s">
        <v>139</v>
      </c>
      <c r="DA1286" t="s">
        <v>134</v>
      </c>
      <c r="DB1286" t="s">
        <v>134</v>
      </c>
      <c r="DC1286" t="s">
        <v>114</v>
      </c>
      <c r="DD1286" t="s">
        <v>134</v>
      </c>
    </row>
    <row r="1287" spans="1:113" ht="15" customHeight="1" x14ac:dyDescent="0.25">
      <c r="A1287" t="s">
        <v>7513</v>
      </c>
      <c r="B1287" t="s">
        <v>113</v>
      </c>
      <c r="C1287" s="1">
        <v>44814.344121412039</v>
      </c>
      <c r="D1287" s="1">
        <v>44840</v>
      </c>
      <c r="E1287" t="s">
        <v>134</v>
      </c>
      <c r="F1287" t="s">
        <v>7514</v>
      </c>
      <c r="G1287" t="str">
        <f>"43-3031.00"</f>
        <v>43-3031.00</v>
      </c>
      <c r="H1287" t="s">
        <v>5042</v>
      </c>
      <c r="I1287">
        <v>3</v>
      </c>
      <c r="K1287" s="1">
        <v>44896</v>
      </c>
      <c r="L1287" s="1">
        <v>45199</v>
      </c>
      <c r="O1287" t="s">
        <v>199</v>
      </c>
      <c r="P1287" t="s">
        <v>7515</v>
      </c>
      <c r="R1287" t="s">
        <v>7516</v>
      </c>
      <c r="T1287" t="s">
        <v>1339</v>
      </c>
      <c r="U1287" t="s">
        <v>154</v>
      </c>
      <c r="V1287" s="4" t="str">
        <f>"32819"</f>
        <v>32819</v>
      </c>
      <c r="W1287" t="s">
        <v>120</v>
      </c>
      <c r="Y1287" s="5">
        <v>14077263456</v>
      </c>
      <c r="AA1287">
        <v>722511</v>
      </c>
      <c r="AB1287" t="s">
        <v>7517</v>
      </c>
      <c r="AC1287" t="s">
        <v>7518</v>
      </c>
      <c r="AE1287" t="s">
        <v>252</v>
      </c>
      <c r="AF1287" t="s">
        <v>7516</v>
      </c>
      <c r="AH1287" t="s">
        <v>1339</v>
      </c>
      <c r="AI1287" t="s">
        <v>154</v>
      </c>
      <c r="AJ1287" s="4" t="str">
        <f>"32819"</f>
        <v>32819</v>
      </c>
      <c r="AK1287" t="s">
        <v>120</v>
      </c>
      <c r="AM1287" s="5">
        <v>14077263456</v>
      </c>
      <c r="AO1287" t="s">
        <v>7519</v>
      </c>
      <c r="AP1287" t="s">
        <v>122</v>
      </c>
      <c r="AQ1287" t="s">
        <v>7520</v>
      </c>
      <c r="AR1287" t="s">
        <v>7521</v>
      </c>
      <c r="AT1287" t="s">
        <v>7522</v>
      </c>
      <c r="AU1287" t="s">
        <v>7523</v>
      </c>
      <c r="AV1287" t="s">
        <v>1339</v>
      </c>
      <c r="AW1287" t="s">
        <v>154</v>
      </c>
      <c r="AX1287" s="4" t="str">
        <f>"32821"</f>
        <v>32821</v>
      </c>
      <c r="AY1287" t="s">
        <v>120</v>
      </c>
      <c r="BA1287" s="5">
        <v>14074147899</v>
      </c>
      <c r="BC1287" t="s">
        <v>7524</v>
      </c>
      <c r="BD1287" t="s">
        <v>7525</v>
      </c>
      <c r="BE1287" t="s">
        <v>848</v>
      </c>
      <c r="BF1287" t="s">
        <v>7526</v>
      </c>
      <c r="BG1287" t="s">
        <v>154</v>
      </c>
      <c r="BH1287" s="1">
        <v>44811.833333333336</v>
      </c>
      <c r="BI1287">
        <v>40</v>
      </c>
      <c r="BJ1287">
        <v>8</v>
      </c>
      <c r="BK1287">
        <v>0</v>
      </c>
      <c r="BL1287">
        <v>0</v>
      </c>
      <c r="BM1287">
        <v>8</v>
      </c>
      <c r="BN1287">
        <v>8</v>
      </c>
      <c r="BO1287">
        <v>8</v>
      </c>
      <c r="BP1287">
        <v>8</v>
      </c>
      <c r="BQ1287" t="str">
        <f>"12:00 PM"</f>
        <v>12:00 PM</v>
      </c>
      <c r="BR1287" t="str">
        <f>"8:00 PM"</f>
        <v>8:00 PM</v>
      </c>
      <c r="BS1287" t="s">
        <v>295</v>
      </c>
      <c r="BT1287">
        <v>0</v>
      </c>
      <c r="BU1287">
        <v>0</v>
      </c>
      <c r="BV1287" t="s">
        <v>134</v>
      </c>
      <c r="BX1287" s="2" t="s">
        <v>7527</v>
      </c>
      <c r="BY1287" t="s">
        <v>7516</v>
      </c>
      <c r="CA1287" t="s">
        <v>1339</v>
      </c>
      <c r="CB1287" t="s">
        <v>154</v>
      </c>
      <c r="CC1287" s="4" t="str">
        <f>"32819"</f>
        <v>32819</v>
      </c>
      <c r="CD1287" t="s">
        <v>2302</v>
      </c>
      <c r="CE1287" t="s">
        <v>3159</v>
      </c>
      <c r="CF1287" s="6">
        <v>20.5</v>
      </c>
      <c r="CJ1287" t="s">
        <v>137</v>
      </c>
      <c r="CL1287" t="s">
        <v>7528</v>
      </c>
      <c r="CO1287" t="s">
        <v>138</v>
      </c>
      <c r="CP1287" t="s">
        <v>134</v>
      </c>
      <c r="CQ1287" t="s">
        <v>134</v>
      </c>
      <c r="CR1287" t="s">
        <v>134</v>
      </c>
      <c r="CS1287" t="s">
        <v>114</v>
      </c>
      <c r="CT1287" t="s">
        <v>114</v>
      </c>
      <c r="CU1287" t="s">
        <v>134</v>
      </c>
      <c r="CV1287" t="s">
        <v>2154</v>
      </c>
      <c r="CW1287" s="5" t="str">
        <f>"+14077845158"</f>
        <v>+14077845158</v>
      </c>
      <c r="CX1287" t="s">
        <v>7519</v>
      </c>
      <c r="CY1287" t="s">
        <v>138</v>
      </c>
      <c r="CZ1287" t="s">
        <v>139</v>
      </c>
      <c r="DA1287" t="s">
        <v>134</v>
      </c>
      <c r="DB1287" t="s">
        <v>134</v>
      </c>
      <c r="DC1287" t="s">
        <v>114</v>
      </c>
      <c r="DD1287" t="s">
        <v>134</v>
      </c>
    </row>
    <row r="1288" spans="1:113" ht="15" customHeight="1" x14ac:dyDescent="0.25">
      <c r="A1288" t="s">
        <v>14591</v>
      </c>
      <c r="B1288" t="s">
        <v>113</v>
      </c>
      <c r="C1288" s="1">
        <v>44797.677768402777</v>
      </c>
      <c r="D1288" s="1">
        <v>44840</v>
      </c>
      <c r="E1288" t="s">
        <v>114</v>
      </c>
      <c r="F1288" t="s">
        <v>14592</v>
      </c>
      <c r="G1288" t="str">
        <f>"27-2022.00"</f>
        <v>27-2022.00</v>
      </c>
      <c r="H1288" t="s">
        <v>9436</v>
      </c>
      <c r="I1288">
        <v>1</v>
      </c>
      <c r="K1288" s="1">
        <v>44872</v>
      </c>
      <c r="L1288" s="1">
        <v>45175</v>
      </c>
      <c r="O1288" t="s">
        <v>168</v>
      </c>
      <c r="P1288" t="s">
        <v>14593</v>
      </c>
      <c r="Q1288" t="s">
        <v>14594</v>
      </c>
      <c r="R1288" t="s">
        <v>14595</v>
      </c>
      <c r="T1288" t="s">
        <v>6878</v>
      </c>
      <c r="U1288" t="s">
        <v>129</v>
      </c>
      <c r="V1288" s="4" t="str">
        <f>"30331"</f>
        <v>30331</v>
      </c>
      <c r="W1288" t="s">
        <v>120</v>
      </c>
      <c r="Y1288" s="5">
        <v>13315755577</v>
      </c>
      <c r="AA1288">
        <v>711211</v>
      </c>
      <c r="AB1288" t="s">
        <v>1416</v>
      </c>
      <c r="AC1288" t="s">
        <v>1917</v>
      </c>
      <c r="AE1288" t="s">
        <v>14596</v>
      </c>
      <c r="AF1288" t="s">
        <v>14597</v>
      </c>
      <c r="AH1288" t="s">
        <v>128</v>
      </c>
      <c r="AI1288" t="s">
        <v>129</v>
      </c>
      <c r="AJ1288" s="4" t="str">
        <f>"30331"</f>
        <v>30331</v>
      </c>
      <c r="AK1288" t="s">
        <v>120</v>
      </c>
      <c r="AM1288" s="5">
        <v>13315755577</v>
      </c>
      <c r="AO1288" t="s">
        <v>14598</v>
      </c>
      <c r="AP1288" t="s">
        <v>122</v>
      </c>
      <c r="AQ1288" t="s">
        <v>14599</v>
      </c>
      <c r="AR1288" t="s">
        <v>14600</v>
      </c>
      <c r="AT1288" t="s">
        <v>14601</v>
      </c>
      <c r="AU1288" t="s">
        <v>14602</v>
      </c>
      <c r="AV1288" t="s">
        <v>128</v>
      </c>
      <c r="AW1288" t="s">
        <v>129</v>
      </c>
      <c r="AX1288" s="4" t="str">
        <f>"30339"</f>
        <v>30339</v>
      </c>
      <c r="AY1288" t="s">
        <v>120</v>
      </c>
      <c r="BA1288" s="5">
        <v>17706123499</v>
      </c>
      <c r="BC1288" t="s">
        <v>14603</v>
      </c>
      <c r="BD1288" t="s">
        <v>14604</v>
      </c>
      <c r="BE1288" t="s">
        <v>444</v>
      </c>
      <c r="BF1288" t="s">
        <v>510</v>
      </c>
      <c r="BG1288" t="s">
        <v>129</v>
      </c>
      <c r="BH1288" s="1">
        <v>44782.833333333336</v>
      </c>
      <c r="BI1288">
        <v>35</v>
      </c>
      <c r="BJ1288">
        <v>0</v>
      </c>
      <c r="BK1288">
        <v>7</v>
      </c>
      <c r="BL1288">
        <v>7</v>
      </c>
      <c r="BM1288">
        <v>7</v>
      </c>
      <c r="BN1288">
        <v>7</v>
      </c>
      <c r="BO1288">
        <v>7</v>
      </c>
      <c r="BP1288">
        <v>0</v>
      </c>
      <c r="BQ1288" t="str">
        <f>"8:00 AM"</f>
        <v>8:00 AM</v>
      </c>
      <c r="BR1288" t="str">
        <f>"4:00 PM"</f>
        <v>4:00 PM</v>
      </c>
      <c r="BS1288" t="s">
        <v>967</v>
      </c>
      <c r="BT1288">
        <v>24</v>
      </c>
      <c r="BU1288">
        <v>12</v>
      </c>
      <c r="BV1288" t="s">
        <v>114</v>
      </c>
      <c r="BW1288">
        <v>4</v>
      </c>
      <c r="BX1288" s="2" t="s">
        <v>14605</v>
      </c>
      <c r="BY1288" t="s">
        <v>14595</v>
      </c>
      <c r="CA1288" t="s">
        <v>6878</v>
      </c>
      <c r="CB1288" t="s">
        <v>129</v>
      </c>
      <c r="CC1288" s="4" t="str">
        <f>"30331"</f>
        <v>30331</v>
      </c>
      <c r="CD1288" t="s">
        <v>907</v>
      </c>
      <c r="CE1288" t="s">
        <v>908</v>
      </c>
      <c r="CF1288" s="6">
        <v>21.41</v>
      </c>
      <c r="CG1288" s="6">
        <v>22</v>
      </c>
      <c r="CJ1288" t="s">
        <v>137</v>
      </c>
      <c r="CL1288" t="s">
        <v>14606</v>
      </c>
      <c r="CO1288" t="s">
        <v>138</v>
      </c>
      <c r="CP1288" t="s">
        <v>134</v>
      </c>
      <c r="CQ1288" t="s">
        <v>134</v>
      </c>
      <c r="CR1288" t="s">
        <v>134</v>
      </c>
      <c r="CS1288" t="s">
        <v>134</v>
      </c>
      <c r="CT1288" t="s">
        <v>114</v>
      </c>
      <c r="CU1288" t="s">
        <v>114</v>
      </c>
      <c r="CV1288" t="s">
        <v>1897</v>
      </c>
      <c r="CW1288" s="5" t="str">
        <f>"+13315755577"</f>
        <v>+13315755577</v>
      </c>
      <c r="CX1288" t="s">
        <v>14598</v>
      </c>
      <c r="CY1288" t="s">
        <v>14607</v>
      </c>
      <c r="CZ1288" t="s">
        <v>139</v>
      </c>
      <c r="DA1288" t="s">
        <v>134</v>
      </c>
      <c r="DB1288" t="s">
        <v>134</v>
      </c>
      <c r="DC1288" t="s">
        <v>114</v>
      </c>
      <c r="DD1288" t="s">
        <v>134</v>
      </c>
      <c r="DE1288" t="s">
        <v>14599</v>
      </c>
      <c r="DF1288" t="s">
        <v>14600</v>
      </c>
      <c r="DH1288" t="s">
        <v>14604</v>
      </c>
      <c r="DI1288" t="s">
        <v>14603</v>
      </c>
    </row>
    <row r="1289" spans="1:113" ht="15" customHeight="1" x14ac:dyDescent="0.25">
      <c r="A1289" t="s">
        <v>10666</v>
      </c>
      <c r="B1289" t="s">
        <v>113</v>
      </c>
      <c r="C1289" s="1">
        <v>44796.377555555555</v>
      </c>
      <c r="D1289" s="1">
        <v>44840</v>
      </c>
      <c r="E1289" t="s">
        <v>114</v>
      </c>
      <c r="F1289" t="s">
        <v>10667</v>
      </c>
      <c r="G1289" t="str">
        <f>"49-3023.01"</f>
        <v>49-3023.01</v>
      </c>
      <c r="H1289" t="s">
        <v>5060</v>
      </c>
      <c r="I1289">
        <v>4</v>
      </c>
      <c r="K1289" s="1">
        <v>44875</v>
      </c>
      <c r="L1289" s="1">
        <v>45155</v>
      </c>
      <c r="O1289" t="s">
        <v>3130</v>
      </c>
      <c r="P1289" t="s">
        <v>10668</v>
      </c>
      <c r="R1289" t="s">
        <v>10669</v>
      </c>
      <c r="T1289" t="s">
        <v>10670</v>
      </c>
      <c r="U1289" t="s">
        <v>657</v>
      </c>
      <c r="V1289" s="4" t="str">
        <f>"37098"</f>
        <v>37098</v>
      </c>
      <c r="W1289" t="s">
        <v>120</v>
      </c>
      <c r="Y1289" s="5">
        <v>16154033000</v>
      </c>
      <c r="AA1289">
        <v>423140</v>
      </c>
      <c r="AB1289" t="s">
        <v>4467</v>
      </c>
      <c r="AC1289" t="s">
        <v>10671</v>
      </c>
      <c r="AE1289" t="s">
        <v>1150</v>
      </c>
      <c r="AF1289" t="s">
        <v>10672</v>
      </c>
      <c r="AH1289" t="s">
        <v>10670</v>
      </c>
      <c r="AI1289" t="s">
        <v>657</v>
      </c>
      <c r="AJ1289" s="4" t="str">
        <f>"37098"</f>
        <v>37098</v>
      </c>
      <c r="AK1289" t="s">
        <v>120</v>
      </c>
      <c r="AM1289" s="5">
        <v>16154033000</v>
      </c>
      <c r="AO1289" t="s">
        <v>10673</v>
      </c>
      <c r="AX1289" s="4" t="str">
        <f>""</f>
        <v/>
      </c>
      <c r="BG1289" t="s">
        <v>657</v>
      </c>
      <c r="BH1289" s="1">
        <v>44697.833333333336</v>
      </c>
      <c r="BI1289">
        <v>35</v>
      </c>
      <c r="BJ1289">
        <v>0</v>
      </c>
      <c r="BK1289">
        <v>8</v>
      </c>
      <c r="BL1289">
        <v>8</v>
      </c>
      <c r="BM1289">
        <v>8</v>
      </c>
      <c r="BN1289">
        <v>8</v>
      </c>
      <c r="BO1289">
        <v>3</v>
      </c>
      <c r="BP1289">
        <v>0</v>
      </c>
      <c r="BQ1289" t="str">
        <f>"8:22 AM"</f>
        <v>8:22 AM</v>
      </c>
      <c r="BR1289" t="str">
        <f>"4:22 PM"</f>
        <v>4:22 PM</v>
      </c>
      <c r="BS1289" t="s">
        <v>133</v>
      </c>
      <c r="BT1289">
        <v>1</v>
      </c>
      <c r="BU1289">
        <v>1</v>
      </c>
      <c r="BV1289" t="s">
        <v>134</v>
      </c>
      <c r="BX1289" t="s">
        <v>10674</v>
      </c>
      <c r="BY1289" t="s">
        <v>10669</v>
      </c>
      <c r="CA1289" t="s">
        <v>10670</v>
      </c>
      <c r="CB1289" t="s">
        <v>657</v>
      </c>
      <c r="CC1289" s="4" t="str">
        <f>"37098"</f>
        <v>37098</v>
      </c>
      <c r="CD1289" t="s">
        <v>10675</v>
      </c>
      <c r="CE1289" t="s">
        <v>1667</v>
      </c>
      <c r="CF1289" s="6">
        <v>22</v>
      </c>
      <c r="CG1289" s="6">
        <v>22</v>
      </c>
      <c r="CJ1289" t="s">
        <v>137</v>
      </c>
      <c r="CL1289" t="s">
        <v>10676</v>
      </c>
      <c r="CO1289" t="s">
        <v>138</v>
      </c>
      <c r="CP1289" t="s">
        <v>134</v>
      </c>
      <c r="CQ1289" t="s">
        <v>114</v>
      </c>
      <c r="CR1289" t="s">
        <v>114</v>
      </c>
      <c r="CS1289" t="s">
        <v>114</v>
      </c>
      <c r="CT1289" t="s">
        <v>114</v>
      </c>
      <c r="CU1289" t="s">
        <v>114</v>
      </c>
      <c r="CV1289" t="s">
        <v>219</v>
      </c>
      <c r="CW1289" s="5" t="str">
        <f>"+16154033000"</f>
        <v>+16154033000</v>
      </c>
      <c r="CX1289" t="s">
        <v>10677</v>
      </c>
      <c r="CY1289" t="s">
        <v>138</v>
      </c>
      <c r="CZ1289" t="s">
        <v>139</v>
      </c>
      <c r="DA1289" t="s">
        <v>134</v>
      </c>
      <c r="DB1289" t="s">
        <v>134</v>
      </c>
      <c r="DC1289" t="s">
        <v>114</v>
      </c>
      <c r="DD1289" t="s">
        <v>134</v>
      </c>
      <c r="DE1289" t="s">
        <v>10678</v>
      </c>
      <c r="DF1289" t="s">
        <v>10679</v>
      </c>
      <c r="DH1289" t="s">
        <v>10668</v>
      </c>
      <c r="DI1289" t="s">
        <v>10680</v>
      </c>
    </row>
    <row r="1290" spans="1:113" ht="15" customHeight="1" x14ac:dyDescent="0.25">
      <c r="A1290" t="s">
        <v>3640</v>
      </c>
      <c r="B1290" t="s">
        <v>113</v>
      </c>
      <c r="C1290" s="1">
        <v>44795.876530208334</v>
      </c>
      <c r="D1290" s="1">
        <v>44840</v>
      </c>
      <c r="E1290" t="s">
        <v>134</v>
      </c>
      <c r="F1290" t="s">
        <v>3641</v>
      </c>
      <c r="G1290" t="str">
        <f>"37-2012.00"</f>
        <v>37-2012.00</v>
      </c>
      <c r="H1290" t="s">
        <v>116</v>
      </c>
      <c r="I1290">
        <v>1</v>
      </c>
      <c r="K1290" s="1">
        <v>44872</v>
      </c>
      <c r="L1290" s="1">
        <v>45061</v>
      </c>
      <c r="O1290" t="s">
        <v>199</v>
      </c>
      <c r="P1290" t="s">
        <v>3642</v>
      </c>
      <c r="Q1290" t="s">
        <v>138</v>
      </c>
      <c r="R1290" t="s">
        <v>3643</v>
      </c>
      <c r="T1290" t="s">
        <v>3644</v>
      </c>
      <c r="U1290" t="s">
        <v>661</v>
      </c>
      <c r="V1290" s="4" t="str">
        <f>"59716"</f>
        <v>59716</v>
      </c>
      <c r="W1290" t="s">
        <v>120</v>
      </c>
      <c r="X1290" t="s">
        <v>1479</v>
      </c>
      <c r="Y1290" s="5">
        <v>18889152787</v>
      </c>
      <c r="AA1290">
        <v>531311</v>
      </c>
      <c r="AB1290" t="s">
        <v>3645</v>
      </c>
      <c r="AC1290" t="s">
        <v>3646</v>
      </c>
      <c r="AD1290" t="s">
        <v>452</v>
      </c>
      <c r="AE1290" t="s">
        <v>3647</v>
      </c>
      <c r="AF1290" t="s">
        <v>3643</v>
      </c>
      <c r="AH1290" t="s">
        <v>3644</v>
      </c>
      <c r="AI1290" t="s">
        <v>661</v>
      </c>
      <c r="AJ1290" s="4" t="str">
        <f>"59716"</f>
        <v>59716</v>
      </c>
      <c r="AK1290" t="s">
        <v>120</v>
      </c>
      <c r="AM1290" s="5">
        <v>14066988127</v>
      </c>
      <c r="AO1290" t="s">
        <v>3648</v>
      </c>
      <c r="AX1290" s="4" t="str">
        <f>""</f>
        <v/>
      </c>
      <c r="BG1290" t="s">
        <v>661</v>
      </c>
      <c r="BH1290" s="1">
        <v>44794.833333333336</v>
      </c>
      <c r="BI1290">
        <v>40</v>
      </c>
      <c r="BJ1290">
        <v>8</v>
      </c>
      <c r="BK1290">
        <v>8</v>
      </c>
      <c r="BL1290">
        <v>0</v>
      </c>
      <c r="BM1290">
        <v>0</v>
      </c>
      <c r="BN1290">
        <v>8</v>
      </c>
      <c r="BO1290">
        <v>8</v>
      </c>
      <c r="BP1290">
        <v>8</v>
      </c>
      <c r="BQ1290" t="str">
        <f>"9:30 AM"</f>
        <v>9:30 AM</v>
      </c>
      <c r="BR1290" t="str">
        <f>"5:30 PM"</f>
        <v>5:30 PM</v>
      </c>
      <c r="BS1290" t="s">
        <v>295</v>
      </c>
      <c r="BT1290">
        <v>0</v>
      </c>
      <c r="BU1290">
        <v>0</v>
      </c>
      <c r="BV1290" t="s">
        <v>134</v>
      </c>
      <c r="BX1290" t="s">
        <v>3649</v>
      </c>
      <c r="BY1290" t="s">
        <v>3643</v>
      </c>
      <c r="CA1290" t="s">
        <v>3644</v>
      </c>
      <c r="CB1290" t="s">
        <v>661</v>
      </c>
      <c r="CC1290" s="4" t="str">
        <f>"59716"</f>
        <v>59716</v>
      </c>
      <c r="CD1290" t="s">
        <v>665</v>
      </c>
      <c r="CE1290" t="s">
        <v>666</v>
      </c>
      <c r="CF1290" s="6">
        <v>22</v>
      </c>
      <c r="CG1290" s="6">
        <v>22</v>
      </c>
      <c r="CH1290" s="6">
        <v>33</v>
      </c>
      <c r="CI1290" s="6">
        <v>33</v>
      </c>
      <c r="CJ1290" t="s">
        <v>137</v>
      </c>
      <c r="CK1290" t="s">
        <v>3650</v>
      </c>
      <c r="CL1290" t="s">
        <v>3651</v>
      </c>
      <c r="CO1290" t="s">
        <v>138</v>
      </c>
      <c r="CP1290" t="s">
        <v>114</v>
      </c>
      <c r="CQ1290" t="s">
        <v>114</v>
      </c>
      <c r="CR1290" t="s">
        <v>114</v>
      </c>
      <c r="CS1290" t="s">
        <v>114</v>
      </c>
      <c r="CT1290" t="s">
        <v>114</v>
      </c>
      <c r="CU1290" t="s">
        <v>114</v>
      </c>
      <c r="CV1290" t="s">
        <v>3652</v>
      </c>
      <c r="CW1290" s="5" t="str">
        <f>"+18889152787"</f>
        <v>+18889152787</v>
      </c>
      <c r="CX1290" t="s">
        <v>3653</v>
      </c>
      <c r="CY1290" t="s">
        <v>3654</v>
      </c>
      <c r="CZ1290" t="s">
        <v>139</v>
      </c>
      <c r="DA1290" t="s">
        <v>134</v>
      </c>
      <c r="DB1290" t="s">
        <v>134</v>
      </c>
      <c r="DC1290" t="s">
        <v>114</v>
      </c>
      <c r="DD1290" t="s">
        <v>134</v>
      </c>
    </row>
    <row r="1291" spans="1:113" ht="15" customHeight="1" x14ac:dyDescent="0.25">
      <c r="A1291" t="s">
        <v>16511</v>
      </c>
      <c r="B1291" t="s">
        <v>113</v>
      </c>
      <c r="C1291" s="1">
        <v>44792.687023726852</v>
      </c>
      <c r="D1291" s="1">
        <v>44840</v>
      </c>
      <c r="E1291" t="s">
        <v>114</v>
      </c>
      <c r="F1291" t="s">
        <v>3509</v>
      </c>
      <c r="G1291" t="str">
        <f>"37-2011.00"</f>
        <v>37-2011.00</v>
      </c>
      <c r="H1291" t="s">
        <v>672</v>
      </c>
      <c r="I1291">
        <v>2</v>
      </c>
      <c r="K1291" s="1">
        <v>44867</v>
      </c>
      <c r="L1291" s="1">
        <v>45138</v>
      </c>
      <c r="O1291" t="s">
        <v>117</v>
      </c>
      <c r="P1291" t="s">
        <v>1170</v>
      </c>
      <c r="Q1291" t="s">
        <v>16512</v>
      </c>
      <c r="R1291" t="s">
        <v>1172</v>
      </c>
      <c r="T1291" t="s">
        <v>1173</v>
      </c>
      <c r="U1291" t="s">
        <v>792</v>
      </c>
      <c r="V1291" s="4" t="str">
        <f>"98188"</f>
        <v>98188</v>
      </c>
      <c r="W1291" t="s">
        <v>120</v>
      </c>
      <c r="Y1291" s="5">
        <v>12064318000</v>
      </c>
      <c r="AA1291">
        <v>721110</v>
      </c>
      <c r="AB1291" t="s">
        <v>1174</v>
      </c>
      <c r="AC1291" t="s">
        <v>1175</v>
      </c>
      <c r="AE1291" t="s">
        <v>1176</v>
      </c>
      <c r="AF1291" t="s">
        <v>1172</v>
      </c>
      <c r="AH1291" t="s">
        <v>1173</v>
      </c>
      <c r="AI1291" t="s">
        <v>792</v>
      </c>
      <c r="AJ1291" s="4" t="str">
        <f>"98188"</f>
        <v>98188</v>
      </c>
      <c r="AK1291" t="s">
        <v>120</v>
      </c>
      <c r="AM1291" s="5">
        <v>12064318000</v>
      </c>
      <c r="AO1291" t="s">
        <v>1177</v>
      </c>
      <c r="AX1291" s="4" t="str">
        <f>""</f>
        <v/>
      </c>
      <c r="BG1291" t="s">
        <v>511</v>
      </c>
      <c r="BH1291" s="1">
        <v>44790.833333333336</v>
      </c>
      <c r="BI1291">
        <v>40</v>
      </c>
      <c r="BJ1291">
        <v>8</v>
      </c>
      <c r="BK1291">
        <v>8</v>
      </c>
      <c r="BL1291">
        <v>8</v>
      </c>
      <c r="BM1291">
        <v>0</v>
      </c>
      <c r="BN1291">
        <v>0</v>
      </c>
      <c r="BO1291">
        <v>8</v>
      </c>
      <c r="BP1291">
        <v>8</v>
      </c>
      <c r="BQ1291" t="str">
        <f>"8:30 AM"</f>
        <v>8:30 AM</v>
      </c>
      <c r="BR1291" t="str">
        <f>"4:30 PM"</f>
        <v>4:30 PM</v>
      </c>
      <c r="BS1291" t="s">
        <v>133</v>
      </c>
      <c r="BT1291">
        <v>0</v>
      </c>
      <c r="BU1291">
        <v>0</v>
      </c>
      <c r="BV1291" t="s">
        <v>134</v>
      </c>
      <c r="BX1291" t="s">
        <v>138</v>
      </c>
      <c r="BY1291" t="s">
        <v>16513</v>
      </c>
      <c r="CA1291" t="s">
        <v>1541</v>
      </c>
      <c r="CB1291" t="s">
        <v>511</v>
      </c>
      <c r="CC1291" s="4" t="str">
        <f>"97702"</f>
        <v>97702</v>
      </c>
      <c r="CD1291" t="s">
        <v>1543</v>
      </c>
      <c r="CE1291" t="s">
        <v>1544</v>
      </c>
      <c r="CF1291" s="6">
        <v>15.09</v>
      </c>
      <c r="CG1291" s="6">
        <v>18</v>
      </c>
      <c r="CH1291" s="6">
        <v>22.63</v>
      </c>
      <c r="CI1291" s="6">
        <v>27</v>
      </c>
      <c r="CJ1291" t="s">
        <v>137</v>
      </c>
      <c r="CK1291" t="s">
        <v>16514</v>
      </c>
      <c r="CL1291" t="s">
        <v>16515</v>
      </c>
      <c r="CO1291" t="s">
        <v>138</v>
      </c>
      <c r="CP1291" t="s">
        <v>134</v>
      </c>
      <c r="CQ1291" t="s">
        <v>134</v>
      </c>
      <c r="CR1291" t="s">
        <v>114</v>
      </c>
      <c r="CS1291" t="s">
        <v>114</v>
      </c>
      <c r="CT1291" t="s">
        <v>114</v>
      </c>
      <c r="CU1291" t="s">
        <v>134</v>
      </c>
      <c r="CV1291" t="s">
        <v>1182</v>
      </c>
      <c r="CW1291" s="5" t="str">
        <f>"N/A"</f>
        <v>N/A</v>
      </c>
      <c r="CX1291" t="s">
        <v>16516</v>
      </c>
      <c r="CY1291" t="s">
        <v>1184</v>
      </c>
      <c r="CZ1291" t="s">
        <v>139</v>
      </c>
      <c r="DA1291" t="s">
        <v>134</v>
      </c>
      <c r="DB1291" t="s">
        <v>134</v>
      </c>
      <c r="DC1291" t="s">
        <v>114</v>
      </c>
      <c r="DD1291" t="s">
        <v>134</v>
      </c>
    </row>
    <row r="1292" spans="1:113" ht="15" customHeight="1" x14ac:dyDescent="0.25">
      <c r="A1292" t="s">
        <v>15813</v>
      </c>
      <c r="B1292" t="s">
        <v>113</v>
      </c>
      <c r="C1292" s="1">
        <v>44812.494930787034</v>
      </c>
      <c r="D1292" s="1">
        <v>44839</v>
      </c>
      <c r="E1292" t="s">
        <v>114</v>
      </c>
      <c r="F1292" t="s">
        <v>15814</v>
      </c>
      <c r="G1292" t="str">
        <f>"39-5092.00"</f>
        <v>39-5092.00</v>
      </c>
      <c r="H1292" t="s">
        <v>15815</v>
      </c>
      <c r="I1292">
        <v>3</v>
      </c>
      <c r="K1292" s="1">
        <v>44895</v>
      </c>
      <c r="L1292" s="1">
        <v>45291</v>
      </c>
      <c r="O1292" t="s">
        <v>168</v>
      </c>
      <c r="P1292" t="s">
        <v>15816</v>
      </c>
      <c r="R1292" t="s">
        <v>15817</v>
      </c>
      <c r="T1292" t="s">
        <v>15818</v>
      </c>
      <c r="U1292" t="s">
        <v>479</v>
      </c>
      <c r="V1292" s="4" t="str">
        <f>"23456"</f>
        <v>23456</v>
      </c>
      <c r="W1292" t="s">
        <v>120</v>
      </c>
      <c r="Y1292" s="5">
        <v>17575632195</v>
      </c>
      <c r="AA1292">
        <v>812113</v>
      </c>
      <c r="AB1292" t="s">
        <v>15819</v>
      </c>
      <c r="AC1292" t="s">
        <v>15820</v>
      </c>
      <c r="AD1292" t="s">
        <v>15821</v>
      </c>
      <c r="AE1292" t="s">
        <v>15822</v>
      </c>
      <c r="AF1292" t="s">
        <v>15823</v>
      </c>
      <c r="AH1292" t="s">
        <v>15818</v>
      </c>
      <c r="AI1292" t="s">
        <v>479</v>
      </c>
      <c r="AJ1292" s="4" t="str">
        <f>"23462"</f>
        <v>23462</v>
      </c>
      <c r="AK1292" t="s">
        <v>120</v>
      </c>
      <c r="AM1292" s="5">
        <v>14026173526</v>
      </c>
      <c r="AO1292" t="s">
        <v>15824</v>
      </c>
      <c r="AX1292" s="4" t="str">
        <f>""</f>
        <v/>
      </c>
      <c r="BG1292" t="s">
        <v>479</v>
      </c>
      <c r="BH1292" s="1">
        <v>44776.833333333336</v>
      </c>
      <c r="BI1292">
        <v>60</v>
      </c>
      <c r="BJ1292">
        <v>0</v>
      </c>
      <c r="BK1292">
        <v>0</v>
      </c>
      <c r="BL1292">
        <v>12</v>
      </c>
      <c r="BM1292">
        <v>12</v>
      </c>
      <c r="BN1292">
        <v>12</v>
      </c>
      <c r="BO1292">
        <v>12</v>
      </c>
      <c r="BP1292">
        <v>12</v>
      </c>
      <c r="BQ1292" t="str">
        <f>"10:00 AM"</f>
        <v>10:00 AM</v>
      </c>
      <c r="BR1292" t="str">
        <f>"8:00 PM"</f>
        <v>8:00 PM</v>
      </c>
      <c r="BS1292" t="s">
        <v>133</v>
      </c>
      <c r="BT1292">
        <v>2</v>
      </c>
      <c r="BU1292">
        <v>3</v>
      </c>
      <c r="BV1292" t="s">
        <v>134</v>
      </c>
      <c r="BX1292" t="s">
        <v>15825</v>
      </c>
      <c r="BY1292" t="s">
        <v>15826</v>
      </c>
      <c r="BZ1292" t="s">
        <v>15827</v>
      </c>
      <c r="CA1292" t="s">
        <v>4562</v>
      </c>
      <c r="CB1292" t="s">
        <v>479</v>
      </c>
      <c r="CC1292" s="4" t="str">
        <f>"23456"</f>
        <v>23456</v>
      </c>
      <c r="CD1292" t="s">
        <v>4566</v>
      </c>
      <c r="CE1292" t="s">
        <v>1687</v>
      </c>
      <c r="CF1292" s="6">
        <v>15</v>
      </c>
      <c r="CG1292" s="6">
        <v>18</v>
      </c>
      <c r="CJ1292" t="s">
        <v>137</v>
      </c>
      <c r="CL1292" t="s">
        <v>15828</v>
      </c>
      <c r="CO1292" t="s">
        <v>138</v>
      </c>
      <c r="CP1292" t="s">
        <v>134</v>
      </c>
      <c r="CQ1292" t="s">
        <v>114</v>
      </c>
      <c r="CR1292" t="s">
        <v>114</v>
      </c>
      <c r="CS1292" t="s">
        <v>114</v>
      </c>
      <c r="CT1292" t="s">
        <v>114</v>
      </c>
      <c r="CU1292" t="s">
        <v>114</v>
      </c>
      <c r="CV1292" t="s">
        <v>2314</v>
      </c>
      <c r="CW1292" s="5" t="str">
        <f>"+14026173526"</f>
        <v>+14026173526</v>
      </c>
      <c r="CX1292" t="s">
        <v>15824</v>
      </c>
      <c r="CY1292" t="s">
        <v>138</v>
      </c>
      <c r="CZ1292" t="s">
        <v>139</v>
      </c>
      <c r="DA1292" t="s">
        <v>134</v>
      </c>
      <c r="DB1292" t="s">
        <v>134</v>
      </c>
      <c r="DC1292" t="s">
        <v>114</v>
      </c>
      <c r="DD1292" t="s">
        <v>134</v>
      </c>
    </row>
    <row r="1293" spans="1:113" ht="15" customHeight="1" x14ac:dyDescent="0.25">
      <c r="A1293" t="s">
        <v>11429</v>
      </c>
      <c r="B1293" t="s">
        <v>113</v>
      </c>
      <c r="C1293" s="1">
        <v>44792.687853240743</v>
      </c>
      <c r="D1293" s="1">
        <v>44839</v>
      </c>
      <c r="E1293" t="s">
        <v>114</v>
      </c>
      <c r="F1293" t="s">
        <v>3509</v>
      </c>
      <c r="G1293" t="str">
        <f>"37-2011.00"</f>
        <v>37-2011.00</v>
      </c>
      <c r="H1293" t="s">
        <v>672</v>
      </c>
      <c r="I1293">
        <v>2</v>
      </c>
      <c r="K1293" s="1">
        <v>44867</v>
      </c>
      <c r="L1293" s="1">
        <v>45138</v>
      </c>
      <c r="O1293" t="s">
        <v>117</v>
      </c>
      <c r="P1293" t="s">
        <v>1170</v>
      </c>
      <c r="Q1293" t="s">
        <v>11430</v>
      </c>
      <c r="R1293" t="s">
        <v>1172</v>
      </c>
      <c r="T1293" t="s">
        <v>1173</v>
      </c>
      <c r="U1293" t="s">
        <v>792</v>
      </c>
      <c r="V1293" s="4" t="str">
        <f>"98188"</f>
        <v>98188</v>
      </c>
      <c r="W1293" t="s">
        <v>120</v>
      </c>
      <c r="Y1293" s="5">
        <v>12064318000</v>
      </c>
      <c r="AA1293">
        <v>721110</v>
      </c>
      <c r="AB1293" t="s">
        <v>1174</v>
      </c>
      <c r="AC1293" t="s">
        <v>1175</v>
      </c>
      <c r="AE1293" t="s">
        <v>1176</v>
      </c>
      <c r="AF1293" t="s">
        <v>3511</v>
      </c>
      <c r="AH1293" t="s">
        <v>1632</v>
      </c>
      <c r="AI1293" t="s">
        <v>792</v>
      </c>
      <c r="AJ1293" s="4" t="str">
        <f>"98138"</f>
        <v>98138</v>
      </c>
      <c r="AK1293" t="s">
        <v>120</v>
      </c>
      <c r="AM1293" s="5">
        <v>12064318000</v>
      </c>
      <c r="AO1293" t="s">
        <v>1177</v>
      </c>
      <c r="AX1293" s="4" t="str">
        <f>""</f>
        <v/>
      </c>
      <c r="BG1293" t="s">
        <v>511</v>
      </c>
      <c r="BH1293" s="1">
        <v>44790.833333333336</v>
      </c>
      <c r="BI1293">
        <v>40</v>
      </c>
      <c r="BJ1293">
        <v>0</v>
      </c>
      <c r="BK1293">
        <v>8</v>
      </c>
      <c r="BL1293">
        <v>8</v>
      </c>
      <c r="BM1293">
        <v>8</v>
      </c>
      <c r="BN1293">
        <v>8</v>
      </c>
      <c r="BO1293">
        <v>8</v>
      </c>
      <c r="BP1293">
        <v>0</v>
      </c>
      <c r="BQ1293" t="str">
        <f>"8:30 AM"</f>
        <v>8:30 AM</v>
      </c>
      <c r="BR1293" t="str">
        <f>"4:30 PM"</f>
        <v>4:30 PM</v>
      </c>
      <c r="BS1293" t="s">
        <v>133</v>
      </c>
      <c r="BT1293">
        <v>0</v>
      </c>
      <c r="BU1293">
        <v>0</v>
      </c>
      <c r="BV1293" t="s">
        <v>134</v>
      </c>
      <c r="BX1293" t="s">
        <v>138</v>
      </c>
      <c r="BY1293" t="s">
        <v>11431</v>
      </c>
      <c r="CA1293" t="s">
        <v>11432</v>
      </c>
      <c r="CB1293" t="s">
        <v>511</v>
      </c>
      <c r="CC1293" s="4" t="str">
        <f>"97702"</f>
        <v>97702</v>
      </c>
      <c r="CD1293" t="s">
        <v>1543</v>
      </c>
      <c r="CE1293" t="s">
        <v>1544</v>
      </c>
      <c r="CF1293" s="6">
        <v>16.5</v>
      </c>
      <c r="CG1293" s="6">
        <v>17</v>
      </c>
      <c r="CH1293" s="6">
        <v>24.75</v>
      </c>
      <c r="CI1293" s="6">
        <v>25.5</v>
      </c>
      <c r="CJ1293" t="s">
        <v>137</v>
      </c>
      <c r="CK1293" t="s">
        <v>11433</v>
      </c>
      <c r="CL1293" t="s">
        <v>11434</v>
      </c>
      <c r="CO1293" t="s">
        <v>138</v>
      </c>
      <c r="CP1293" t="s">
        <v>134</v>
      </c>
      <c r="CQ1293" t="s">
        <v>134</v>
      </c>
      <c r="CR1293" t="s">
        <v>114</v>
      </c>
      <c r="CS1293" t="s">
        <v>114</v>
      </c>
      <c r="CT1293" t="s">
        <v>114</v>
      </c>
      <c r="CU1293" t="s">
        <v>134</v>
      </c>
      <c r="CV1293" t="s">
        <v>11435</v>
      </c>
      <c r="CW1293" s="5" t="str">
        <f>"N/A"</f>
        <v>N/A</v>
      </c>
      <c r="CX1293" t="s">
        <v>11436</v>
      </c>
      <c r="CY1293" t="s">
        <v>1184</v>
      </c>
      <c r="CZ1293" t="s">
        <v>139</v>
      </c>
      <c r="DA1293" t="s">
        <v>134</v>
      </c>
      <c r="DB1293" t="s">
        <v>134</v>
      </c>
      <c r="DC1293" t="s">
        <v>114</v>
      </c>
      <c r="DD1293" t="s">
        <v>134</v>
      </c>
    </row>
    <row r="1294" spans="1:113" ht="15" customHeight="1" x14ac:dyDescent="0.25">
      <c r="A1294" t="s">
        <v>9526</v>
      </c>
      <c r="B1294" t="s">
        <v>113</v>
      </c>
      <c r="C1294" s="1">
        <v>44792.681723958332</v>
      </c>
      <c r="D1294" s="1">
        <v>44839</v>
      </c>
      <c r="E1294" t="s">
        <v>114</v>
      </c>
      <c r="F1294" t="s">
        <v>1169</v>
      </c>
      <c r="G1294" t="str">
        <f>"37-2012.00"</f>
        <v>37-2012.00</v>
      </c>
      <c r="H1294" t="s">
        <v>116</v>
      </c>
      <c r="I1294">
        <v>6</v>
      </c>
      <c r="K1294" s="1">
        <v>44867</v>
      </c>
      <c r="L1294" s="1">
        <v>45138</v>
      </c>
      <c r="O1294" t="s">
        <v>117</v>
      </c>
      <c r="P1294" t="s">
        <v>1170</v>
      </c>
      <c r="Q1294" t="s">
        <v>9527</v>
      </c>
      <c r="R1294" t="s">
        <v>1172</v>
      </c>
      <c r="T1294" t="s">
        <v>1173</v>
      </c>
      <c r="U1294" t="s">
        <v>792</v>
      </c>
      <c r="V1294" s="4" t="str">
        <f>"98188"</f>
        <v>98188</v>
      </c>
      <c r="W1294" t="s">
        <v>120</v>
      </c>
      <c r="Y1294" s="5">
        <v>12064318000</v>
      </c>
      <c r="AA1294">
        <v>721110</v>
      </c>
      <c r="AB1294" t="s">
        <v>1174</v>
      </c>
      <c r="AC1294" t="s">
        <v>1175</v>
      </c>
      <c r="AE1294" t="s">
        <v>1176</v>
      </c>
      <c r="AF1294" t="s">
        <v>3511</v>
      </c>
      <c r="AH1294" t="s">
        <v>1632</v>
      </c>
      <c r="AI1294" t="s">
        <v>792</v>
      </c>
      <c r="AJ1294" s="4" t="str">
        <f>"98138"</f>
        <v>98138</v>
      </c>
      <c r="AK1294" t="s">
        <v>120</v>
      </c>
      <c r="AM1294" s="5">
        <v>12064318000</v>
      </c>
      <c r="AO1294" t="s">
        <v>1177</v>
      </c>
      <c r="AX1294" s="4" t="str">
        <f>""</f>
        <v/>
      </c>
      <c r="BG1294" t="s">
        <v>661</v>
      </c>
      <c r="BH1294" s="1">
        <v>44790.833333333336</v>
      </c>
      <c r="BI1294">
        <v>58</v>
      </c>
      <c r="BJ1294">
        <v>9</v>
      </c>
      <c r="BK1294">
        <v>8</v>
      </c>
      <c r="BL1294">
        <v>8</v>
      </c>
      <c r="BM1294">
        <v>8</v>
      </c>
      <c r="BN1294">
        <v>8</v>
      </c>
      <c r="BO1294">
        <v>8</v>
      </c>
      <c r="BP1294">
        <v>9</v>
      </c>
      <c r="BQ1294" t="str">
        <f>"9:00 AM"</f>
        <v>9:00 AM</v>
      </c>
      <c r="BR1294" t="str">
        <f>"5:00 PM"</f>
        <v>5:00 PM</v>
      </c>
      <c r="BS1294" t="s">
        <v>133</v>
      </c>
      <c r="BT1294">
        <v>0</v>
      </c>
      <c r="BU1294">
        <v>0</v>
      </c>
      <c r="BV1294" t="s">
        <v>134</v>
      </c>
      <c r="BX1294" t="s">
        <v>138</v>
      </c>
      <c r="BY1294" t="s">
        <v>9528</v>
      </c>
      <c r="CA1294" t="s">
        <v>2471</v>
      </c>
      <c r="CB1294" t="s">
        <v>661</v>
      </c>
      <c r="CC1294" s="4" t="str">
        <f>"59715"</f>
        <v>59715</v>
      </c>
      <c r="CD1294" t="s">
        <v>665</v>
      </c>
      <c r="CE1294" t="s">
        <v>666</v>
      </c>
      <c r="CF1294" s="6">
        <v>13.33</v>
      </c>
      <c r="CG1294" s="6">
        <v>18</v>
      </c>
      <c r="CH1294" s="6">
        <v>19.989999999999998</v>
      </c>
      <c r="CI1294" s="6">
        <v>27</v>
      </c>
      <c r="CJ1294" t="s">
        <v>137</v>
      </c>
      <c r="CK1294" t="s">
        <v>1180</v>
      </c>
      <c r="CL1294" t="s">
        <v>9529</v>
      </c>
      <c r="CO1294" t="s">
        <v>138</v>
      </c>
      <c r="CP1294" t="s">
        <v>134</v>
      </c>
      <c r="CQ1294" t="s">
        <v>134</v>
      </c>
      <c r="CR1294" t="s">
        <v>114</v>
      </c>
      <c r="CS1294" t="s">
        <v>114</v>
      </c>
      <c r="CT1294" t="s">
        <v>114</v>
      </c>
      <c r="CU1294" t="s">
        <v>134</v>
      </c>
      <c r="CV1294" t="s">
        <v>1182</v>
      </c>
      <c r="CW1294" s="5" t="str">
        <f>"N/A"</f>
        <v>N/A</v>
      </c>
      <c r="CX1294" t="s">
        <v>9530</v>
      </c>
      <c r="CY1294" t="s">
        <v>1184</v>
      </c>
      <c r="CZ1294" t="s">
        <v>139</v>
      </c>
      <c r="DA1294" t="s">
        <v>134</v>
      </c>
      <c r="DB1294" t="s">
        <v>134</v>
      </c>
      <c r="DC1294" t="s">
        <v>114</v>
      </c>
      <c r="DD1294" t="s">
        <v>134</v>
      </c>
    </row>
    <row r="1295" spans="1:113" ht="15" customHeight="1" x14ac:dyDescent="0.25">
      <c r="A1295" t="s">
        <v>9567</v>
      </c>
      <c r="B1295" t="s">
        <v>113</v>
      </c>
      <c r="C1295" s="1">
        <v>44792.679715046295</v>
      </c>
      <c r="D1295" s="1">
        <v>44839</v>
      </c>
      <c r="E1295" t="s">
        <v>114</v>
      </c>
      <c r="F1295" t="s">
        <v>3509</v>
      </c>
      <c r="G1295" t="str">
        <f>"37-2012.00"</f>
        <v>37-2012.00</v>
      </c>
      <c r="H1295" t="s">
        <v>116</v>
      </c>
      <c r="I1295">
        <v>1</v>
      </c>
      <c r="K1295" s="1">
        <v>44867</v>
      </c>
      <c r="L1295" s="1">
        <v>45138</v>
      </c>
      <c r="O1295" t="s">
        <v>117</v>
      </c>
      <c r="P1295" t="s">
        <v>1170</v>
      </c>
      <c r="Q1295" t="s">
        <v>9568</v>
      </c>
      <c r="R1295" t="s">
        <v>1172</v>
      </c>
      <c r="T1295" t="s">
        <v>1173</v>
      </c>
      <c r="U1295" t="s">
        <v>792</v>
      </c>
      <c r="V1295" s="4" t="str">
        <f>"98188"</f>
        <v>98188</v>
      </c>
      <c r="W1295" t="s">
        <v>120</v>
      </c>
      <c r="Y1295" s="5">
        <v>12064318000</v>
      </c>
      <c r="AA1295">
        <v>721110</v>
      </c>
      <c r="AB1295" t="s">
        <v>1174</v>
      </c>
      <c r="AC1295" t="s">
        <v>1175</v>
      </c>
      <c r="AE1295" t="s">
        <v>1176</v>
      </c>
      <c r="AF1295" t="s">
        <v>3511</v>
      </c>
      <c r="AH1295" t="s">
        <v>1632</v>
      </c>
      <c r="AI1295" t="s">
        <v>792</v>
      </c>
      <c r="AJ1295" s="4" t="str">
        <f>"98138"</f>
        <v>98138</v>
      </c>
      <c r="AK1295" t="s">
        <v>120</v>
      </c>
      <c r="AM1295" s="5">
        <v>12064318000</v>
      </c>
      <c r="AO1295" t="s">
        <v>1177</v>
      </c>
      <c r="AX1295" s="4" t="str">
        <f>""</f>
        <v/>
      </c>
      <c r="BG1295" t="s">
        <v>661</v>
      </c>
      <c r="BH1295" s="1">
        <v>44790.833333333336</v>
      </c>
      <c r="BI1295">
        <v>40</v>
      </c>
      <c r="BJ1295">
        <v>8</v>
      </c>
      <c r="BK1295">
        <v>8</v>
      </c>
      <c r="BL1295">
        <v>0</v>
      </c>
      <c r="BM1295">
        <v>0</v>
      </c>
      <c r="BN1295">
        <v>8</v>
      </c>
      <c r="BO1295">
        <v>8</v>
      </c>
      <c r="BP1295">
        <v>8</v>
      </c>
      <c r="BQ1295" t="str">
        <f>"9:00 AM"</f>
        <v>9:00 AM</v>
      </c>
      <c r="BR1295" t="str">
        <f>"5:00 PM"</f>
        <v>5:00 PM</v>
      </c>
      <c r="BS1295" t="s">
        <v>133</v>
      </c>
      <c r="BT1295">
        <v>0</v>
      </c>
      <c r="BU1295">
        <v>0</v>
      </c>
      <c r="BV1295" t="s">
        <v>134</v>
      </c>
      <c r="BX1295" t="s">
        <v>138</v>
      </c>
      <c r="BY1295" t="s">
        <v>9569</v>
      </c>
      <c r="CA1295" t="s">
        <v>2471</v>
      </c>
      <c r="CB1295" t="s">
        <v>661</v>
      </c>
      <c r="CC1295" s="4" t="str">
        <f>"59715"</f>
        <v>59715</v>
      </c>
      <c r="CD1295" t="s">
        <v>665</v>
      </c>
      <c r="CE1295" t="s">
        <v>666</v>
      </c>
      <c r="CF1295" s="6">
        <v>16</v>
      </c>
      <c r="CG1295" s="6">
        <v>19</v>
      </c>
      <c r="CH1295" s="6">
        <v>24</v>
      </c>
      <c r="CI1295" s="6">
        <v>28.5</v>
      </c>
      <c r="CJ1295" t="s">
        <v>137</v>
      </c>
      <c r="CK1295" t="s">
        <v>1180</v>
      </c>
      <c r="CL1295" t="s">
        <v>9570</v>
      </c>
      <c r="CO1295" t="s">
        <v>138</v>
      </c>
      <c r="CP1295" t="s">
        <v>134</v>
      </c>
      <c r="CQ1295" t="s">
        <v>134</v>
      </c>
      <c r="CR1295" t="s">
        <v>114</v>
      </c>
      <c r="CS1295" t="s">
        <v>114</v>
      </c>
      <c r="CT1295" t="s">
        <v>114</v>
      </c>
      <c r="CU1295" t="s">
        <v>134</v>
      </c>
      <c r="CV1295" t="s">
        <v>1182</v>
      </c>
      <c r="CW1295" s="5" t="str">
        <f>"N/A"</f>
        <v>N/A</v>
      </c>
      <c r="CX1295" t="s">
        <v>9571</v>
      </c>
      <c r="CY1295" t="s">
        <v>1184</v>
      </c>
      <c r="CZ1295" t="s">
        <v>139</v>
      </c>
      <c r="DA1295" t="s">
        <v>134</v>
      </c>
      <c r="DB1295" t="s">
        <v>134</v>
      </c>
      <c r="DC1295" t="s">
        <v>114</v>
      </c>
      <c r="DD1295" t="s">
        <v>134</v>
      </c>
    </row>
    <row r="1296" spans="1:113" ht="15" customHeight="1" x14ac:dyDescent="0.25">
      <c r="A1296" t="s">
        <v>6593</v>
      </c>
      <c r="B1296" t="s">
        <v>113</v>
      </c>
      <c r="C1296" s="1">
        <v>44791.535644328702</v>
      </c>
      <c r="D1296" s="1">
        <v>44839</v>
      </c>
      <c r="E1296" t="s">
        <v>134</v>
      </c>
      <c r="F1296" t="s">
        <v>6594</v>
      </c>
      <c r="G1296" t="str">
        <f>"53-3032.00"</f>
        <v>53-3032.00</v>
      </c>
      <c r="H1296" t="s">
        <v>227</v>
      </c>
      <c r="I1296">
        <v>6</v>
      </c>
      <c r="K1296" s="1">
        <v>44866</v>
      </c>
      <c r="L1296" s="1">
        <v>45224</v>
      </c>
      <c r="O1296" t="s">
        <v>168</v>
      </c>
      <c r="P1296" t="s">
        <v>6595</v>
      </c>
      <c r="R1296" t="s">
        <v>6596</v>
      </c>
      <c r="T1296" t="s">
        <v>2017</v>
      </c>
      <c r="U1296" t="s">
        <v>184</v>
      </c>
      <c r="V1296" s="4" t="str">
        <f>"60438"</f>
        <v>60438</v>
      </c>
      <c r="W1296" t="s">
        <v>120</v>
      </c>
      <c r="Y1296" s="5">
        <v>17088890957</v>
      </c>
      <c r="AA1296">
        <v>484110</v>
      </c>
      <c r="AB1296" t="s">
        <v>6597</v>
      </c>
      <c r="AC1296" t="s">
        <v>1469</v>
      </c>
      <c r="AE1296" t="s">
        <v>342</v>
      </c>
      <c r="AF1296" t="s">
        <v>6596</v>
      </c>
      <c r="AH1296" t="s">
        <v>2017</v>
      </c>
      <c r="AI1296" t="s">
        <v>184</v>
      </c>
      <c r="AJ1296" s="4" t="str">
        <f>"60438"</f>
        <v>60438</v>
      </c>
      <c r="AK1296" t="s">
        <v>120</v>
      </c>
      <c r="AM1296" s="5">
        <v>17088890957</v>
      </c>
      <c r="AO1296" t="s">
        <v>6598</v>
      </c>
      <c r="AP1296" t="s">
        <v>122</v>
      </c>
      <c r="AQ1296" t="s">
        <v>6599</v>
      </c>
      <c r="AR1296" t="s">
        <v>6600</v>
      </c>
      <c r="AS1296" t="s">
        <v>423</v>
      </c>
      <c r="AT1296" t="s">
        <v>6601</v>
      </c>
      <c r="AV1296" t="s">
        <v>6602</v>
      </c>
      <c r="AW1296" t="s">
        <v>184</v>
      </c>
      <c r="AX1296" s="4" t="str">
        <f>"60126"</f>
        <v>60126</v>
      </c>
      <c r="AY1296" t="s">
        <v>120</v>
      </c>
      <c r="BA1296" s="5">
        <v>13125690193</v>
      </c>
      <c r="BC1296" t="s">
        <v>6603</v>
      </c>
      <c r="BD1296" t="s">
        <v>6604</v>
      </c>
      <c r="BE1296" t="s">
        <v>184</v>
      </c>
      <c r="BF1296" t="s">
        <v>2673</v>
      </c>
      <c r="BG1296" t="s">
        <v>184</v>
      </c>
      <c r="BH1296" s="1">
        <v>44784.833333333336</v>
      </c>
      <c r="BI1296">
        <v>40</v>
      </c>
      <c r="BJ1296">
        <v>0</v>
      </c>
      <c r="BK1296">
        <v>8</v>
      </c>
      <c r="BL1296">
        <v>8</v>
      </c>
      <c r="BM1296">
        <v>8</v>
      </c>
      <c r="BN1296">
        <v>8</v>
      </c>
      <c r="BO1296">
        <v>8</v>
      </c>
      <c r="BP1296">
        <v>0</v>
      </c>
      <c r="BQ1296" t="str">
        <f>"8:00 AM"</f>
        <v>8:00 AM</v>
      </c>
      <c r="BR1296" t="str">
        <f>"5:00 PM"</f>
        <v>5:00 PM</v>
      </c>
      <c r="BS1296" t="s">
        <v>133</v>
      </c>
      <c r="BT1296">
        <v>1</v>
      </c>
      <c r="BU1296">
        <v>0</v>
      </c>
      <c r="BV1296" t="s">
        <v>134</v>
      </c>
      <c r="BX1296" s="2" t="s">
        <v>6605</v>
      </c>
      <c r="BY1296" t="s">
        <v>6606</v>
      </c>
      <c r="CA1296" t="s">
        <v>2017</v>
      </c>
      <c r="CB1296" t="s">
        <v>184</v>
      </c>
      <c r="CC1296" s="4" t="str">
        <f>"60438"</f>
        <v>60438</v>
      </c>
      <c r="CD1296" t="s">
        <v>1595</v>
      </c>
      <c r="CE1296" t="s">
        <v>1556</v>
      </c>
      <c r="CF1296" s="6">
        <v>27.33</v>
      </c>
      <c r="CG1296" s="6">
        <v>35</v>
      </c>
      <c r="CH1296" s="6">
        <v>41</v>
      </c>
      <c r="CI1296" s="6">
        <v>52.5</v>
      </c>
      <c r="CJ1296" t="s">
        <v>137</v>
      </c>
      <c r="CL1296" t="s">
        <v>6607</v>
      </c>
      <c r="CO1296" t="s">
        <v>138</v>
      </c>
      <c r="CP1296" t="s">
        <v>114</v>
      </c>
      <c r="CQ1296" t="s">
        <v>134</v>
      </c>
      <c r="CR1296" t="s">
        <v>114</v>
      </c>
      <c r="CS1296" t="s">
        <v>114</v>
      </c>
      <c r="CT1296" t="s">
        <v>114</v>
      </c>
      <c r="CU1296" t="s">
        <v>134</v>
      </c>
      <c r="CV1296" t="s">
        <v>6608</v>
      </c>
      <c r="CW1296" s="5" t="str">
        <f>"+17088890957"</f>
        <v>+17088890957</v>
      </c>
      <c r="CX1296" t="s">
        <v>6603</v>
      </c>
      <c r="CY1296" t="s">
        <v>138</v>
      </c>
      <c r="CZ1296" t="s">
        <v>139</v>
      </c>
      <c r="DA1296" t="s">
        <v>134</v>
      </c>
      <c r="DB1296" t="s">
        <v>134</v>
      </c>
      <c r="DC1296" t="s">
        <v>114</v>
      </c>
      <c r="DD1296" t="s">
        <v>134</v>
      </c>
      <c r="DE1296" t="s">
        <v>6599</v>
      </c>
      <c r="DF1296" t="s">
        <v>6600</v>
      </c>
      <c r="DG1296" t="s">
        <v>423</v>
      </c>
      <c r="DH1296" t="s">
        <v>6604</v>
      </c>
      <c r="DI1296" t="s">
        <v>6603</v>
      </c>
    </row>
    <row r="1297" spans="1:113" ht="15" customHeight="1" x14ac:dyDescent="0.25">
      <c r="A1297" t="s">
        <v>6551</v>
      </c>
      <c r="B1297" t="s">
        <v>113</v>
      </c>
      <c r="C1297" s="1">
        <v>44791.400776041664</v>
      </c>
      <c r="D1297" s="1">
        <v>44839</v>
      </c>
      <c r="E1297" t="s">
        <v>134</v>
      </c>
      <c r="F1297" t="s">
        <v>6552</v>
      </c>
      <c r="G1297" t="str">
        <f>"45-2041.00"</f>
        <v>45-2041.00</v>
      </c>
      <c r="H1297" t="s">
        <v>6553</v>
      </c>
      <c r="I1297">
        <v>24</v>
      </c>
      <c r="K1297" s="1">
        <v>44866</v>
      </c>
      <c r="L1297" s="1">
        <v>45017</v>
      </c>
      <c r="O1297" t="s">
        <v>117</v>
      </c>
      <c r="P1297" t="s">
        <v>6554</v>
      </c>
      <c r="R1297" t="s">
        <v>6555</v>
      </c>
      <c r="S1297" t="s">
        <v>6556</v>
      </c>
      <c r="T1297" t="s">
        <v>6557</v>
      </c>
      <c r="U1297" t="s">
        <v>748</v>
      </c>
      <c r="V1297" s="4" t="str">
        <f>"17938"</f>
        <v>17938</v>
      </c>
      <c r="W1297" t="s">
        <v>120</v>
      </c>
      <c r="Y1297" s="5">
        <v>15706950909</v>
      </c>
      <c r="AA1297">
        <v>311423</v>
      </c>
      <c r="AB1297" t="s">
        <v>6558</v>
      </c>
      <c r="AC1297" t="s">
        <v>1149</v>
      </c>
      <c r="AE1297" t="s">
        <v>2771</v>
      </c>
      <c r="AF1297" t="s">
        <v>6555</v>
      </c>
      <c r="AG1297" t="s">
        <v>6556</v>
      </c>
      <c r="AH1297" t="s">
        <v>6557</v>
      </c>
      <c r="AI1297" t="s">
        <v>748</v>
      </c>
      <c r="AJ1297" s="4" t="str">
        <f>"17938"</f>
        <v>17938</v>
      </c>
      <c r="AK1297" t="s">
        <v>120</v>
      </c>
      <c r="AM1297" s="5">
        <v>15706950909</v>
      </c>
      <c r="AO1297" t="s">
        <v>138</v>
      </c>
      <c r="AP1297" t="s">
        <v>256</v>
      </c>
      <c r="AQ1297" t="s">
        <v>475</v>
      </c>
      <c r="AR1297" t="s">
        <v>476</v>
      </c>
      <c r="AT1297" t="s">
        <v>477</v>
      </c>
      <c r="AV1297" t="s">
        <v>478</v>
      </c>
      <c r="AW1297" t="s">
        <v>479</v>
      </c>
      <c r="AX1297" s="4" t="str">
        <f>"22903"</f>
        <v>22903</v>
      </c>
      <c r="AY1297" t="s">
        <v>120</v>
      </c>
      <c r="BA1297" s="5">
        <v>14342634300</v>
      </c>
      <c r="BC1297" t="s">
        <v>1549</v>
      </c>
      <c r="BD1297" t="s">
        <v>481</v>
      </c>
      <c r="BG1297" t="s">
        <v>748</v>
      </c>
      <c r="BH1297" s="1">
        <v>44790.833333333336</v>
      </c>
      <c r="BI1297">
        <v>40</v>
      </c>
      <c r="BJ1297">
        <v>0</v>
      </c>
      <c r="BK1297">
        <v>8</v>
      </c>
      <c r="BL1297">
        <v>8</v>
      </c>
      <c r="BM1297">
        <v>8</v>
      </c>
      <c r="BN1297">
        <v>8</v>
      </c>
      <c r="BO1297">
        <v>8</v>
      </c>
      <c r="BP1297">
        <v>0</v>
      </c>
      <c r="BQ1297" t="str">
        <f>"6:00 AM"</f>
        <v>6:00 AM</v>
      </c>
      <c r="BR1297" t="str">
        <f>"2:00 PM"</f>
        <v>2:00 PM</v>
      </c>
      <c r="BS1297" t="s">
        <v>133</v>
      </c>
      <c r="BT1297">
        <v>0</v>
      </c>
      <c r="BU1297">
        <v>0</v>
      </c>
      <c r="BV1297" t="s">
        <v>134</v>
      </c>
      <c r="BX1297" s="2" t="s">
        <v>6559</v>
      </c>
      <c r="BY1297" t="s">
        <v>6555</v>
      </c>
      <c r="CA1297" t="s">
        <v>6557</v>
      </c>
      <c r="CB1297" t="s">
        <v>748</v>
      </c>
      <c r="CC1297" s="4" t="str">
        <f>"17938"</f>
        <v>17938</v>
      </c>
      <c r="CD1297" t="s">
        <v>6560</v>
      </c>
      <c r="CE1297" t="s">
        <v>1912</v>
      </c>
      <c r="CF1297" s="6">
        <v>15.64</v>
      </c>
      <c r="CH1297" s="6">
        <v>23.46</v>
      </c>
      <c r="CJ1297" t="s">
        <v>137</v>
      </c>
      <c r="CK1297" t="s">
        <v>487</v>
      </c>
      <c r="CL1297" t="s">
        <v>6561</v>
      </c>
      <c r="CO1297" t="s">
        <v>138</v>
      </c>
      <c r="CP1297" t="s">
        <v>134</v>
      </c>
      <c r="CQ1297" t="s">
        <v>114</v>
      </c>
      <c r="CR1297" t="s">
        <v>114</v>
      </c>
      <c r="CS1297" t="s">
        <v>114</v>
      </c>
      <c r="CT1297" t="s">
        <v>114</v>
      </c>
      <c r="CU1297" t="s">
        <v>114</v>
      </c>
      <c r="CV1297" t="s">
        <v>6562</v>
      </c>
      <c r="CW1297" s="5" t="str">
        <f>"N/A"</f>
        <v>N/A</v>
      </c>
      <c r="CX1297" t="s">
        <v>6563</v>
      </c>
      <c r="CY1297" t="s">
        <v>1476</v>
      </c>
      <c r="CZ1297" t="s">
        <v>139</v>
      </c>
      <c r="DA1297" t="s">
        <v>134</v>
      </c>
      <c r="DB1297" t="s">
        <v>114</v>
      </c>
      <c r="DC1297" t="s">
        <v>114</v>
      </c>
      <c r="DD1297" t="s">
        <v>134</v>
      </c>
      <c r="DE1297" t="s">
        <v>1551</v>
      </c>
      <c r="DF1297" t="s">
        <v>1377</v>
      </c>
      <c r="DH1297" t="s">
        <v>481</v>
      </c>
      <c r="DI1297" t="s">
        <v>1549</v>
      </c>
    </row>
    <row r="1298" spans="1:113" ht="15" customHeight="1" x14ac:dyDescent="0.25">
      <c r="A1298" t="s">
        <v>8806</v>
      </c>
      <c r="B1298" t="s">
        <v>113</v>
      </c>
      <c r="C1298" s="1">
        <v>44812.544306597221</v>
      </c>
      <c r="D1298" s="1">
        <v>44838</v>
      </c>
      <c r="E1298" t="s">
        <v>134</v>
      </c>
      <c r="F1298" t="s">
        <v>8807</v>
      </c>
      <c r="G1298" t="str">
        <f>"37-3011.00"</f>
        <v>37-3011.00</v>
      </c>
      <c r="H1298" t="s">
        <v>335</v>
      </c>
      <c r="I1298">
        <v>12</v>
      </c>
      <c r="K1298" s="1">
        <v>44887</v>
      </c>
      <c r="L1298" s="1">
        <v>45015</v>
      </c>
      <c r="O1298" t="s">
        <v>199</v>
      </c>
      <c r="P1298" t="s">
        <v>8808</v>
      </c>
      <c r="Q1298" t="s">
        <v>8809</v>
      </c>
      <c r="R1298" t="s">
        <v>8810</v>
      </c>
      <c r="T1298" t="s">
        <v>1525</v>
      </c>
      <c r="U1298" t="s">
        <v>232</v>
      </c>
      <c r="V1298" s="4" t="str">
        <f>"75247"</f>
        <v>75247</v>
      </c>
      <c r="W1298" t="s">
        <v>120</v>
      </c>
      <c r="Y1298" s="5">
        <v>12143508350</v>
      </c>
      <c r="AA1298">
        <v>541320</v>
      </c>
      <c r="AB1298" t="s">
        <v>8811</v>
      </c>
      <c r="AC1298" t="s">
        <v>2132</v>
      </c>
      <c r="AE1298" t="s">
        <v>424</v>
      </c>
      <c r="AF1298" t="s">
        <v>8812</v>
      </c>
      <c r="AH1298" t="s">
        <v>1525</v>
      </c>
      <c r="AI1298" t="s">
        <v>232</v>
      </c>
      <c r="AJ1298" s="4" t="str">
        <f>"75247"</f>
        <v>75247</v>
      </c>
      <c r="AK1298" t="s">
        <v>120</v>
      </c>
      <c r="AM1298" s="5">
        <v>12143508350</v>
      </c>
      <c r="AO1298" t="s">
        <v>138</v>
      </c>
      <c r="AP1298" t="s">
        <v>122</v>
      </c>
      <c r="AQ1298" t="s">
        <v>864</v>
      </c>
      <c r="AR1298" t="s">
        <v>865</v>
      </c>
      <c r="AS1298" t="s">
        <v>370</v>
      </c>
      <c r="AT1298" t="s">
        <v>2109</v>
      </c>
      <c r="AV1298" t="s">
        <v>684</v>
      </c>
      <c r="AW1298" t="s">
        <v>232</v>
      </c>
      <c r="AX1298" s="4" t="str">
        <f>"78748"</f>
        <v>78748</v>
      </c>
      <c r="AY1298" t="s">
        <v>120</v>
      </c>
      <c r="BA1298" s="5">
        <v>15123470007</v>
      </c>
      <c r="BC1298" t="s">
        <v>2110</v>
      </c>
      <c r="BD1298" t="s">
        <v>2111</v>
      </c>
      <c r="BE1298" t="s">
        <v>232</v>
      </c>
      <c r="BF1298" t="s">
        <v>870</v>
      </c>
      <c r="BG1298" t="s">
        <v>232</v>
      </c>
      <c r="BH1298" s="1">
        <v>44811.833333333336</v>
      </c>
      <c r="BI1298">
        <v>40</v>
      </c>
      <c r="BJ1298">
        <v>0</v>
      </c>
      <c r="BK1298">
        <v>8</v>
      </c>
      <c r="BL1298">
        <v>8</v>
      </c>
      <c r="BM1298">
        <v>8</v>
      </c>
      <c r="BN1298">
        <v>8</v>
      </c>
      <c r="BO1298">
        <v>8</v>
      </c>
      <c r="BP1298">
        <v>0</v>
      </c>
      <c r="BQ1298" t="str">
        <f>"7:00 AM"</f>
        <v>7:00 AM</v>
      </c>
      <c r="BR1298" t="str">
        <f>"4:00 PM"</f>
        <v>4:00 PM</v>
      </c>
      <c r="BS1298" t="s">
        <v>133</v>
      </c>
      <c r="BT1298">
        <v>0</v>
      </c>
      <c r="BU1298">
        <v>1</v>
      </c>
      <c r="BV1298" t="s">
        <v>134</v>
      </c>
      <c r="BX1298" t="s">
        <v>138</v>
      </c>
      <c r="BY1298" t="s">
        <v>8812</v>
      </c>
      <c r="CA1298" t="s">
        <v>1525</v>
      </c>
      <c r="CB1298" t="s">
        <v>232</v>
      </c>
      <c r="CC1298" s="4" t="str">
        <f>"75247"</f>
        <v>75247</v>
      </c>
      <c r="CD1298" t="s">
        <v>1482</v>
      </c>
      <c r="CE1298" t="s">
        <v>1528</v>
      </c>
      <c r="CF1298" s="6">
        <v>16.3</v>
      </c>
      <c r="CH1298" s="6">
        <v>24.45</v>
      </c>
      <c r="CJ1298" t="s">
        <v>137</v>
      </c>
      <c r="CK1298" t="s">
        <v>6918</v>
      </c>
      <c r="CL1298" t="s">
        <v>8813</v>
      </c>
      <c r="CO1298" t="s">
        <v>138</v>
      </c>
      <c r="CP1298" t="s">
        <v>114</v>
      </c>
      <c r="CQ1298" t="s">
        <v>114</v>
      </c>
      <c r="CR1298" t="s">
        <v>114</v>
      </c>
      <c r="CS1298" t="s">
        <v>134</v>
      </c>
      <c r="CT1298" t="s">
        <v>114</v>
      </c>
      <c r="CU1298" t="s">
        <v>134</v>
      </c>
      <c r="CV1298" s="2" t="s">
        <v>8814</v>
      </c>
      <c r="CW1298" s="5" t="str">
        <f>"+14699390231"</f>
        <v>+14699390231</v>
      </c>
      <c r="CX1298" t="s">
        <v>8815</v>
      </c>
      <c r="CY1298" t="s">
        <v>138</v>
      </c>
      <c r="CZ1298" t="s">
        <v>139</v>
      </c>
      <c r="DA1298" t="s">
        <v>134</v>
      </c>
      <c r="DB1298" t="s">
        <v>134</v>
      </c>
      <c r="DC1298" t="s">
        <v>114</v>
      </c>
      <c r="DD1298" t="s">
        <v>134</v>
      </c>
    </row>
    <row r="1299" spans="1:113" ht="15" customHeight="1" x14ac:dyDescent="0.25">
      <c r="A1299" t="s">
        <v>13187</v>
      </c>
      <c r="B1299" t="s">
        <v>113</v>
      </c>
      <c r="C1299" s="1">
        <v>44811.553594328703</v>
      </c>
      <c r="D1299" s="1">
        <v>44838</v>
      </c>
      <c r="E1299" t="s">
        <v>134</v>
      </c>
      <c r="F1299" t="s">
        <v>8467</v>
      </c>
      <c r="G1299" t="str">
        <f>"47-2061.00"</f>
        <v>47-2061.00</v>
      </c>
      <c r="H1299" t="s">
        <v>1625</v>
      </c>
      <c r="I1299">
        <v>10</v>
      </c>
      <c r="K1299" s="1">
        <v>44886</v>
      </c>
      <c r="L1299" s="1">
        <v>45159</v>
      </c>
      <c r="O1299" t="s">
        <v>117</v>
      </c>
      <c r="P1299" t="s">
        <v>13188</v>
      </c>
      <c r="Q1299" t="s">
        <v>13189</v>
      </c>
      <c r="R1299" t="s">
        <v>13190</v>
      </c>
      <c r="T1299" t="s">
        <v>13191</v>
      </c>
      <c r="U1299" t="s">
        <v>181</v>
      </c>
      <c r="V1299" s="4" t="str">
        <f>"80817"</f>
        <v>80817</v>
      </c>
      <c r="W1299" t="s">
        <v>120</v>
      </c>
      <c r="Y1299" s="5">
        <v>17194996508</v>
      </c>
      <c r="AA1299">
        <v>23622</v>
      </c>
      <c r="AB1299" t="s">
        <v>1509</v>
      </c>
      <c r="AC1299" t="s">
        <v>8070</v>
      </c>
      <c r="AE1299" t="s">
        <v>13192</v>
      </c>
      <c r="AF1299" t="s">
        <v>13190</v>
      </c>
      <c r="AH1299" t="s">
        <v>13191</v>
      </c>
      <c r="AI1299" t="s">
        <v>181</v>
      </c>
      <c r="AJ1299" s="4" t="str">
        <f>"80817"</f>
        <v>80817</v>
      </c>
      <c r="AK1299" t="s">
        <v>120</v>
      </c>
      <c r="AM1299" s="5">
        <v>17194996508</v>
      </c>
      <c r="AO1299" t="s">
        <v>13193</v>
      </c>
      <c r="AP1299" t="s">
        <v>122</v>
      </c>
      <c r="AQ1299" t="s">
        <v>2223</v>
      </c>
      <c r="AR1299" t="s">
        <v>1841</v>
      </c>
      <c r="AS1299" t="s">
        <v>423</v>
      </c>
      <c r="AT1299" t="s">
        <v>2224</v>
      </c>
      <c r="AU1299" t="s">
        <v>2225</v>
      </c>
      <c r="AV1299" t="s">
        <v>2226</v>
      </c>
      <c r="AW1299" t="s">
        <v>349</v>
      </c>
      <c r="AX1299" s="4" t="str">
        <f>"83670"</f>
        <v>83670</v>
      </c>
      <c r="AY1299" t="s">
        <v>120</v>
      </c>
      <c r="BA1299" s="5">
        <v>12083984969</v>
      </c>
      <c r="BC1299" t="s">
        <v>2227</v>
      </c>
      <c r="BD1299" t="s">
        <v>2228</v>
      </c>
      <c r="BE1299" t="s">
        <v>232</v>
      </c>
      <c r="BF1299" t="s">
        <v>870</v>
      </c>
      <c r="BG1299" t="s">
        <v>181</v>
      </c>
      <c r="BH1299" s="1">
        <v>44810.833333333336</v>
      </c>
      <c r="BI1299">
        <v>40</v>
      </c>
      <c r="BJ1299">
        <v>0</v>
      </c>
      <c r="BK1299">
        <v>8</v>
      </c>
      <c r="BL1299">
        <v>8</v>
      </c>
      <c r="BM1299">
        <v>8</v>
      </c>
      <c r="BN1299">
        <v>8</v>
      </c>
      <c r="BO1299">
        <v>8</v>
      </c>
      <c r="BP1299">
        <v>0</v>
      </c>
      <c r="BQ1299" t="str">
        <f>"7:00 AM"</f>
        <v>7:00 AM</v>
      </c>
      <c r="BR1299" t="str">
        <f>"8:30 PM"</f>
        <v>8:30 PM</v>
      </c>
      <c r="BS1299" t="s">
        <v>133</v>
      </c>
      <c r="BT1299">
        <v>0</v>
      </c>
      <c r="BU1299">
        <v>0</v>
      </c>
      <c r="BV1299" t="s">
        <v>134</v>
      </c>
      <c r="BX1299" s="2" t="s">
        <v>13194</v>
      </c>
      <c r="BY1299" t="s">
        <v>13195</v>
      </c>
      <c r="CA1299" t="s">
        <v>2815</v>
      </c>
      <c r="CB1299" t="s">
        <v>181</v>
      </c>
      <c r="CC1299" s="4" t="str">
        <f>"80549"</f>
        <v>80549</v>
      </c>
      <c r="CD1299" t="s">
        <v>811</v>
      </c>
      <c r="CE1299" t="s">
        <v>812</v>
      </c>
      <c r="CF1299" s="6">
        <v>19.71</v>
      </c>
      <c r="CG1299" s="6">
        <v>22.5</v>
      </c>
      <c r="CH1299" s="6">
        <v>29.57</v>
      </c>
      <c r="CI1299" s="6">
        <v>33.75</v>
      </c>
      <c r="CJ1299" t="s">
        <v>137</v>
      </c>
      <c r="CL1299" t="s">
        <v>13196</v>
      </c>
      <c r="CO1299" t="s">
        <v>138</v>
      </c>
      <c r="CP1299" t="s">
        <v>134</v>
      </c>
      <c r="CQ1299" t="s">
        <v>114</v>
      </c>
      <c r="CR1299" t="s">
        <v>114</v>
      </c>
      <c r="CS1299" t="s">
        <v>134</v>
      </c>
      <c r="CT1299" t="s">
        <v>114</v>
      </c>
      <c r="CU1299" t="s">
        <v>114</v>
      </c>
      <c r="CV1299" t="s">
        <v>13197</v>
      </c>
      <c r="CW1299" s="5" t="str">
        <f>"+17194996508"</f>
        <v>+17194996508</v>
      </c>
      <c r="CX1299" t="s">
        <v>13198</v>
      </c>
      <c r="CY1299" t="s">
        <v>138</v>
      </c>
      <c r="CZ1299" t="s">
        <v>139</v>
      </c>
      <c r="DA1299" t="s">
        <v>134</v>
      </c>
      <c r="DB1299" t="s">
        <v>134</v>
      </c>
      <c r="DC1299" t="s">
        <v>114</v>
      </c>
      <c r="DD1299" t="s">
        <v>134</v>
      </c>
    </row>
    <row r="1300" spans="1:113" ht="15" customHeight="1" x14ac:dyDescent="0.25">
      <c r="A1300" t="s">
        <v>10649</v>
      </c>
      <c r="B1300" t="s">
        <v>113</v>
      </c>
      <c r="C1300" s="1">
        <v>44792.685981944443</v>
      </c>
      <c r="D1300" s="1">
        <v>44838</v>
      </c>
      <c r="E1300" t="s">
        <v>114</v>
      </c>
      <c r="F1300" t="s">
        <v>3509</v>
      </c>
      <c r="G1300" t="str">
        <f>"37-2011.00"</f>
        <v>37-2011.00</v>
      </c>
      <c r="H1300" t="s">
        <v>672</v>
      </c>
      <c r="I1300">
        <v>2</v>
      </c>
      <c r="K1300" s="1">
        <v>44867</v>
      </c>
      <c r="L1300" s="1">
        <v>45138</v>
      </c>
      <c r="O1300" t="s">
        <v>117</v>
      </c>
      <c r="P1300" t="s">
        <v>1170</v>
      </c>
      <c r="Q1300" t="s">
        <v>1171</v>
      </c>
      <c r="R1300" t="s">
        <v>1172</v>
      </c>
      <c r="T1300" t="s">
        <v>1173</v>
      </c>
      <c r="U1300" t="s">
        <v>792</v>
      </c>
      <c r="V1300" s="4" t="str">
        <f>"98188"</f>
        <v>98188</v>
      </c>
      <c r="W1300" t="s">
        <v>120</v>
      </c>
      <c r="Y1300" s="5">
        <v>12064318000</v>
      </c>
      <c r="AA1300">
        <v>721110</v>
      </c>
      <c r="AB1300" t="s">
        <v>1174</v>
      </c>
      <c r="AC1300" t="s">
        <v>1175</v>
      </c>
      <c r="AE1300" t="s">
        <v>1176</v>
      </c>
      <c r="AF1300" t="s">
        <v>3511</v>
      </c>
      <c r="AH1300" t="s">
        <v>1632</v>
      </c>
      <c r="AI1300" t="s">
        <v>792</v>
      </c>
      <c r="AJ1300" s="4" t="str">
        <f>"98138"</f>
        <v>98138</v>
      </c>
      <c r="AK1300" t="s">
        <v>120</v>
      </c>
      <c r="AM1300" s="5">
        <v>12064318000</v>
      </c>
      <c r="AO1300" t="s">
        <v>1177</v>
      </c>
      <c r="AX1300" s="4" t="str">
        <f>""</f>
        <v/>
      </c>
      <c r="BG1300" t="s">
        <v>349</v>
      </c>
      <c r="BH1300" s="1">
        <v>44790.833333333336</v>
      </c>
      <c r="BI1300">
        <v>88</v>
      </c>
      <c r="BJ1300">
        <v>16</v>
      </c>
      <c r="BK1300">
        <v>8</v>
      </c>
      <c r="BL1300">
        <v>8</v>
      </c>
      <c r="BM1300">
        <v>8</v>
      </c>
      <c r="BN1300">
        <v>16</v>
      </c>
      <c r="BO1300">
        <v>16</v>
      </c>
      <c r="BP1300">
        <v>16</v>
      </c>
      <c r="BQ1300" t="str">
        <f t="shared" ref="BQ1300:BQ1306" si="55">"8:00 AM"</f>
        <v>8:00 AM</v>
      </c>
      <c r="BR1300" t="str">
        <f t="shared" ref="BR1300:BR1305" si="56">"4:00 PM"</f>
        <v>4:00 PM</v>
      </c>
      <c r="BS1300" t="s">
        <v>133</v>
      </c>
      <c r="BT1300">
        <v>0</v>
      </c>
      <c r="BU1300">
        <v>0</v>
      </c>
      <c r="BV1300" t="s">
        <v>134</v>
      </c>
      <c r="BX1300" t="s">
        <v>138</v>
      </c>
      <c r="BY1300" t="s">
        <v>1178</v>
      </c>
      <c r="CA1300" t="s">
        <v>1179</v>
      </c>
      <c r="CB1300" t="s">
        <v>349</v>
      </c>
      <c r="CC1300" s="4" t="str">
        <f>"83706"</f>
        <v>83706</v>
      </c>
      <c r="CD1300" t="s">
        <v>969</v>
      </c>
      <c r="CE1300" t="s">
        <v>970</v>
      </c>
      <c r="CF1300" s="6">
        <v>14</v>
      </c>
      <c r="CG1300" s="6">
        <v>16</v>
      </c>
      <c r="CH1300" s="6">
        <v>21</v>
      </c>
      <c r="CI1300" s="6">
        <v>24</v>
      </c>
      <c r="CJ1300" t="s">
        <v>137</v>
      </c>
      <c r="CK1300" t="s">
        <v>1180</v>
      </c>
      <c r="CL1300" t="s">
        <v>10650</v>
      </c>
      <c r="CO1300" t="s">
        <v>138</v>
      </c>
      <c r="CP1300" t="s">
        <v>134</v>
      </c>
      <c r="CQ1300" t="s">
        <v>134</v>
      </c>
      <c r="CR1300" t="s">
        <v>114</v>
      </c>
      <c r="CS1300" t="s">
        <v>114</v>
      </c>
      <c r="CT1300" t="s">
        <v>114</v>
      </c>
      <c r="CU1300" t="s">
        <v>134</v>
      </c>
      <c r="CV1300" t="s">
        <v>1182</v>
      </c>
      <c r="CW1300" s="5" t="str">
        <f>"N/A"</f>
        <v>N/A</v>
      </c>
      <c r="CX1300" t="s">
        <v>1183</v>
      </c>
      <c r="CY1300" t="s">
        <v>1184</v>
      </c>
      <c r="CZ1300" t="s">
        <v>139</v>
      </c>
      <c r="DA1300" t="s">
        <v>134</v>
      </c>
      <c r="DB1300" t="s">
        <v>134</v>
      </c>
      <c r="DC1300" t="s">
        <v>114</v>
      </c>
      <c r="DD1300" t="s">
        <v>134</v>
      </c>
    </row>
    <row r="1301" spans="1:113" ht="15" customHeight="1" x14ac:dyDescent="0.25">
      <c r="A1301" t="s">
        <v>5000</v>
      </c>
      <c r="B1301" t="s">
        <v>113</v>
      </c>
      <c r="C1301" s="1">
        <v>44792.685390393519</v>
      </c>
      <c r="D1301" s="1">
        <v>44838</v>
      </c>
      <c r="E1301" t="s">
        <v>114</v>
      </c>
      <c r="F1301" t="s">
        <v>5001</v>
      </c>
      <c r="G1301" t="str">
        <f>"51-6011.00"</f>
        <v>51-6011.00</v>
      </c>
      <c r="H1301" t="s">
        <v>2244</v>
      </c>
      <c r="I1301">
        <v>1</v>
      </c>
      <c r="K1301" s="1">
        <v>44867</v>
      </c>
      <c r="L1301" s="1">
        <v>45138</v>
      </c>
      <c r="O1301" t="s">
        <v>117</v>
      </c>
      <c r="P1301" t="s">
        <v>1170</v>
      </c>
      <c r="Q1301" t="s">
        <v>1171</v>
      </c>
      <c r="R1301" t="s">
        <v>1172</v>
      </c>
      <c r="T1301" t="s">
        <v>1173</v>
      </c>
      <c r="U1301" t="s">
        <v>792</v>
      </c>
      <c r="V1301" s="4" t="str">
        <f>"98188"</f>
        <v>98188</v>
      </c>
      <c r="W1301" t="s">
        <v>120</v>
      </c>
      <c r="Y1301" s="5">
        <v>12064318000</v>
      </c>
      <c r="AA1301">
        <v>721110</v>
      </c>
      <c r="AB1301" t="s">
        <v>1174</v>
      </c>
      <c r="AC1301" t="s">
        <v>1175</v>
      </c>
      <c r="AE1301" t="s">
        <v>1176</v>
      </c>
      <c r="AF1301" t="s">
        <v>3511</v>
      </c>
      <c r="AH1301" t="s">
        <v>1632</v>
      </c>
      <c r="AI1301" t="s">
        <v>792</v>
      </c>
      <c r="AJ1301" s="4" t="str">
        <f>"98138"</f>
        <v>98138</v>
      </c>
      <c r="AK1301" t="s">
        <v>120</v>
      </c>
      <c r="AM1301" s="5">
        <v>12064318000</v>
      </c>
      <c r="AO1301" t="s">
        <v>1177</v>
      </c>
      <c r="AX1301" s="4" t="str">
        <f>""</f>
        <v/>
      </c>
      <c r="BG1301" t="s">
        <v>349</v>
      </c>
      <c r="BH1301" s="1">
        <v>44790.833333333336</v>
      </c>
      <c r="BI1301">
        <v>40</v>
      </c>
      <c r="BJ1301">
        <v>8</v>
      </c>
      <c r="BK1301">
        <v>8</v>
      </c>
      <c r="BL1301">
        <v>0</v>
      </c>
      <c r="BM1301">
        <v>0</v>
      </c>
      <c r="BN1301">
        <v>8</v>
      </c>
      <c r="BO1301">
        <v>8</v>
      </c>
      <c r="BP1301">
        <v>8</v>
      </c>
      <c r="BQ1301" t="str">
        <f t="shared" si="55"/>
        <v>8:00 AM</v>
      </c>
      <c r="BR1301" t="str">
        <f t="shared" si="56"/>
        <v>4:00 PM</v>
      </c>
      <c r="BS1301" t="s">
        <v>133</v>
      </c>
      <c r="BT1301">
        <v>0</v>
      </c>
      <c r="BU1301">
        <v>0</v>
      </c>
      <c r="BV1301" t="s">
        <v>134</v>
      </c>
      <c r="BX1301" t="s">
        <v>138</v>
      </c>
      <c r="BY1301" t="s">
        <v>1178</v>
      </c>
      <c r="CA1301" t="s">
        <v>1179</v>
      </c>
      <c r="CB1301" t="s">
        <v>349</v>
      </c>
      <c r="CC1301" s="4" t="str">
        <f>"83706"</f>
        <v>83706</v>
      </c>
      <c r="CD1301" t="s">
        <v>969</v>
      </c>
      <c r="CE1301" t="s">
        <v>970</v>
      </c>
      <c r="CF1301" s="6">
        <v>14</v>
      </c>
      <c r="CG1301" s="6">
        <v>16</v>
      </c>
      <c r="CH1301" s="6">
        <v>21</v>
      </c>
      <c r="CI1301" s="6">
        <v>24</v>
      </c>
      <c r="CJ1301" t="s">
        <v>137</v>
      </c>
      <c r="CK1301" t="s">
        <v>1180</v>
      </c>
      <c r="CL1301" t="s">
        <v>5002</v>
      </c>
      <c r="CO1301" t="s">
        <v>138</v>
      </c>
      <c r="CP1301" t="s">
        <v>134</v>
      </c>
      <c r="CQ1301" t="s">
        <v>134</v>
      </c>
      <c r="CR1301" t="s">
        <v>114</v>
      </c>
      <c r="CS1301" t="s">
        <v>114</v>
      </c>
      <c r="CT1301" t="s">
        <v>114</v>
      </c>
      <c r="CU1301" t="s">
        <v>134</v>
      </c>
      <c r="CV1301" t="s">
        <v>5003</v>
      </c>
      <c r="CW1301" s="5" t="str">
        <f>"N/A"</f>
        <v>N/A</v>
      </c>
      <c r="CX1301" t="s">
        <v>1183</v>
      </c>
      <c r="CY1301" t="s">
        <v>1184</v>
      </c>
      <c r="CZ1301" t="s">
        <v>139</v>
      </c>
      <c r="DA1301" t="s">
        <v>134</v>
      </c>
      <c r="DB1301" t="s">
        <v>134</v>
      </c>
      <c r="DC1301" t="s">
        <v>114</v>
      </c>
      <c r="DD1301" t="s">
        <v>134</v>
      </c>
    </row>
    <row r="1302" spans="1:113" ht="15" customHeight="1" x14ac:dyDescent="0.25">
      <c r="A1302" t="s">
        <v>3508</v>
      </c>
      <c r="B1302" t="s">
        <v>113</v>
      </c>
      <c r="C1302" s="1">
        <v>44792.68454490741</v>
      </c>
      <c r="D1302" s="1">
        <v>44838</v>
      </c>
      <c r="E1302" t="s">
        <v>114</v>
      </c>
      <c r="F1302" t="s">
        <v>3509</v>
      </c>
      <c r="G1302" t="str">
        <f>"37-2011.00"</f>
        <v>37-2011.00</v>
      </c>
      <c r="H1302" t="s">
        <v>672</v>
      </c>
      <c r="I1302">
        <v>1</v>
      </c>
      <c r="K1302" s="1">
        <v>44867</v>
      </c>
      <c r="L1302" s="1">
        <v>45138</v>
      </c>
      <c r="O1302" t="s">
        <v>117</v>
      </c>
      <c r="P1302" t="s">
        <v>1170</v>
      </c>
      <c r="Q1302" t="s">
        <v>3510</v>
      </c>
      <c r="R1302" t="s">
        <v>1172</v>
      </c>
      <c r="T1302" t="s">
        <v>1173</v>
      </c>
      <c r="U1302" t="s">
        <v>792</v>
      </c>
      <c r="V1302" s="4" t="str">
        <f>"98188"</f>
        <v>98188</v>
      </c>
      <c r="W1302" t="s">
        <v>120</v>
      </c>
      <c r="Y1302" s="5">
        <v>12064318000</v>
      </c>
      <c r="AA1302">
        <v>721110</v>
      </c>
      <c r="AB1302" t="s">
        <v>1174</v>
      </c>
      <c r="AC1302" t="s">
        <v>1175</v>
      </c>
      <c r="AE1302" t="s">
        <v>1176</v>
      </c>
      <c r="AF1302" t="s">
        <v>3511</v>
      </c>
      <c r="AH1302" t="s">
        <v>1632</v>
      </c>
      <c r="AI1302" t="s">
        <v>792</v>
      </c>
      <c r="AJ1302" s="4" t="str">
        <f>"98138"</f>
        <v>98138</v>
      </c>
      <c r="AK1302" t="s">
        <v>120</v>
      </c>
      <c r="AM1302" s="5">
        <v>12064318000</v>
      </c>
      <c r="AO1302" t="s">
        <v>1177</v>
      </c>
      <c r="AX1302" s="4" t="str">
        <f>""</f>
        <v/>
      </c>
      <c r="BG1302" t="s">
        <v>349</v>
      </c>
      <c r="BH1302" s="1">
        <v>44790.833333333336</v>
      </c>
      <c r="BI1302">
        <v>40</v>
      </c>
      <c r="BJ1302">
        <v>8</v>
      </c>
      <c r="BK1302">
        <v>8</v>
      </c>
      <c r="BL1302">
        <v>8</v>
      </c>
      <c r="BM1302">
        <v>8</v>
      </c>
      <c r="BN1302">
        <v>8</v>
      </c>
      <c r="BO1302">
        <v>0</v>
      </c>
      <c r="BP1302">
        <v>0</v>
      </c>
      <c r="BQ1302" t="str">
        <f t="shared" si="55"/>
        <v>8:00 AM</v>
      </c>
      <c r="BR1302" t="str">
        <f t="shared" si="56"/>
        <v>4:00 PM</v>
      </c>
      <c r="BS1302" t="s">
        <v>133</v>
      </c>
      <c r="BT1302">
        <v>0</v>
      </c>
      <c r="BU1302">
        <v>0</v>
      </c>
      <c r="BV1302" t="s">
        <v>134</v>
      </c>
      <c r="BX1302" t="s">
        <v>138</v>
      </c>
      <c r="BY1302" t="s">
        <v>3512</v>
      </c>
      <c r="CA1302" t="s">
        <v>1179</v>
      </c>
      <c r="CB1302" t="s">
        <v>349</v>
      </c>
      <c r="CC1302" s="4" t="str">
        <f>"83706"</f>
        <v>83706</v>
      </c>
      <c r="CD1302" t="s">
        <v>969</v>
      </c>
      <c r="CE1302" t="s">
        <v>970</v>
      </c>
      <c r="CF1302" s="6">
        <v>13.26</v>
      </c>
      <c r="CG1302" s="6">
        <v>15</v>
      </c>
      <c r="CH1302" s="6">
        <v>19.89</v>
      </c>
      <c r="CI1302" s="6">
        <v>22.5</v>
      </c>
      <c r="CJ1302" t="s">
        <v>137</v>
      </c>
      <c r="CK1302" t="s">
        <v>1180</v>
      </c>
      <c r="CL1302" t="s">
        <v>3513</v>
      </c>
      <c r="CO1302" t="s">
        <v>138</v>
      </c>
      <c r="CP1302" t="s">
        <v>134</v>
      </c>
      <c r="CQ1302" t="s">
        <v>134</v>
      </c>
      <c r="CR1302" t="s">
        <v>114</v>
      </c>
      <c r="CS1302" t="s">
        <v>114</v>
      </c>
      <c r="CT1302" t="s">
        <v>114</v>
      </c>
      <c r="CU1302" t="s">
        <v>134</v>
      </c>
      <c r="CV1302" t="s">
        <v>3514</v>
      </c>
      <c r="CW1302" s="5" t="str">
        <f>"N/A"</f>
        <v>N/A</v>
      </c>
      <c r="CX1302" t="s">
        <v>3515</v>
      </c>
      <c r="CY1302" t="s">
        <v>1184</v>
      </c>
      <c r="CZ1302" t="s">
        <v>139</v>
      </c>
      <c r="DA1302" t="s">
        <v>134</v>
      </c>
      <c r="DB1302" t="s">
        <v>134</v>
      </c>
      <c r="DC1302" t="s">
        <v>114</v>
      </c>
      <c r="DD1302" t="s">
        <v>134</v>
      </c>
    </row>
    <row r="1303" spans="1:113" ht="15" customHeight="1" x14ac:dyDescent="0.25">
      <c r="A1303" t="s">
        <v>15102</v>
      </c>
      <c r="B1303" t="s">
        <v>113</v>
      </c>
      <c r="C1303" s="1">
        <v>44792.680697222226</v>
      </c>
      <c r="D1303" s="1">
        <v>44838</v>
      </c>
      <c r="E1303" t="s">
        <v>114</v>
      </c>
      <c r="F1303" t="s">
        <v>13925</v>
      </c>
      <c r="G1303" t="str">
        <f>"37-1011.00"</f>
        <v>37-1011.00</v>
      </c>
      <c r="H1303" t="s">
        <v>980</v>
      </c>
      <c r="I1303">
        <v>1</v>
      </c>
      <c r="K1303" s="1">
        <v>44867</v>
      </c>
      <c r="L1303" s="1">
        <v>45138</v>
      </c>
      <c r="O1303" t="s">
        <v>117</v>
      </c>
      <c r="P1303" t="s">
        <v>1170</v>
      </c>
      <c r="Q1303" t="s">
        <v>9527</v>
      </c>
      <c r="R1303" t="s">
        <v>1172</v>
      </c>
      <c r="T1303" t="s">
        <v>1173</v>
      </c>
      <c r="U1303" t="s">
        <v>792</v>
      </c>
      <c r="V1303" s="4" t="str">
        <f>"98188"</f>
        <v>98188</v>
      </c>
      <c r="W1303" t="s">
        <v>120</v>
      </c>
      <c r="Y1303" s="5">
        <v>12064318000</v>
      </c>
      <c r="AA1303">
        <v>721110</v>
      </c>
      <c r="AB1303" t="s">
        <v>1174</v>
      </c>
      <c r="AC1303" t="s">
        <v>1175</v>
      </c>
      <c r="AE1303" t="s">
        <v>1176</v>
      </c>
      <c r="AF1303" t="s">
        <v>1172</v>
      </c>
      <c r="AH1303" t="s">
        <v>1173</v>
      </c>
      <c r="AI1303" t="s">
        <v>792</v>
      </c>
      <c r="AJ1303" s="4" t="str">
        <f>"98188"</f>
        <v>98188</v>
      </c>
      <c r="AK1303" t="s">
        <v>120</v>
      </c>
      <c r="AM1303" s="5">
        <v>12064318000</v>
      </c>
      <c r="AO1303" t="s">
        <v>1177</v>
      </c>
      <c r="AX1303" s="4" t="str">
        <f>""</f>
        <v/>
      </c>
      <c r="BG1303" t="s">
        <v>661</v>
      </c>
      <c r="BH1303" s="1">
        <v>44790.833333333336</v>
      </c>
      <c r="BI1303">
        <v>56</v>
      </c>
      <c r="BJ1303">
        <v>8</v>
      </c>
      <c r="BK1303">
        <v>8</v>
      </c>
      <c r="BL1303">
        <v>8</v>
      </c>
      <c r="BM1303">
        <v>8</v>
      </c>
      <c r="BN1303">
        <v>8</v>
      </c>
      <c r="BO1303">
        <v>8</v>
      </c>
      <c r="BP1303">
        <v>8</v>
      </c>
      <c r="BQ1303" t="str">
        <f t="shared" si="55"/>
        <v>8:00 AM</v>
      </c>
      <c r="BR1303" t="str">
        <f t="shared" si="56"/>
        <v>4:00 PM</v>
      </c>
      <c r="BS1303" t="s">
        <v>133</v>
      </c>
      <c r="BT1303">
        <v>0</v>
      </c>
      <c r="BU1303">
        <v>0</v>
      </c>
      <c r="BV1303" t="s">
        <v>114</v>
      </c>
      <c r="BW1303">
        <v>15</v>
      </c>
      <c r="BX1303" t="s">
        <v>138</v>
      </c>
      <c r="BY1303" t="s">
        <v>9528</v>
      </c>
      <c r="CA1303" t="s">
        <v>2471</v>
      </c>
      <c r="CB1303" t="s">
        <v>661</v>
      </c>
      <c r="CC1303" s="4" t="str">
        <f>"59715"</f>
        <v>59715</v>
      </c>
      <c r="CD1303" t="s">
        <v>665</v>
      </c>
      <c r="CE1303" t="s">
        <v>666</v>
      </c>
      <c r="CF1303" s="6">
        <v>20.27</v>
      </c>
      <c r="CG1303" s="6">
        <v>21</v>
      </c>
      <c r="CH1303" s="6">
        <v>30.41</v>
      </c>
      <c r="CI1303" s="6">
        <v>31.5</v>
      </c>
      <c r="CJ1303" t="s">
        <v>137</v>
      </c>
      <c r="CK1303" t="s">
        <v>1180</v>
      </c>
      <c r="CL1303" t="s">
        <v>15103</v>
      </c>
      <c r="CO1303" t="s">
        <v>138</v>
      </c>
      <c r="CP1303" t="s">
        <v>134</v>
      </c>
      <c r="CQ1303" t="s">
        <v>134</v>
      </c>
      <c r="CR1303" t="s">
        <v>114</v>
      </c>
      <c r="CS1303" t="s">
        <v>114</v>
      </c>
      <c r="CT1303" t="s">
        <v>114</v>
      </c>
      <c r="CU1303" t="s">
        <v>134</v>
      </c>
      <c r="CV1303" t="s">
        <v>1182</v>
      </c>
      <c r="CW1303" s="5" t="str">
        <f>"N/A"</f>
        <v>N/A</v>
      </c>
      <c r="CX1303" t="s">
        <v>9530</v>
      </c>
      <c r="CY1303" t="s">
        <v>1184</v>
      </c>
      <c r="CZ1303" t="s">
        <v>139</v>
      </c>
      <c r="DA1303" t="s">
        <v>134</v>
      </c>
      <c r="DB1303" t="s">
        <v>134</v>
      </c>
      <c r="DC1303" t="s">
        <v>114</v>
      </c>
      <c r="DD1303" t="s">
        <v>134</v>
      </c>
    </row>
    <row r="1304" spans="1:113" ht="15" customHeight="1" x14ac:dyDescent="0.25">
      <c r="A1304" t="s">
        <v>13924</v>
      </c>
      <c r="B1304" t="s">
        <v>113</v>
      </c>
      <c r="C1304" s="1">
        <v>44792.67578888889</v>
      </c>
      <c r="D1304" s="1">
        <v>44838</v>
      </c>
      <c r="E1304" t="s">
        <v>114</v>
      </c>
      <c r="F1304" t="s">
        <v>13925</v>
      </c>
      <c r="G1304" t="str">
        <f>"37-1011.00"</f>
        <v>37-1011.00</v>
      </c>
      <c r="H1304" t="s">
        <v>980</v>
      </c>
      <c r="I1304">
        <v>1</v>
      </c>
      <c r="K1304" s="1">
        <v>44867</v>
      </c>
      <c r="L1304" s="1">
        <v>45138</v>
      </c>
      <c r="O1304" t="s">
        <v>117</v>
      </c>
      <c r="P1304" t="s">
        <v>1170</v>
      </c>
      <c r="Q1304" t="s">
        <v>9527</v>
      </c>
      <c r="R1304" t="s">
        <v>1172</v>
      </c>
      <c r="T1304" t="s">
        <v>1173</v>
      </c>
      <c r="U1304" t="s">
        <v>792</v>
      </c>
      <c r="V1304" s="4" t="str">
        <f>"98188"</f>
        <v>98188</v>
      </c>
      <c r="W1304" t="s">
        <v>120</v>
      </c>
      <c r="Y1304" s="5">
        <v>12064318000</v>
      </c>
      <c r="AA1304">
        <v>721110</v>
      </c>
      <c r="AB1304" t="s">
        <v>1174</v>
      </c>
      <c r="AC1304" t="s">
        <v>1175</v>
      </c>
      <c r="AE1304" t="s">
        <v>1176</v>
      </c>
      <c r="AF1304" t="s">
        <v>13926</v>
      </c>
      <c r="AH1304" t="s">
        <v>1173</v>
      </c>
      <c r="AI1304" t="s">
        <v>792</v>
      </c>
      <c r="AJ1304" s="4" t="str">
        <f>"98188"</f>
        <v>98188</v>
      </c>
      <c r="AK1304" t="s">
        <v>120</v>
      </c>
      <c r="AM1304" s="5">
        <v>12064318000</v>
      </c>
      <c r="AO1304" t="s">
        <v>1177</v>
      </c>
      <c r="AX1304" s="4" t="str">
        <f>""</f>
        <v/>
      </c>
      <c r="BG1304" t="s">
        <v>661</v>
      </c>
      <c r="BH1304" s="1">
        <v>44790.833333333336</v>
      </c>
      <c r="BI1304">
        <v>40</v>
      </c>
      <c r="BJ1304">
        <v>8</v>
      </c>
      <c r="BK1304">
        <v>8</v>
      </c>
      <c r="BL1304">
        <v>0</v>
      </c>
      <c r="BM1304">
        <v>0</v>
      </c>
      <c r="BN1304">
        <v>8</v>
      </c>
      <c r="BO1304">
        <v>8</v>
      </c>
      <c r="BP1304">
        <v>8</v>
      </c>
      <c r="BQ1304" t="str">
        <f t="shared" si="55"/>
        <v>8:00 AM</v>
      </c>
      <c r="BR1304" t="str">
        <f t="shared" si="56"/>
        <v>4:00 PM</v>
      </c>
      <c r="BS1304" t="s">
        <v>133</v>
      </c>
      <c r="BT1304">
        <v>0</v>
      </c>
      <c r="BU1304">
        <v>0</v>
      </c>
      <c r="BV1304" t="s">
        <v>114</v>
      </c>
      <c r="BW1304">
        <v>15</v>
      </c>
      <c r="BX1304" t="s">
        <v>138</v>
      </c>
      <c r="BY1304" t="s">
        <v>9569</v>
      </c>
      <c r="CA1304" t="s">
        <v>2471</v>
      </c>
      <c r="CB1304" t="s">
        <v>661</v>
      </c>
      <c r="CC1304" s="4" t="str">
        <f>"59715"</f>
        <v>59715</v>
      </c>
      <c r="CD1304" t="s">
        <v>665</v>
      </c>
      <c r="CE1304" t="s">
        <v>666</v>
      </c>
      <c r="CF1304" s="6">
        <v>20.27</v>
      </c>
      <c r="CG1304" s="6">
        <v>21</v>
      </c>
      <c r="CH1304" s="6">
        <v>30.41</v>
      </c>
      <c r="CI1304" s="6">
        <v>31.5</v>
      </c>
      <c r="CJ1304" t="s">
        <v>137</v>
      </c>
      <c r="CK1304" t="s">
        <v>1180</v>
      </c>
      <c r="CL1304" t="s">
        <v>13927</v>
      </c>
      <c r="CO1304" t="s">
        <v>138</v>
      </c>
      <c r="CP1304" t="s">
        <v>134</v>
      </c>
      <c r="CQ1304" t="s">
        <v>134</v>
      </c>
      <c r="CR1304" t="s">
        <v>114</v>
      </c>
      <c r="CS1304" t="s">
        <v>114</v>
      </c>
      <c r="CT1304" t="s">
        <v>114</v>
      </c>
      <c r="CU1304" t="s">
        <v>134</v>
      </c>
      <c r="CV1304" t="s">
        <v>3514</v>
      </c>
      <c r="CW1304" s="5" t="str">
        <f>"N/A"</f>
        <v>N/A</v>
      </c>
      <c r="CX1304" t="s">
        <v>9571</v>
      </c>
      <c r="CY1304" t="s">
        <v>1184</v>
      </c>
      <c r="CZ1304" t="s">
        <v>139</v>
      </c>
      <c r="DA1304" t="s">
        <v>134</v>
      </c>
      <c r="DB1304" t="s">
        <v>134</v>
      </c>
      <c r="DC1304" t="s">
        <v>114</v>
      </c>
      <c r="DD1304" t="s">
        <v>134</v>
      </c>
    </row>
    <row r="1305" spans="1:113" ht="15" customHeight="1" x14ac:dyDescent="0.25">
      <c r="A1305" t="s">
        <v>15442</v>
      </c>
      <c r="B1305" t="s">
        <v>113</v>
      </c>
      <c r="C1305" s="1">
        <v>44785.78081689815</v>
      </c>
      <c r="D1305" s="1">
        <v>44838</v>
      </c>
      <c r="E1305" t="s">
        <v>134</v>
      </c>
      <c r="F1305" t="s">
        <v>115</v>
      </c>
      <c r="G1305" t="str">
        <f>"37-2012.00"</f>
        <v>37-2012.00</v>
      </c>
      <c r="H1305" t="s">
        <v>116</v>
      </c>
      <c r="I1305">
        <v>1</v>
      </c>
      <c r="K1305" s="1">
        <v>44860</v>
      </c>
      <c r="L1305" s="1">
        <v>45225</v>
      </c>
      <c r="O1305" t="s">
        <v>168</v>
      </c>
      <c r="P1305" t="s">
        <v>15443</v>
      </c>
      <c r="R1305" t="s">
        <v>15444</v>
      </c>
      <c r="T1305" t="s">
        <v>15445</v>
      </c>
      <c r="U1305" t="s">
        <v>1846</v>
      </c>
      <c r="V1305" s="4" t="str">
        <f>"05446"</f>
        <v>05446</v>
      </c>
      <c r="W1305" t="s">
        <v>120</v>
      </c>
      <c r="Y1305" s="5">
        <v>18026550900</v>
      </c>
      <c r="AA1305">
        <v>72111</v>
      </c>
      <c r="AB1305" t="s">
        <v>2070</v>
      </c>
      <c r="AC1305" t="s">
        <v>2390</v>
      </c>
      <c r="AE1305" t="s">
        <v>15446</v>
      </c>
      <c r="AF1305" t="s">
        <v>15444</v>
      </c>
      <c r="AH1305" t="s">
        <v>15445</v>
      </c>
      <c r="AI1305" t="s">
        <v>1846</v>
      </c>
      <c r="AJ1305" s="4" t="str">
        <f>"05446"</f>
        <v>05446</v>
      </c>
      <c r="AK1305" t="s">
        <v>120</v>
      </c>
      <c r="AM1305" s="5">
        <v>18026550900</v>
      </c>
      <c r="AO1305" t="s">
        <v>15447</v>
      </c>
      <c r="AX1305" s="4" t="str">
        <f>""</f>
        <v/>
      </c>
      <c r="BG1305" t="s">
        <v>1846</v>
      </c>
      <c r="BH1305" s="1">
        <v>44784.833333333336</v>
      </c>
      <c r="BI1305">
        <v>40</v>
      </c>
      <c r="BJ1305">
        <v>8</v>
      </c>
      <c r="BK1305">
        <v>8</v>
      </c>
      <c r="BL1305">
        <v>0</v>
      </c>
      <c r="BM1305">
        <v>0</v>
      </c>
      <c r="BN1305">
        <v>8</v>
      </c>
      <c r="BO1305">
        <v>8</v>
      </c>
      <c r="BP1305">
        <v>8</v>
      </c>
      <c r="BQ1305" t="str">
        <f t="shared" si="55"/>
        <v>8:00 AM</v>
      </c>
      <c r="BR1305" t="str">
        <f t="shared" si="56"/>
        <v>4:00 PM</v>
      </c>
      <c r="BS1305" t="s">
        <v>133</v>
      </c>
      <c r="BT1305">
        <v>1</v>
      </c>
      <c r="BU1305">
        <v>2</v>
      </c>
      <c r="BV1305" t="s">
        <v>134</v>
      </c>
      <c r="BX1305" s="2" t="s">
        <v>15448</v>
      </c>
      <c r="BY1305" t="s">
        <v>15444</v>
      </c>
      <c r="CA1305" t="s">
        <v>15445</v>
      </c>
      <c r="CB1305" t="s">
        <v>1846</v>
      </c>
      <c r="CC1305" s="4" t="str">
        <f>"05446"</f>
        <v>05446</v>
      </c>
      <c r="CD1305" t="s">
        <v>2848</v>
      </c>
      <c r="CE1305" t="s">
        <v>2849</v>
      </c>
      <c r="CF1305" s="6">
        <v>15.51</v>
      </c>
      <c r="CG1305" s="6">
        <v>16</v>
      </c>
      <c r="CH1305" s="6">
        <v>23.26</v>
      </c>
      <c r="CI1305" s="6">
        <v>24</v>
      </c>
      <c r="CJ1305" t="s">
        <v>137</v>
      </c>
      <c r="CL1305" t="s">
        <v>15449</v>
      </c>
      <c r="CO1305" t="s">
        <v>138</v>
      </c>
      <c r="CP1305" t="s">
        <v>134</v>
      </c>
      <c r="CQ1305" t="s">
        <v>114</v>
      </c>
      <c r="CR1305" t="s">
        <v>114</v>
      </c>
      <c r="CS1305" t="s">
        <v>114</v>
      </c>
      <c r="CT1305" t="s">
        <v>114</v>
      </c>
      <c r="CU1305" t="s">
        <v>114</v>
      </c>
      <c r="CV1305" t="s">
        <v>15450</v>
      </c>
      <c r="CW1305" s="5" t="str">
        <f>"+18026550900"</f>
        <v>+18026550900</v>
      </c>
      <c r="CX1305" t="s">
        <v>15447</v>
      </c>
      <c r="CY1305" t="s">
        <v>138</v>
      </c>
      <c r="CZ1305" t="s">
        <v>139</v>
      </c>
      <c r="DA1305" t="s">
        <v>134</v>
      </c>
      <c r="DB1305" t="s">
        <v>134</v>
      </c>
      <c r="DC1305" t="s">
        <v>114</v>
      </c>
      <c r="DD1305" t="s">
        <v>134</v>
      </c>
      <c r="DE1305" t="s">
        <v>2070</v>
      </c>
      <c r="DF1305" t="s">
        <v>2390</v>
      </c>
      <c r="DG1305" t="s">
        <v>423</v>
      </c>
      <c r="DH1305" t="s">
        <v>15443</v>
      </c>
      <c r="DI1305" t="s">
        <v>15447</v>
      </c>
    </row>
    <row r="1306" spans="1:113" ht="15" customHeight="1" x14ac:dyDescent="0.25">
      <c r="A1306" t="s">
        <v>11410</v>
      </c>
      <c r="B1306" t="s">
        <v>113</v>
      </c>
      <c r="C1306" s="1">
        <v>44805.76715</v>
      </c>
      <c r="D1306" s="1">
        <v>44837</v>
      </c>
      <c r="E1306" t="s">
        <v>134</v>
      </c>
      <c r="F1306" t="s">
        <v>6058</v>
      </c>
      <c r="G1306" t="str">
        <f>"51-3022.00"</f>
        <v>51-3022.00</v>
      </c>
      <c r="H1306" t="s">
        <v>817</v>
      </c>
      <c r="I1306">
        <v>100</v>
      </c>
      <c r="K1306" s="1">
        <v>44880</v>
      </c>
      <c r="L1306" s="1">
        <v>45107</v>
      </c>
      <c r="O1306" t="s">
        <v>117</v>
      </c>
      <c r="P1306" t="s">
        <v>11411</v>
      </c>
      <c r="R1306" t="s">
        <v>11412</v>
      </c>
      <c r="T1306" t="s">
        <v>11413</v>
      </c>
      <c r="U1306" t="s">
        <v>748</v>
      </c>
      <c r="V1306" s="4" t="str">
        <f>"17747"</f>
        <v>17747</v>
      </c>
      <c r="W1306" t="s">
        <v>120</v>
      </c>
      <c r="Y1306" s="5">
        <v>15707253511</v>
      </c>
      <c r="AA1306">
        <v>311612</v>
      </c>
      <c r="AB1306" t="s">
        <v>11414</v>
      </c>
      <c r="AC1306" t="s">
        <v>11415</v>
      </c>
      <c r="AE1306" t="s">
        <v>11416</v>
      </c>
      <c r="AF1306" t="s">
        <v>11412</v>
      </c>
      <c r="AH1306" t="s">
        <v>11413</v>
      </c>
      <c r="AI1306" t="s">
        <v>444</v>
      </c>
      <c r="AJ1306" s="4" t="str">
        <f>"17747"</f>
        <v>17747</v>
      </c>
      <c r="AK1306" t="s">
        <v>120</v>
      </c>
      <c r="AM1306" s="5">
        <v>15707253511</v>
      </c>
      <c r="AO1306" t="s">
        <v>11417</v>
      </c>
      <c r="AP1306" t="s">
        <v>122</v>
      </c>
      <c r="AQ1306" t="s">
        <v>504</v>
      </c>
      <c r="AR1306" t="s">
        <v>505</v>
      </c>
      <c r="AT1306" t="s">
        <v>506</v>
      </c>
      <c r="AV1306" t="s">
        <v>507</v>
      </c>
      <c r="AW1306" t="s">
        <v>444</v>
      </c>
      <c r="AX1306" s="4" t="str">
        <f>"90016"</f>
        <v>90016</v>
      </c>
      <c r="AY1306" t="s">
        <v>120</v>
      </c>
      <c r="BA1306" s="5">
        <v>13232369091</v>
      </c>
      <c r="BC1306" t="s">
        <v>508</v>
      </c>
      <c r="BD1306" t="s">
        <v>11418</v>
      </c>
      <c r="BE1306" t="s">
        <v>444</v>
      </c>
      <c r="BF1306" t="s">
        <v>510</v>
      </c>
      <c r="BG1306" t="s">
        <v>748</v>
      </c>
      <c r="BH1306" s="1">
        <v>44804.833333333336</v>
      </c>
      <c r="BI1306">
        <v>40</v>
      </c>
      <c r="BJ1306">
        <v>0</v>
      </c>
      <c r="BK1306">
        <v>8</v>
      </c>
      <c r="BL1306">
        <v>8</v>
      </c>
      <c r="BM1306">
        <v>8</v>
      </c>
      <c r="BN1306">
        <v>8</v>
      </c>
      <c r="BO1306">
        <v>8</v>
      </c>
      <c r="BP1306">
        <v>0</v>
      </c>
      <c r="BQ1306" t="str">
        <f t="shared" si="55"/>
        <v>8:00 AM</v>
      </c>
      <c r="BR1306" t="str">
        <f>"5:00 PM"</f>
        <v>5:00 PM</v>
      </c>
      <c r="BS1306" t="s">
        <v>133</v>
      </c>
      <c r="BT1306">
        <v>0</v>
      </c>
      <c r="BU1306">
        <v>0</v>
      </c>
      <c r="BV1306" t="s">
        <v>134</v>
      </c>
      <c r="BX1306" t="s">
        <v>138</v>
      </c>
      <c r="BY1306" t="s">
        <v>11419</v>
      </c>
      <c r="CA1306" t="s">
        <v>11413</v>
      </c>
      <c r="CB1306" t="s">
        <v>748</v>
      </c>
      <c r="CC1306" s="4" t="str">
        <f>"17747"</f>
        <v>17747</v>
      </c>
      <c r="CD1306" t="s">
        <v>2018</v>
      </c>
      <c r="CE1306" t="s">
        <v>6064</v>
      </c>
      <c r="CF1306" s="6">
        <v>16.170000000000002</v>
      </c>
      <c r="CG1306" s="6">
        <v>16.170000000000002</v>
      </c>
      <c r="CJ1306" t="s">
        <v>137</v>
      </c>
      <c r="CL1306" t="s">
        <v>11420</v>
      </c>
      <c r="CO1306" t="s">
        <v>138</v>
      </c>
      <c r="CP1306" t="s">
        <v>134</v>
      </c>
      <c r="CQ1306" t="s">
        <v>134</v>
      </c>
      <c r="CR1306" t="s">
        <v>134</v>
      </c>
      <c r="CS1306" t="s">
        <v>134</v>
      </c>
      <c r="CT1306" t="s">
        <v>114</v>
      </c>
      <c r="CU1306" t="s">
        <v>114</v>
      </c>
      <c r="CV1306" t="s">
        <v>11421</v>
      </c>
      <c r="CW1306" s="5" t="str">
        <f>"+19176870896"</f>
        <v>+19176870896</v>
      </c>
      <c r="CX1306" t="s">
        <v>11417</v>
      </c>
      <c r="CY1306" t="s">
        <v>138</v>
      </c>
      <c r="CZ1306" t="s">
        <v>139</v>
      </c>
      <c r="DA1306" t="s">
        <v>134</v>
      </c>
      <c r="DB1306" t="s">
        <v>134</v>
      </c>
      <c r="DC1306" t="s">
        <v>114</v>
      </c>
      <c r="DD1306" t="s">
        <v>134</v>
      </c>
    </row>
    <row r="1307" spans="1:113" ht="15" customHeight="1" x14ac:dyDescent="0.25">
      <c r="A1307" t="s">
        <v>16554</v>
      </c>
      <c r="B1307" t="s">
        <v>113</v>
      </c>
      <c r="C1307" s="1">
        <v>44805.496639930556</v>
      </c>
      <c r="D1307" s="1">
        <v>44837</v>
      </c>
      <c r="E1307" t="s">
        <v>134</v>
      </c>
      <c r="F1307" t="s">
        <v>16555</v>
      </c>
      <c r="G1307" t="str">
        <f>"17-1021.00"</f>
        <v>17-1021.00</v>
      </c>
      <c r="H1307" t="s">
        <v>16556</v>
      </c>
      <c r="I1307">
        <v>1</v>
      </c>
      <c r="K1307" s="1">
        <v>44837</v>
      </c>
      <c r="L1307" s="1">
        <v>45110</v>
      </c>
      <c r="O1307" t="s">
        <v>3130</v>
      </c>
      <c r="P1307" t="s">
        <v>16557</v>
      </c>
      <c r="R1307" t="s">
        <v>16558</v>
      </c>
      <c r="T1307" t="s">
        <v>11808</v>
      </c>
      <c r="U1307" t="s">
        <v>848</v>
      </c>
      <c r="V1307" s="4" t="str">
        <f>"11235"</f>
        <v>11235</v>
      </c>
      <c r="W1307" t="s">
        <v>120</v>
      </c>
      <c r="Y1307" s="5">
        <v>17181485674</v>
      </c>
      <c r="AA1307">
        <v>541370</v>
      </c>
      <c r="AB1307" t="s">
        <v>4673</v>
      </c>
      <c r="AC1307" t="s">
        <v>16559</v>
      </c>
      <c r="AE1307" t="s">
        <v>16560</v>
      </c>
      <c r="AF1307" t="s">
        <v>16561</v>
      </c>
      <c r="AH1307" t="s">
        <v>11808</v>
      </c>
      <c r="AI1307" t="s">
        <v>848</v>
      </c>
      <c r="AJ1307" s="4" t="str">
        <f>"11235"</f>
        <v>11235</v>
      </c>
      <c r="AK1307" t="s">
        <v>120</v>
      </c>
      <c r="AM1307" s="5">
        <v>17183310800</v>
      </c>
      <c r="AO1307" t="s">
        <v>16562</v>
      </c>
      <c r="AX1307" s="4" t="str">
        <f>""</f>
        <v/>
      </c>
      <c r="BG1307" t="s">
        <v>848</v>
      </c>
      <c r="BH1307" s="1">
        <v>44804.833333333336</v>
      </c>
      <c r="BI1307">
        <v>40</v>
      </c>
      <c r="BJ1307">
        <v>0</v>
      </c>
      <c r="BK1307">
        <v>8</v>
      </c>
      <c r="BL1307">
        <v>8</v>
      </c>
      <c r="BM1307">
        <v>8</v>
      </c>
      <c r="BN1307">
        <v>8</v>
      </c>
      <c r="BO1307">
        <v>8</v>
      </c>
      <c r="BP1307">
        <v>0</v>
      </c>
      <c r="BQ1307" t="str">
        <f>"9:00 AM"</f>
        <v>9:00 AM</v>
      </c>
      <c r="BR1307" t="str">
        <f>"5:00 PM"</f>
        <v>5:00 PM</v>
      </c>
      <c r="BS1307" t="s">
        <v>967</v>
      </c>
      <c r="BT1307">
        <v>0</v>
      </c>
      <c r="BU1307">
        <v>36</v>
      </c>
      <c r="BV1307" t="s">
        <v>134</v>
      </c>
      <c r="BX1307" s="2" t="s">
        <v>16563</v>
      </c>
      <c r="BY1307" t="s">
        <v>16558</v>
      </c>
      <c r="CA1307" t="s">
        <v>11808</v>
      </c>
      <c r="CB1307" t="s">
        <v>848</v>
      </c>
      <c r="CC1307" s="4" t="str">
        <f>"11235"</f>
        <v>11235</v>
      </c>
      <c r="CD1307" t="s">
        <v>4300</v>
      </c>
      <c r="CE1307" t="s">
        <v>1009</v>
      </c>
      <c r="CF1307" s="6">
        <v>34</v>
      </c>
      <c r="CG1307" s="6">
        <v>35</v>
      </c>
      <c r="CH1307" s="6">
        <v>51</v>
      </c>
      <c r="CI1307" s="6">
        <v>51.5</v>
      </c>
      <c r="CJ1307" t="s">
        <v>3503</v>
      </c>
      <c r="CL1307" t="s">
        <v>16564</v>
      </c>
      <c r="CO1307" t="s">
        <v>114</v>
      </c>
      <c r="CP1307" t="s">
        <v>134</v>
      </c>
      <c r="CQ1307" t="s">
        <v>134</v>
      </c>
      <c r="CR1307" t="s">
        <v>134</v>
      </c>
      <c r="CS1307" t="s">
        <v>134</v>
      </c>
      <c r="CT1307" t="s">
        <v>134</v>
      </c>
      <c r="CU1307" t="s">
        <v>134</v>
      </c>
      <c r="CV1307" t="s">
        <v>16565</v>
      </c>
      <c r="CW1307" s="5" t="str">
        <f>"+17181485674"</f>
        <v>+17181485674</v>
      </c>
      <c r="CX1307" t="s">
        <v>16562</v>
      </c>
      <c r="CY1307" t="s">
        <v>138</v>
      </c>
      <c r="CZ1307" t="s">
        <v>139</v>
      </c>
      <c r="DA1307" t="s">
        <v>134</v>
      </c>
      <c r="DB1307" t="s">
        <v>134</v>
      </c>
      <c r="DC1307" t="s">
        <v>114</v>
      </c>
      <c r="DD1307" t="s">
        <v>134</v>
      </c>
    </row>
    <row r="1308" spans="1:113" ht="15" customHeight="1" x14ac:dyDescent="0.25">
      <c r="A1308" t="s">
        <v>13100</v>
      </c>
      <c r="B1308" t="s">
        <v>113</v>
      </c>
      <c r="C1308" s="1">
        <v>44792.684239351853</v>
      </c>
      <c r="D1308" s="1">
        <v>44837</v>
      </c>
      <c r="E1308" t="s">
        <v>114</v>
      </c>
      <c r="F1308" t="s">
        <v>1169</v>
      </c>
      <c r="G1308" t="str">
        <f>"37-2012.00"</f>
        <v>37-2012.00</v>
      </c>
      <c r="H1308" t="s">
        <v>116</v>
      </c>
      <c r="I1308">
        <v>1</v>
      </c>
      <c r="K1308" s="1">
        <v>44867</v>
      </c>
      <c r="L1308" s="1">
        <v>45138</v>
      </c>
      <c r="O1308" t="s">
        <v>117</v>
      </c>
      <c r="P1308" t="s">
        <v>1170</v>
      </c>
      <c r="Q1308" t="s">
        <v>3510</v>
      </c>
      <c r="R1308" t="s">
        <v>1172</v>
      </c>
      <c r="T1308" t="s">
        <v>1173</v>
      </c>
      <c r="U1308" t="s">
        <v>792</v>
      </c>
      <c r="V1308" s="4" t="str">
        <f>"98188"</f>
        <v>98188</v>
      </c>
      <c r="W1308" t="s">
        <v>120</v>
      </c>
      <c r="Y1308" s="5">
        <v>12064318000</v>
      </c>
      <c r="AA1308">
        <v>721110</v>
      </c>
      <c r="AB1308" t="s">
        <v>1174</v>
      </c>
      <c r="AC1308" t="s">
        <v>1175</v>
      </c>
      <c r="AE1308" t="s">
        <v>1176</v>
      </c>
      <c r="AF1308" t="s">
        <v>3511</v>
      </c>
      <c r="AH1308" t="s">
        <v>1632</v>
      </c>
      <c r="AI1308" t="s">
        <v>792</v>
      </c>
      <c r="AJ1308" s="4" t="str">
        <f>"98138"</f>
        <v>98138</v>
      </c>
      <c r="AK1308" t="s">
        <v>120</v>
      </c>
      <c r="AM1308" s="5">
        <v>12064318000</v>
      </c>
      <c r="AO1308" t="s">
        <v>1177</v>
      </c>
      <c r="AX1308" s="4" t="str">
        <f>""</f>
        <v/>
      </c>
      <c r="BG1308" t="s">
        <v>349</v>
      </c>
      <c r="BH1308" s="1">
        <v>44790.833333333336</v>
      </c>
      <c r="BI1308">
        <v>40</v>
      </c>
      <c r="BJ1308">
        <v>8</v>
      </c>
      <c r="BK1308">
        <v>8</v>
      </c>
      <c r="BL1308">
        <v>8</v>
      </c>
      <c r="BM1308">
        <v>8</v>
      </c>
      <c r="BN1308">
        <v>8</v>
      </c>
      <c r="BO1308">
        <v>0</v>
      </c>
      <c r="BP1308">
        <v>0</v>
      </c>
      <c r="BQ1308" t="str">
        <f>"8:00 AM"</f>
        <v>8:00 AM</v>
      </c>
      <c r="BR1308" t="str">
        <f>"4:00 PM"</f>
        <v>4:00 PM</v>
      </c>
      <c r="BS1308" t="s">
        <v>133</v>
      </c>
      <c r="BT1308">
        <v>0</v>
      </c>
      <c r="BU1308">
        <v>0</v>
      </c>
      <c r="BV1308" t="s">
        <v>134</v>
      </c>
      <c r="BX1308" t="s">
        <v>138</v>
      </c>
      <c r="BY1308" t="s">
        <v>3512</v>
      </c>
      <c r="CA1308" t="s">
        <v>1179</v>
      </c>
      <c r="CB1308" t="s">
        <v>349</v>
      </c>
      <c r="CC1308" s="4" t="str">
        <f>"83706"</f>
        <v>83706</v>
      </c>
      <c r="CD1308" t="s">
        <v>969</v>
      </c>
      <c r="CE1308" t="s">
        <v>970</v>
      </c>
      <c r="CF1308" s="6">
        <v>11.86</v>
      </c>
      <c r="CG1308" s="6">
        <v>15</v>
      </c>
      <c r="CH1308" s="6">
        <v>17.79</v>
      </c>
      <c r="CI1308" s="6">
        <v>22.5</v>
      </c>
      <c r="CJ1308" t="s">
        <v>137</v>
      </c>
      <c r="CK1308" t="s">
        <v>1180</v>
      </c>
      <c r="CL1308" t="s">
        <v>13101</v>
      </c>
      <c r="CO1308" t="s">
        <v>138</v>
      </c>
      <c r="CP1308" t="s">
        <v>134</v>
      </c>
      <c r="CQ1308" t="s">
        <v>134</v>
      </c>
      <c r="CR1308" t="s">
        <v>114</v>
      </c>
      <c r="CS1308" t="s">
        <v>114</v>
      </c>
      <c r="CT1308" t="s">
        <v>114</v>
      </c>
      <c r="CU1308" t="s">
        <v>134</v>
      </c>
      <c r="CV1308" t="s">
        <v>1182</v>
      </c>
      <c r="CW1308" s="5" t="str">
        <f>"N/A"</f>
        <v>N/A</v>
      </c>
      <c r="CX1308" t="s">
        <v>3515</v>
      </c>
      <c r="CY1308" t="s">
        <v>1184</v>
      </c>
      <c r="CZ1308" t="s">
        <v>139</v>
      </c>
      <c r="DA1308" t="s">
        <v>134</v>
      </c>
      <c r="DB1308" t="s">
        <v>134</v>
      </c>
      <c r="DC1308" t="s">
        <v>114</v>
      </c>
      <c r="DD1308" t="s">
        <v>134</v>
      </c>
    </row>
    <row r="1309" spans="1:113" ht="15" customHeight="1" x14ac:dyDescent="0.25">
      <c r="A1309" t="s">
        <v>6705</v>
      </c>
      <c r="B1309" t="s">
        <v>113</v>
      </c>
      <c r="C1309" s="1">
        <v>44791.592941435185</v>
      </c>
      <c r="D1309" s="1">
        <v>44837</v>
      </c>
      <c r="E1309" t="s">
        <v>134</v>
      </c>
      <c r="F1309" t="s">
        <v>2342</v>
      </c>
      <c r="G1309" t="str">
        <f>"37-3011.00"</f>
        <v>37-3011.00</v>
      </c>
      <c r="H1309" t="s">
        <v>335</v>
      </c>
      <c r="I1309">
        <v>10</v>
      </c>
      <c r="K1309" s="1">
        <v>44866</v>
      </c>
      <c r="L1309" s="1">
        <v>44897</v>
      </c>
      <c r="O1309" t="s">
        <v>199</v>
      </c>
      <c r="P1309" t="s">
        <v>6706</v>
      </c>
      <c r="R1309" t="s">
        <v>6707</v>
      </c>
      <c r="T1309" t="s">
        <v>6708</v>
      </c>
      <c r="U1309" t="s">
        <v>232</v>
      </c>
      <c r="V1309" s="4" t="str">
        <f>"76543"</f>
        <v>76543</v>
      </c>
      <c r="W1309" t="s">
        <v>120</v>
      </c>
      <c r="Y1309" s="5">
        <v>12543129632</v>
      </c>
      <c r="AA1309">
        <v>56173</v>
      </c>
      <c r="AB1309" t="s">
        <v>6709</v>
      </c>
      <c r="AC1309" t="s">
        <v>1580</v>
      </c>
      <c r="AD1309" t="s">
        <v>6710</v>
      </c>
      <c r="AE1309" t="s">
        <v>424</v>
      </c>
      <c r="AF1309" t="s">
        <v>6711</v>
      </c>
      <c r="AH1309" t="s">
        <v>6708</v>
      </c>
      <c r="AI1309" t="s">
        <v>232</v>
      </c>
      <c r="AJ1309" s="4" t="str">
        <f>"76543"</f>
        <v>76543</v>
      </c>
      <c r="AK1309" t="s">
        <v>120</v>
      </c>
      <c r="AM1309" s="5">
        <v>12543683986</v>
      </c>
      <c r="AO1309" t="s">
        <v>6712</v>
      </c>
      <c r="AP1309" t="s">
        <v>122</v>
      </c>
      <c r="AQ1309" t="s">
        <v>6713</v>
      </c>
      <c r="AR1309" t="s">
        <v>6714</v>
      </c>
      <c r="AT1309" t="s">
        <v>6715</v>
      </c>
      <c r="AU1309" t="s">
        <v>6716</v>
      </c>
      <c r="AV1309" t="s">
        <v>684</v>
      </c>
      <c r="AW1309" t="s">
        <v>232</v>
      </c>
      <c r="AX1309" s="4" t="str">
        <f>"78759"</f>
        <v>78759</v>
      </c>
      <c r="AY1309" t="s">
        <v>120</v>
      </c>
      <c r="BA1309" s="5">
        <v>15123719000</v>
      </c>
      <c r="BC1309" t="s">
        <v>6717</v>
      </c>
      <c r="BD1309" t="s">
        <v>6718</v>
      </c>
      <c r="BE1309" t="s">
        <v>214</v>
      </c>
      <c r="BF1309" t="s">
        <v>733</v>
      </c>
      <c r="BG1309" t="s">
        <v>232</v>
      </c>
      <c r="BH1309" s="1">
        <v>44789.833333333336</v>
      </c>
      <c r="BI1309">
        <v>40</v>
      </c>
      <c r="BJ1309">
        <v>0</v>
      </c>
      <c r="BK1309">
        <v>8</v>
      </c>
      <c r="BL1309">
        <v>8</v>
      </c>
      <c r="BM1309">
        <v>8</v>
      </c>
      <c r="BN1309">
        <v>8</v>
      </c>
      <c r="BO1309">
        <v>8</v>
      </c>
      <c r="BP1309">
        <v>0</v>
      </c>
      <c r="BQ1309" t="str">
        <f>"7:30 AM"</f>
        <v>7:30 AM</v>
      </c>
      <c r="BR1309" t="str">
        <f>"4:30 PM"</f>
        <v>4:30 PM</v>
      </c>
      <c r="BS1309" t="s">
        <v>133</v>
      </c>
      <c r="BT1309">
        <v>0</v>
      </c>
      <c r="BU1309">
        <v>0</v>
      </c>
      <c r="BV1309" t="s">
        <v>134</v>
      </c>
      <c r="BX1309" t="s">
        <v>6719</v>
      </c>
      <c r="BY1309" t="s">
        <v>6720</v>
      </c>
      <c r="CA1309" t="s">
        <v>6708</v>
      </c>
      <c r="CB1309" t="s">
        <v>232</v>
      </c>
      <c r="CC1309" s="4" t="str">
        <f>"76543"</f>
        <v>76543</v>
      </c>
      <c r="CD1309" t="s">
        <v>4240</v>
      </c>
      <c r="CE1309" t="s">
        <v>4241</v>
      </c>
      <c r="CF1309" s="6">
        <v>16</v>
      </c>
      <c r="CH1309" s="6">
        <v>24</v>
      </c>
      <c r="CJ1309" t="s">
        <v>137</v>
      </c>
      <c r="CK1309" t="s">
        <v>6721</v>
      </c>
      <c r="CL1309" t="s">
        <v>6722</v>
      </c>
      <c r="CO1309" t="s">
        <v>138</v>
      </c>
      <c r="CP1309" t="s">
        <v>114</v>
      </c>
      <c r="CQ1309" t="s">
        <v>114</v>
      </c>
      <c r="CR1309" t="s">
        <v>114</v>
      </c>
      <c r="CS1309" t="s">
        <v>114</v>
      </c>
      <c r="CT1309" t="s">
        <v>114</v>
      </c>
      <c r="CU1309" t="s">
        <v>114</v>
      </c>
      <c r="CV1309" t="s">
        <v>6723</v>
      </c>
      <c r="CW1309" s="5" t="str">
        <f>"+12543129632"</f>
        <v>+12543129632</v>
      </c>
      <c r="CX1309" t="s">
        <v>6712</v>
      </c>
      <c r="CY1309" t="s">
        <v>138</v>
      </c>
      <c r="CZ1309" t="s">
        <v>139</v>
      </c>
      <c r="DA1309" t="s">
        <v>134</v>
      </c>
      <c r="DB1309" t="s">
        <v>134</v>
      </c>
      <c r="DC1309" t="s">
        <v>114</v>
      </c>
      <c r="DD1309" t="s">
        <v>134</v>
      </c>
    </row>
    <row r="1310" spans="1:113" ht="15" customHeight="1" x14ac:dyDescent="0.25">
      <c r="A1310" t="s">
        <v>12944</v>
      </c>
      <c r="B1310" t="s">
        <v>113</v>
      </c>
      <c r="C1310" s="1">
        <v>44784.850398958333</v>
      </c>
      <c r="D1310" s="1">
        <v>44837</v>
      </c>
      <c r="E1310" t="s">
        <v>134</v>
      </c>
      <c r="F1310" t="s">
        <v>9655</v>
      </c>
      <c r="G1310" t="str">
        <f>"37-2011.00"</f>
        <v>37-2011.00</v>
      </c>
      <c r="H1310" t="s">
        <v>672</v>
      </c>
      <c r="I1310">
        <v>20</v>
      </c>
      <c r="K1310" s="1">
        <v>44859</v>
      </c>
      <c r="L1310" s="1">
        <v>45000</v>
      </c>
      <c r="O1310" t="s">
        <v>199</v>
      </c>
      <c r="P1310" t="s">
        <v>7103</v>
      </c>
      <c r="R1310" t="s">
        <v>9656</v>
      </c>
      <c r="T1310" t="s">
        <v>7104</v>
      </c>
      <c r="U1310" t="s">
        <v>420</v>
      </c>
      <c r="V1310" s="4" t="str">
        <f>"84003"</f>
        <v>84003</v>
      </c>
      <c r="W1310" t="s">
        <v>120</v>
      </c>
      <c r="Y1310" s="5">
        <v>18017013535</v>
      </c>
      <c r="AA1310">
        <v>56173</v>
      </c>
      <c r="AB1310" t="s">
        <v>4599</v>
      </c>
      <c r="AC1310" t="s">
        <v>865</v>
      </c>
      <c r="AE1310" t="s">
        <v>2082</v>
      </c>
      <c r="AF1310" t="s">
        <v>9656</v>
      </c>
      <c r="AH1310" t="s">
        <v>7104</v>
      </c>
      <c r="AI1310" t="s">
        <v>420</v>
      </c>
      <c r="AJ1310" s="4" t="str">
        <f>"84003"</f>
        <v>84003</v>
      </c>
      <c r="AK1310" t="s">
        <v>120</v>
      </c>
      <c r="AM1310" s="5">
        <v>18018000011</v>
      </c>
      <c r="AO1310" t="s">
        <v>7105</v>
      </c>
      <c r="AP1310" t="s">
        <v>122</v>
      </c>
      <c r="AQ1310" t="s">
        <v>2175</v>
      </c>
      <c r="AR1310" t="s">
        <v>2176</v>
      </c>
      <c r="AS1310" t="s">
        <v>146</v>
      </c>
      <c r="AT1310" t="s">
        <v>2177</v>
      </c>
      <c r="AV1310" t="s">
        <v>2178</v>
      </c>
      <c r="AW1310" t="s">
        <v>2081</v>
      </c>
      <c r="AX1310" s="4" t="str">
        <f>"50010"</f>
        <v>50010</v>
      </c>
      <c r="AY1310" t="s">
        <v>120</v>
      </c>
      <c r="BA1310" s="5">
        <v>15152324444</v>
      </c>
      <c r="BB1310">
        <v>0</v>
      </c>
      <c r="BC1310" t="s">
        <v>2179</v>
      </c>
      <c r="BD1310" t="s">
        <v>2180</v>
      </c>
      <c r="BE1310" t="s">
        <v>2081</v>
      </c>
      <c r="BF1310" t="s">
        <v>322</v>
      </c>
      <c r="BG1310" t="s">
        <v>420</v>
      </c>
      <c r="BH1310" s="1">
        <v>44783.833333333336</v>
      </c>
      <c r="BI1310">
        <v>35</v>
      </c>
      <c r="BJ1310">
        <v>0</v>
      </c>
      <c r="BK1310">
        <v>7</v>
      </c>
      <c r="BL1310">
        <v>7</v>
      </c>
      <c r="BM1310">
        <v>7</v>
      </c>
      <c r="BN1310">
        <v>7</v>
      </c>
      <c r="BO1310">
        <v>7</v>
      </c>
      <c r="BP1310">
        <v>0</v>
      </c>
      <c r="BQ1310" t="str">
        <f>"7:00 AM"</f>
        <v>7:00 AM</v>
      </c>
      <c r="BR1310" t="str">
        <f>"4:00 PM"</f>
        <v>4:00 PM</v>
      </c>
      <c r="BS1310" t="s">
        <v>133</v>
      </c>
      <c r="BT1310">
        <v>0</v>
      </c>
      <c r="BU1310">
        <v>0</v>
      </c>
      <c r="BV1310" t="s">
        <v>134</v>
      </c>
      <c r="BX1310" s="2" t="s">
        <v>12945</v>
      </c>
      <c r="BY1310" t="s">
        <v>9658</v>
      </c>
      <c r="BZ1310" t="s">
        <v>9659</v>
      </c>
      <c r="CA1310" t="s">
        <v>7104</v>
      </c>
      <c r="CB1310" t="s">
        <v>420</v>
      </c>
      <c r="CC1310" s="4" t="str">
        <f>"84003"</f>
        <v>84003</v>
      </c>
      <c r="CD1310" t="s">
        <v>433</v>
      </c>
      <c r="CE1310" t="s">
        <v>434</v>
      </c>
      <c r="CF1310" s="6">
        <v>13.28</v>
      </c>
      <c r="CH1310" s="6">
        <v>19.920000000000002</v>
      </c>
      <c r="CJ1310" t="s">
        <v>137</v>
      </c>
      <c r="CK1310" t="s">
        <v>12946</v>
      </c>
      <c r="CL1310" t="s">
        <v>9661</v>
      </c>
      <c r="CO1310" t="s">
        <v>138</v>
      </c>
      <c r="CP1310" t="s">
        <v>134</v>
      </c>
      <c r="CQ1310" t="s">
        <v>114</v>
      </c>
      <c r="CR1310" t="s">
        <v>114</v>
      </c>
      <c r="CS1310" t="s">
        <v>114</v>
      </c>
      <c r="CT1310" t="s">
        <v>114</v>
      </c>
      <c r="CU1310" t="s">
        <v>134</v>
      </c>
      <c r="CV1310" t="s">
        <v>12947</v>
      </c>
      <c r="CW1310" s="5" t="str">
        <f>"+18017013535"</f>
        <v>+18017013535</v>
      </c>
      <c r="CX1310" t="s">
        <v>7105</v>
      </c>
      <c r="CY1310" t="s">
        <v>138</v>
      </c>
      <c r="CZ1310" t="s">
        <v>139</v>
      </c>
      <c r="DA1310" t="s">
        <v>134</v>
      </c>
      <c r="DB1310" t="s">
        <v>134</v>
      </c>
      <c r="DC1310" t="s">
        <v>114</v>
      </c>
      <c r="DD1310" t="s">
        <v>134</v>
      </c>
    </row>
    <row r="1311" spans="1:113" ht="15" customHeight="1" x14ac:dyDescent="0.25">
      <c r="A1311" t="s">
        <v>3764</v>
      </c>
      <c r="B1311" t="s">
        <v>113</v>
      </c>
      <c r="C1311" s="1">
        <v>44778.64200104167</v>
      </c>
      <c r="D1311" s="1">
        <v>44837</v>
      </c>
      <c r="E1311" t="s">
        <v>134</v>
      </c>
      <c r="F1311" t="s">
        <v>1834</v>
      </c>
      <c r="G1311" t="str">
        <f>"51-3011.00"</f>
        <v>51-3011.00</v>
      </c>
      <c r="H1311" t="s">
        <v>3223</v>
      </c>
      <c r="I1311">
        <v>8</v>
      </c>
      <c r="K1311" s="1">
        <v>44853</v>
      </c>
      <c r="L1311" s="1">
        <v>45046</v>
      </c>
      <c r="O1311" t="s">
        <v>199</v>
      </c>
      <c r="P1311" t="s">
        <v>3765</v>
      </c>
      <c r="Q1311" t="s">
        <v>3766</v>
      </c>
      <c r="R1311" t="s">
        <v>3767</v>
      </c>
      <c r="T1311" t="s">
        <v>2004</v>
      </c>
      <c r="U1311" t="s">
        <v>184</v>
      </c>
      <c r="V1311" s="4" t="str">
        <f>"60630"</f>
        <v>60630</v>
      </c>
      <c r="W1311" t="s">
        <v>120</v>
      </c>
      <c r="Y1311" s="5">
        <v>17732834430</v>
      </c>
      <c r="AA1311">
        <v>311812</v>
      </c>
      <c r="AB1311" t="s">
        <v>3768</v>
      </c>
      <c r="AC1311" t="s">
        <v>2380</v>
      </c>
      <c r="AE1311" t="s">
        <v>1855</v>
      </c>
      <c r="AF1311" t="s">
        <v>3767</v>
      </c>
      <c r="AH1311" t="s">
        <v>2004</v>
      </c>
      <c r="AI1311" t="s">
        <v>184</v>
      </c>
      <c r="AJ1311" s="4" t="str">
        <f>"60630"</f>
        <v>60630</v>
      </c>
      <c r="AK1311" t="s">
        <v>120</v>
      </c>
      <c r="AM1311" s="5">
        <v>17732834430</v>
      </c>
      <c r="AO1311" t="s">
        <v>3769</v>
      </c>
      <c r="AP1311" t="s">
        <v>122</v>
      </c>
      <c r="AQ1311" t="s">
        <v>3603</v>
      </c>
      <c r="AR1311" t="s">
        <v>2534</v>
      </c>
      <c r="AS1311" t="s">
        <v>2026</v>
      </c>
      <c r="AT1311" t="s">
        <v>3770</v>
      </c>
      <c r="AU1311" t="s">
        <v>3771</v>
      </c>
      <c r="AV1311" t="s">
        <v>2004</v>
      </c>
      <c r="AW1311" t="s">
        <v>184</v>
      </c>
      <c r="AX1311" s="4" t="str">
        <f>"60641"</f>
        <v>60641</v>
      </c>
      <c r="AY1311" t="s">
        <v>120</v>
      </c>
      <c r="BA1311" s="5">
        <v>17737751717</v>
      </c>
      <c r="BC1311" t="s">
        <v>3772</v>
      </c>
      <c r="BD1311" t="s">
        <v>3607</v>
      </c>
      <c r="BE1311" t="s">
        <v>1414</v>
      </c>
      <c r="BF1311" t="s">
        <v>1415</v>
      </c>
      <c r="BG1311" t="s">
        <v>184</v>
      </c>
      <c r="BH1311" s="1">
        <v>44741.833333333336</v>
      </c>
      <c r="BI1311">
        <v>40</v>
      </c>
      <c r="BJ1311">
        <v>0</v>
      </c>
      <c r="BK1311">
        <v>8</v>
      </c>
      <c r="BL1311">
        <v>8</v>
      </c>
      <c r="BM1311">
        <v>8</v>
      </c>
      <c r="BN1311">
        <v>8</v>
      </c>
      <c r="BO1311">
        <v>8</v>
      </c>
      <c r="BP1311">
        <v>0</v>
      </c>
      <c r="BQ1311" t="str">
        <f>"9:00 AM"</f>
        <v>9:00 AM</v>
      </c>
      <c r="BR1311" t="str">
        <f>"5:00 PM"</f>
        <v>5:00 PM</v>
      </c>
      <c r="BS1311" t="s">
        <v>133</v>
      </c>
      <c r="BT1311">
        <v>0</v>
      </c>
      <c r="BU1311">
        <v>3</v>
      </c>
      <c r="BV1311" t="s">
        <v>134</v>
      </c>
      <c r="BX1311" t="s">
        <v>133</v>
      </c>
      <c r="BY1311" t="s">
        <v>3767</v>
      </c>
      <c r="CA1311" t="s">
        <v>2004</v>
      </c>
      <c r="CB1311" t="s">
        <v>184</v>
      </c>
      <c r="CC1311" s="4" t="str">
        <f>"60630"</f>
        <v>60630</v>
      </c>
      <c r="CD1311" t="s">
        <v>1595</v>
      </c>
      <c r="CE1311" t="s">
        <v>1556</v>
      </c>
      <c r="CF1311" s="6">
        <v>15.84</v>
      </c>
      <c r="CJ1311" t="s">
        <v>137</v>
      </c>
      <c r="CL1311" t="s">
        <v>3773</v>
      </c>
      <c r="CO1311" t="s">
        <v>138</v>
      </c>
      <c r="CP1311" t="s">
        <v>134</v>
      </c>
      <c r="CQ1311" t="s">
        <v>134</v>
      </c>
      <c r="CR1311" t="s">
        <v>134</v>
      </c>
      <c r="CS1311" t="s">
        <v>134</v>
      </c>
      <c r="CT1311" t="s">
        <v>114</v>
      </c>
      <c r="CU1311" t="s">
        <v>134</v>
      </c>
      <c r="CV1311" t="s">
        <v>3774</v>
      </c>
      <c r="CW1311" s="5" t="str">
        <f>"+17732834430"</f>
        <v>+17732834430</v>
      </c>
      <c r="CX1311" t="s">
        <v>3775</v>
      </c>
      <c r="CY1311" t="s">
        <v>138</v>
      </c>
      <c r="CZ1311" t="s">
        <v>139</v>
      </c>
      <c r="DA1311" t="s">
        <v>134</v>
      </c>
      <c r="DB1311" t="s">
        <v>134</v>
      </c>
      <c r="DC1311" t="s">
        <v>114</v>
      </c>
      <c r="DD1311" t="s">
        <v>134</v>
      </c>
    </row>
    <row r="1312" spans="1:113" ht="15" customHeight="1" x14ac:dyDescent="0.25">
      <c r="A1312" t="s">
        <v>3596</v>
      </c>
      <c r="B1312" t="s">
        <v>113</v>
      </c>
      <c r="C1312" s="1">
        <v>44768.589617245372</v>
      </c>
      <c r="D1312" s="1">
        <v>44837</v>
      </c>
      <c r="E1312" t="s">
        <v>134</v>
      </c>
      <c r="F1312" t="s">
        <v>1331</v>
      </c>
      <c r="G1312" t="str">
        <f>"35-2014.00"</f>
        <v>35-2014.00</v>
      </c>
      <c r="H1312" t="s">
        <v>915</v>
      </c>
      <c r="I1312">
        <v>10</v>
      </c>
      <c r="K1312" s="1">
        <v>44843</v>
      </c>
      <c r="L1312" s="1">
        <v>45046</v>
      </c>
      <c r="O1312" t="s">
        <v>199</v>
      </c>
      <c r="P1312" t="s">
        <v>3597</v>
      </c>
      <c r="Q1312" t="s">
        <v>3598</v>
      </c>
      <c r="R1312" t="s">
        <v>3599</v>
      </c>
      <c r="T1312" t="s">
        <v>2654</v>
      </c>
      <c r="U1312" t="s">
        <v>1147</v>
      </c>
      <c r="V1312" s="4" t="str">
        <f>"53204"</f>
        <v>53204</v>
      </c>
      <c r="W1312" t="s">
        <v>120</v>
      </c>
      <c r="Y1312" s="5">
        <v>14144695728</v>
      </c>
      <c r="AA1312">
        <v>722511</v>
      </c>
      <c r="AB1312" t="s">
        <v>3600</v>
      </c>
      <c r="AC1312" t="s">
        <v>3601</v>
      </c>
      <c r="AE1312" t="s">
        <v>1855</v>
      </c>
      <c r="AF1312" t="s">
        <v>3599</v>
      </c>
      <c r="AH1312" t="s">
        <v>2654</v>
      </c>
      <c r="AI1312" t="s">
        <v>1147</v>
      </c>
      <c r="AJ1312" s="4" t="str">
        <f>"53204"</f>
        <v>53204</v>
      </c>
      <c r="AK1312" t="s">
        <v>120</v>
      </c>
      <c r="AM1312" s="5">
        <v>14144695728</v>
      </c>
      <c r="AO1312" t="s">
        <v>3602</v>
      </c>
      <c r="AP1312" t="s">
        <v>122</v>
      </c>
      <c r="AQ1312" t="s">
        <v>3603</v>
      </c>
      <c r="AR1312" t="s">
        <v>2534</v>
      </c>
      <c r="AS1312" t="s">
        <v>2026</v>
      </c>
      <c r="AT1312" t="s">
        <v>3604</v>
      </c>
      <c r="AU1312" t="s">
        <v>3605</v>
      </c>
      <c r="AV1312" t="s">
        <v>2004</v>
      </c>
      <c r="AW1312" t="s">
        <v>184</v>
      </c>
      <c r="AX1312" s="4" t="str">
        <f>"60641"</f>
        <v>60641</v>
      </c>
      <c r="AY1312" t="s">
        <v>120</v>
      </c>
      <c r="BA1312" s="5">
        <v>17737751717</v>
      </c>
      <c r="BC1312" t="s">
        <v>3606</v>
      </c>
      <c r="BD1312" t="s">
        <v>3607</v>
      </c>
      <c r="BE1312" t="s">
        <v>1414</v>
      </c>
      <c r="BF1312" t="s">
        <v>3608</v>
      </c>
      <c r="BG1312" t="s">
        <v>1147</v>
      </c>
      <c r="BH1312" s="1">
        <v>44767.833333333336</v>
      </c>
      <c r="BI1312">
        <v>40</v>
      </c>
      <c r="BJ1312">
        <v>0</v>
      </c>
      <c r="BK1312">
        <v>8</v>
      </c>
      <c r="BL1312">
        <v>8</v>
      </c>
      <c r="BM1312">
        <v>8</v>
      </c>
      <c r="BN1312">
        <v>8</v>
      </c>
      <c r="BO1312">
        <v>8</v>
      </c>
      <c r="BP1312">
        <v>0</v>
      </c>
      <c r="BQ1312" t="str">
        <f>"9:00 AM"</f>
        <v>9:00 AM</v>
      </c>
      <c r="BR1312" t="str">
        <f>"5:00 PM"</f>
        <v>5:00 PM</v>
      </c>
      <c r="BS1312" t="s">
        <v>133</v>
      </c>
      <c r="BT1312">
        <v>0</v>
      </c>
      <c r="BU1312">
        <v>3</v>
      </c>
      <c r="BV1312" t="s">
        <v>134</v>
      </c>
      <c r="BX1312" t="s">
        <v>133</v>
      </c>
      <c r="BY1312" t="s">
        <v>3599</v>
      </c>
      <c r="CA1312" t="s">
        <v>2654</v>
      </c>
      <c r="CB1312" t="s">
        <v>1147</v>
      </c>
      <c r="CC1312" s="4" t="str">
        <f>"53204"</f>
        <v>53204</v>
      </c>
      <c r="CD1312" t="s">
        <v>2655</v>
      </c>
      <c r="CE1312" t="s">
        <v>2656</v>
      </c>
      <c r="CF1312" s="6">
        <v>14.8</v>
      </c>
      <c r="CJ1312" t="s">
        <v>137</v>
      </c>
      <c r="CL1312" t="s">
        <v>3609</v>
      </c>
      <c r="CO1312" t="s">
        <v>138</v>
      </c>
      <c r="CP1312" t="s">
        <v>134</v>
      </c>
      <c r="CQ1312" t="s">
        <v>134</v>
      </c>
      <c r="CR1312" t="s">
        <v>134</v>
      </c>
      <c r="CS1312" t="s">
        <v>134</v>
      </c>
      <c r="CT1312" t="s">
        <v>114</v>
      </c>
      <c r="CU1312" t="s">
        <v>134</v>
      </c>
      <c r="CV1312" t="s">
        <v>3610</v>
      </c>
      <c r="CW1312" s="5" t="str">
        <f>"+14144695728"</f>
        <v>+14144695728</v>
      </c>
      <c r="CX1312" t="s">
        <v>3602</v>
      </c>
      <c r="CY1312" t="s">
        <v>138</v>
      </c>
      <c r="CZ1312" t="s">
        <v>139</v>
      </c>
      <c r="DA1312" t="s">
        <v>134</v>
      </c>
      <c r="DB1312" t="s">
        <v>134</v>
      </c>
      <c r="DC1312" t="s">
        <v>114</v>
      </c>
      <c r="DD1312" t="s">
        <v>134</v>
      </c>
    </row>
    <row r="1313" spans="1:113" ht="15" customHeight="1" x14ac:dyDescent="0.25">
      <c r="A1313" t="s">
        <v>5522</v>
      </c>
      <c r="B1313" t="s">
        <v>523</v>
      </c>
      <c r="C1313" s="1">
        <v>44900.556465162037</v>
      </c>
      <c r="D1313" s="1">
        <v>44925</v>
      </c>
      <c r="E1313" t="s">
        <v>134</v>
      </c>
      <c r="F1313" t="s">
        <v>334</v>
      </c>
      <c r="G1313" t="str">
        <f>"37-3011.00"</f>
        <v>37-3011.00</v>
      </c>
      <c r="H1313" t="s">
        <v>335</v>
      </c>
      <c r="I1313">
        <v>36</v>
      </c>
      <c r="J1313">
        <v>33</v>
      </c>
      <c r="K1313" s="1">
        <v>44986</v>
      </c>
      <c r="L1313" s="1">
        <v>45230</v>
      </c>
      <c r="M1313" s="1">
        <v>44986</v>
      </c>
      <c r="N1313" s="1">
        <v>45230</v>
      </c>
      <c r="O1313" t="s">
        <v>199</v>
      </c>
      <c r="P1313" t="s">
        <v>5523</v>
      </c>
      <c r="R1313" t="s">
        <v>5524</v>
      </c>
      <c r="T1313" t="s">
        <v>3506</v>
      </c>
      <c r="U1313" t="s">
        <v>181</v>
      </c>
      <c r="V1313" s="4" t="str">
        <f>"80110"</f>
        <v>80110</v>
      </c>
      <c r="W1313" t="s">
        <v>120</v>
      </c>
      <c r="Y1313" s="5">
        <v>13037106550</v>
      </c>
      <c r="AA1313">
        <v>56173</v>
      </c>
      <c r="AB1313" t="s">
        <v>5525</v>
      </c>
      <c r="AC1313" t="s">
        <v>1980</v>
      </c>
      <c r="AE1313" t="s">
        <v>1567</v>
      </c>
      <c r="AF1313" t="s">
        <v>5524</v>
      </c>
      <c r="AH1313" t="s">
        <v>3506</v>
      </c>
      <c r="AI1313" t="s">
        <v>181</v>
      </c>
      <c r="AJ1313" s="4" t="str">
        <f>"80134"</f>
        <v>80134</v>
      </c>
      <c r="AK1313" t="s">
        <v>120</v>
      </c>
      <c r="AM1313" s="5">
        <v>13037106550</v>
      </c>
      <c r="AO1313" t="s">
        <v>5526</v>
      </c>
      <c r="AP1313" t="s">
        <v>256</v>
      </c>
      <c r="AQ1313" t="s">
        <v>826</v>
      </c>
      <c r="AR1313" t="s">
        <v>827</v>
      </c>
      <c r="AS1313" t="s">
        <v>138</v>
      </c>
      <c r="AT1313" t="s">
        <v>346</v>
      </c>
      <c r="AU1313" t="s">
        <v>347</v>
      </c>
      <c r="AV1313" t="s">
        <v>828</v>
      </c>
      <c r="AW1313" t="s">
        <v>349</v>
      </c>
      <c r="AX1313" s="4" t="str">
        <f>"83814"</f>
        <v>83814</v>
      </c>
      <c r="AY1313" t="s">
        <v>120</v>
      </c>
      <c r="BA1313" s="5">
        <v>12087772654</v>
      </c>
      <c r="BC1313" t="s">
        <v>829</v>
      </c>
      <c r="BD1313" t="s">
        <v>351</v>
      </c>
      <c r="BG1313" t="s">
        <v>181</v>
      </c>
      <c r="BH1313" s="1">
        <v>44899.791666666664</v>
      </c>
      <c r="BI1313">
        <v>40</v>
      </c>
      <c r="BJ1313">
        <v>0</v>
      </c>
      <c r="BK1313">
        <v>8</v>
      </c>
      <c r="BL1313">
        <v>8</v>
      </c>
      <c r="BM1313">
        <v>8</v>
      </c>
      <c r="BN1313">
        <v>8</v>
      </c>
      <c r="BO1313">
        <v>8</v>
      </c>
      <c r="BP1313">
        <v>0</v>
      </c>
      <c r="BQ1313" t="str">
        <f>"6:00 AM"</f>
        <v>6:00 AM</v>
      </c>
      <c r="BR1313" t="str">
        <f>"4:30 PM"</f>
        <v>4:30 PM</v>
      </c>
      <c r="BS1313" t="s">
        <v>133</v>
      </c>
      <c r="BT1313">
        <v>0</v>
      </c>
      <c r="BU1313">
        <v>0</v>
      </c>
      <c r="BV1313" t="s">
        <v>134</v>
      </c>
      <c r="BX1313" s="2" t="s">
        <v>1836</v>
      </c>
      <c r="BY1313" t="s">
        <v>5527</v>
      </c>
      <c r="CA1313" t="s">
        <v>3506</v>
      </c>
      <c r="CB1313" t="s">
        <v>181</v>
      </c>
      <c r="CC1313" s="4" t="str">
        <f>"80110"</f>
        <v>80110</v>
      </c>
      <c r="CD1313" t="s">
        <v>2443</v>
      </c>
      <c r="CE1313" t="s">
        <v>1610</v>
      </c>
      <c r="CF1313" s="6">
        <v>19.22</v>
      </c>
      <c r="CH1313" s="6">
        <v>28.83</v>
      </c>
      <c r="CJ1313" t="s">
        <v>137</v>
      </c>
      <c r="CK1313" t="s">
        <v>1802</v>
      </c>
      <c r="CL1313" t="s">
        <v>5528</v>
      </c>
      <c r="CO1313" t="s">
        <v>138</v>
      </c>
      <c r="CP1313" t="s">
        <v>114</v>
      </c>
      <c r="CQ1313" t="s">
        <v>114</v>
      </c>
      <c r="CR1313" t="s">
        <v>114</v>
      </c>
      <c r="CS1313" t="s">
        <v>114</v>
      </c>
      <c r="CT1313" t="s">
        <v>114</v>
      </c>
      <c r="CU1313" t="s">
        <v>114</v>
      </c>
      <c r="CV1313" t="s">
        <v>358</v>
      </c>
      <c r="CW1313" s="5" t="str">
        <f>"+13037106550"</f>
        <v>+13037106550</v>
      </c>
      <c r="CX1313" t="s">
        <v>5529</v>
      </c>
      <c r="CY1313" t="s">
        <v>138</v>
      </c>
      <c r="CZ1313" t="s">
        <v>139</v>
      </c>
      <c r="DA1313" t="s">
        <v>134</v>
      </c>
      <c r="DB1313" t="s">
        <v>114</v>
      </c>
      <c r="DC1313" t="s">
        <v>114</v>
      </c>
      <c r="DD1313" t="s">
        <v>134</v>
      </c>
    </row>
    <row r="1314" spans="1:113" ht="15" customHeight="1" x14ac:dyDescent="0.25">
      <c r="A1314" t="s">
        <v>15995</v>
      </c>
      <c r="B1314" t="s">
        <v>523</v>
      </c>
      <c r="C1314" s="1">
        <v>44882.502071180556</v>
      </c>
      <c r="D1314" s="1">
        <v>44914</v>
      </c>
      <c r="E1314" t="s">
        <v>134</v>
      </c>
      <c r="F1314" t="s">
        <v>334</v>
      </c>
      <c r="G1314" t="str">
        <f>"37-3011.00"</f>
        <v>37-3011.00</v>
      </c>
      <c r="H1314" t="s">
        <v>335</v>
      </c>
      <c r="I1314">
        <v>20</v>
      </c>
      <c r="J1314">
        <v>19</v>
      </c>
      <c r="K1314" s="1">
        <v>44972</v>
      </c>
      <c r="L1314" s="1">
        <v>45275</v>
      </c>
      <c r="M1314" s="1">
        <v>44972</v>
      </c>
      <c r="N1314" s="1">
        <v>45275</v>
      </c>
      <c r="O1314" t="s">
        <v>117</v>
      </c>
      <c r="P1314" t="s">
        <v>15996</v>
      </c>
      <c r="R1314" t="s">
        <v>15997</v>
      </c>
      <c r="S1314" t="s">
        <v>15998</v>
      </c>
      <c r="T1314" t="s">
        <v>8855</v>
      </c>
      <c r="U1314" t="s">
        <v>129</v>
      </c>
      <c r="V1314" s="4" t="str">
        <f>"30101"</f>
        <v>30101</v>
      </c>
      <c r="W1314" t="s">
        <v>120</v>
      </c>
      <c r="Y1314" s="5">
        <v>16785474008</v>
      </c>
      <c r="AA1314">
        <v>5617</v>
      </c>
      <c r="AB1314" t="s">
        <v>2089</v>
      </c>
      <c r="AC1314" t="s">
        <v>1676</v>
      </c>
      <c r="AD1314" t="s">
        <v>2271</v>
      </c>
      <c r="AE1314" t="s">
        <v>424</v>
      </c>
      <c r="AF1314" t="s">
        <v>15997</v>
      </c>
      <c r="AG1314" t="s">
        <v>15998</v>
      </c>
      <c r="AH1314" t="s">
        <v>8855</v>
      </c>
      <c r="AI1314" t="s">
        <v>129</v>
      </c>
      <c r="AJ1314" s="4" t="str">
        <f>"30101"</f>
        <v>30101</v>
      </c>
      <c r="AK1314" t="s">
        <v>120</v>
      </c>
      <c r="AM1314" s="5">
        <v>16785744008</v>
      </c>
      <c r="AO1314" t="s">
        <v>15999</v>
      </c>
      <c r="AP1314" t="s">
        <v>256</v>
      </c>
      <c r="AQ1314" t="s">
        <v>1731</v>
      </c>
      <c r="AR1314" t="s">
        <v>1732</v>
      </c>
      <c r="AS1314" t="s">
        <v>1733</v>
      </c>
      <c r="AT1314" t="s">
        <v>1734</v>
      </c>
      <c r="AU1314" t="s">
        <v>1735</v>
      </c>
      <c r="AV1314" t="s">
        <v>1736</v>
      </c>
      <c r="AW1314" t="s">
        <v>479</v>
      </c>
      <c r="AX1314" s="4" t="str">
        <f>"24521"</f>
        <v>24521</v>
      </c>
      <c r="AY1314" t="s">
        <v>120</v>
      </c>
      <c r="AZ1314" t="s">
        <v>2983</v>
      </c>
      <c r="BA1314" s="5">
        <v>14349460035</v>
      </c>
      <c r="BB1314">
        <v>11</v>
      </c>
      <c r="BC1314" t="s">
        <v>1737</v>
      </c>
      <c r="BD1314" t="s">
        <v>1738</v>
      </c>
      <c r="BG1314" t="s">
        <v>129</v>
      </c>
      <c r="BH1314" s="1">
        <v>44880.791666666664</v>
      </c>
      <c r="BI1314">
        <v>40</v>
      </c>
      <c r="BJ1314">
        <v>0</v>
      </c>
      <c r="BK1314">
        <v>10</v>
      </c>
      <c r="BL1314">
        <v>10</v>
      </c>
      <c r="BM1314">
        <v>10</v>
      </c>
      <c r="BN1314">
        <v>10</v>
      </c>
      <c r="BO1314">
        <v>0</v>
      </c>
      <c r="BP1314">
        <v>0</v>
      </c>
      <c r="BQ1314" t="str">
        <f>"6:45 AM"</f>
        <v>6:45 AM</v>
      </c>
      <c r="BR1314" t="str">
        <f>"5:30 PM"</f>
        <v>5:30 PM</v>
      </c>
      <c r="BS1314" t="s">
        <v>133</v>
      </c>
      <c r="BT1314">
        <v>0</v>
      </c>
      <c r="BU1314">
        <v>0</v>
      </c>
      <c r="BV1314" t="s">
        <v>134</v>
      </c>
      <c r="BX1314" s="2" t="s">
        <v>13367</v>
      </c>
      <c r="BY1314" t="s">
        <v>15997</v>
      </c>
      <c r="CA1314" t="s">
        <v>8855</v>
      </c>
      <c r="CB1314" t="s">
        <v>129</v>
      </c>
      <c r="CC1314" s="4" t="str">
        <f>"30101"</f>
        <v>30101</v>
      </c>
      <c r="CD1314" t="s">
        <v>1540</v>
      </c>
      <c r="CE1314" t="s">
        <v>908</v>
      </c>
      <c r="CF1314" s="6">
        <v>16.45</v>
      </c>
      <c r="CG1314" s="6">
        <v>16.45</v>
      </c>
      <c r="CH1314" s="6">
        <v>24.68</v>
      </c>
      <c r="CI1314" s="6">
        <v>24.68</v>
      </c>
      <c r="CJ1314" t="s">
        <v>137</v>
      </c>
      <c r="CK1314" t="s">
        <v>2162</v>
      </c>
      <c r="CL1314" t="s">
        <v>16000</v>
      </c>
      <c r="CO1314" t="s">
        <v>138</v>
      </c>
      <c r="CP1314" t="s">
        <v>114</v>
      </c>
      <c r="CQ1314" t="s">
        <v>114</v>
      </c>
      <c r="CR1314" t="s">
        <v>114</v>
      </c>
      <c r="CS1314" t="s">
        <v>114</v>
      </c>
      <c r="CT1314" t="s">
        <v>114</v>
      </c>
      <c r="CU1314" t="s">
        <v>114</v>
      </c>
      <c r="CV1314" t="s">
        <v>16001</v>
      </c>
      <c r="CW1314" s="5" t="str">
        <f>"+14049046573"</f>
        <v>+14049046573</v>
      </c>
      <c r="CX1314" t="s">
        <v>15999</v>
      </c>
      <c r="CY1314" t="s">
        <v>138</v>
      </c>
      <c r="CZ1314" t="s">
        <v>139</v>
      </c>
      <c r="DA1314" t="s">
        <v>134</v>
      </c>
      <c r="DB1314" t="s">
        <v>114</v>
      </c>
      <c r="DC1314" t="s">
        <v>114</v>
      </c>
      <c r="DD1314" t="s">
        <v>134</v>
      </c>
    </row>
    <row r="1315" spans="1:113" ht="15" customHeight="1" x14ac:dyDescent="0.25">
      <c r="A1315" t="s">
        <v>14969</v>
      </c>
      <c r="B1315" t="s">
        <v>523</v>
      </c>
      <c r="C1315" s="1">
        <v>44883.598799189815</v>
      </c>
      <c r="D1315" s="1">
        <v>44910</v>
      </c>
      <c r="E1315" t="s">
        <v>114</v>
      </c>
      <c r="F1315" t="s">
        <v>1747</v>
      </c>
      <c r="G1315" t="str">
        <f>"37-3011.00"</f>
        <v>37-3011.00</v>
      </c>
      <c r="H1315" t="s">
        <v>335</v>
      </c>
      <c r="I1315">
        <v>14</v>
      </c>
      <c r="J1315">
        <v>13</v>
      </c>
      <c r="K1315" s="1">
        <v>44972</v>
      </c>
      <c r="L1315" s="1">
        <v>45031</v>
      </c>
      <c r="M1315" s="1">
        <v>44972</v>
      </c>
      <c r="N1315" s="1">
        <v>45031</v>
      </c>
      <c r="O1315" t="s">
        <v>199</v>
      </c>
      <c r="P1315" t="s">
        <v>1748</v>
      </c>
      <c r="R1315" t="s">
        <v>1749</v>
      </c>
      <c r="T1315" t="s">
        <v>1190</v>
      </c>
      <c r="U1315" t="s">
        <v>1750</v>
      </c>
      <c r="V1315" s="4" t="str">
        <f>"68512"</f>
        <v>68512</v>
      </c>
      <c r="W1315" t="s">
        <v>120</v>
      </c>
      <c r="Y1315" s="5">
        <v>14024236653</v>
      </c>
      <c r="AA1315">
        <v>237990</v>
      </c>
      <c r="AB1315" t="s">
        <v>1751</v>
      </c>
      <c r="AC1315" t="s">
        <v>1752</v>
      </c>
      <c r="AE1315" t="s">
        <v>1753</v>
      </c>
      <c r="AF1315" t="s">
        <v>1749</v>
      </c>
      <c r="AH1315" t="s">
        <v>1190</v>
      </c>
      <c r="AI1315" t="s">
        <v>1750</v>
      </c>
      <c r="AJ1315" s="4" t="str">
        <f>"68512"</f>
        <v>68512</v>
      </c>
      <c r="AK1315" t="s">
        <v>120</v>
      </c>
      <c r="AM1315" s="5">
        <v>14024236653</v>
      </c>
      <c r="AO1315" t="s">
        <v>1754</v>
      </c>
      <c r="AP1315" t="s">
        <v>122</v>
      </c>
      <c r="AQ1315" t="s">
        <v>1755</v>
      </c>
      <c r="AR1315" t="s">
        <v>1682</v>
      </c>
      <c r="AS1315" t="s">
        <v>1756</v>
      </c>
      <c r="AT1315" t="s">
        <v>1757</v>
      </c>
      <c r="AU1315" t="s">
        <v>1758</v>
      </c>
      <c r="AV1315" t="s">
        <v>1759</v>
      </c>
      <c r="AW1315" t="s">
        <v>232</v>
      </c>
      <c r="AX1315" s="4" t="str">
        <f>"75234"</f>
        <v>75234</v>
      </c>
      <c r="AY1315" t="s">
        <v>120</v>
      </c>
      <c r="BA1315" s="5">
        <v>19722416445</v>
      </c>
      <c r="BC1315" t="s">
        <v>1760</v>
      </c>
      <c r="BD1315" t="s">
        <v>1761</v>
      </c>
      <c r="BE1315" t="s">
        <v>232</v>
      </c>
      <c r="BF1315" t="s">
        <v>870</v>
      </c>
      <c r="BG1315" t="s">
        <v>444</v>
      </c>
      <c r="BH1315" s="1">
        <v>44880.791666666664</v>
      </c>
      <c r="BI1315">
        <v>40</v>
      </c>
      <c r="BJ1315">
        <v>5</v>
      </c>
      <c r="BK1315">
        <v>6</v>
      </c>
      <c r="BL1315">
        <v>6</v>
      </c>
      <c r="BM1315">
        <v>6</v>
      </c>
      <c r="BN1315">
        <v>6</v>
      </c>
      <c r="BO1315">
        <v>6</v>
      </c>
      <c r="BP1315">
        <v>5</v>
      </c>
      <c r="BQ1315" t="str">
        <f>"6:00 AM"</f>
        <v>6:00 AM</v>
      </c>
      <c r="BR1315" t="str">
        <f>"2:30 PM"</f>
        <v>2:30 PM</v>
      </c>
      <c r="BS1315" t="s">
        <v>133</v>
      </c>
      <c r="BT1315">
        <v>0</v>
      </c>
      <c r="BU1315">
        <v>6</v>
      </c>
      <c r="BV1315" t="s">
        <v>134</v>
      </c>
      <c r="BX1315" s="2" t="s">
        <v>2011</v>
      </c>
      <c r="BY1315" t="s">
        <v>10162</v>
      </c>
      <c r="BZ1315" t="s">
        <v>1764</v>
      </c>
      <c r="CA1315" t="s">
        <v>10163</v>
      </c>
      <c r="CB1315" t="s">
        <v>444</v>
      </c>
      <c r="CC1315" s="4" t="str">
        <f>"92037"</f>
        <v>92037</v>
      </c>
      <c r="CD1315" t="s">
        <v>5868</v>
      </c>
      <c r="CE1315" t="s">
        <v>5869</v>
      </c>
      <c r="CF1315" s="6">
        <v>18.39</v>
      </c>
      <c r="CH1315" s="6">
        <v>27.59</v>
      </c>
      <c r="CJ1315" t="s">
        <v>137</v>
      </c>
      <c r="CK1315" t="s">
        <v>1768</v>
      </c>
      <c r="CL1315" t="s">
        <v>14970</v>
      </c>
      <c r="CO1315" t="s">
        <v>138</v>
      </c>
      <c r="CP1315" t="s">
        <v>114</v>
      </c>
      <c r="CQ1315" t="s">
        <v>134</v>
      </c>
      <c r="CR1315" t="s">
        <v>114</v>
      </c>
      <c r="CS1315" t="s">
        <v>134</v>
      </c>
      <c r="CT1315" t="s">
        <v>114</v>
      </c>
      <c r="CU1315" t="s">
        <v>114</v>
      </c>
      <c r="CV1315" t="s">
        <v>1770</v>
      </c>
      <c r="CW1315" s="5" t="str">
        <f>"+18553006690"</f>
        <v>+18553006690</v>
      </c>
      <c r="CX1315" t="s">
        <v>138</v>
      </c>
      <c r="CY1315" t="s">
        <v>1771</v>
      </c>
      <c r="CZ1315" t="s">
        <v>139</v>
      </c>
      <c r="DA1315" t="s">
        <v>134</v>
      </c>
      <c r="DB1315" t="s">
        <v>134</v>
      </c>
      <c r="DC1315" t="s">
        <v>114</v>
      </c>
      <c r="DD1315" t="s">
        <v>134</v>
      </c>
    </row>
    <row r="1316" spans="1:113" ht="15" customHeight="1" x14ac:dyDescent="0.25">
      <c r="A1316" t="s">
        <v>8315</v>
      </c>
      <c r="B1316" t="s">
        <v>523</v>
      </c>
      <c r="C1316" s="1">
        <v>44881.720342708337</v>
      </c>
      <c r="D1316" s="1">
        <v>44904</v>
      </c>
      <c r="E1316" t="s">
        <v>134</v>
      </c>
      <c r="F1316" t="s">
        <v>1248</v>
      </c>
      <c r="G1316" t="str">
        <f>"37-3011.00"</f>
        <v>37-3011.00</v>
      </c>
      <c r="H1316" t="s">
        <v>335</v>
      </c>
      <c r="I1316">
        <v>8</v>
      </c>
      <c r="J1316">
        <v>7</v>
      </c>
      <c r="K1316" s="1">
        <v>44958</v>
      </c>
      <c r="L1316" s="1">
        <v>45260</v>
      </c>
      <c r="M1316" s="1">
        <v>44958</v>
      </c>
      <c r="N1316" s="1">
        <v>45260</v>
      </c>
      <c r="O1316" t="s">
        <v>199</v>
      </c>
      <c r="P1316" t="s">
        <v>8316</v>
      </c>
      <c r="R1316" t="s">
        <v>8317</v>
      </c>
      <c r="T1316" t="s">
        <v>8318</v>
      </c>
      <c r="U1316" t="s">
        <v>657</v>
      </c>
      <c r="V1316" s="4" t="str">
        <f>"37129"</f>
        <v>37129</v>
      </c>
      <c r="W1316" t="s">
        <v>120</v>
      </c>
      <c r="Y1316" s="5">
        <v>16154960705</v>
      </c>
      <c r="AA1316">
        <v>56173</v>
      </c>
      <c r="AB1316" t="s">
        <v>8319</v>
      </c>
      <c r="AC1316" t="s">
        <v>2643</v>
      </c>
      <c r="AE1316" t="s">
        <v>700</v>
      </c>
      <c r="AF1316" t="s">
        <v>8317</v>
      </c>
      <c r="AH1316" t="s">
        <v>8318</v>
      </c>
      <c r="AI1316" t="s">
        <v>657</v>
      </c>
      <c r="AJ1316" s="4" t="str">
        <f>"37129"</f>
        <v>37129</v>
      </c>
      <c r="AK1316" t="s">
        <v>120</v>
      </c>
      <c r="AM1316" s="5">
        <v>16154960705</v>
      </c>
      <c r="AO1316" t="s">
        <v>8320</v>
      </c>
      <c r="AP1316" t="s">
        <v>122</v>
      </c>
      <c r="AQ1316" t="s">
        <v>1250</v>
      </c>
      <c r="AR1316" t="s">
        <v>1251</v>
      </c>
      <c r="AS1316" t="s">
        <v>259</v>
      </c>
      <c r="AT1316" t="s">
        <v>1252</v>
      </c>
      <c r="AV1316" t="s">
        <v>1253</v>
      </c>
      <c r="AW1316" t="s">
        <v>657</v>
      </c>
      <c r="AX1316" s="4" t="str">
        <f>"37110"</f>
        <v>37110</v>
      </c>
      <c r="AY1316" t="s">
        <v>120</v>
      </c>
      <c r="BA1316" s="5">
        <v>19312747811</v>
      </c>
      <c r="BC1316" t="s">
        <v>1254</v>
      </c>
      <c r="BD1316" t="s">
        <v>1255</v>
      </c>
      <c r="BE1316" t="s">
        <v>657</v>
      </c>
      <c r="BF1316" t="s">
        <v>1256</v>
      </c>
      <c r="BG1316" t="s">
        <v>657</v>
      </c>
      <c r="BH1316" s="1">
        <v>44895.791666666664</v>
      </c>
      <c r="BI1316">
        <v>40</v>
      </c>
      <c r="BJ1316">
        <v>0</v>
      </c>
      <c r="BK1316">
        <v>8</v>
      </c>
      <c r="BL1316">
        <v>8</v>
      </c>
      <c r="BM1316">
        <v>8</v>
      </c>
      <c r="BN1316">
        <v>8</v>
      </c>
      <c r="BO1316">
        <v>8</v>
      </c>
      <c r="BP1316">
        <v>0</v>
      </c>
      <c r="BQ1316" t="str">
        <f>"7:00 AM"</f>
        <v>7:00 AM</v>
      </c>
      <c r="BR1316" t="str">
        <f>"4:00 PM"</f>
        <v>4:00 PM</v>
      </c>
      <c r="BS1316" t="s">
        <v>133</v>
      </c>
      <c r="BT1316">
        <v>0</v>
      </c>
      <c r="BU1316">
        <v>3</v>
      </c>
      <c r="BV1316" t="s">
        <v>134</v>
      </c>
      <c r="BX1316" s="2" t="s">
        <v>8321</v>
      </c>
      <c r="BY1316" t="s">
        <v>8317</v>
      </c>
      <c r="CA1316" t="s">
        <v>8318</v>
      </c>
      <c r="CB1316" t="s">
        <v>657</v>
      </c>
      <c r="CC1316" s="4" t="str">
        <f>"37129"</f>
        <v>37129</v>
      </c>
      <c r="CD1316" t="s">
        <v>4449</v>
      </c>
      <c r="CE1316" t="s">
        <v>1667</v>
      </c>
      <c r="CF1316" s="6">
        <v>16.04</v>
      </c>
      <c r="CH1316" s="6">
        <v>24.06</v>
      </c>
      <c r="CJ1316" t="s">
        <v>137</v>
      </c>
      <c r="CL1316" t="s">
        <v>8322</v>
      </c>
      <c r="CO1316" t="s">
        <v>138</v>
      </c>
      <c r="CP1316" t="s">
        <v>114</v>
      </c>
      <c r="CQ1316" t="s">
        <v>114</v>
      </c>
      <c r="CR1316" t="s">
        <v>114</v>
      </c>
      <c r="CS1316" t="s">
        <v>134</v>
      </c>
      <c r="CT1316" t="s">
        <v>114</v>
      </c>
      <c r="CU1316" t="s">
        <v>134</v>
      </c>
      <c r="CV1316" t="s">
        <v>138</v>
      </c>
      <c r="CW1316" s="5" t="str">
        <f>"+16154960705"</f>
        <v>+16154960705</v>
      </c>
      <c r="CX1316" t="s">
        <v>8323</v>
      </c>
      <c r="CY1316" t="s">
        <v>138</v>
      </c>
      <c r="CZ1316" t="s">
        <v>139</v>
      </c>
      <c r="DA1316" t="s">
        <v>134</v>
      </c>
      <c r="DB1316" t="s">
        <v>134</v>
      </c>
      <c r="DC1316" t="s">
        <v>114</v>
      </c>
      <c r="DD1316" t="s">
        <v>134</v>
      </c>
    </row>
    <row r="1317" spans="1:113" ht="15" customHeight="1" x14ac:dyDescent="0.25">
      <c r="A1317" t="s">
        <v>16794</v>
      </c>
      <c r="B1317" t="s">
        <v>523</v>
      </c>
      <c r="C1317" s="1">
        <v>44868.452511111114</v>
      </c>
      <c r="D1317" s="1">
        <v>44902</v>
      </c>
      <c r="E1317" t="s">
        <v>134</v>
      </c>
      <c r="F1317" t="s">
        <v>2320</v>
      </c>
      <c r="G1317" t="str">
        <f>"47-2061.00"</f>
        <v>47-2061.00</v>
      </c>
      <c r="H1317" t="s">
        <v>1625</v>
      </c>
      <c r="I1317">
        <v>17</v>
      </c>
      <c r="J1317">
        <v>16</v>
      </c>
      <c r="K1317" s="1">
        <v>44958</v>
      </c>
      <c r="L1317" s="1">
        <v>45230</v>
      </c>
      <c r="M1317" s="1">
        <v>44958</v>
      </c>
      <c r="N1317" s="1">
        <v>45230</v>
      </c>
      <c r="O1317" t="s">
        <v>117</v>
      </c>
      <c r="P1317" t="s">
        <v>12617</v>
      </c>
      <c r="R1317" t="s">
        <v>12618</v>
      </c>
      <c r="S1317" t="s">
        <v>138</v>
      </c>
      <c r="T1317" t="s">
        <v>12619</v>
      </c>
      <c r="U1317" t="s">
        <v>232</v>
      </c>
      <c r="V1317" s="4" t="str">
        <f>"76528"</f>
        <v>76528</v>
      </c>
      <c r="W1317" t="s">
        <v>120</v>
      </c>
      <c r="Y1317" s="5">
        <v>12542480744</v>
      </c>
      <c r="AA1317">
        <v>238110</v>
      </c>
      <c r="AB1317" t="s">
        <v>12620</v>
      </c>
      <c r="AC1317" t="s">
        <v>10758</v>
      </c>
      <c r="AE1317" t="s">
        <v>1526</v>
      </c>
      <c r="AF1317" t="s">
        <v>12618</v>
      </c>
      <c r="AG1317" t="s">
        <v>138</v>
      </c>
      <c r="AH1317" t="s">
        <v>12619</v>
      </c>
      <c r="AI1317" t="s">
        <v>232</v>
      </c>
      <c r="AJ1317" s="4" t="str">
        <f>"76528"</f>
        <v>76528</v>
      </c>
      <c r="AK1317" t="s">
        <v>120</v>
      </c>
      <c r="AM1317" s="5">
        <v>12542480744</v>
      </c>
      <c r="AO1317" t="s">
        <v>12621</v>
      </c>
      <c r="AP1317" t="s">
        <v>256</v>
      </c>
      <c r="AQ1317" t="s">
        <v>2327</v>
      </c>
      <c r="AR1317" t="s">
        <v>1063</v>
      </c>
      <c r="AS1317" t="s">
        <v>1857</v>
      </c>
      <c r="AT1317" t="s">
        <v>1284</v>
      </c>
      <c r="AU1317" t="s">
        <v>138</v>
      </c>
      <c r="AV1317" t="s">
        <v>1285</v>
      </c>
      <c r="AW1317" t="s">
        <v>232</v>
      </c>
      <c r="AX1317" s="4" t="str">
        <f>"77414"</f>
        <v>77414</v>
      </c>
      <c r="AY1317" t="s">
        <v>120</v>
      </c>
      <c r="BA1317" s="5">
        <v>19793187280</v>
      </c>
      <c r="BC1317" t="s">
        <v>2328</v>
      </c>
      <c r="BD1317" t="s">
        <v>1287</v>
      </c>
      <c r="BG1317" t="s">
        <v>232</v>
      </c>
      <c r="BH1317" s="1">
        <v>44867.833333333336</v>
      </c>
      <c r="BI1317">
        <v>40</v>
      </c>
      <c r="BJ1317">
        <v>0</v>
      </c>
      <c r="BK1317">
        <v>8</v>
      </c>
      <c r="BL1317">
        <v>8</v>
      </c>
      <c r="BM1317">
        <v>8</v>
      </c>
      <c r="BN1317">
        <v>8</v>
      </c>
      <c r="BO1317">
        <v>8</v>
      </c>
      <c r="BP1317">
        <v>0</v>
      </c>
      <c r="BQ1317" t="str">
        <f>"7:00 AM"</f>
        <v>7:00 AM</v>
      </c>
      <c r="BR1317" t="str">
        <f>"5:30 PM"</f>
        <v>5:30 PM</v>
      </c>
      <c r="BS1317" t="s">
        <v>133</v>
      </c>
      <c r="BT1317">
        <v>0</v>
      </c>
      <c r="BU1317">
        <v>0</v>
      </c>
      <c r="BV1317" t="s">
        <v>134</v>
      </c>
      <c r="BX1317" s="2" t="s">
        <v>12622</v>
      </c>
      <c r="BY1317" t="s">
        <v>12618</v>
      </c>
      <c r="BZ1317" t="s">
        <v>138</v>
      </c>
      <c r="CA1317" t="s">
        <v>12619</v>
      </c>
      <c r="CB1317" t="s">
        <v>232</v>
      </c>
      <c r="CC1317" s="4" t="str">
        <f>"76528"</f>
        <v>76528</v>
      </c>
      <c r="CD1317" t="s">
        <v>12623</v>
      </c>
      <c r="CE1317" t="s">
        <v>4241</v>
      </c>
      <c r="CF1317" s="6">
        <v>16.21</v>
      </c>
      <c r="CG1317" s="6">
        <v>18</v>
      </c>
      <c r="CH1317" s="6">
        <v>24.32</v>
      </c>
      <c r="CI1317" s="6">
        <v>27</v>
      </c>
      <c r="CJ1317" t="s">
        <v>137</v>
      </c>
      <c r="CK1317" t="s">
        <v>2461</v>
      </c>
      <c r="CL1317" t="s">
        <v>12624</v>
      </c>
      <c r="CO1317" t="s">
        <v>138</v>
      </c>
      <c r="CP1317" t="s">
        <v>114</v>
      </c>
      <c r="CQ1317" t="s">
        <v>114</v>
      </c>
      <c r="CR1317" t="s">
        <v>114</v>
      </c>
      <c r="CS1317" t="s">
        <v>114</v>
      </c>
      <c r="CT1317" t="s">
        <v>114</v>
      </c>
      <c r="CU1317" t="s">
        <v>134</v>
      </c>
      <c r="CV1317" t="s">
        <v>2360</v>
      </c>
      <c r="CW1317" s="5" t="str">
        <f>"+12542480744"</f>
        <v>+12542480744</v>
      </c>
      <c r="CX1317" t="s">
        <v>12621</v>
      </c>
      <c r="CY1317" t="s">
        <v>138</v>
      </c>
      <c r="CZ1317" t="s">
        <v>139</v>
      </c>
      <c r="DA1317" t="s">
        <v>134</v>
      </c>
      <c r="DB1317" t="s">
        <v>134</v>
      </c>
      <c r="DC1317" t="s">
        <v>114</v>
      </c>
      <c r="DD1317" t="s">
        <v>134</v>
      </c>
    </row>
    <row r="1318" spans="1:113" ht="15" customHeight="1" x14ac:dyDescent="0.25">
      <c r="A1318" t="s">
        <v>9377</v>
      </c>
      <c r="B1318" t="s">
        <v>523</v>
      </c>
      <c r="C1318" s="1">
        <v>44853.646672685187</v>
      </c>
      <c r="D1318" s="1">
        <v>44895</v>
      </c>
      <c r="E1318" t="s">
        <v>134</v>
      </c>
      <c r="F1318" t="s">
        <v>361</v>
      </c>
      <c r="G1318" t="str">
        <f>"39-3091.00"</f>
        <v>39-3091.00</v>
      </c>
      <c r="H1318" t="s">
        <v>362</v>
      </c>
      <c r="I1318">
        <v>38</v>
      </c>
      <c r="J1318">
        <v>37</v>
      </c>
      <c r="K1318" s="1">
        <v>44940</v>
      </c>
      <c r="L1318" s="1">
        <v>45243</v>
      </c>
      <c r="M1318" s="1">
        <v>44940</v>
      </c>
      <c r="N1318" s="1">
        <v>45243</v>
      </c>
      <c r="O1318" t="s">
        <v>199</v>
      </c>
      <c r="P1318" t="s">
        <v>9378</v>
      </c>
      <c r="R1318" t="s">
        <v>9379</v>
      </c>
      <c r="T1318" t="s">
        <v>6991</v>
      </c>
      <c r="U1318" t="s">
        <v>319</v>
      </c>
      <c r="V1318" s="4" t="str">
        <f>"55021"</f>
        <v>55021</v>
      </c>
      <c r="W1318" t="s">
        <v>120</v>
      </c>
      <c r="Y1318" s="5">
        <v>16123251608</v>
      </c>
      <c r="Z1318">
        <v>0</v>
      </c>
      <c r="AA1318">
        <v>7139</v>
      </c>
      <c r="AB1318" t="s">
        <v>5591</v>
      </c>
      <c r="AC1318" t="s">
        <v>1149</v>
      </c>
      <c r="AE1318" t="s">
        <v>342</v>
      </c>
      <c r="AF1318" t="s">
        <v>9379</v>
      </c>
      <c r="AH1318" t="s">
        <v>6991</v>
      </c>
      <c r="AI1318" t="s">
        <v>319</v>
      </c>
      <c r="AJ1318" s="4" t="str">
        <f>"55021"</f>
        <v>55021</v>
      </c>
      <c r="AK1318" t="s">
        <v>120</v>
      </c>
      <c r="AM1318" s="5">
        <v>17722152225</v>
      </c>
      <c r="AN1318">
        <v>0</v>
      </c>
      <c r="AO1318" t="s">
        <v>9380</v>
      </c>
      <c r="AP1318" t="s">
        <v>122</v>
      </c>
      <c r="AQ1318" t="s">
        <v>369</v>
      </c>
      <c r="AR1318" t="s">
        <v>370</v>
      </c>
      <c r="AS1318" t="s">
        <v>371</v>
      </c>
      <c r="AT1318" t="s">
        <v>372</v>
      </c>
      <c r="AU1318" t="s">
        <v>373</v>
      </c>
      <c r="AV1318" t="s">
        <v>374</v>
      </c>
      <c r="AW1318" t="s">
        <v>339</v>
      </c>
      <c r="AX1318" s="4" t="str">
        <f>"21401"</f>
        <v>21401</v>
      </c>
      <c r="AY1318" t="s">
        <v>120</v>
      </c>
      <c r="BA1318" s="5">
        <v>14105739955</v>
      </c>
      <c r="BB1318">
        <v>0</v>
      </c>
      <c r="BC1318" t="s">
        <v>375</v>
      </c>
      <c r="BD1318" t="s">
        <v>376</v>
      </c>
      <c r="BE1318" t="s">
        <v>339</v>
      </c>
      <c r="BF1318" t="s">
        <v>377</v>
      </c>
      <c r="BG1318" t="s">
        <v>214</v>
      </c>
      <c r="BH1318" s="1">
        <v>44845.833333333336</v>
      </c>
      <c r="BI1318">
        <v>35</v>
      </c>
      <c r="BJ1318">
        <v>7</v>
      </c>
      <c r="BK1318">
        <v>0</v>
      </c>
      <c r="BL1318">
        <v>0</v>
      </c>
      <c r="BM1318">
        <v>7</v>
      </c>
      <c r="BN1318">
        <v>7</v>
      </c>
      <c r="BO1318">
        <v>7</v>
      </c>
      <c r="BP1318">
        <v>7</v>
      </c>
      <c r="BQ1318" t="str">
        <f>"4:00 PM"</f>
        <v>4:00 PM</v>
      </c>
      <c r="BR1318" t="str">
        <f>"11:00 PM"</f>
        <v>11:00 PM</v>
      </c>
      <c r="BS1318" t="s">
        <v>133</v>
      </c>
      <c r="BT1318">
        <v>0</v>
      </c>
      <c r="BU1318">
        <v>0</v>
      </c>
      <c r="BV1318" t="s">
        <v>134</v>
      </c>
      <c r="BX1318" t="s">
        <v>9381</v>
      </c>
      <c r="BY1318" t="s">
        <v>9382</v>
      </c>
      <c r="CA1318" t="s">
        <v>9383</v>
      </c>
      <c r="CB1318" t="s">
        <v>214</v>
      </c>
      <c r="CC1318" s="4" t="str">
        <f>"70072"</f>
        <v>70072</v>
      </c>
      <c r="CD1318" t="s">
        <v>1387</v>
      </c>
      <c r="CE1318" t="s">
        <v>2289</v>
      </c>
      <c r="CF1318" s="6">
        <v>9.4600000000000009</v>
      </c>
      <c r="CG1318" s="6">
        <v>13.66</v>
      </c>
      <c r="CH1318" s="6">
        <v>14.19</v>
      </c>
      <c r="CI1318" s="6">
        <v>20.49</v>
      </c>
      <c r="CJ1318" t="s">
        <v>137</v>
      </c>
      <c r="CK1318" t="s">
        <v>9384</v>
      </c>
      <c r="CL1318" t="s">
        <v>9385</v>
      </c>
      <c r="CO1318" t="s">
        <v>138</v>
      </c>
      <c r="CP1318" t="s">
        <v>114</v>
      </c>
      <c r="CQ1318" t="s">
        <v>134</v>
      </c>
      <c r="CR1318" t="s">
        <v>114</v>
      </c>
      <c r="CS1318" t="s">
        <v>114</v>
      </c>
      <c r="CT1318" t="s">
        <v>114</v>
      </c>
      <c r="CU1318" t="s">
        <v>114</v>
      </c>
      <c r="CV1318" t="s">
        <v>6922</v>
      </c>
      <c r="CW1318" s="5" t="str">
        <f>"+16123251608"</f>
        <v>+16123251608</v>
      </c>
      <c r="CX1318" t="s">
        <v>138</v>
      </c>
      <c r="CY1318" t="s">
        <v>9386</v>
      </c>
      <c r="CZ1318" t="s">
        <v>139</v>
      </c>
      <c r="DA1318" t="s">
        <v>134</v>
      </c>
      <c r="DB1318" t="s">
        <v>114</v>
      </c>
      <c r="DC1318" t="s">
        <v>114</v>
      </c>
      <c r="DD1318" t="s">
        <v>134</v>
      </c>
    </row>
    <row r="1319" spans="1:113" ht="15" customHeight="1" x14ac:dyDescent="0.25">
      <c r="A1319" t="s">
        <v>913</v>
      </c>
      <c r="B1319" t="s">
        <v>523</v>
      </c>
      <c r="C1319" s="1">
        <v>44823.406309606478</v>
      </c>
      <c r="D1319" s="1">
        <v>44887</v>
      </c>
      <c r="E1319" t="s">
        <v>134</v>
      </c>
      <c r="F1319" t="s">
        <v>914</v>
      </c>
      <c r="G1319" t="str">
        <f>"35-2014.00"</f>
        <v>35-2014.00</v>
      </c>
      <c r="H1319" t="s">
        <v>915</v>
      </c>
      <c r="I1319">
        <v>6</v>
      </c>
      <c r="J1319">
        <v>4</v>
      </c>
      <c r="K1319" s="1">
        <v>44898</v>
      </c>
      <c r="L1319" s="1">
        <v>45032</v>
      </c>
      <c r="M1319" s="1">
        <v>44898</v>
      </c>
      <c r="N1319" s="1">
        <v>45032</v>
      </c>
      <c r="O1319" t="s">
        <v>199</v>
      </c>
      <c r="P1319" t="s">
        <v>916</v>
      </c>
      <c r="R1319" t="s">
        <v>917</v>
      </c>
      <c r="T1319" t="s">
        <v>918</v>
      </c>
      <c r="U1319" t="s">
        <v>420</v>
      </c>
      <c r="V1319" s="4" t="str">
        <f>"84092"</f>
        <v>84092</v>
      </c>
      <c r="W1319" t="s">
        <v>120</v>
      </c>
      <c r="Y1319" s="5">
        <v>18019103882</v>
      </c>
      <c r="AA1319">
        <v>721110</v>
      </c>
      <c r="AB1319" t="s">
        <v>919</v>
      </c>
      <c r="AC1319" t="s">
        <v>920</v>
      </c>
      <c r="AE1319" t="s">
        <v>921</v>
      </c>
      <c r="AF1319" t="s">
        <v>922</v>
      </c>
      <c r="AH1319" t="s">
        <v>918</v>
      </c>
      <c r="AI1319" t="s">
        <v>420</v>
      </c>
      <c r="AJ1319" s="4" t="str">
        <f>"84092"</f>
        <v>84092</v>
      </c>
      <c r="AK1319" t="s">
        <v>120</v>
      </c>
      <c r="AM1319" s="5">
        <v>18017422300</v>
      </c>
      <c r="AN1319">
        <v>4</v>
      </c>
      <c r="AO1319" t="s">
        <v>923</v>
      </c>
      <c r="AP1319" t="s">
        <v>256</v>
      </c>
      <c r="AQ1319" t="s">
        <v>924</v>
      </c>
      <c r="AR1319" t="s">
        <v>925</v>
      </c>
      <c r="AS1319" t="s">
        <v>926</v>
      </c>
      <c r="AT1319" t="s">
        <v>927</v>
      </c>
      <c r="AU1319" t="s">
        <v>928</v>
      </c>
      <c r="AV1319" t="s">
        <v>929</v>
      </c>
      <c r="AW1319" t="s">
        <v>444</v>
      </c>
      <c r="AX1319" s="4" t="str">
        <f>"92118"</f>
        <v>92118</v>
      </c>
      <c r="AY1319" t="s">
        <v>120</v>
      </c>
      <c r="BA1319" s="5">
        <v>17857600601</v>
      </c>
      <c r="BC1319" t="s">
        <v>930</v>
      </c>
      <c r="BD1319" t="s">
        <v>931</v>
      </c>
      <c r="BG1319" t="s">
        <v>420</v>
      </c>
      <c r="BH1319" s="1">
        <v>44818.833333333336</v>
      </c>
      <c r="BI1319">
        <v>40</v>
      </c>
      <c r="BJ1319">
        <v>0</v>
      </c>
      <c r="BK1319">
        <v>8</v>
      </c>
      <c r="BL1319">
        <v>8</v>
      </c>
      <c r="BM1319">
        <v>8</v>
      </c>
      <c r="BN1319">
        <v>8</v>
      </c>
      <c r="BO1319">
        <v>8</v>
      </c>
      <c r="BP1319">
        <v>0</v>
      </c>
      <c r="BQ1319" t="str">
        <f>"6:30 PM"</f>
        <v>6:30 PM</v>
      </c>
      <c r="BR1319" t="str">
        <f>"2:30 PM"</f>
        <v>2:30 PM</v>
      </c>
      <c r="BS1319" t="s">
        <v>133</v>
      </c>
      <c r="BT1319">
        <v>0</v>
      </c>
      <c r="BU1319">
        <v>3</v>
      </c>
      <c r="BV1319" t="s">
        <v>134</v>
      </c>
      <c r="BX1319" s="2" t="s">
        <v>932</v>
      </c>
      <c r="BY1319" t="s">
        <v>933</v>
      </c>
      <c r="CA1319" t="s">
        <v>918</v>
      </c>
      <c r="CB1319" t="s">
        <v>420</v>
      </c>
      <c r="CC1319" s="4" t="str">
        <f>"84092"</f>
        <v>84092</v>
      </c>
      <c r="CD1319" t="s">
        <v>688</v>
      </c>
      <c r="CE1319" t="s">
        <v>689</v>
      </c>
      <c r="CF1319" s="6">
        <v>15.2</v>
      </c>
      <c r="CG1319" s="6">
        <v>15.2</v>
      </c>
      <c r="CH1319" s="6">
        <v>22.8</v>
      </c>
      <c r="CI1319" s="6">
        <v>22.8</v>
      </c>
      <c r="CJ1319" t="s">
        <v>137</v>
      </c>
      <c r="CK1319" t="s">
        <v>934</v>
      </c>
      <c r="CL1319" t="s">
        <v>935</v>
      </c>
      <c r="CO1319" t="s">
        <v>138</v>
      </c>
      <c r="CP1319" t="s">
        <v>134</v>
      </c>
      <c r="CQ1319" t="s">
        <v>134</v>
      </c>
      <c r="CR1319" t="s">
        <v>114</v>
      </c>
      <c r="CS1319" t="s">
        <v>134</v>
      </c>
      <c r="CT1319" t="s">
        <v>114</v>
      </c>
      <c r="CU1319" t="s">
        <v>114</v>
      </c>
      <c r="CV1319" t="s">
        <v>936</v>
      </c>
      <c r="CW1319" s="5" t="str">
        <f>"+18019103882"</f>
        <v>+18019103882</v>
      </c>
      <c r="CX1319" t="s">
        <v>923</v>
      </c>
      <c r="CY1319" t="s">
        <v>138</v>
      </c>
      <c r="CZ1319" t="s">
        <v>139</v>
      </c>
      <c r="DA1319" t="s">
        <v>134</v>
      </c>
      <c r="DB1319" t="s">
        <v>114</v>
      </c>
      <c r="DC1319" t="s">
        <v>114</v>
      </c>
      <c r="DD1319" t="s">
        <v>134</v>
      </c>
    </row>
    <row r="1320" spans="1:113" ht="15" customHeight="1" x14ac:dyDescent="0.25">
      <c r="A1320" t="s">
        <v>16573</v>
      </c>
      <c r="B1320" t="s">
        <v>523</v>
      </c>
      <c r="C1320" s="1">
        <v>44826.659457291666</v>
      </c>
      <c r="D1320" s="1">
        <v>44880</v>
      </c>
      <c r="E1320" t="s">
        <v>134</v>
      </c>
      <c r="F1320" t="s">
        <v>16574</v>
      </c>
      <c r="G1320" t="str">
        <f>"49-9071.00"</f>
        <v>49-9071.00</v>
      </c>
      <c r="H1320" t="s">
        <v>2375</v>
      </c>
      <c r="I1320">
        <v>10</v>
      </c>
      <c r="J1320">
        <v>7</v>
      </c>
      <c r="K1320" s="1">
        <v>44901</v>
      </c>
      <c r="L1320" s="1">
        <v>45046</v>
      </c>
      <c r="M1320" s="1">
        <v>44901</v>
      </c>
      <c r="N1320" s="1">
        <v>45046</v>
      </c>
      <c r="O1320" t="s">
        <v>117</v>
      </c>
      <c r="P1320" t="s">
        <v>5148</v>
      </c>
      <c r="R1320" t="s">
        <v>5149</v>
      </c>
      <c r="T1320" t="s">
        <v>5150</v>
      </c>
      <c r="U1320" t="s">
        <v>1593</v>
      </c>
      <c r="V1320" s="4" t="str">
        <f>"04974"</f>
        <v>04974</v>
      </c>
      <c r="W1320" t="s">
        <v>120</v>
      </c>
      <c r="Y1320" s="5">
        <v>13142808738</v>
      </c>
      <c r="AA1320">
        <v>48811</v>
      </c>
      <c r="AB1320" t="s">
        <v>5151</v>
      </c>
      <c r="AC1320" t="s">
        <v>5152</v>
      </c>
      <c r="AE1320" t="s">
        <v>5153</v>
      </c>
      <c r="AF1320" t="s">
        <v>5149</v>
      </c>
      <c r="AH1320" t="s">
        <v>5150</v>
      </c>
      <c r="AI1320" t="s">
        <v>1593</v>
      </c>
      <c r="AJ1320" s="4" t="str">
        <f>"04974"</f>
        <v>04974</v>
      </c>
      <c r="AK1320" t="s">
        <v>120</v>
      </c>
      <c r="AM1320" s="5">
        <v>13142808738</v>
      </c>
      <c r="AO1320" t="s">
        <v>5154</v>
      </c>
      <c r="AP1320" t="s">
        <v>122</v>
      </c>
      <c r="AQ1320" t="s">
        <v>1867</v>
      </c>
      <c r="AR1320" t="s">
        <v>1868</v>
      </c>
      <c r="AS1320" t="s">
        <v>1869</v>
      </c>
      <c r="AT1320" t="s">
        <v>1870</v>
      </c>
      <c r="AU1320" t="s">
        <v>1871</v>
      </c>
      <c r="AV1320" t="s">
        <v>1872</v>
      </c>
      <c r="AW1320" t="s">
        <v>1003</v>
      </c>
      <c r="AX1320" s="4" t="str">
        <f>"08034"</f>
        <v>08034</v>
      </c>
      <c r="AY1320" t="s">
        <v>120</v>
      </c>
      <c r="AZ1320" t="s">
        <v>1873</v>
      </c>
      <c r="BA1320" s="5">
        <v>18562819750</v>
      </c>
      <c r="BC1320" t="s">
        <v>1874</v>
      </c>
      <c r="BD1320" t="s">
        <v>1875</v>
      </c>
      <c r="BE1320" t="s">
        <v>1003</v>
      </c>
      <c r="BF1320" t="s">
        <v>1876</v>
      </c>
      <c r="BG1320" t="s">
        <v>1593</v>
      </c>
      <c r="BH1320" s="1">
        <v>44825.833333333336</v>
      </c>
      <c r="BI1320">
        <v>40</v>
      </c>
      <c r="BJ1320">
        <v>0</v>
      </c>
      <c r="BK1320">
        <v>8</v>
      </c>
      <c r="BL1320">
        <v>8</v>
      </c>
      <c r="BM1320">
        <v>8</v>
      </c>
      <c r="BN1320">
        <v>8</v>
      </c>
      <c r="BO1320">
        <v>8</v>
      </c>
      <c r="BP1320">
        <v>0</v>
      </c>
      <c r="BQ1320" t="str">
        <f>"7:30 AM"</f>
        <v>7:30 AM</v>
      </c>
      <c r="BR1320" t="str">
        <f>"4:30 PM"</f>
        <v>4:30 PM</v>
      </c>
      <c r="BS1320" t="s">
        <v>133</v>
      </c>
      <c r="BT1320">
        <v>0</v>
      </c>
      <c r="BU1320">
        <v>0</v>
      </c>
      <c r="BV1320" t="s">
        <v>134</v>
      </c>
      <c r="BX1320" t="s">
        <v>5155</v>
      </c>
      <c r="BY1320" t="s">
        <v>5149</v>
      </c>
      <c r="CA1320" t="s">
        <v>16575</v>
      </c>
      <c r="CB1320" t="s">
        <v>1593</v>
      </c>
      <c r="CC1320" s="4" t="str">
        <f>"04974"</f>
        <v>04974</v>
      </c>
      <c r="CD1320" t="s">
        <v>15606</v>
      </c>
      <c r="CE1320" t="s">
        <v>1850</v>
      </c>
      <c r="CF1320" s="6">
        <v>19.82</v>
      </c>
      <c r="CG1320" s="6">
        <v>19.82</v>
      </c>
      <c r="CH1320" s="6">
        <v>29.73</v>
      </c>
      <c r="CI1320" s="6">
        <v>29.73</v>
      </c>
      <c r="CJ1320" t="s">
        <v>137</v>
      </c>
      <c r="CK1320" t="s">
        <v>1878</v>
      </c>
      <c r="CL1320" t="s">
        <v>16576</v>
      </c>
      <c r="CO1320" t="s">
        <v>138</v>
      </c>
      <c r="CP1320" t="s">
        <v>134</v>
      </c>
      <c r="CQ1320" t="s">
        <v>114</v>
      </c>
      <c r="CR1320" t="s">
        <v>114</v>
      </c>
      <c r="CS1320" t="s">
        <v>114</v>
      </c>
      <c r="CT1320" t="s">
        <v>114</v>
      </c>
      <c r="CU1320" t="s">
        <v>114</v>
      </c>
      <c r="CV1320" t="s">
        <v>16577</v>
      </c>
      <c r="CW1320" s="5" t="str">
        <f>"+13142808738"</f>
        <v>+13142808738</v>
      </c>
      <c r="CX1320" t="s">
        <v>5154</v>
      </c>
      <c r="CY1320" t="s">
        <v>138</v>
      </c>
      <c r="CZ1320" t="s">
        <v>139</v>
      </c>
      <c r="DA1320" t="s">
        <v>134</v>
      </c>
      <c r="DB1320" t="s">
        <v>134</v>
      </c>
      <c r="DC1320" t="s">
        <v>114</v>
      </c>
      <c r="DD1320" t="s">
        <v>134</v>
      </c>
    </row>
    <row r="1321" spans="1:113" ht="15" customHeight="1" x14ac:dyDescent="0.25">
      <c r="A1321" t="s">
        <v>5146</v>
      </c>
      <c r="B1321" t="s">
        <v>523</v>
      </c>
      <c r="C1321" s="1">
        <v>44826.654579745373</v>
      </c>
      <c r="D1321" s="1">
        <v>44880</v>
      </c>
      <c r="E1321" t="s">
        <v>134</v>
      </c>
      <c r="F1321" t="s">
        <v>5147</v>
      </c>
      <c r="G1321" t="str">
        <f>"35-2014.00"</f>
        <v>35-2014.00</v>
      </c>
      <c r="H1321" t="s">
        <v>915</v>
      </c>
      <c r="I1321">
        <v>5</v>
      </c>
      <c r="J1321">
        <v>4</v>
      </c>
      <c r="K1321" s="1">
        <v>44901</v>
      </c>
      <c r="L1321" s="1">
        <v>45046</v>
      </c>
      <c r="M1321" s="1">
        <v>44901</v>
      </c>
      <c r="N1321" s="1">
        <v>45046</v>
      </c>
      <c r="O1321" t="s">
        <v>117</v>
      </c>
      <c r="P1321" t="s">
        <v>5148</v>
      </c>
      <c r="R1321" t="s">
        <v>5149</v>
      </c>
      <c r="T1321" t="s">
        <v>5150</v>
      </c>
      <c r="U1321" t="s">
        <v>1593</v>
      </c>
      <c r="V1321" s="4" t="str">
        <f>"04974"</f>
        <v>04974</v>
      </c>
      <c r="W1321" t="s">
        <v>120</v>
      </c>
      <c r="Y1321" s="5">
        <v>13142808738</v>
      </c>
      <c r="AA1321">
        <v>48811</v>
      </c>
      <c r="AB1321" t="s">
        <v>5151</v>
      </c>
      <c r="AC1321" t="s">
        <v>5152</v>
      </c>
      <c r="AE1321" t="s">
        <v>5153</v>
      </c>
      <c r="AF1321" t="s">
        <v>5149</v>
      </c>
      <c r="AH1321" t="s">
        <v>5150</v>
      </c>
      <c r="AI1321" t="s">
        <v>1593</v>
      </c>
      <c r="AJ1321" s="4" t="str">
        <f>"04974"</f>
        <v>04974</v>
      </c>
      <c r="AK1321" t="s">
        <v>120</v>
      </c>
      <c r="AM1321" s="5">
        <v>13142808738</v>
      </c>
      <c r="AO1321" t="s">
        <v>5154</v>
      </c>
      <c r="AP1321" t="s">
        <v>122</v>
      </c>
      <c r="AQ1321" t="s">
        <v>1867</v>
      </c>
      <c r="AR1321" t="s">
        <v>1868</v>
      </c>
      <c r="AS1321" t="s">
        <v>1869</v>
      </c>
      <c r="AT1321" t="s">
        <v>1870</v>
      </c>
      <c r="AU1321" t="s">
        <v>1871</v>
      </c>
      <c r="AV1321" t="s">
        <v>1872</v>
      </c>
      <c r="AW1321" t="s">
        <v>1003</v>
      </c>
      <c r="AX1321" s="4" t="str">
        <f>"08034"</f>
        <v>08034</v>
      </c>
      <c r="AY1321" t="s">
        <v>120</v>
      </c>
      <c r="AZ1321" t="s">
        <v>1873</v>
      </c>
      <c r="BA1321" s="5">
        <v>18562819750</v>
      </c>
      <c r="BC1321" t="s">
        <v>1874</v>
      </c>
      <c r="BD1321" t="s">
        <v>1875</v>
      </c>
      <c r="BE1321" t="s">
        <v>1003</v>
      </c>
      <c r="BF1321" t="s">
        <v>1876</v>
      </c>
      <c r="BG1321" t="s">
        <v>1593</v>
      </c>
      <c r="BH1321" s="1">
        <v>44825.833333333336</v>
      </c>
      <c r="BI1321">
        <v>40</v>
      </c>
      <c r="BJ1321">
        <v>0</v>
      </c>
      <c r="BK1321">
        <v>8</v>
      </c>
      <c r="BL1321">
        <v>8</v>
      </c>
      <c r="BM1321">
        <v>8</v>
      </c>
      <c r="BN1321">
        <v>8</v>
      </c>
      <c r="BO1321">
        <v>8</v>
      </c>
      <c r="BP1321">
        <v>0</v>
      </c>
      <c r="BQ1321" t="str">
        <f>"7:30 AM"</f>
        <v>7:30 AM</v>
      </c>
      <c r="BR1321" t="str">
        <f>"4:30 PM"</f>
        <v>4:30 PM</v>
      </c>
      <c r="BS1321" t="s">
        <v>133</v>
      </c>
      <c r="BT1321">
        <v>0</v>
      </c>
      <c r="BU1321">
        <v>0</v>
      </c>
      <c r="BV1321" t="s">
        <v>134</v>
      </c>
      <c r="BX1321" t="s">
        <v>5155</v>
      </c>
      <c r="BY1321" t="s">
        <v>5149</v>
      </c>
      <c r="CA1321" t="s">
        <v>5150</v>
      </c>
      <c r="CB1321" t="s">
        <v>1593</v>
      </c>
      <c r="CC1321" s="4" t="str">
        <f>"04974"</f>
        <v>04974</v>
      </c>
      <c r="CD1321" t="s">
        <v>5156</v>
      </c>
      <c r="CE1321" t="s">
        <v>1594</v>
      </c>
      <c r="CF1321" s="6">
        <v>16.13</v>
      </c>
      <c r="CG1321" s="6">
        <v>16.13</v>
      </c>
      <c r="CH1321" s="6">
        <v>24.2</v>
      </c>
      <c r="CI1321" s="6">
        <v>24.2</v>
      </c>
      <c r="CJ1321" t="s">
        <v>137</v>
      </c>
      <c r="CK1321" t="s">
        <v>1878</v>
      </c>
      <c r="CL1321" t="s">
        <v>5157</v>
      </c>
      <c r="CO1321" t="s">
        <v>138</v>
      </c>
      <c r="CP1321" t="s">
        <v>134</v>
      </c>
      <c r="CQ1321" t="s">
        <v>114</v>
      </c>
      <c r="CR1321" t="s">
        <v>114</v>
      </c>
      <c r="CS1321" t="s">
        <v>114</v>
      </c>
      <c r="CT1321" t="s">
        <v>114</v>
      </c>
      <c r="CU1321" t="s">
        <v>114</v>
      </c>
      <c r="CV1321" t="s">
        <v>5158</v>
      </c>
      <c r="CW1321" s="5" t="str">
        <f>"+13142808738"</f>
        <v>+13142808738</v>
      </c>
      <c r="CX1321" t="s">
        <v>5154</v>
      </c>
      <c r="CY1321" t="s">
        <v>138</v>
      </c>
      <c r="CZ1321" t="s">
        <v>139</v>
      </c>
      <c r="DA1321" t="s">
        <v>134</v>
      </c>
      <c r="DB1321" t="s">
        <v>134</v>
      </c>
      <c r="DC1321" t="s">
        <v>114</v>
      </c>
      <c r="DD1321" t="s">
        <v>134</v>
      </c>
    </row>
    <row r="1322" spans="1:113" ht="15" customHeight="1" x14ac:dyDescent="0.25">
      <c r="A1322" t="s">
        <v>10732</v>
      </c>
      <c r="B1322" t="s">
        <v>523</v>
      </c>
      <c r="C1322" s="1">
        <v>44847.582540162039</v>
      </c>
      <c r="D1322" s="1">
        <v>44879</v>
      </c>
      <c r="E1322" t="s">
        <v>134</v>
      </c>
      <c r="F1322" t="s">
        <v>10733</v>
      </c>
      <c r="G1322" t="str">
        <f>"35-2014.00"</f>
        <v>35-2014.00</v>
      </c>
      <c r="H1322" t="s">
        <v>915</v>
      </c>
      <c r="I1322">
        <v>40</v>
      </c>
      <c r="J1322">
        <v>39</v>
      </c>
      <c r="K1322" s="1">
        <v>44922</v>
      </c>
      <c r="L1322" s="1">
        <v>45213</v>
      </c>
      <c r="M1322" s="1">
        <v>44922</v>
      </c>
      <c r="N1322" s="1">
        <v>45213</v>
      </c>
      <c r="O1322" t="s">
        <v>117</v>
      </c>
      <c r="P1322" t="s">
        <v>10734</v>
      </c>
      <c r="Q1322" t="s">
        <v>10735</v>
      </c>
      <c r="R1322" t="s">
        <v>10736</v>
      </c>
      <c r="T1322" t="s">
        <v>4123</v>
      </c>
      <c r="U1322" t="s">
        <v>214</v>
      </c>
      <c r="V1322" s="4" t="str">
        <f>"71118"</f>
        <v>71118</v>
      </c>
      <c r="W1322" t="s">
        <v>120</v>
      </c>
      <c r="Y1322" s="5">
        <v>13186875015</v>
      </c>
      <c r="AA1322">
        <v>72251</v>
      </c>
      <c r="AB1322" t="s">
        <v>10737</v>
      </c>
      <c r="AC1322" t="s">
        <v>4564</v>
      </c>
      <c r="AE1322" t="s">
        <v>963</v>
      </c>
      <c r="AF1322" t="s">
        <v>10738</v>
      </c>
      <c r="AH1322" t="s">
        <v>4123</v>
      </c>
      <c r="AI1322" t="s">
        <v>214</v>
      </c>
      <c r="AJ1322" s="4" t="str">
        <f>"71118"</f>
        <v>71118</v>
      </c>
      <c r="AK1322" t="s">
        <v>120</v>
      </c>
      <c r="AM1322" s="5">
        <v>13186875015</v>
      </c>
      <c r="AO1322" t="s">
        <v>10739</v>
      </c>
      <c r="AP1322" t="s">
        <v>122</v>
      </c>
      <c r="AQ1322" t="s">
        <v>4173</v>
      </c>
      <c r="AR1322" t="s">
        <v>626</v>
      </c>
      <c r="AS1322" t="s">
        <v>4174</v>
      </c>
      <c r="AT1322" t="s">
        <v>7565</v>
      </c>
      <c r="AV1322" t="s">
        <v>4176</v>
      </c>
      <c r="AW1322" t="s">
        <v>214</v>
      </c>
      <c r="AX1322" s="4" t="str">
        <f>"70601"</f>
        <v>70601</v>
      </c>
      <c r="AY1322" t="s">
        <v>120</v>
      </c>
      <c r="BA1322" s="5">
        <v>13372140354</v>
      </c>
      <c r="BC1322" t="s">
        <v>5607</v>
      </c>
      <c r="BD1322" t="s">
        <v>4180</v>
      </c>
      <c r="BE1322" t="s">
        <v>214</v>
      </c>
      <c r="BF1322" t="s">
        <v>733</v>
      </c>
      <c r="BG1322" t="s">
        <v>214</v>
      </c>
      <c r="BH1322" s="1">
        <v>44843.833333333336</v>
      </c>
      <c r="BI1322">
        <v>35</v>
      </c>
      <c r="BJ1322">
        <v>0</v>
      </c>
      <c r="BK1322">
        <v>7</v>
      </c>
      <c r="BL1322">
        <v>7</v>
      </c>
      <c r="BM1322">
        <v>7</v>
      </c>
      <c r="BN1322">
        <v>7</v>
      </c>
      <c r="BO1322">
        <v>7</v>
      </c>
      <c r="BP1322">
        <v>0</v>
      </c>
      <c r="BQ1322" t="str">
        <f>"8:00 AM"</f>
        <v>8:00 AM</v>
      </c>
      <c r="BR1322" t="str">
        <f>"4:00 PM"</f>
        <v>4:00 PM</v>
      </c>
      <c r="BS1322" t="s">
        <v>133</v>
      </c>
      <c r="BT1322">
        <v>0</v>
      </c>
      <c r="BU1322">
        <v>3</v>
      </c>
      <c r="BV1322" t="s">
        <v>134</v>
      </c>
      <c r="BX1322" s="2" t="s">
        <v>10740</v>
      </c>
      <c r="BY1322" t="s">
        <v>10738</v>
      </c>
      <c r="CA1322" t="s">
        <v>10741</v>
      </c>
      <c r="CB1322" t="s">
        <v>214</v>
      </c>
      <c r="CC1322" s="4" t="str">
        <f>"71118"</f>
        <v>71118</v>
      </c>
      <c r="CD1322" t="s">
        <v>4124</v>
      </c>
      <c r="CE1322" t="s">
        <v>1647</v>
      </c>
      <c r="CF1322" s="6">
        <v>12.33</v>
      </c>
      <c r="CG1322" s="6">
        <v>12.33</v>
      </c>
      <c r="CH1322" s="6">
        <v>18.5</v>
      </c>
      <c r="CI1322" s="6">
        <v>18.5</v>
      </c>
      <c r="CJ1322" t="s">
        <v>137</v>
      </c>
      <c r="CK1322" t="s">
        <v>10742</v>
      </c>
      <c r="CL1322" t="s">
        <v>10743</v>
      </c>
      <c r="CO1322" t="s">
        <v>138</v>
      </c>
      <c r="CP1322" t="s">
        <v>114</v>
      </c>
      <c r="CQ1322" t="s">
        <v>134</v>
      </c>
      <c r="CR1322" t="s">
        <v>114</v>
      </c>
      <c r="CS1322" t="s">
        <v>134</v>
      </c>
      <c r="CT1322" t="s">
        <v>114</v>
      </c>
      <c r="CU1322" t="s">
        <v>114</v>
      </c>
      <c r="CV1322" t="s">
        <v>10744</v>
      </c>
      <c r="CW1322" s="5" t="str">
        <f>"+13186875015"</f>
        <v>+13186875015</v>
      </c>
      <c r="CX1322" t="s">
        <v>10739</v>
      </c>
      <c r="CY1322" t="s">
        <v>138</v>
      </c>
      <c r="CZ1322" t="s">
        <v>139</v>
      </c>
      <c r="DA1322" t="s">
        <v>134</v>
      </c>
      <c r="DB1322" t="s">
        <v>134</v>
      </c>
      <c r="DC1322" t="s">
        <v>114</v>
      </c>
      <c r="DD1322" t="s">
        <v>134</v>
      </c>
      <c r="DE1322" t="s">
        <v>4178</v>
      </c>
      <c r="DF1322" t="s">
        <v>4179</v>
      </c>
      <c r="DG1322" t="s">
        <v>2217</v>
      </c>
      <c r="DH1322" t="s">
        <v>4180</v>
      </c>
      <c r="DI1322" t="s">
        <v>4181</v>
      </c>
    </row>
    <row r="1323" spans="1:113" ht="15" customHeight="1" x14ac:dyDescent="0.25">
      <c r="A1323" t="s">
        <v>15831</v>
      </c>
      <c r="B1323" t="s">
        <v>523</v>
      </c>
      <c r="C1323" s="1">
        <v>44811.342170833334</v>
      </c>
      <c r="D1323" s="1">
        <v>44879</v>
      </c>
      <c r="E1323" t="s">
        <v>134</v>
      </c>
      <c r="F1323" t="s">
        <v>2320</v>
      </c>
      <c r="G1323" t="str">
        <f>"53-7062.00"</f>
        <v>53-7062.00</v>
      </c>
      <c r="H1323" t="s">
        <v>245</v>
      </c>
      <c r="I1323">
        <v>10</v>
      </c>
      <c r="J1323">
        <v>4</v>
      </c>
      <c r="K1323" s="1">
        <v>44896</v>
      </c>
      <c r="L1323" s="1">
        <v>45016</v>
      </c>
      <c r="M1323" s="1">
        <v>44896</v>
      </c>
      <c r="N1323" s="1">
        <v>45016</v>
      </c>
      <c r="O1323" t="s">
        <v>117</v>
      </c>
      <c r="P1323" t="s">
        <v>15832</v>
      </c>
      <c r="Q1323" t="s">
        <v>15833</v>
      </c>
      <c r="R1323" t="s">
        <v>15834</v>
      </c>
      <c r="T1323" t="s">
        <v>6936</v>
      </c>
      <c r="U1323" t="s">
        <v>420</v>
      </c>
      <c r="V1323" s="4" t="str">
        <f>"84081"</f>
        <v>84081</v>
      </c>
      <c r="W1323" t="s">
        <v>120</v>
      </c>
      <c r="Y1323" s="5">
        <v>18012821250</v>
      </c>
      <c r="AA1323">
        <v>325998</v>
      </c>
      <c r="AB1323" t="s">
        <v>15835</v>
      </c>
      <c r="AC1323" t="s">
        <v>15836</v>
      </c>
      <c r="AE1323" t="s">
        <v>1555</v>
      </c>
      <c r="AF1323" t="s">
        <v>15837</v>
      </c>
      <c r="AH1323" t="s">
        <v>6936</v>
      </c>
      <c r="AI1323" t="s">
        <v>420</v>
      </c>
      <c r="AJ1323" s="4" t="str">
        <f>"84084"</f>
        <v>84084</v>
      </c>
      <c r="AK1323" t="s">
        <v>120</v>
      </c>
      <c r="AM1323" s="5">
        <v>18016513862</v>
      </c>
      <c r="AO1323" t="s">
        <v>15838</v>
      </c>
      <c r="AX1323" s="4" t="str">
        <f>""</f>
        <v/>
      </c>
      <c r="BG1323" t="s">
        <v>420</v>
      </c>
      <c r="BH1323" s="1">
        <v>44727.833333333336</v>
      </c>
      <c r="BI1323">
        <v>60</v>
      </c>
      <c r="BJ1323">
        <v>0</v>
      </c>
      <c r="BK1323">
        <v>12</v>
      </c>
      <c r="BL1323">
        <v>12</v>
      </c>
      <c r="BM1323">
        <v>12</v>
      </c>
      <c r="BN1323">
        <v>12</v>
      </c>
      <c r="BO1323">
        <v>12</v>
      </c>
      <c r="BP1323">
        <v>0</v>
      </c>
      <c r="BQ1323" t="str">
        <f>"6:00 AM"</f>
        <v>6:00 AM</v>
      </c>
      <c r="BR1323" t="str">
        <f>"6:00 PM"</f>
        <v>6:00 PM</v>
      </c>
      <c r="BS1323" t="s">
        <v>133</v>
      </c>
      <c r="BT1323">
        <v>0</v>
      </c>
      <c r="BU1323">
        <v>0</v>
      </c>
      <c r="BV1323" t="s">
        <v>134</v>
      </c>
      <c r="BX1323" s="2" t="s">
        <v>15839</v>
      </c>
      <c r="BY1323" t="s">
        <v>15834</v>
      </c>
      <c r="CA1323" t="s">
        <v>6936</v>
      </c>
      <c r="CB1323" t="s">
        <v>420</v>
      </c>
      <c r="CC1323" s="4" t="str">
        <f>"84081"</f>
        <v>84081</v>
      </c>
      <c r="CD1323" t="s">
        <v>688</v>
      </c>
      <c r="CE1323" t="s">
        <v>689</v>
      </c>
      <c r="CF1323" s="6">
        <v>17</v>
      </c>
      <c r="CG1323" s="6">
        <v>18</v>
      </c>
      <c r="CH1323" s="6">
        <v>25.5</v>
      </c>
      <c r="CI1323" s="6">
        <v>27</v>
      </c>
      <c r="CJ1323" t="s">
        <v>137</v>
      </c>
      <c r="CL1323" t="s">
        <v>15840</v>
      </c>
      <c r="CO1323" t="s">
        <v>138</v>
      </c>
      <c r="CP1323" t="s">
        <v>134</v>
      </c>
      <c r="CQ1323" t="s">
        <v>134</v>
      </c>
      <c r="CR1323" t="s">
        <v>114</v>
      </c>
      <c r="CS1323" t="s">
        <v>114</v>
      </c>
      <c r="CT1323" t="s">
        <v>114</v>
      </c>
      <c r="CU1323" t="s">
        <v>134</v>
      </c>
      <c r="CV1323" t="s">
        <v>15841</v>
      </c>
      <c r="CW1323" s="5" t="str">
        <f>"+18012821251"</f>
        <v>+18012821251</v>
      </c>
      <c r="CX1323" t="s">
        <v>15838</v>
      </c>
      <c r="CY1323" t="s">
        <v>138</v>
      </c>
      <c r="CZ1323" t="s">
        <v>139</v>
      </c>
      <c r="DA1323" t="s">
        <v>134</v>
      </c>
      <c r="DB1323" t="s">
        <v>134</v>
      </c>
      <c r="DC1323" t="s">
        <v>114</v>
      </c>
      <c r="DD1323" t="s">
        <v>134</v>
      </c>
      <c r="DE1323" t="s">
        <v>15835</v>
      </c>
      <c r="DF1323" t="s">
        <v>15836</v>
      </c>
      <c r="DH1323" t="s">
        <v>15832</v>
      </c>
      <c r="DI1323" t="s">
        <v>15838</v>
      </c>
    </row>
    <row r="1324" spans="1:113" ht="15" customHeight="1" x14ac:dyDescent="0.25">
      <c r="A1324" t="s">
        <v>15415</v>
      </c>
      <c r="B1324" t="s">
        <v>523</v>
      </c>
      <c r="C1324" s="1">
        <v>44831.546391203701</v>
      </c>
      <c r="D1324" s="1">
        <v>44866</v>
      </c>
      <c r="E1324" t="s">
        <v>134</v>
      </c>
      <c r="F1324" t="s">
        <v>1331</v>
      </c>
      <c r="G1324" t="str">
        <f>"35-2014.00"</f>
        <v>35-2014.00</v>
      </c>
      <c r="H1324" t="s">
        <v>915</v>
      </c>
      <c r="I1324">
        <v>9</v>
      </c>
      <c r="J1324">
        <v>5</v>
      </c>
      <c r="K1324" s="1">
        <v>44906</v>
      </c>
      <c r="L1324" s="1">
        <v>45046</v>
      </c>
      <c r="M1324" s="1">
        <v>44906</v>
      </c>
      <c r="N1324" s="1">
        <v>45046</v>
      </c>
      <c r="O1324" t="s">
        <v>117</v>
      </c>
      <c r="P1324" t="s">
        <v>14550</v>
      </c>
      <c r="Q1324" t="s">
        <v>14551</v>
      </c>
      <c r="R1324" t="s">
        <v>14552</v>
      </c>
      <c r="S1324" t="s">
        <v>14553</v>
      </c>
      <c r="T1324" t="s">
        <v>14554</v>
      </c>
      <c r="U1324" t="s">
        <v>154</v>
      </c>
      <c r="V1324" s="4" t="str">
        <f>"34689"</f>
        <v>34689</v>
      </c>
      <c r="W1324" t="s">
        <v>120</v>
      </c>
      <c r="Y1324" s="5">
        <v>17279348400</v>
      </c>
      <c r="AA1324">
        <v>72251</v>
      </c>
      <c r="AB1324" t="s">
        <v>15416</v>
      </c>
      <c r="AC1324" t="s">
        <v>14555</v>
      </c>
      <c r="AE1324" t="s">
        <v>1065</v>
      </c>
      <c r="AF1324" t="s">
        <v>14552</v>
      </c>
      <c r="AG1324" t="s">
        <v>14553</v>
      </c>
      <c r="AH1324" t="s">
        <v>14554</v>
      </c>
      <c r="AI1324" t="s">
        <v>154</v>
      </c>
      <c r="AJ1324" s="4" t="str">
        <f>"34689"</f>
        <v>34689</v>
      </c>
      <c r="AK1324" t="s">
        <v>120</v>
      </c>
      <c r="AM1324" s="5">
        <v>17279348400</v>
      </c>
      <c r="AO1324" t="s">
        <v>14556</v>
      </c>
      <c r="AP1324" t="s">
        <v>122</v>
      </c>
      <c r="AQ1324" t="s">
        <v>1867</v>
      </c>
      <c r="AR1324" t="s">
        <v>1868</v>
      </c>
      <c r="AS1324" t="s">
        <v>1869</v>
      </c>
      <c r="AT1324" t="s">
        <v>1870</v>
      </c>
      <c r="AU1324" t="s">
        <v>1871</v>
      </c>
      <c r="AV1324" t="s">
        <v>1872</v>
      </c>
      <c r="AW1324" t="s">
        <v>1003</v>
      </c>
      <c r="AX1324" s="4" t="str">
        <f>"08034"</f>
        <v>08034</v>
      </c>
      <c r="AY1324" t="s">
        <v>120</v>
      </c>
      <c r="AZ1324" t="s">
        <v>1873</v>
      </c>
      <c r="BA1324" s="5">
        <v>18562819750</v>
      </c>
      <c r="BC1324" t="s">
        <v>1874</v>
      </c>
      <c r="BD1324" t="s">
        <v>1875</v>
      </c>
      <c r="BE1324" t="s">
        <v>1003</v>
      </c>
      <c r="BF1324" t="s">
        <v>1876</v>
      </c>
      <c r="BG1324" t="s">
        <v>154</v>
      </c>
      <c r="BH1324" s="1">
        <v>44830.833333333336</v>
      </c>
      <c r="BI1324">
        <v>40</v>
      </c>
      <c r="BJ1324">
        <v>6</v>
      </c>
      <c r="BK1324">
        <v>5</v>
      </c>
      <c r="BL1324">
        <v>5</v>
      </c>
      <c r="BM1324">
        <v>5</v>
      </c>
      <c r="BN1324">
        <v>5</v>
      </c>
      <c r="BO1324">
        <v>7</v>
      </c>
      <c r="BP1324">
        <v>7</v>
      </c>
      <c r="BQ1324" t="str">
        <f>"11:00 AM"</f>
        <v>11:00 AM</v>
      </c>
      <c r="BR1324" t="str">
        <f>"4:00 PM"</f>
        <v>4:00 PM</v>
      </c>
      <c r="BS1324" t="s">
        <v>133</v>
      </c>
      <c r="BT1324">
        <v>0</v>
      </c>
      <c r="BU1324">
        <v>6</v>
      </c>
      <c r="BV1324" t="s">
        <v>134</v>
      </c>
      <c r="BX1324" t="s">
        <v>15417</v>
      </c>
      <c r="BY1324" t="s">
        <v>14552</v>
      </c>
      <c r="CA1324" t="s">
        <v>9196</v>
      </c>
      <c r="CB1324" t="s">
        <v>154</v>
      </c>
      <c r="CC1324" s="4" t="str">
        <f>"34689"</f>
        <v>34689</v>
      </c>
      <c r="CD1324" t="s">
        <v>2806</v>
      </c>
      <c r="CE1324" t="s">
        <v>567</v>
      </c>
      <c r="CF1324" s="6">
        <v>15</v>
      </c>
      <c r="CG1324" s="6">
        <v>15</v>
      </c>
      <c r="CH1324" s="6">
        <v>22.5</v>
      </c>
      <c r="CI1324" s="6">
        <v>22.5</v>
      </c>
      <c r="CJ1324" t="s">
        <v>137</v>
      </c>
      <c r="CK1324" t="s">
        <v>1878</v>
      </c>
      <c r="CL1324" t="s">
        <v>15418</v>
      </c>
      <c r="CO1324" t="s">
        <v>138</v>
      </c>
      <c r="CP1324" t="s">
        <v>134</v>
      </c>
      <c r="CQ1324" t="s">
        <v>134</v>
      </c>
      <c r="CR1324" t="s">
        <v>114</v>
      </c>
      <c r="CS1324" t="s">
        <v>114</v>
      </c>
      <c r="CT1324" t="s">
        <v>114</v>
      </c>
      <c r="CU1324" t="s">
        <v>134</v>
      </c>
      <c r="CV1324" t="s">
        <v>138</v>
      </c>
      <c r="CW1324" s="5" t="str">
        <f>"+17279348400"</f>
        <v>+17279348400</v>
      </c>
      <c r="CX1324" t="s">
        <v>14561</v>
      </c>
      <c r="CY1324" t="s">
        <v>138</v>
      </c>
      <c r="CZ1324" t="s">
        <v>139</v>
      </c>
      <c r="DA1324" t="s">
        <v>134</v>
      </c>
      <c r="DB1324" t="s">
        <v>114</v>
      </c>
      <c r="DC1324" t="s">
        <v>114</v>
      </c>
      <c r="DD1324" t="s">
        <v>134</v>
      </c>
    </row>
    <row r="1325" spans="1:113" ht="15" customHeight="1" x14ac:dyDescent="0.25">
      <c r="A1325" t="s">
        <v>13143</v>
      </c>
      <c r="B1325" t="s">
        <v>523</v>
      </c>
      <c r="C1325" s="1">
        <v>44817.592128935183</v>
      </c>
      <c r="D1325" s="1">
        <v>44865</v>
      </c>
      <c r="E1325" t="s">
        <v>114</v>
      </c>
      <c r="F1325" t="s">
        <v>13144</v>
      </c>
      <c r="G1325" t="str">
        <f>"45-4011.00"</f>
        <v>45-4011.00</v>
      </c>
      <c r="H1325" t="s">
        <v>1107</v>
      </c>
      <c r="I1325">
        <v>20</v>
      </c>
      <c r="J1325">
        <v>15</v>
      </c>
      <c r="K1325" s="1">
        <v>44896</v>
      </c>
      <c r="L1325" s="1">
        <v>45077</v>
      </c>
      <c r="M1325" s="1">
        <v>44896</v>
      </c>
      <c r="N1325" s="1">
        <v>45077</v>
      </c>
      <c r="O1325" t="s">
        <v>199</v>
      </c>
      <c r="P1325" t="s">
        <v>13145</v>
      </c>
      <c r="R1325" t="s">
        <v>13146</v>
      </c>
      <c r="T1325" t="s">
        <v>13147</v>
      </c>
      <c r="U1325" t="s">
        <v>792</v>
      </c>
      <c r="V1325" s="4" t="str">
        <f>"98632"</f>
        <v>98632</v>
      </c>
      <c r="W1325" t="s">
        <v>120</v>
      </c>
      <c r="Y1325" s="5">
        <v>13605014314</v>
      </c>
      <c r="AA1325">
        <v>115310</v>
      </c>
      <c r="AB1325" t="s">
        <v>4338</v>
      </c>
      <c r="AC1325" t="s">
        <v>13148</v>
      </c>
      <c r="AD1325" t="s">
        <v>1470</v>
      </c>
      <c r="AE1325" t="s">
        <v>700</v>
      </c>
      <c r="AF1325" t="s">
        <v>13149</v>
      </c>
      <c r="AH1325" t="s">
        <v>13150</v>
      </c>
      <c r="AI1325" t="s">
        <v>792</v>
      </c>
      <c r="AJ1325" s="4" t="str">
        <f>"98632"</f>
        <v>98632</v>
      </c>
      <c r="AK1325" t="s">
        <v>120</v>
      </c>
      <c r="AM1325" s="5">
        <v>13605014314</v>
      </c>
      <c r="AO1325" t="s">
        <v>13151</v>
      </c>
      <c r="AP1325" t="s">
        <v>122</v>
      </c>
      <c r="AQ1325" t="s">
        <v>1094</v>
      </c>
      <c r="AR1325" t="s">
        <v>4340</v>
      </c>
      <c r="AS1325" t="s">
        <v>1857</v>
      </c>
      <c r="AT1325" t="s">
        <v>4341</v>
      </c>
      <c r="AU1325" t="s">
        <v>152</v>
      </c>
      <c r="AV1325" t="s">
        <v>1408</v>
      </c>
      <c r="AW1325" t="s">
        <v>511</v>
      </c>
      <c r="AX1325" s="4" t="str">
        <f>"97209"</f>
        <v>97209</v>
      </c>
      <c r="AY1325" t="s">
        <v>120</v>
      </c>
      <c r="BA1325" s="5">
        <v>15032411320</v>
      </c>
      <c r="BC1325" t="s">
        <v>4342</v>
      </c>
      <c r="BD1325" t="s">
        <v>4343</v>
      </c>
      <c r="BE1325" t="s">
        <v>511</v>
      </c>
      <c r="BF1325" t="s">
        <v>322</v>
      </c>
      <c r="BG1325" t="s">
        <v>511</v>
      </c>
      <c r="BH1325" s="1">
        <v>44816.833333333336</v>
      </c>
      <c r="BI1325">
        <v>35</v>
      </c>
      <c r="BJ1325">
        <v>0</v>
      </c>
      <c r="BK1325">
        <v>7</v>
      </c>
      <c r="BL1325">
        <v>7</v>
      </c>
      <c r="BM1325">
        <v>7</v>
      </c>
      <c r="BN1325">
        <v>7</v>
      </c>
      <c r="BO1325">
        <v>7</v>
      </c>
      <c r="BP1325">
        <v>0</v>
      </c>
      <c r="BQ1325" t="str">
        <f>"7:30 AM"</f>
        <v>7:30 AM</v>
      </c>
      <c r="BR1325" t="str">
        <f>"3:00 PM"</f>
        <v>3:00 PM</v>
      </c>
      <c r="BS1325" t="s">
        <v>133</v>
      </c>
      <c r="BT1325">
        <v>0</v>
      </c>
      <c r="BU1325">
        <v>6</v>
      </c>
      <c r="BV1325" t="s">
        <v>134</v>
      </c>
      <c r="BX1325" s="2" t="s">
        <v>13152</v>
      </c>
      <c r="BY1325" t="s">
        <v>13153</v>
      </c>
      <c r="CA1325" t="s">
        <v>2933</v>
      </c>
      <c r="CB1325" t="s">
        <v>511</v>
      </c>
      <c r="CC1325" s="4" t="str">
        <f>"97351"</f>
        <v>97351</v>
      </c>
      <c r="CD1325" t="s">
        <v>2306</v>
      </c>
      <c r="CE1325" t="s">
        <v>3149</v>
      </c>
      <c r="CF1325" s="6">
        <v>20.85</v>
      </c>
      <c r="CJ1325" t="s">
        <v>137</v>
      </c>
      <c r="CL1325" t="s">
        <v>13154</v>
      </c>
      <c r="CO1325" t="s">
        <v>138</v>
      </c>
      <c r="CP1325" t="s">
        <v>114</v>
      </c>
      <c r="CQ1325" t="s">
        <v>114</v>
      </c>
      <c r="CR1325" t="s">
        <v>134</v>
      </c>
      <c r="CS1325" t="s">
        <v>134</v>
      </c>
      <c r="CT1325" t="s">
        <v>114</v>
      </c>
      <c r="CU1325" t="s">
        <v>114</v>
      </c>
      <c r="CV1325" t="s">
        <v>138</v>
      </c>
      <c r="CW1325" s="5" t="str">
        <f>"+13605014314"</f>
        <v>+13605014314</v>
      </c>
      <c r="CX1325" t="s">
        <v>13151</v>
      </c>
      <c r="CY1325" t="s">
        <v>138</v>
      </c>
      <c r="CZ1325" t="s">
        <v>139</v>
      </c>
      <c r="DA1325" t="s">
        <v>134</v>
      </c>
      <c r="DB1325" t="s">
        <v>134</v>
      </c>
      <c r="DC1325" t="s">
        <v>114</v>
      </c>
      <c r="DD1325" t="s">
        <v>134</v>
      </c>
      <c r="DE1325" t="s">
        <v>8089</v>
      </c>
      <c r="DF1325" t="s">
        <v>4340</v>
      </c>
      <c r="DG1325" t="s">
        <v>1857</v>
      </c>
      <c r="DH1325" t="s">
        <v>13155</v>
      </c>
      <c r="DI1325" t="s">
        <v>4342</v>
      </c>
    </row>
    <row r="1326" spans="1:113" ht="15" customHeight="1" x14ac:dyDescent="0.25">
      <c r="A1326" t="s">
        <v>12928</v>
      </c>
      <c r="B1326" t="s">
        <v>523</v>
      </c>
      <c r="C1326" s="1">
        <v>44782.570858449071</v>
      </c>
      <c r="D1326" s="1">
        <v>44865</v>
      </c>
      <c r="E1326" t="s">
        <v>134</v>
      </c>
      <c r="F1326" t="s">
        <v>1591</v>
      </c>
      <c r="G1326" t="str">
        <f>"37-2012.00"</f>
        <v>37-2012.00</v>
      </c>
      <c r="H1326" t="s">
        <v>116</v>
      </c>
      <c r="I1326">
        <v>27</v>
      </c>
      <c r="J1326">
        <v>19</v>
      </c>
      <c r="K1326" s="1">
        <v>44857</v>
      </c>
      <c r="L1326" s="1">
        <v>45221</v>
      </c>
      <c r="M1326" s="1">
        <v>44857</v>
      </c>
      <c r="N1326" s="1">
        <v>45221</v>
      </c>
      <c r="O1326" t="s">
        <v>168</v>
      </c>
      <c r="P1326" t="s">
        <v>5594</v>
      </c>
      <c r="R1326" t="s">
        <v>12929</v>
      </c>
      <c r="S1326" t="s">
        <v>5596</v>
      </c>
      <c r="T1326" t="s">
        <v>5597</v>
      </c>
      <c r="U1326" t="s">
        <v>154</v>
      </c>
      <c r="V1326" s="4" t="str">
        <f>"33073"</f>
        <v>33073</v>
      </c>
      <c r="W1326" t="s">
        <v>120</v>
      </c>
      <c r="Y1326" s="5">
        <v>15612866933</v>
      </c>
      <c r="AA1326">
        <v>561720</v>
      </c>
      <c r="AB1326" t="s">
        <v>5598</v>
      </c>
      <c r="AC1326" t="s">
        <v>5599</v>
      </c>
      <c r="AD1326" t="s">
        <v>5600</v>
      </c>
      <c r="AE1326" t="s">
        <v>5601</v>
      </c>
      <c r="AF1326" t="s">
        <v>5595</v>
      </c>
      <c r="AH1326" t="s">
        <v>5597</v>
      </c>
      <c r="AI1326" t="s">
        <v>154</v>
      </c>
      <c r="AJ1326" s="4" t="str">
        <f>"33073"</f>
        <v>33073</v>
      </c>
      <c r="AK1326" t="s">
        <v>120</v>
      </c>
      <c r="AM1326" s="5">
        <v>15612866933</v>
      </c>
      <c r="AO1326" t="s">
        <v>5602</v>
      </c>
      <c r="AP1326" t="s">
        <v>122</v>
      </c>
      <c r="AQ1326" t="s">
        <v>786</v>
      </c>
      <c r="AR1326" t="s">
        <v>787</v>
      </c>
      <c r="AT1326" t="s">
        <v>12930</v>
      </c>
      <c r="AU1326" t="s">
        <v>11299</v>
      </c>
      <c r="AV1326" t="s">
        <v>153</v>
      </c>
      <c r="AW1326" t="s">
        <v>154</v>
      </c>
      <c r="AX1326" s="4" t="str">
        <f>"33433"</f>
        <v>33433</v>
      </c>
      <c r="AY1326" t="s">
        <v>120</v>
      </c>
      <c r="BA1326" s="5">
        <v>15613478337</v>
      </c>
      <c r="BC1326" t="s">
        <v>790</v>
      </c>
      <c r="BD1326" t="s">
        <v>791</v>
      </c>
      <c r="BE1326" t="s">
        <v>792</v>
      </c>
      <c r="BF1326" t="s">
        <v>322</v>
      </c>
      <c r="BG1326" t="s">
        <v>154</v>
      </c>
      <c r="BH1326" s="1">
        <v>44781.833333333336</v>
      </c>
      <c r="BI1326">
        <v>56</v>
      </c>
      <c r="BJ1326">
        <v>8</v>
      </c>
      <c r="BK1326">
        <v>8</v>
      </c>
      <c r="BL1326">
        <v>8</v>
      </c>
      <c r="BM1326">
        <v>8</v>
      </c>
      <c r="BN1326">
        <v>8</v>
      </c>
      <c r="BO1326">
        <v>8</v>
      </c>
      <c r="BP1326">
        <v>8</v>
      </c>
      <c r="BQ1326" t="str">
        <f>"7:00 AM"</f>
        <v>7:00 AM</v>
      </c>
      <c r="BR1326" t="str">
        <f>"4:00 PM"</f>
        <v>4:00 PM</v>
      </c>
      <c r="BS1326" t="s">
        <v>295</v>
      </c>
      <c r="BT1326">
        <v>0</v>
      </c>
      <c r="BU1326">
        <v>3</v>
      </c>
      <c r="BV1326" t="s">
        <v>134</v>
      </c>
      <c r="BX1326" s="2" t="s">
        <v>12931</v>
      </c>
      <c r="BY1326" t="s">
        <v>12932</v>
      </c>
      <c r="CA1326" t="s">
        <v>12933</v>
      </c>
      <c r="CB1326" t="s">
        <v>154</v>
      </c>
      <c r="CC1326" s="4" t="str">
        <f>"33487"</f>
        <v>33487</v>
      </c>
      <c r="CD1326" t="s">
        <v>3882</v>
      </c>
      <c r="CE1326" t="s">
        <v>1742</v>
      </c>
      <c r="CF1326" s="6">
        <v>11.96</v>
      </c>
      <c r="CG1326" s="6">
        <v>11.96</v>
      </c>
      <c r="CH1326" s="6">
        <v>17.940000000000001</v>
      </c>
      <c r="CI1326" s="6">
        <v>17.940000000000001</v>
      </c>
      <c r="CJ1326" t="s">
        <v>137</v>
      </c>
      <c r="CL1326" t="s">
        <v>12934</v>
      </c>
      <c r="CO1326" t="s">
        <v>138</v>
      </c>
      <c r="CP1326" t="s">
        <v>114</v>
      </c>
      <c r="CQ1326" t="s">
        <v>134</v>
      </c>
      <c r="CR1326" t="s">
        <v>114</v>
      </c>
      <c r="CS1326" t="s">
        <v>134</v>
      </c>
      <c r="CT1326" t="s">
        <v>114</v>
      </c>
      <c r="CU1326" t="s">
        <v>134</v>
      </c>
      <c r="CV1326" t="s">
        <v>219</v>
      </c>
      <c r="CW1326" s="5" t="str">
        <f>"+15612866933"</f>
        <v>+15612866933</v>
      </c>
      <c r="CX1326" t="s">
        <v>5602</v>
      </c>
      <c r="CY1326" t="s">
        <v>138</v>
      </c>
      <c r="CZ1326" t="s">
        <v>139</v>
      </c>
      <c r="DA1326" t="s">
        <v>134</v>
      </c>
      <c r="DB1326" t="s">
        <v>134</v>
      </c>
      <c r="DC1326" t="s">
        <v>114</v>
      </c>
      <c r="DD1326" t="s">
        <v>134</v>
      </c>
    </row>
    <row r="1327" spans="1:113" ht="15" customHeight="1" x14ac:dyDescent="0.25">
      <c r="A1327" t="s">
        <v>15293</v>
      </c>
      <c r="B1327" t="s">
        <v>523</v>
      </c>
      <c r="C1327" s="1">
        <v>44810.65812615741</v>
      </c>
      <c r="D1327" s="1">
        <v>44855</v>
      </c>
      <c r="E1327" t="s">
        <v>114</v>
      </c>
      <c r="F1327" t="s">
        <v>2470</v>
      </c>
      <c r="G1327" t="str">
        <f>"37-2012.00"</f>
        <v>37-2012.00</v>
      </c>
      <c r="H1327" t="s">
        <v>116</v>
      </c>
      <c r="I1327">
        <v>10</v>
      </c>
      <c r="J1327">
        <v>9</v>
      </c>
      <c r="K1327" s="1">
        <v>44900</v>
      </c>
      <c r="L1327" s="1">
        <v>45036</v>
      </c>
      <c r="M1327" s="1">
        <v>44900</v>
      </c>
      <c r="N1327" s="1">
        <v>45036</v>
      </c>
      <c r="O1327" t="s">
        <v>117</v>
      </c>
      <c r="P1327" t="s">
        <v>11239</v>
      </c>
      <c r="Q1327" t="s">
        <v>15294</v>
      </c>
      <c r="R1327" t="s">
        <v>11241</v>
      </c>
      <c r="T1327" t="s">
        <v>8627</v>
      </c>
      <c r="U1327" t="s">
        <v>181</v>
      </c>
      <c r="V1327" s="4" t="str">
        <f>"81611"</f>
        <v>81611</v>
      </c>
      <c r="W1327" t="s">
        <v>120</v>
      </c>
      <c r="Y1327" s="5">
        <v>19709206397</v>
      </c>
      <c r="AA1327">
        <v>71392</v>
      </c>
      <c r="AB1327" t="s">
        <v>11242</v>
      </c>
      <c r="AC1327" t="s">
        <v>2622</v>
      </c>
      <c r="AE1327" t="s">
        <v>6135</v>
      </c>
      <c r="AF1327" t="s">
        <v>11243</v>
      </c>
      <c r="AH1327" t="s">
        <v>8627</v>
      </c>
      <c r="AI1327" t="s">
        <v>181</v>
      </c>
      <c r="AJ1327" s="4" t="str">
        <f>"81611"</f>
        <v>81611</v>
      </c>
      <c r="AK1327" t="s">
        <v>120</v>
      </c>
      <c r="AM1327" s="5">
        <v>19709206397</v>
      </c>
      <c r="AO1327" t="s">
        <v>11244</v>
      </c>
      <c r="AP1327" t="s">
        <v>122</v>
      </c>
      <c r="AQ1327" t="s">
        <v>176</v>
      </c>
      <c r="AR1327" t="s">
        <v>146</v>
      </c>
      <c r="AS1327" t="s">
        <v>177</v>
      </c>
      <c r="AT1327" t="s">
        <v>178</v>
      </c>
      <c r="AU1327" t="s">
        <v>179</v>
      </c>
      <c r="AV1327" t="s">
        <v>180</v>
      </c>
      <c r="AW1327" t="s">
        <v>181</v>
      </c>
      <c r="AX1327" s="4" t="str">
        <f>"80222"</f>
        <v>80222</v>
      </c>
      <c r="AY1327" t="s">
        <v>120</v>
      </c>
      <c r="BA1327" s="5">
        <v>13037646802</v>
      </c>
      <c r="BC1327" t="s">
        <v>182</v>
      </c>
      <c r="BD1327" t="s">
        <v>183</v>
      </c>
      <c r="BE1327" t="s">
        <v>184</v>
      </c>
      <c r="BF1327" t="s">
        <v>185</v>
      </c>
      <c r="BG1327" t="s">
        <v>181</v>
      </c>
      <c r="BH1327" s="1">
        <v>44809.833333333336</v>
      </c>
      <c r="BI1327">
        <v>40</v>
      </c>
      <c r="BJ1327">
        <v>0</v>
      </c>
      <c r="BK1327">
        <v>8</v>
      </c>
      <c r="BL1327">
        <v>8</v>
      </c>
      <c r="BM1327">
        <v>8</v>
      </c>
      <c r="BN1327">
        <v>8</v>
      </c>
      <c r="BO1327">
        <v>8</v>
      </c>
      <c r="BP1327">
        <v>0</v>
      </c>
      <c r="BQ1327" t="str">
        <f>"8:00 AM"</f>
        <v>8:00 AM</v>
      </c>
      <c r="BR1327" t="str">
        <f>"4:30 PM"</f>
        <v>4:30 PM</v>
      </c>
      <c r="BS1327" t="s">
        <v>133</v>
      </c>
      <c r="BT1327">
        <v>0</v>
      </c>
      <c r="BU1327">
        <v>3</v>
      </c>
      <c r="BV1327" t="s">
        <v>134</v>
      </c>
      <c r="BX1327" s="2" t="s">
        <v>15295</v>
      </c>
      <c r="BY1327" t="s">
        <v>15296</v>
      </c>
      <c r="CA1327" t="s">
        <v>8627</v>
      </c>
      <c r="CB1327" t="s">
        <v>181</v>
      </c>
      <c r="CC1327" s="4" t="str">
        <f>"81611"</f>
        <v>81611</v>
      </c>
      <c r="CD1327" t="s">
        <v>8632</v>
      </c>
      <c r="CE1327" t="s">
        <v>1570</v>
      </c>
      <c r="CF1327" s="6">
        <v>23</v>
      </c>
      <c r="CH1327" s="6">
        <v>34.5</v>
      </c>
      <c r="CJ1327" t="s">
        <v>137</v>
      </c>
      <c r="CK1327" t="s">
        <v>15297</v>
      </c>
      <c r="CL1327" t="s">
        <v>15298</v>
      </c>
      <c r="CO1327" t="s">
        <v>138</v>
      </c>
      <c r="CP1327" t="s">
        <v>114</v>
      </c>
      <c r="CQ1327" t="s">
        <v>134</v>
      </c>
      <c r="CR1327" t="s">
        <v>114</v>
      </c>
      <c r="CS1327" t="s">
        <v>114</v>
      </c>
      <c r="CT1327" t="s">
        <v>114</v>
      </c>
      <c r="CU1327" t="s">
        <v>114</v>
      </c>
      <c r="CV1327" t="s">
        <v>11248</v>
      </c>
      <c r="CW1327" s="5" t="str">
        <f>"+19709206397"</f>
        <v>+19709206397</v>
      </c>
      <c r="CX1327" t="s">
        <v>138</v>
      </c>
      <c r="CY1327" t="s">
        <v>11249</v>
      </c>
      <c r="CZ1327" t="s">
        <v>139</v>
      </c>
      <c r="DA1327" t="s">
        <v>134</v>
      </c>
      <c r="DB1327" t="s">
        <v>114</v>
      </c>
      <c r="DC1327" t="s">
        <v>114</v>
      </c>
      <c r="DD1327" t="s">
        <v>134</v>
      </c>
      <c r="DE1327" t="s">
        <v>2157</v>
      </c>
      <c r="DF1327" t="s">
        <v>2158</v>
      </c>
      <c r="DH1327" t="s">
        <v>183</v>
      </c>
      <c r="DI1327" t="s">
        <v>6015</v>
      </c>
    </row>
    <row r="1328" spans="1:113" ht="15" customHeight="1" x14ac:dyDescent="0.25">
      <c r="A1328" t="s">
        <v>11238</v>
      </c>
      <c r="B1328" t="s">
        <v>523</v>
      </c>
      <c r="C1328" s="1">
        <v>44799.770937615744</v>
      </c>
      <c r="D1328" s="1">
        <v>44854</v>
      </c>
      <c r="E1328" t="s">
        <v>114</v>
      </c>
      <c r="F1328" t="s">
        <v>4481</v>
      </c>
      <c r="G1328" t="str">
        <f>"35-2021.00"</f>
        <v>35-2021.00</v>
      </c>
      <c r="H1328" t="s">
        <v>718</v>
      </c>
      <c r="I1328">
        <v>10</v>
      </c>
      <c r="J1328">
        <v>8</v>
      </c>
      <c r="K1328" s="1">
        <v>44885</v>
      </c>
      <c r="L1328" s="1">
        <v>45036</v>
      </c>
      <c r="M1328" s="1">
        <v>44885</v>
      </c>
      <c r="N1328" s="1">
        <v>45036</v>
      </c>
      <c r="O1328" t="s">
        <v>117</v>
      </c>
      <c r="P1328" t="s">
        <v>11239</v>
      </c>
      <c r="Q1328" t="s">
        <v>11240</v>
      </c>
      <c r="R1328" t="s">
        <v>11241</v>
      </c>
      <c r="T1328" t="s">
        <v>8627</v>
      </c>
      <c r="U1328" t="s">
        <v>181</v>
      </c>
      <c r="V1328" s="4" t="str">
        <f>"81611"</f>
        <v>81611</v>
      </c>
      <c r="W1328" t="s">
        <v>120</v>
      </c>
      <c r="Y1328" s="5">
        <v>19709206397</v>
      </c>
      <c r="AA1328">
        <v>71392</v>
      </c>
      <c r="AB1328" t="s">
        <v>11242</v>
      </c>
      <c r="AC1328" t="s">
        <v>2622</v>
      </c>
      <c r="AE1328" t="s">
        <v>6135</v>
      </c>
      <c r="AF1328" t="s">
        <v>11243</v>
      </c>
      <c r="AH1328" t="s">
        <v>8627</v>
      </c>
      <c r="AI1328" t="s">
        <v>181</v>
      </c>
      <c r="AJ1328" s="4" t="str">
        <f>"81611"</f>
        <v>81611</v>
      </c>
      <c r="AK1328" t="s">
        <v>120</v>
      </c>
      <c r="AM1328" s="5">
        <v>19709206397</v>
      </c>
      <c r="AO1328" t="s">
        <v>11244</v>
      </c>
      <c r="AP1328" t="s">
        <v>122</v>
      </c>
      <c r="AQ1328" t="s">
        <v>176</v>
      </c>
      <c r="AR1328" t="s">
        <v>146</v>
      </c>
      <c r="AS1328" t="s">
        <v>177</v>
      </c>
      <c r="AT1328" t="s">
        <v>178</v>
      </c>
      <c r="AU1328" t="s">
        <v>179</v>
      </c>
      <c r="AV1328" t="s">
        <v>180</v>
      </c>
      <c r="AW1328" t="s">
        <v>181</v>
      </c>
      <c r="AX1328" s="4" t="str">
        <f>"80222"</f>
        <v>80222</v>
      </c>
      <c r="AY1328" t="s">
        <v>120</v>
      </c>
      <c r="BA1328" s="5">
        <v>13037646802</v>
      </c>
      <c r="BC1328" t="s">
        <v>182</v>
      </c>
      <c r="BD1328" t="s">
        <v>183</v>
      </c>
      <c r="BE1328" t="s">
        <v>184</v>
      </c>
      <c r="BF1328" t="s">
        <v>185</v>
      </c>
      <c r="BG1328" t="s">
        <v>181</v>
      </c>
      <c r="BH1328" s="1">
        <v>44791.833333333336</v>
      </c>
      <c r="BI1328">
        <v>40</v>
      </c>
      <c r="BJ1328">
        <v>0</v>
      </c>
      <c r="BK1328">
        <v>8</v>
      </c>
      <c r="BL1328">
        <v>8</v>
      </c>
      <c r="BM1328">
        <v>8</v>
      </c>
      <c r="BN1328">
        <v>8</v>
      </c>
      <c r="BO1328">
        <v>8</v>
      </c>
      <c r="BP1328">
        <v>0</v>
      </c>
      <c r="BQ1328" t="str">
        <f>"6:00 AM"</f>
        <v>6:00 AM</v>
      </c>
      <c r="BR1328" t="str">
        <f>"2:30 PM"</f>
        <v>2:30 PM</v>
      </c>
      <c r="BS1328" t="s">
        <v>133</v>
      </c>
      <c r="BT1328">
        <v>0</v>
      </c>
      <c r="BU1328">
        <v>3</v>
      </c>
      <c r="BV1328" t="s">
        <v>134</v>
      </c>
      <c r="BX1328" s="2" t="s">
        <v>11245</v>
      </c>
      <c r="BY1328" t="s">
        <v>11243</v>
      </c>
      <c r="CA1328" t="s">
        <v>8627</v>
      </c>
      <c r="CB1328" t="s">
        <v>181</v>
      </c>
      <c r="CC1328" s="4" t="str">
        <f>"81611"</f>
        <v>81611</v>
      </c>
      <c r="CD1328" t="s">
        <v>8632</v>
      </c>
      <c r="CE1328" t="s">
        <v>1570</v>
      </c>
      <c r="CF1328" s="6">
        <v>19</v>
      </c>
      <c r="CG1328" s="6">
        <v>21</v>
      </c>
      <c r="CH1328" s="6">
        <v>28.5</v>
      </c>
      <c r="CI1328" s="6">
        <v>31.5</v>
      </c>
      <c r="CJ1328" t="s">
        <v>137</v>
      </c>
      <c r="CK1328" t="s">
        <v>11246</v>
      </c>
      <c r="CL1328" t="s">
        <v>11247</v>
      </c>
      <c r="CO1328" t="s">
        <v>138</v>
      </c>
      <c r="CP1328" t="s">
        <v>134</v>
      </c>
      <c r="CQ1328" t="s">
        <v>134</v>
      </c>
      <c r="CR1328" t="s">
        <v>114</v>
      </c>
      <c r="CS1328" t="s">
        <v>114</v>
      </c>
      <c r="CT1328" t="s">
        <v>114</v>
      </c>
      <c r="CU1328" t="s">
        <v>114</v>
      </c>
      <c r="CV1328" t="s">
        <v>11248</v>
      </c>
      <c r="CW1328" s="5" t="str">
        <f>"+19709206397"</f>
        <v>+19709206397</v>
      </c>
      <c r="CX1328" t="s">
        <v>138</v>
      </c>
      <c r="CY1328" t="s">
        <v>11249</v>
      </c>
      <c r="CZ1328" t="s">
        <v>139</v>
      </c>
      <c r="DA1328" t="s">
        <v>134</v>
      </c>
      <c r="DB1328" t="s">
        <v>114</v>
      </c>
      <c r="DC1328" t="s">
        <v>114</v>
      </c>
      <c r="DD1328" t="s">
        <v>134</v>
      </c>
      <c r="DE1328" t="s">
        <v>2157</v>
      </c>
      <c r="DF1328" t="s">
        <v>2158</v>
      </c>
      <c r="DH1328" t="s">
        <v>183</v>
      </c>
      <c r="DI1328" t="s">
        <v>6015</v>
      </c>
    </row>
    <row r="1329" spans="1:113" ht="15" customHeight="1" x14ac:dyDescent="0.25">
      <c r="A1329" t="s">
        <v>15971</v>
      </c>
      <c r="B1329" t="s">
        <v>523</v>
      </c>
      <c r="C1329" s="1">
        <v>44799.765508912038</v>
      </c>
      <c r="D1329" s="1">
        <v>44854</v>
      </c>
      <c r="E1329" t="s">
        <v>114</v>
      </c>
      <c r="F1329" t="s">
        <v>14127</v>
      </c>
      <c r="G1329" t="str">
        <f>"37-2012.00"</f>
        <v>37-2012.00</v>
      </c>
      <c r="H1329" t="s">
        <v>116</v>
      </c>
      <c r="I1329">
        <v>20</v>
      </c>
      <c r="J1329">
        <v>18</v>
      </c>
      <c r="K1329" s="1">
        <v>44885</v>
      </c>
      <c r="L1329" s="1">
        <v>45036</v>
      </c>
      <c r="M1329" s="1">
        <v>44885</v>
      </c>
      <c r="N1329" s="1">
        <v>45036</v>
      </c>
      <c r="O1329" t="s">
        <v>117</v>
      </c>
      <c r="P1329" t="s">
        <v>11239</v>
      </c>
      <c r="R1329" t="s">
        <v>11241</v>
      </c>
      <c r="T1329" t="s">
        <v>8627</v>
      </c>
      <c r="U1329" t="s">
        <v>181</v>
      </c>
      <c r="V1329" s="4" t="str">
        <f>"81611"</f>
        <v>81611</v>
      </c>
      <c r="W1329" t="s">
        <v>120</v>
      </c>
      <c r="Y1329" s="5">
        <v>19709206397</v>
      </c>
      <c r="AA1329">
        <v>71392</v>
      </c>
      <c r="AB1329" t="s">
        <v>11242</v>
      </c>
      <c r="AC1329" t="s">
        <v>2622</v>
      </c>
      <c r="AE1329" t="s">
        <v>1915</v>
      </c>
      <c r="AF1329" t="s">
        <v>11243</v>
      </c>
      <c r="AH1329" t="s">
        <v>8627</v>
      </c>
      <c r="AI1329" t="s">
        <v>181</v>
      </c>
      <c r="AJ1329" s="4" t="str">
        <f>"81611"</f>
        <v>81611</v>
      </c>
      <c r="AK1329" t="s">
        <v>120</v>
      </c>
      <c r="AM1329" s="5">
        <v>19709206397</v>
      </c>
      <c r="AO1329" t="s">
        <v>11244</v>
      </c>
      <c r="AP1329" t="s">
        <v>122</v>
      </c>
      <c r="AQ1329" t="s">
        <v>176</v>
      </c>
      <c r="AR1329" t="s">
        <v>146</v>
      </c>
      <c r="AS1329" t="s">
        <v>177</v>
      </c>
      <c r="AT1329" t="s">
        <v>178</v>
      </c>
      <c r="AU1329" t="s">
        <v>179</v>
      </c>
      <c r="AV1329" t="s">
        <v>180</v>
      </c>
      <c r="AW1329" t="s">
        <v>181</v>
      </c>
      <c r="AX1329" s="4" t="str">
        <f>"80222"</f>
        <v>80222</v>
      </c>
      <c r="AY1329" t="s">
        <v>120</v>
      </c>
      <c r="BA1329" s="5">
        <v>13037646802</v>
      </c>
      <c r="BC1329" t="s">
        <v>182</v>
      </c>
      <c r="BD1329" t="s">
        <v>183</v>
      </c>
      <c r="BE1329" t="s">
        <v>184</v>
      </c>
      <c r="BF1329" t="s">
        <v>185</v>
      </c>
      <c r="BG1329" t="s">
        <v>181</v>
      </c>
      <c r="BH1329" s="1">
        <v>44791.833333333336</v>
      </c>
      <c r="BI1329">
        <v>40</v>
      </c>
      <c r="BJ1329">
        <v>0</v>
      </c>
      <c r="BK1329">
        <v>8</v>
      </c>
      <c r="BL1329">
        <v>8</v>
      </c>
      <c r="BM1329">
        <v>8</v>
      </c>
      <c r="BN1329">
        <v>8</v>
      </c>
      <c r="BO1329">
        <v>8</v>
      </c>
      <c r="BP1329">
        <v>0</v>
      </c>
      <c r="BQ1329" t="str">
        <f>"8:00 AM"</f>
        <v>8:00 AM</v>
      </c>
      <c r="BR1329" t="str">
        <f>"4:30 PM"</f>
        <v>4:30 PM</v>
      </c>
      <c r="BS1329" t="s">
        <v>133</v>
      </c>
      <c r="BT1329">
        <v>0</v>
      </c>
      <c r="BU1329">
        <v>3</v>
      </c>
      <c r="BV1329" t="s">
        <v>134</v>
      </c>
      <c r="BX1329" s="2" t="s">
        <v>15295</v>
      </c>
      <c r="BY1329" t="s">
        <v>11243</v>
      </c>
      <c r="CA1329" t="s">
        <v>8627</v>
      </c>
      <c r="CB1329" t="s">
        <v>181</v>
      </c>
      <c r="CC1329" s="4" t="str">
        <f>"81611"</f>
        <v>81611</v>
      </c>
      <c r="CD1329" t="s">
        <v>8632</v>
      </c>
      <c r="CE1329" t="s">
        <v>1570</v>
      </c>
      <c r="CF1329" s="6">
        <v>23</v>
      </c>
      <c r="CH1329" s="6">
        <v>34.5</v>
      </c>
      <c r="CJ1329" t="s">
        <v>137</v>
      </c>
      <c r="CK1329" t="s">
        <v>15972</v>
      </c>
      <c r="CL1329" t="s">
        <v>15973</v>
      </c>
      <c r="CO1329" t="s">
        <v>138</v>
      </c>
      <c r="CP1329" t="s">
        <v>134</v>
      </c>
      <c r="CQ1329" t="s">
        <v>134</v>
      </c>
      <c r="CR1329" t="s">
        <v>114</v>
      </c>
      <c r="CS1329" t="s">
        <v>114</v>
      </c>
      <c r="CT1329" t="s">
        <v>114</v>
      </c>
      <c r="CU1329" t="s">
        <v>114</v>
      </c>
      <c r="CV1329" t="s">
        <v>11248</v>
      </c>
      <c r="CW1329" s="5" t="str">
        <f>"+19709206397"</f>
        <v>+19709206397</v>
      </c>
      <c r="CX1329" t="s">
        <v>138</v>
      </c>
      <c r="CY1329" t="s">
        <v>11249</v>
      </c>
      <c r="CZ1329" t="s">
        <v>139</v>
      </c>
      <c r="DA1329" t="s">
        <v>134</v>
      </c>
      <c r="DB1329" t="s">
        <v>114</v>
      </c>
      <c r="DC1329" t="s">
        <v>114</v>
      </c>
      <c r="DD1329" t="s">
        <v>134</v>
      </c>
      <c r="DE1329" t="s">
        <v>2157</v>
      </c>
      <c r="DF1329" t="s">
        <v>2158</v>
      </c>
      <c r="DH1329" t="s">
        <v>183</v>
      </c>
      <c r="DI1329" t="s">
        <v>6015</v>
      </c>
    </row>
    <row r="1330" spans="1:113" ht="15" customHeight="1" x14ac:dyDescent="0.25">
      <c r="A1330" t="s">
        <v>10625</v>
      </c>
      <c r="B1330" t="s">
        <v>523</v>
      </c>
      <c r="C1330" s="1">
        <v>44827.833496296298</v>
      </c>
      <c r="D1330" s="1">
        <v>44853</v>
      </c>
      <c r="E1330" t="s">
        <v>134</v>
      </c>
      <c r="F1330" t="s">
        <v>10626</v>
      </c>
      <c r="G1330" t="str">
        <f>"35-2021.00"</f>
        <v>35-2021.00</v>
      </c>
      <c r="H1330" t="s">
        <v>718</v>
      </c>
      <c r="I1330">
        <v>30</v>
      </c>
      <c r="J1330">
        <v>27</v>
      </c>
      <c r="K1330" s="1">
        <v>44902</v>
      </c>
      <c r="L1330" s="1">
        <v>45169</v>
      </c>
      <c r="M1330" s="1">
        <v>44902</v>
      </c>
      <c r="N1330" s="1">
        <v>45169</v>
      </c>
      <c r="O1330" t="s">
        <v>117</v>
      </c>
      <c r="P1330" t="s">
        <v>10627</v>
      </c>
      <c r="R1330" t="s">
        <v>10628</v>
      </c>
      <c r="T1330" t="s">
        <v>10629</v>
      </c>
      <c r="U1330" t="s">
        <v>792</v>
      </c>
      <c r="V1330" s="4" t="str">
        <f>"98624"</f>
        <v>98624</v>
      </c>
      <c r="W1330" t="s">
        <v>120</v>
      </c>
      <c r="Y1330" s="5">
        <v>13606423773</v>
      </c>
      <c r="AA1330">
        <v>424460</v>
      </c>
      <c r="AB1330" t="s">
        <v>10630</v>
      </c>
      <c r="AC1330" t="s">
        <v>4015</v>
      </c>
      <c r="AE1330" t="s">
        <v>10631</v>
      </c>
      <c r="AF1330" t="s">
        <v>10628</v>
      </c>
      <c r="AH1330" t="s">
        <v>10629</v>
      </c>
      <c r="AI1330" t="s">
        <v>792</v>
      </c>
      <c r="AJ1330" s="4" t="str">
        <f>"98624"</f>
        <v>98624</v>
      </c>
      <c r="AK1330" t="s">
        <v>120</v>
      </c>
      <c r="AM1330" s="5">
        <v>13606423773</v>
      </c>
      <c r="AO1330" t="s">
        <v>10632</v>
      </c>
      <c r="AP1330" t="s">
        <v>256</v>
      </c>
      <c r="AQ1330" t="s">
        <v>1420</v>
      </c>
      <c r="AR1330" t="s">
        <v>1421</v>
      </c>
      <c r="AT1330" t="s">
        <v>1422</v>
      </c>
      <c r="AU1330" t="s">
        <v>347</v>
      </c>
      <c r="AV1330" t="s">
        <v>828</v>
      </c>
      <c r="AW1330" t="s">
        <v>349</v>
      </c>
      <c r="AX1330" s="4" t="str">
        <f>"83814"</f>
        <v>83814</v>
      </c>
      <c r="AY1330" t="s">
        <v>120</v>
      </c>
      <c r="BA1330" s="5">
        <v>12087772654</v>
      </c>
      <c r="BC1330" t="s">
        <v>1423</v>
      </c>
      <c r="BD1330" t="s">
        <v>351</v>
      </c>
      <c r="BG1330" t="s">
        <v>792</v>
      </c>
      <c r="BH1330" s="1">
        <v>44826.833333333336</v>
      </c>
      <c r="BI1330">
        <v>40</v>
      </c>
      <c r="BJ1330">
        <v>0</v>
      </c>
      <c r="BK1330">
        <v>8</v>
      </c>
      <c r="BL1330">
        <v>8</v>
      </c>
      <c r="BM1330">
        <v>8</v>
      </c>
      <c r="BN1330">
        <v>8</v>
      </c>
      <c r="BO1330">
        <v>8</v>
      </c>
      <c r="BP1330">
        <v>0</v>
      </c>
      <c r="BQ1330" t="str">
        <f>"7:00 AM"</f>
        <v>7:00 AM</v>
      </c>
      <c r="BR1330" t="str">
        <f>"3:30 PM"</f>
        <v>3:30 PM</v>
      </c>
      <c r="BS1330" t="s">
        <v>133</v>
      </c>
      <c r="BT1330">
        <v>0</v>
      </c>
      <c r="BU1330">
        <v>0</v>
      </c>
      <c r="BV1330" t="s">
        <v>134</v>
      </c>
      <c r="BX1330" t="s">
        <v>10633</v>
      </c>
      <c r="BY1330" t="s">
        <v>10628</v>
      </c>
      <c r="CA1330" t="s">
        <v>10629</v>
      </c>
      <c r="CB1330" t="s">
        <v>792</v>
      </c>
      <c r="CC1330" s="4" t="str">
        <f>"98624"</f>
        <v>98624</v>
      </c>
      <c r="CD1330" t="s">
        <v>10634</v>
      </c>
      <c r="CE1330" t="s">
        <v>7852</v>
      </c>
      <c r="CF1330" s="6">
        <v>16.25</v>
      </c>
      <c r="CG1330" s="6">
        <v>18</v>
      </c>
      <c r="CH1330" s="6">
        <v>24.38</v>
      </c>
      <c r="CI1330" s="6">
        <v>27</v>
      </c>
      <c r="CJ1330" t="s">
        <v>137</v>
      </c>
      <c r="CK1330" t="s">
        <v>356</v>
      </c>
      <c r="CL1330" t="s">
        <v>10635</v>
      </c>
      <c r="CO1330" t="s">
        <v>138</v>
      </c>
      <c r="CP1330" t="s">
        <v>134</v>
      </c>
      <c r="CQ1330" t="s">
        <v>134</v>
      </c>
      <c r="CR1330" t="s">
        <v>114</v>
      </c>
      <c r="CS1330" t="s">
        <v>114</v>
      </c>
      <c r="CT1330" t="s">
        <v>114</v>
      </c>
      <c r="CU1330" t="s">
        <v>114</v>
      </c>
      <c r="CV1330" t="s">
        <v>10636</v>
      </c>
      <c r="CW1330" s="5" t="str">
        <f>"+13602140192"</f>
        <v>+13602140192</v>
      </c>
      <c r="CX1330" t="s">
        <v>10632</v>
      </c>
      <c r="CY1330" t="s">
        <v>10637</v>
      </c>
      <c r="CZ1330" t="s">
        <v>139</v>
      </c>
      <c r="DA1330" t="s">
        <v>134</v>
      </c>
      <c r="DB1330" t="s">
        <v>114</v>
      </c>
      <c r="DC1330" t="s">
        <v>114</v>
      </c>
      <c r="DD1330" t="s">
        <v>134</v>
      </c>
    </row>
    <row r="1331" spans="1:113" ht="15" customHeight="1" x14ac:dyDescent="0.25">
      <c r="A1331" t="s">
        <v>522</v>
      </c>
      <c r="B1331" t="s">
        <v>523</v>
      </c>
      <c r="C1331" s="1">
        <v>44818.724340046298</v>
      </c>
      <c r="D1331" s="1">
        <v>44848</v>
      </c>
      <c r="E1331" t="s">
        <v>134</v>
      </c>
      <c r="F1331" t="s">
        <v>524</v>
      </c>
      <c r="G1331" t="str">
        <f>"49-9098.00"</f>
        <v>49-9098.00</v>
      </c>
      <c r="H1331" t="s">
        <v>525</v>
      </c>
      <c r="I1331">
        <v>15</v>
      </c>
      <c r="J1331">
        <v>14</v>
      </c>
      <c r="K1331" s="1">
        <v>44893</v>
      </c>
      <c r="L1331" s="1">
        <v>45017</v>
      </c>
      <c r="M1331" s="1">
        <v>44893</v>
      </c>
      <c r="N1331" s="1">
        <v>45017</v>
      </c>
      <c r="O1331" t="s">
        <v>199</v>
      </c>
      <c r="P1331" t="s">
        <v>526</v>
      </c>
      <c r="Q1331" t="s">
        <v>527</v>
      </c>
      <c r="R1331" t="s">
        <v>528</v>
      </c>
      <c r="T1331" t="s">
        <v>529</v>
      </c>
      <c r="U1331" t="s">
        <v>530</v>
      </c>
      <c r="V1331" s="4" t="str">
        <f>"85268"</f>
        <v>85268</v>
      </c>
      <c r="W1331" t="s">
        <v>120</v>
      </c>
      <c r="Y1331" s="5">
        <v>14802310251</v>
      </c>
      <c r="Z1331">
        <v>0</v>
      </c>
      <c r="AA1331">
        <v>71119</v>
      </c>
      <c r="AB1331" t="s">
        <v>531</v>
      </c>
      <c r="AC1331" t="s">
        <v>532</v>
      </c>
      <c r="AE1331" t="s">
        <v>533</v>
      </c>
      <c r="AF1331" t="s">
        <v>528</v>
      </c>
      <c r="AH1331" t="s">
        <v>529</v>
      </c>
      <c r="AI1331" t="s">
        <v>530</v>
      </c>
      <c r="AJ1331" s="4" t="str">
        <f>"85268"</f>
        <v>85268</v>
      </c>
      <c r="AK1331" t="s">
        <v>120</v>
      </c>
      <c r="AM1331" s="5">
        <v>14802310251</v>
      </c>
      <c r="AN1331">
        <v>0</v>
      </c>
      <c r="AO1331" t="s">
        <v>534</v>
      </c>
      <c r="AP1331" t="s">
        <v>256</v>
      </c>
      <c r="AQ1331" t="s">
        <v>535</v>
      </c>
      <c r="AR1331" t="s">
        <v>536</v>
      </c>
      <c r="AS1331" t="s">
        <v>537</v>
      </c>
      <c r="AT1331" t="s">
        <v>538</v>
      </c>
      <c r="AU1331" t="s">
        <v>539</v>
      </c>
      <c r="AV1331" t="s">
        <v>540</v>
      </c>
      <c r="AW1331" t="s">
        <v>232</v>
      </c>
      <c r="AX1331" s="4" t="str">
        <f>"78550"</f>
        <v>78550</v>
      </c>
      <c r="AY1331" t="s">
        <v>120</v>
      </c>
      <c r="AZ1331" t="s">
        <v>541</v>
      </c>
      <c r="BA1331" s="5">
        <v>19564408720</v>
      </c>
      <c r="BB1331">
        <v>0</v>
      </c>
      <c r="BC1331" t="s">
        <v>542</v>
      </c>
      <c r="BD1331" t="s">
        <v>543</v>
      </c>
      <c r="BG1331" t="s">
        <v>530</v>
      </c>
      <c r="BH1331" s="1">
        <v>44817.833333333336</v>
      </c>
      <c r="BI1331">
        <v>40</v>
      </c>
      <c r="BJ1331">
        <v>0</v>
      </c>
      <c r="BK1331">
        <v>8</v>
      </c>
      <c r="BL1331">
        <v>8</v>
      </c>
      <c r="BM1331">
        <v>8</v>
      </c>
      <c r="BN1331">
        <v>8</v>
      </c>
      <c r="BO1331">
        <v>8</v>
      </c>
      <c r="BP1331">
        <v>0</v>
      </c>
      <c r="BQ1331" t="str">
        <f>"8:00 AM"</f>
        <v>8:00 AM</v>
      </c>
      <c r="BR1331" t="str">
        <f>"5:00 PM"</f>
        <v>5:00 PM</v>
      </c>
      <c r="BS1331" t="s">
        <v>133</v>
      </c>
      <c r="BT1331">
        <v>0</v>
      </c>
      <c r="BU1331">
        <v>0</v>
      </c>
      <c r="BV1331" t="s">
        <v>134</v>
      </c>
      <c r="BX1331" t="s">
        <v>544</v>
      </c>
      <c r="BY1331" t="s">
        <v>545</v>
      </c>
      <c r="CA1331" t="s">
        <v>546</v>
      </c>
      <c r="CB1331" t="s">
        <v>530</v>
      </c>
      <c r="CC1331" s="4" t="str">
        <f>"85122"</f>
        <v>85122</v>
      </c>
      <c r="CD1331" t="s">
        <v>547</v>
      </c>
      <c r="CE1331" t="s">
        <v>548</v>
      </c>
      <c r="CF1331" s="6">
        <v>16.97</v>
      </c>
      <c r="CG1331" s="6">
        <v>16.97</v>
      </c>
      <c r="CH1331" s="6">
        <v>0</v>
      </c>
      <c r="CI1331" s="6">
        <v>0</v>
      </c>
      <c r="CJ1331" t="s">
        <v>137</v>
      </c>
      <c r="CK1331" t="s">
        <v>549</v>
      </c>
      <c r="CL1331" t="s">
        <v>550</v>
      </c>
      <c r="CO1331" t="s">
        <v>138</v>
      </c>
      <c r="CP1331" t="s">
        <v>134</v>
      </c>
      <c r="CQ1331" t="s">
        <v>114</v>
      </c>
      <c r="CR1331" t="s">
        <v>134</v>
      </c>
      <c r="CS1331" t="s">
        <v>114</v>
      </c>
      <c r="CT1331" t="s">
        <v>114</v>
      </c>
      <c r="CU1331" t="s">
        <v>114</v>
      </c>
      <c r="CV1331" s="2" t="s">
        <v>551</v>
      </c>
      <c r="CW1331" s="5" t="str">
        <f>"+14802310251"</f>
        <v>+14802310251</v>
      </c>
      <c r="CX1331" t="s">
        <v>552</v>
      </c>
      <c r="CY1331" t="s">
        <v>138</v>
      </c>
      <c r="CZ1331" t="s">
        <v>139</v>
      </c>
      <c r="DA1331" t="s">
        <v>134</v>
      </c>
      <c r="DB1331" t="s">
        <v>114</v>
      </c>
      <c r="DC1331" t="s">
        <v>114</v>
      </c>
      <c r="DD1331" t="s">
        <v>134</v>
      </c>
    </row>
    <row r="1332" spans="1:113" ht="15" customHeight="1" x14ac:dyDescent="0.25">
      <c r="A1332" t="s">
        <v>12051</v>
      </c>
      <c r="B1332" t="s">
        <v>523</v>
      </c>
      <c r="C1332" s="1">
        <v>44818.606084375002</v>
      </c>
      <c r="D1332" s="1">
        <v>44847</v>
      </c>
      <c r="E1332" t="s">
        <v>134</v>
      </c>
      <c r="F1332" t="s">
        <v>4447</v>
      </c>
      <c r="G1332" t="str">
        <f>"35-2014.00"</f>
        <v>35-2014.00</v>
      </c>
      <c r="H1332" t="s">
        <v>915</v>
      </c>
      <c r="I1332">
        <v>5</v>
      </c>
      <c r="J1332">
        <v>3</v>
      </c>
      <c r="K1332" s="1">
        <v>44896</v>
      </c>
      <c r="L1332" s="1">
        <v>45032</v>
      </c>
      <c r="M1332" s="1">
        <v>44896</v>
      </c>
      <c r="N1332" s="1">
        <v>45032</v>
      </c>
      <c r="O1332" t="s">
        <v>117</v>
      </c>
      <c r="P1332" t="s">
        <v>4989</v>
      </c>
      <c r="Q1332" t="s">
        <v>4990</v>
      </c>
      <c r="R1332" t="s">
        <v>4991</v>
      </c>
      <c r="T1332" t="s">
        <v>4992</v>
      </c>
      <c r="U1332" t="s">
        <v>792</v>
      </c>
      <c r="V1332" s="4" t="str">
        <f>"98022"</f>
        <v>98022</v>
      </c>
      <c r="W1332" t="s">
        <v>120</v>
      </c>
      <c r="Y1332" s="5">
        <v>18332797895</v>
      </c>
      <c r="AA1332">
        <v>721110</v>
      </c>
      <c r="AB1332" t="s">
        <v>4993</v>
      </c>
      <c r="AC1332" t="s">
        <v>4471</v>
      </c>
      <c r="AE1332" t="s">
        <v>474</v>
      </c>
      <c r="AF1332" t="s">
        <v>4991</v>
      </c>
      <c r="AH1332" t="s">
        <v>4992</v>
      </c>
      <c r="AI1332" t="s">
        <v>792</v>
      </c>
      <c r="AJ1332" s="4" t="str">
        <f>"98022"</f>
        <v>98022</v>
      </c>
      <c r="AK1332" t="s">
        <v>120</v>
      </c>
      <c r="AM1332" s="5">
        <v>18332797895</v>
      </c>
      <c r="AO1332" t="s">
        <v>4994</v>
      </c>
      <c r="AP1332" t="s">
        <v>122</v>
      </c>
      <c r="AQ1332" t="s">
        <v>3685</v>
      </c>
      <c r="AR1332" t="s">
        <v>2874</v>
      </c>
      <c r="AS1332" t="s">
        <v>3686</v>
      </c>
      <c r="AT1332" t="s">
        <v>3687</v>
      </c>
      <c r="AU1332" t="s">
        <v>152</v>
      </c>
      <c r="AV1332" t="s">
        <v>3688</v>
      </c>
      <c r="AW1332" t="s">
        <v>444</v>
      </c>
      <c r="AX1332" s="4" t="str">
        <f>"91361"</f>
        <v>91361</v>
      </c>
      <c r="AY1332" t="s">
        <v>120</v>
      </c>
      <c r="BA1332" s="5">
        <v>18052611393</v>
      </c>
      <c r="BC1332" t="s">
        <v>3689</v>
      </c>
      <c r="BD1332" t="s">
        <v>3690</v>
      </c>
      <c r="BE1332" t="s">
        <v>154</v>
      </c>
      <c r="BF1332" t="s">
        <v>157</v>
      </c>
      <c r="BG1332" t="s">
        <v>792</v>
      </c>
      <c r="BH1332" s="1">
        <v>44816.833333333336</v>
      </c>
      <c r="BI1332">
        <v>35</v>
      </c>
      <c r="BJ1332">
        <v>5</v>
      </c>
      <c r="BK1332">
        <v>5</v>
      </c>
      <c r="BL1332">
        <v>5</v>
      </c>
      <c r="BM1332">
        <v>5</v>
      </c>
      <c r="BN1332">
        <v>5</v>
      </c>
      <c r="BO1332">
        <v>5</v>
      </c>
      <c r="BP1332">
        <v>5</v>
      </c>
      <c r="BQ1332" t="str">
        <f>"6:00 AM"</f>
        <v>6:00 AM</v>
      </c>
      <c r="BR1332" t="str">
        <f>"2:00 PM"</f>
        <v>2:00 PM</v>
      </c>
      <c r="BS1332" t="s">
        <v>133</v>
      </c>
      <c r="BT1332">
        <v>0</v>
      </c>
      <c r="BU1332">
        <v>12</v>
      </c>
      <c r="BV1332" t="s">
        <v>134</v>
      </c>
      <c r="BX1332" s="2" t="s">
        <v>12052</v>
      </c>
      <c r="BY1332" t="s">
        <v>4991</v>
      </c>
      <c r="CA1332" t="s">
        <v>4992</v>
      </c>
      <c r="CB1332" t="s">
        <v>792</v>
      </c>
      <c r="CC1332" s="4" t="str">
        <f>"98022"</f>
        <v>98022</v>
      </c>
      <c r="CD1332" t="s">
        <v>2679</v>
      </c>
      <c r="CE1332" t="s">
        <v>2680</v>
      </c>
      <c r="CF1332" s="6">
        <v>20.04</v>
      </c>
      <c r="CG1332" s="6">
        <v>23.99</v>
      </c>
      <c r="CH1332" s="6">
        <v>30.06</v>
      </c>
      <c r="CI1332" s="6">
        <v>35.99</v>
      </c>
      <c r="CJ1332" t="s">
        <v>137</v>
      </c>
      <c r="CK1332" t="s">
        <v>12053</v>
      </c>
      <c r="CL1332" t="s">
        <v>12054</v>
      </c>
      <c r="CO1332" t="s">
        <v>138</v>
      </c>
      <c r="CP1332" t="s">
        <v>134</v>
      </c>
      <c r="CQ1332" t="s">
        <v>114</v>
      </c>
      <c r="CR1332" t="s">
        <v>114</v>
      </c>
      <c r="CS1332" t="s">
        <v>114</v>
      </c>
      <c r="CT1332" t="s">
        <v>114</v>
      </c>
      <c r="CU1332" t="s">
        <v>114</v>
      </c>
      <c r="CV1332" s="2" t="s">
        <v>12055</v>
      </c>
      <c r="CW1332" s="5" t="str">
        <f>"+13606633015"</f>
        <v>+13606633015</v>
      </c>
      <c r="CX1332" t="s">
        <v>12056</v>
      </c>
      <c r="CY1332" t="s">
        <v>138</v>
      </c>
      <c r="CZ1332" t="s">
        <v>139</v>
      </c>
      <c r="DA1332" t="s">
        <v>134</v>
      </c>
      <c r="DB1332" t="s">
        <v>134</v>
      </c>
      <c r="DC1332" t="s">
        <v>114</v>
      </c>
      <c r="DD1332" t="s">
        <v>134</v>
      </c>
    </row>
    <row r="1333" spans="1:113" ht="15" customHeight="1" x14ac:dyDescent="0.25">
      <c r="A1333" t="s">
        <v>12157</v>
      </c>
      <c r="B1333" t="s">
        <v>523</v>
      </c>
      <c r="C1333" s="1">
        <v>44774.907573842589</v>
      </c>
      <c r="D1333" s="1">
        <v>44846</v>
      </c>
      <c r="E1333" t="s">
        <v>134</v>
      </c>
      <c r="F1333" t="s">
        <v>12158</v>
      </c>
      <c r="G1333" t="str">
        <f>"35-2014.00"</f>
        <v>35-2014.00</v>
      </c>
      <c r="H1333" t="s">
        <v>915</v>
      </c>
      <c r="I1333">
        <v>6</v>
      </c>
      <c r="J1333">
        <v>5</v>
      </c>
      <c r="K1333" s="1">
        <v>44849</v>
      </c>
      <c r="L1333" s="1">
        <v>45046</v>
      </c>
      <c r="M1333" s="1">
        <v>44849</v>
      </c>
      <c r="N1333" s="1">
        <v>45046</v>
      </c>
      <c r="O1333" t="s">
        <v>117</v>
      </c>
      <c r="P1333" t="s">
        <v>9737</v>
      </c>
      <c r="R1333" t="s">
        <v>9738</v>
      </c>
      <c r="S1333" t="s">
        <v>9739</v>
      </c>
      <c r="T1333" t="s">
        <v>5592</v>
      </c>
      <c r="U1333" t="s">
        <v>181</v>
      </c>
      <c r="V1333" s="4" t="str">
        <f>"80446"</f>
        <v>80446</v>
      </c>
      <c r="W1333" t="s">
        <v>120</v>
      </c>
      <c r="Y1333" s="5">
        <v>19705312102</v>
      </c>
      <c r="AA1333">
        <v>445210</v>
      </c>
      <c r="AB1333" t="s">
        <v>9740</v>
      </c>
      <c r="AC1333" t="s">
        <v>1586</v>
      </c>
      <c r="AE1333" t="s">
        <v>424</v>
      </c>
      <c r="AF1333" t="s">
        <v>9738</v>
      </c>
      <c r="AG1333" t="s">
        <v>9741</v>
      </c>
      <c r="AH1333" t="s">
        <v>5592</v>
      </c>
      <c r="AI1333" t="s">
        <v>181</v>
      </c>
      <c r="AJ1333" s="4" t="str">
        <f>"80446"</f>
        <v>80446</v>
      </c>
      <c r="AK1333" t="s">
        <v>120</v>
      </c>
      <c r="AM1333" s="5">
        <v>19705312102</v>
      </c>
      <c r="AO1333" t="s">
        <v>9742</v>
      </c>
      <c r="AP1333" t="s">
        <v>122</v>
      </c>
      <c r="AQ1333" t="s">
        <v>753</v>
      </c>
      <c r="AR1333" t="s">
        <v>754</v>
      </c>
      <c r="AS1333" t="s">
        <v>755</v>
      </c>
      <c r="AT1333" t="s">
        <v>756</v>
      </c>
      <c r="AU1333" t="s">
        <v>757</v>
      </c>
      <c r="AV1333" t="s">
        <v>758</v>
      </c>
      <c r="AW1333" t="s">
        <v>281</v>
      </c>
      <c r="AX1333" s="4" t="str">
        <f>"01701"</f>
        <v>01701</v>
      </c>
      <c r="AY1333" t="s">
        <v>120</v>
      </c>
      <c r="BA1333" s="5">
        <v>16179399444</v>
      </c>
      <c r="BC1333" t="s">
        <v>2487</v>
      </c>
      <c r="BD1333" t="s">
        <v>760</v>
      </c>
      <c r="BE1333" t="s">
        <v>281</v>
      </c>
      <c r="BF1333" t="s">
        <v>761</v>
      </c>
      <c r="BG1333" t="s">
        <v>181</v>
      </c>
      <c r="BH1333" s="1">
        <v>44773.833333333336</v>
      </c>
      <c r="BI1333">
        <v>40</v>
      </c>
      <c r="BJ1333">
        <v>0</v>
      </c>
      <c r="BK1333">
        <v>8</v>
      </c>
      <c r="BL1333">
        <v>8</v>
      </c>
      <c r="BM1333">
        <v>8</v>
      </c>
      <c r="BN1333">
        <v>8</v>
      </c>
      <c r="BO1333">
        <v>8</v>
      </c>
      <c r="BP1333">
        <v>0</v>
      </c>
      <c r="BQ1333" t="str">
        <f>"7:00 AM"</f>
        <v>7:00 AM</v>
      </c>
      <c r="BR1333" t="str">
        <f>"4:00 PM"</f>
        <v>4:00 PM</v>
      </c>
      <c r="BS1333" t="s">
        <v>133</v>
      </c>
      <c r="BT1333">
        <v>0</v>
      </c>
      <c r="BU1333">
        <v>3</v>
      </c>
      <c r="BV1333" t="s">
        <v>134</v>
      </c>
      <c r="BX1333" s="2" t="s">
        <v>12159</v>
      </c>
      <c r="BY1333" t="s">
        <v>9738</v>
      </c>
      <c r="CA1333" t="s">
        <v>5592</v>
      </c>
      <c r="CB1333" t="s">
        <v>181</v>
      </c>
      <c r="CC1333" s="4" t="str">
        <f>"80446"</f>
        <v>80446</v>
      </c>
      <c r="CD1333" t="s">
        <v>1847</v>
      </c>
      <c r="CE1333" t="s">
        <v>1570</v>
      </c>
      <c r="CF1333" s="6">
        <v>17.510000000000002</v>
      </c>
      <c r="CH1333" s="6">
        <v>26.27</v>
      </c>
      <c r="CJ1333" t="s">
        <v>137</v>
      </c>
      <c r="CK1333" t="e">
        <f>+ DOE.</f>
        <v>#NAME?</v>
      </c>
      <c r="CL1333" t="s">
        <v>12160</v>
      </c>
      <c r="CO1333" t="s">
        <v>138</v>
      </c>
      <c r="CP1333" t="s">
        <v>134</v>
      </c>
      <c r="CQ1333" t="s">
        <v>134</v>
      </c>
      <c r="CR1333" t="s">
        <v>114</v>
      </c>
      <c r="CS1333" t="s">
        <v>114</v>
      </c>
      <c r="CT1333" t="s">
        <v>114</v>
      </c>
      <c r="CU1333" t="s">
        <v>114</v>
      </c>
      <c r="CV1333" t="s">
        <v>12161</v>
      </c>
      <c r="CW1333" s="5" t="str">
        <f>"+19705312102"</f>
        <v>+19705312102</v>
      </c>
      <c r="CX1333" t="s">
        <v>9742</v>
      </c>
      <c r="CY1333" t="s">
        <v>138</v>
      </c>
      <c r="CZ1333" t="s">
        <v>139</v>
      </c>
      <c r="DA1333" t="s">
        <v>134</v>
      </c>
      <c r="DB1333" t="s">
        <v>134</v>
      </c>
      <c r="DC1333" t="s">
        <v>114</v>
      </c>
      <c r="DD1333" t="s">
        <v>134</v>
      </c>
    </row>
    <row r="1334" spans="1:113" ht="15" customHeight="1" x14ac:dyDescent="0.25">
      <c r="A1334" t="s">
        <v>16626</v>
      </c>
      <c r="B1334" t="s">
        <v>523</v>
      </c>
      <c r="C1334" s="1">
        <v>44812.670697453701</v>
      </c>
      <c r="D1334" s="1">
        <v>44845</v>
      </c>
      <c r="E1334" t="s">
        <v>134</v>
      </c>
      <c r="F1334" t="s">
        <v>5116</v>
      </c>
      <c r="G1334" t="str">
        <f>"35-9011.00"</f>
        <v>35-9011.00</v>
      </c>
      <c r="H1334" t="s">
        <v>743</v>
      </c>
      <c r="I1334">
        <v>8</v>
      </c>
      <c r="J1334">
        <v>5</v>
      </c>
      <c r="K1334" s="1">
        <v>44897</v>
      </c>
      <c r="L1334" s="1">
        <v>45021</v>
      </c>
      <c r="M1334" s="1">
        <v>44897</v>
      </c>
      <c r="N1334" s="1">
        <v>45021</v>
      </c>
      <c r="O1334" t="s">
        <v>117</v>
      </c>
      <c r="P1334" t="s">
        <v>16627</v>
      </c>
      <c r="Q1334" t="s">
        <v>16628</v>
      </c>
      <c r="R1334" t="s">
        <v>16629</v>
      </c>
      <c r="S1334" t="s">
        <v>16630</v>
      </c>
      <c r="T1334" t="s">
        <v>1606</v>
      </c>
      <c r="U1334" t="s">
        <v>181</v>
      </c>
      <c r="V1334" s="4" t="str">
        <f>"81620"</f>
        <v>81620</v>
      </c>
      <c r="W1334" t="s">
        <v>120</v>
      </c>
      <c r="Y1334" s="5">
        <v>19704770555</v>
      </c>
      <c r="AA1334">
        <v>722511</v>
      </c>
      <c r="AB1334" t="s">
        <v>5121</v>
      </c>
      <c r="AC1334" t="s">
        <v>4228</v>
      </c>
      <c r="AE1334" t="s">
        <v>16631</v>
      </c>
      <c r="AF1334" t="s">
        <v>5122</v>
      </c>
      <c r="AG1334" t="s">
        <v>5123</v>
      </c>
      <c r="AH1334" t="s">
        <v>1606</v>
      </c>
      <c r="AI1334" t="s">
        <v>181</v>
      </c>
      <c r="AJ1334" s="4" t="str">
        <f>"81657"</f>
        <v>81657</v>
      </c>
      <c r="AK1334" t="s">
        <v>120</v>
      </c>
      <c r="AM1334" s="5">
        <v>19704770555</v>
      </c>
      <c r="AO1334" t="s">
        <v>5124</v>
      </c>
      <c r="AP1334" t="s">
        <v>122</v>
      </c>
      <c r="AQ1334" t="s">
        <v>1602</v>
      </c>
      <c r="AR1334" t="s">
        <v>1603</v>
      </c>
      <c r="AS1334" t="s">
        <v>1501</v>
      </c>
      <c r="AT1334" t="s">
        <v>16632</v>
      </c>
      <c r="AU1334" t="s">
        <v>16633</v>
      </c>
      <c r="AV1334" t="s">
        <v>1606</v>
      </c>
      <c r="AW1334" t="s">
        <v>181</v>
      </c>
      <c r="AX1334" s="4" t="str">
        <f>"81658"</f>
        <v>81658</v>
      </c>
      <c r="AY1334" t="s">
        <v>120</v>
      </c>
      <c r="BA1334" s="5">
        <v>19703066476</v>
      </c>
      <c r="BC1334" t="s">
        <v>1607</v>
      </c>
      <c r="BD1334" t="s">
        <v>4040</v>
      </c>
      <c r="BE1334" t="s">
        <v>181</v>
      </c>
      <c r="BF1334" t="s">
        <v>1609</v>
      </c>
      <c r="BG1334" t="s">
        <v>181</v>
      </c>
      <c r="BH1334" s="1">
        <v>44806.833333333336</v>
      </c>
      <c r="BI1334">
        <v>35</v>
      </c>
      <c r="BJ1334">
        <v>7</v>
      </c>
      <c r="BK1334">
        <v>7</v>
      </c>
      <c r="BL1334">
        <v>7</v>
      </c>
      <c r="BM1334">
        <v>7</v>
      </c>
      <c r="BN1334">
        <v>7</v>
      </c>
      <c r="BO1334">
        <v>0</v>
      </c>
      <c r="BP1334">
        <v>0</v>
      </c>
      <c r="BQ1334" t="str">
        <f>"8:00 AM"</f>
        <v>8:00 AM</v>
      </c>
      <c r="BR1334" t="str">
        <f>"4:00 PM"</f>
        <v>4:00 PM</v>
      </c>
      <c r="BS1334" t="s">
        <v>133</v>
      </c>
      <c r="BT1334">
        <v>0</v>
      </c>
      <c r="BU1334">
        <v>0</v>
      </c>
      <c r="BV1334" t="s">
        <v>134</v>
      </c>
      <c r="BX1334" t="s">
        <v>5127</v>
      </c>
      <c r="BY1334" t="s">
        <v>16634</v>
      </c>
      <c r="CA1334" t="s">
        <v>1606</v>
      </c>
      <c r="CB1334" t="s">
        <v>181</v>
      </c>
      <c r="CC1334" s="4" t="str">
        <f>"81657"</f>
        <v>81657</v>
      </c>
      <c r="CD1334" t="s">
        <v>3483</v>
      </c>
      <c r="CE1334" t="s">
        <v>1570</v>
      </c>
      <c r="CF1334" s="6">
        <v>15.04</v>
      </c>
      <c r="CH1334" s="6">
        <v>22.56</v>
      </c>
      <c r="CJ1334" t="s">
        <v>137</v>
      </c>
      <c r="CK1334" t="s">
        <v>5129</v>
      </c>
      <c r="CL1334" t="s">
        <v>16635</v>
      </c>
      <c r="CO1334" t="s">
        <v>138</v>
      </c>
      <c r="CP1334" t="s">
        <v>134</v>
      </c>
      <c r="CQ1334" t="s">
        <v>114</v>
      </c>
      <c r="CR1334" t="s">
        <v>114</v>
      </c>
      <c r="CS1334" t="s">
        <v>114</v>
      </c>
      <c r="CT1334" t="s">
        <v>114</v>
      </c>
      <c r="CU1334" t="s">
        <v>134</v>
      </c>
      <c r="CV1334" t="s">
        <v>3774</v>
      </c>
      <c r="CW1334" s="5" t="str">
        <f>"+19704770555"</f>
        <v>+19704770555</v>
      </c>
      <c r="CX1334" t="s">
        <v>5124</v>
      </c>
      <c r="CY1334" t="s">
        <v>138</v>
      </c>
      <c r="CZ1334" t="s">
        <v>139</v>
      </c>
      <c r="DA1334" t="s">
        <v>134</v>
      </c>
      <c r="DB1334" t="s">
        <v>134</v>
      </c>
      <c r="DC1334" t="s">
        <v>114</v>
      </c>
      <c r="DD1334" t="s">
        <v>134</v>
      </c>
    </row>
    <row r="1335" spans="1:113" ht="15" customHeight="1" x14ac:dyDescent="0.25">
      <c r="A1335" t="s">
        <v>10582</v>
      </c>
      <c r="B1335" t="s">
        <v>523</v>
      </c>
      <c r="C1335" s="1">
        <v>44804.895490625</v>
      </c>
      <c r="D1335" s="1">
        <v>44845</v>
      </c>
      <c r="E1335" t="s">
        <v>114</v>
      </c>
      <c r="F1335" t="s">
        <v>10583</v>
      </c>
      <c r="G1335" t="str">
        <f>"43-4081.00"</f>
        <v>43-4081.00</v>
      </c>
      <c r="H1335" t="s">
        <v>2463</v>
      </c>
      <c r="I1335">
        <v>13</v>
      </c>
      <c r="J1335">
        <v>12</v>
      </c>
      <c r="K1335" s="1">
        <v>44885</v>
      </c>
      <c r="L1335" s="1">
        <v>45032</v>
      </c>
      <c r="M1335" s="1">
        <v>44885</v>
      </c>
      <c r="N1335" s="1">
        <v>45032</v>
      </c>
      <c r="O1335" t="s">
        <v>117</v>
      </c>
      <c r="P1335" t="s">
        <v>8770</v>
      </c>
      <c r="Q1335" t="s">
        <v>10584</v>
      </c>
      <c r="R1335" t="s">
        <v>8775</v>
      </c>
      <c r="S1335" t="s">
        <v>789</v>
      </c>
      <c r="T1335" t="s">
        <v>8773</v>
      </c>
      <c r="U1335" t="s">
        <v>181</v>
      </c>
      <c r="V1335" s="4" t="str">
        <f>"80487"</f>
        <v>80487</v>
      </c>
      <c r="W1335" t="s">
        <v>120</v>
      </c>
      <c r="Y1335" s="5">
        <v>19708752854</v>
      </c>
      <c r="AA1335">
        <v>53131</v>
      </c>
      <c r="AB1335" t="s">
        <v>8799</v>
      </c>
      <c r="AC1335" t="s">
        <v>8800</v>
      </c>
      <c r="AD1335" t="s">
        <v>8801</v>
      </c>
      <c r="AE1335" t="s">
        <v>8802</v>
      </c>
      <c r="AF1335" t="s">
        <v>10585</v>
      </c>
      <c r="AG1335" t="s">
        <v>7977</v>
      </c>
      <c r="AH1335" t="s">
        <v>8773</v>
      </c>
      <c r="AI1335" t="s">
        <v>181</v>
      </c>
      <c r="AJ1335" s="4" t="str">
        <f>"80487"</f>
        <v>80487</v>
      </c>
      <c r="AK1335" t="s">
        <v>120</v>
      </c>
      <c r="AM1335" s="5">
        <v>19708752854</v>
      </c>
      <c r="AO1335" t="s">
        <v>8776</v>
      </c>
      <c r="AX1335" s="4" t="str">
        <f>""</f>
        <v/>
      </c>
      <c r="BG1335" t="s">
        <v>181</v>
      </c>
      <c r="BH1335" s="1">
        <v>44803.833333333336</v>
      </c>
      <c r="BI1335">
        <v>36</v>
      </c>
      <c r="BJ1335">
        <v>0</v>
      </c>
      <c r="BK1335">
        <v>6</v>
      </c>
      <c r="BL1335">
        <v>6</v>
      </c>
      <c r="BM1335">
        <v>6</v>
      </c>
      <c r="BN1335">
        <v>6</v>
      </c>
      <c r="BO1335">
        <v>6</v>
      </c>
      <c r="BP1335">
        <v>6</v>
      </c>
      <c r="BQ1335" t="str">
        <f>"7:00 PM"</f>
        <v>7:00 PM</v>
      </c>
      <c r="BR1335" t="str">
        <f>"1:00 PM"</f>
        <v>1:00 PM</v>
      </c>
      <c r="BS1335" t="s">
        <v>133</v>
      </c>
      <c r="BT1335">
        <v>0</v>
      </c>
      <c r="BU1335">
        <v>0</v>
      </c>
      <c r="BV1335" t="s">
        <v>134</v>
      </c>
      <c r="BX1335" s="2" t="s">
        <v>10586</v>
      </c>
      <c r="BY1335" t="s">
        <v>8775</v>
      </c>
      <c r="BZ1335" t="s">
        <v>789</v>
      </c>
      <c r="CA1335" t="s">
        <v>10587</v>
      </c>
      <c r="CB1335" t="s">
        <v>181</v>
      </c>
      <c r="CC1335" s="4" t="str">
        <f>"80487"</f>
        <v>80487</v>
      </c>
      <c r="CD1335" t="s">
        <v>3692</v>
      </c>
      <c r="CE1335" t="s">
        <v>1570</v>
      </c>
      <c r="CF1335" s="6">
        <v>18</v>
      </c>
      <c r="CG1335" s="6">
        <v>18</v>
      </c>
      <c r="CH1335" s="6">
        <v>27</v>
      </c>
      <c r="CI1335" s="6">
        <v>27</v>
      </c>
      <c r="CJ1335" t="s">
        <v>137</v>
      </c>
      <c r="CL1335" t="s">
        <v>10588</v>
      </c>
      <c r="CO1335" t="s">
        <v>138</v>
      </c>
      <c r="CP1335" t="s">
        <v>134</v>
      </c>
      <c r="CQ1335" t="s">
        <v>114</v>
      </c>
      <c r="CR1335" t="s">
        <v>114</v>
      </c>
      <c r="CS1335" t="s">
        <v>114</v>
      </c>
      <c r="CT1335" t="s">
        <v>114</v>
      </c>
      <c r="CU1335" t="s">
        <v>114</v>
      </c>
      <c r="CV1335" t="s">
        <v>10589</v>
      </c>
      <c r="CW1335" s="5" t="str">
        <f>"+19708793075"</f>
        <v>+19708793075</v>
      </c>
      <c r="CX1335" t="s">
        <v>8780</v>
      </c>
      <c r="CY1335" t="s">
        <v>10590</v>
      </c>
      <c r="CZ1335" t="s">
        <v>139</v>
      </c>
      <c r="DA1335" t="s">
        <v>134</v>
      </c>
      <c r="DB1335" t="s">
        <v>134</v>
      </c>
      <c r="DC1335" t="s">
        <v>114</v>
      </c>
      <c r="DD1335" t="s">
        <v>134</v>
      </c>
    </row>
    <row r="1336" spans="1:113" ht="15" customHeight="1" x14ac:dyDescent="0.25">
      <c r="A1336" t="s">
        <v>8796</v>
      </c>
      <c r="B1336" t="s">
        <v>523</v>
      </c>
      <c r="C1336" s="1">
        <v>44802.985214583336</v>
      </c>
      <c r="D1336" s="1">
        <v>44845</v>
      </c>
      <c r="E1336" t="s">
        <v>114</v>
      </c>
      <c r="F1336" t="s">
        <v>8797</v>
      </c>
      <c r="G1336" t="str">
        <f>"37-2011.00"</f>
        <v>37-2011.00</v>
      </c>
      <c r="H1336" t="s">
        <v>672</v>
      </c>
      <c r="I1336">
        <v>25</v>
      </c>
      <c r="J1336">
        <v>24</v>
      </c>
      <c r="K1336" s="1">
        <v>44878</v>
      </c>
      <c r="L1336" s="1">
        <v>45032</v>
      </c>
      <c r="M1336" s="1">
        <v>44878</v>
      </c>
      <c r="N1336" s="1">
        <v>45032</v>
      </c>
      <c r="O1336" t="s">
        <v>117</v>
      </c>
      <c r="P1336" t="s">
        <v>8770</v>
      </c>
      <c r="Q1336" t="s">
        <v>8798</v>
      </c>
      <c r="R1336" t="s">
        <v>8772</v>
      </c>
      <c r="S1336" t="s">
        <v>7977</v>
      </c>
      <c r="T1336" t="s">
        <v>8773</v>
      </c>
      <c r="U1336" t="s">
        <v>181</v>
      </c>
      <c r="V1336" s="4" t="str">
        <f>"80487"</f>
        <v>80487</v>
      </c>
      <c r="W1336" t="s">
        <v>120</v>
      </c>
      <c r="Y1336" s="5">
        <v>19708752854</v>
      </c>
      <c r="AA1336">
        <v>53131</v>
      </c>
      <c r="AB1336" t="s">
        <v>8799</v>
      </c>
      <c r="AC1336" t="s">
        <v>8800</v>
      </c>
      <c r="AD1336" t="s">
        <v>8801</v>
      </c>
      <c r="AE1336" t="s">
        <v>8802</v>
      </c>
      <c r="AF1336" t="s">
        <v>8772</v>
      </c>
      <c r="AG1336" t="s">
        <v>7977</v>
      </c>
      <c r="AH1336" t="s">
        <v>8773</v>
      </c>
      <c r="AI1336" t="s">
        <v>181</v>
      </c>
      <c r="AJ1336" s="4" t="str">
        <f>"80487"</f>
        <v>80487</v>
      </c>
      <c r="AK1336" t="s">
        <v>120</v>
      </c>
      <c r="AM1336" s="5">
        <v>19708752854</v>
      </c>
      <c r="AO1336" t="s">
        <v>8776</v>
      </c>
      <c r="AX1336" s="4" t="str">
        <f>""</f>
        <v/>
      </c>
      <c r="BG1336" t="s">
        <v>181</v>
      </c>
      <c r="BH1336" s="1">
        <v>44801.833333333336</v>
      </c>
      <c r="BI1336">
        <v>36</v>
      </c>
      <c r="BJ1336">
        <v>0</v>
      </c>
      <c r="BK1336">
        <v>6</v>
      </c>
      <c r="BL1336">
        <v>6</v>
      </c>
      <c r="BM1336">
        <v>6</v>
      </c>
      <c r="BN1336">
        <v>6</v>
      </c>
      <c r="BO1336">
        <v>6</v>
      </c>
      <c r="BP1336">
        <v>6</v>
      </c>
      <c r="BQ1336" t="str">
        <f>"8:00 AM"</f>
        <v>8:00 AM</v>
      </c>
      <c r="BR1336" t="str">
        <f>"2:30 PM"</f>
        <v>2:30 PM</v>
      </c>
      <c r="BS1336" t="s">
        <v>133</v>
      </c>
      <c r="BT1336">
        <v>0</v>
      </c>
      <c r="BU1336">
        <v>0</v>
      </c>
      <c r="BV1336" t="s">
        <v>134</v>
      </c>
      <c r="BX1336" s="2" t="s">
        <v>8803</v>
      </c>
      <c r="BY1336" t="s">
        <v>8772</v>
      </c>
      <c r="BZ1336" t="s">
        <v>7977</v>
      </c>
      <c r="CA1336" t="s">
        <v>8773</v>
      </c>
      <c r="CB1336" t="s">
        <v>181</v>
      </c>
      <c r="CC1336" s="4" t="str">
        <f>"80487"</f>
        <v>80487</v>
      </c>
      <c r="CD1336" t="s">
        <v>3692</v>
      </c>
      <c r="CE1336" t="s">
        <v>1570</v>
      </c>
      <c r="CF1336" s="6">
        <v>17.25</v>
      </c>
      <c r="CG1336" s="6">
        <v>17.25</v>
      </c>
      <c r="CH1336" s="6">
        <v>25.88</v>
      </c>
      <c r="CI1336" s="6">
        <v>25.88</v>
      </c>
      <c r="CJ1336" t="s">
        <v>137</v>
      </c>
      <c r="CL1336" t="s">
        <v>8804</v>
      </c>
      <c r="CO1336" t="s">
        <v>138</v>
      </c>
      <c r="CP1336" t="s">
        <v>134</v>
      </c>
      <c r="CQ1336" t="s">
        <v>114</v>
      </c>
      <c r="CR1336" t="s">
        <v>114</v>
      </c>
      <c r="CS1336" t="s">
        <v>114</v>
      </c>
      <c r="CT1336" t="s">
        <v>114</v>
      </c>
      <c r="CU1336" t="s">
        <v>114</v>
      </c>
      <c r="CV1336" s="2" t="s">
        <v>8805</v>
      </c>
      <c r="CW1336" s="5" t="str">
        <f>"+19708793075"</f>
        <v>+19708793075</v>
      </c>
      <c r="CX1336" t="s">
        <v>8780</v>
      </c>
      <c r="CY1336" t="s">
        <v>8781</v>
      </c>
      <c r="CZ1336" t="s">
        <v>139</v>
      </c>
      <c r="DA1336" t="s">
        <v>134</v>
      </c>
      <c r="DB1336" t="s">
        <v>134</v>
      </c>
      <c r="DC1336" t="s">
        <v>114</v>
      </c>
      <c r="DD1336" t="s">
        <v>134</v>
      </c>
    </row>
    <row r="1337" spans="1:113" ht="15" customHeight="1" x14ac:dyDescent="0.25">
      <c r="A1337" t="s">
        <v>15974</v>
      </c>
      <c r="B1337" t="s">
        <v>523</v>
      </c>
      <c r="C1337" s="1">
        <v>44811.89996678241</v>
      </c>
      <c r="D1337" s="1">
        <v>44841</v>
      </c>
      <c r="E1337" t="s">
        <v>134</v>
      </c>
      <c r="F1337" t="s">
        <v>15975</v>
      </c>
      <c r="G1337" t="str">
        <f>"39-9011.00"</f>
        <v>39-9011.00</v>
      </c>
      <c r="H1337" t="s">
        <v>2677</v>
      </c>
      <c r="I1337">
        <v>10</v>
      </c>
      <c r="J1337">
        <v>7</v>
      </c>
      <c r="K1337" s="1">
        <v>44895</v>
      </c>
      <c r="L1337" s="1">
        <v>45025</v>
      </c>
      <c r="M1337" s="1">
        <v>44895</v>
      </c>
      <c r="N1337" s="1">
        <v>45025</v>
      </c>
      <c r="O1337" t="s">
        <v>199</v>
      </c>
      <c r="P1337" t="s">
        <v>8653</v>
      </c>
      <c r="Q1337" t="s">
        <v>8654</v>
      </c>
      <c r="R1337" t="s">
        <v>8655</v>
      </c>
      <c r="S1337" t="s">
        <v>8656</v>
      </c>
      <c r="T1337" t="s">
        <v>5250</v>
      </c>
      <c r="U1337" t="s">
        <v>420</v>
      </c>
      <c r="V1337" s="4" t="str">
        <f>"84060"</f>
        <v>84060</v>
      </c>
      <c r="W1337" t="s">
        <v>120</v>
      </c>
      <c r="Y1337" s="5">
        <v>14356456653</v>
      </c>
      <c r="AA1337">
        <v>721110</v>
      </c>
      <c r="AB1337" t="s">
        <v>8657</v>
      </c>
      <c r="AC1337" t="s">
        <v>8658</v>
      </c>
      <c r="AE1337" t="s">
        <v>5253</v>
      </c>
      <c r="AF1337" t="s">
        <v>8659</v>
      </c>
      <c r="AG1337" t="s">
        <v>8655</v>
      </c>
      <c r="AH1337" t="s">
        <v>5250</v>
      </c>
      <c r="AI1337" t="s">
        <v>420</v>
      </c>
      <c r="AJ1337" s="4" t="str">
        <f>"84060"</f>
        <v>84060</v>
      </c>
      <c r="AK1337" t="s">
        <v>120</v>
      </c>
      <c r="AM1337" s="5">
        <v>14356456653</v>
      </c>
      <c r="AO1337" t="s">
        <v>8660</v>
      </c>
      <c r="AP1337" t="s">
        <v>122</v>
      </c>
      <c r="AQ1337" t="s">
        <v>3685</v>
      </c>
      <c r="AR1337" t="s">
        <v>2874</v>
      </c>
      <c r="AS1337" t="s">
        <v>3686</v>
      </c>
      <c r="AT1337" t="s">
        <v>3687</v>
      </c>
      <c r="AU1337" t="s">
        <v>152</v>
      </c>
      <c r="AV1337" t="s">
        <v>3688</v>
      </c>
      <c r="AW1337" t="s">
        <v>444</v>
      </c>
      <c r="AX1337" s="4" t="str">
        <f>"91361"</f>
        <v>91361</v>
      </c>
      <c r="AY1337" t="s">
        <v>120</v>
      </c>
      <c r="BA1337" s="5">
        <v>18052611393</v>
      </c>
      <c r="BC1337" t="s">
        <v>3689</v>
      </c>
      <c r="BD1337" t="s">
        <v>3690</v>
      </c>
      <c r="BE1337" t="s">
        <v>154</v>
      </c>
      <c r="BF1337" t="s">
        <v>157</v>
      </c>
      <c r="BG1337" t="s">
        <v>420</v>
      </c>
      <c r="BH1337" s="1">
        <v>44798.833333333336</v>
      </c>
      <c r="BI1337">
        <v>35</v>
      </c>
      <c r="BJ1337">
        <v>5</v>
      </c>
      <c r="BK1337">
        <v>5</v>
      </c>
      <c r="BL1337">
        <v>5</v>
      </c>
      <c r="BM1337">
        <v>5</v>
      </c>
      <c r="BN1337">
        <v>5</v>
      </c>
      <c r="BO1337">
        <v>5</v>
      </c>
      <c r="BP1337">
        <v>5</v>
      </c>
      <c r="BQ1337" t="str">
        <f>"8:00 AM"</f>
        <v>8:00 AM</v>
      </c>
      <c r="BR1337" t="str">
        <f>"4:30 PM"</f>
        <v>4:30 PM</v>
      </c>
      <c r="BS1337" t="s">
        <v>133</v>
      </c>
      <c r="BT1337">
        <v>0</v>
      </c>
      <c r="BU1337">
        <v>6</v>
      </c>
      <c r="BV1337" t="s">
        <v>134</v>
      </c>
      <c r="BX1337" s="2" t="s">
        <v>15976</v>
      </c>
      <c r="BY1337" t="s">
        <v>8655</v>
      </c>
      <c r="CA1337" t="s">
        <v>5250</v>
      </c>
      <c r="CB1337" t="s">
        <v>420</v>
      </c>
      <c r="CC1337" s="4" t="str">
        <f>"84060"</f>
        <v>84060</v>
      </c>
      <c r="CD1337" t="s">
        <v>1459</v>
      </c>
      <c r="CE1337" t="s">
        <v>4193</v>
      </c>
      <c r="CF1337" s="6">
        <v>12.78</v>
      </c>
      <c r="CG1337" s="6">
        <v>22.75</v>
      </c>
      <c r="CH1337" s="6">
        <v>19.170000000000002</v>
      </c>
      <c r="CI1337" s="6">
        <v>34.119999999999997</v>
      </c>
      <c r="CJ1337" t="s">
        <v>137</v>
      </c>
      <c r="CK1337" t="s">
        <v>15977</v>
      </c>
      <c r="CL1337" t="s">
        <v>15978</v>
      </c>
      <c r="CO1337" t="s">
        <v>138</v>
      </c>
      <c r="CP1337" t="s">
        <v>134</v>
      </c>
      <c r="CQ1337" t="s">
        <v>134</v>
      </c>
      <c r="CR1337" t="s">
        <v>114</v>
      </c>
      <c r="CS1337" t="s">
        <v>114</v>
      </c>
      <c r="CT1337" t="s">
        <v>114</v>
      </c>
      <c r="CU1337" t="s">
        <v>114</v>
      </c>
      <c r="CV1337" s="2" t="s">
        <v>15979</v>
      </c>
      <c r="CW1337" s="5" t="str">
        <f>"+14356456655"</f>
        <v>+14356456655</v>
      </c>
      <c r="CX1337" t="s">
        <v>15980</v>
      </c>
      <c r="CY1337" t="s">
        <v>138</v>
      </c>
      <c r="CZ1337" t="s">
        <v>139</v>
      </c>
      <c r="DA1337" t="s">
        <v>134</v>
      </c>
      <c r="DB1337" t="s">
        <v>134</v>
      </c>
      <c r="DC1337" t="s">
        <v>114</v>
      </c>
      <c r="DD1337" t="s">
        <v>134</v>
      </c>
    </row>
    <row r="1338" spans="1:113" ht="15" customHeight="1" x14ac:dyDescent="0.25">
      <c r="A1338" t="s">
        <v>11259</v>
      </c>
      <c r="B1338" t="s">
        <v>523</v>
      </c>
      <c r="C1338" s="1">
        <v>44803.535571527776</v>
      </c>
      <c r="D1338" s="1">
        <v>44841</v>
      </c>
      <c r="E1338" t="s">
        <v>134</v>
      </c>
      <c r="F1338" t="s">
        <v>4447</v>
      </c>
      <c r="G1338" t="str">
        <f>"35-2014.00"</f>
        <v>35-2014.00</v>
      </c>
      <c r="H1338" t="s">
        <v>915</v>
      </c>
      <c r="I1338">
        <v>44</v>
      </c>
      <c r="J1338">
        <v>41</v>
      </c>
      <c r="K1338" s="1">
        <v>44893</v>
      </c>
      <c r="L1338" s="1">
        <v>45032</v>
      </c>
      <c r="M1338" s="1">
        <v>44893</v>
      </c>
      <c r="N1338" s="1">
        <v>45032</v>
      </c>
      <c r="O1338" t="s">
        <v>117</v>
      </c>
      <c r="P1338" t="s">
        <v>8653</v>
      </c>
      <c r="Q1338" t="s">
        <v>8654</v>
      </c>
      <c r="R1338" t="s">
        <v>8655</v>
      </c>
      <c r="S1338" t="s">
        <v>8656</v>
      </c>
      <c r="T1338" t="s">
        <v>5250</v>
      </c>
      <c r="U1338" t="s">
        <v>420</v>
      </c>
      <c r="V1338" s="4" t="str">
        <f>"84060"</f>
        <v>84060</v>
      </c>
      <c r="W1338" t="s">
        <v>120</v>
      </c>
      <c r="Y1338" s="5">
        <v>14356456653</v>
      </c>
      <c r="AA1338">
        <v>721110</v>
      </c>
      <c r="AB1338" t="s">
        <v>8657</v>
      </c>
      <c r="AC1338" t="s">
        <v>8658</v>
      </c>
      <c r="AE1338" t="s">
        <v>5253</v>
      </c>
      <c r="AF1338" t="s">
        <v>8659</v>
      </c>
      <c r="AG1338" t="s">
        <v>8655</v>
      </c>
      <c r="AH1338" t="s">
        <v>5250</v>
      </c>
      <c r="AI1338" t="s">
        <v>420</v>
      </c>
      <c r="AJ1338" s="4" t="str">
        <f>"84060"</f>
        <v>84060</v>
      </c>
      <c r="AK1338" t="s">
        <v>120</v>
      </c>
      <c r="AM1338" s="5">
        <v>14356456653</v>
      </c>
      <c r="AO1338" t="s">
        <v>8660</v>
      </c>
      <c r="AP1338" t="s">
        <v>122</v>
      </c>
      <c r="AQ1338" t="s">
        <v>3685</v>
      </c>
      <c r="AR1338" t="s">
        <v>2874</v>
      </c>
      <c r="AS1338" t="s">
        <v>3686</v>
      </c>
      <c r="AT1338" t="s">
        <v>3687</v>
      </c>
      <c r="AU1338" t="s">
        <v>152</v>
      </c>
      <c r="AV1338" t="s">
        <v>3688</v>
      </c>
      <c r="AW1338" t="s">
        <v>444</v>
      </c>
      <c r="AX1338" s="4" t="str">
        <f>"91361"</f>
        <v>91361</v>
      </c>
      <c r="AY1338" t="s">
        <v>120</v>
      </c>
      <c r="BA1338" s="5">
        <v>18052611393</v>
      </c>
      <c r="BC1338" t="s">
        <v>3689</v>
      </c>
      <c r="BD1338" t="s">
        <v>3690</v>
      </c>
      <c r="BE1338" t="s">
        <v>154</v>
      </c>
      <c r="BF1338" t="s">
        <v>157</v>
      </c>
      <c r="BG1338" t="s">
        <v>420</v>
      </c>
      <c r="BH1338" s="1">
        <v>44798.833333333336</v>
      </c>
      <c r="BI1338">
        <v>35</v>
      </c>
      <c r="BJ1338">
        <v>5</v>
      </c>
      <c r="BK1338">
        <v>5</v>
      </c>
      <c r="BL1338">
        <v>5</v>
      </c>
      <c r="BM1338">
        <v>5</v>
      </c>
      <c r="BN1338">
        <v>5</v>
      </c>
      <c r="BO1338">
        <v>5</v>
      </c>
      <c r="BP1338">
        <v>5</v>
      </c>
      <c r="BQ1338" t="str">
        <f>"6:00 AM"</f>
        <v>6:00 AM</v>
      </c>
      <c r="BR1338" t="str">
        <f>"2:00 PM"</f>
        <v>2:00 PM</v>
      </c>
      <c r="BS1338" t="s">
        <v>133</v>
      </c>
      <c r="BT1338">
        <v>0</v>
      </c>
      <c r="BU1338">
        <v>12</v>
      </c>
      <c r="BV1338" t="s">
        <v>134</v>
      </c>
      <c r="BX1338" s="2" t="s">
        <v>11260</v>
      </c>
      <c r="BY1338" t="s">
        <v>8655</v>
      </c>
      <c r="CA1338" t="s">
        <v>5250</v>
      </c>
      <c r="CB1338" t="s">
        <v>420</v>
      </c>
      <c r="CC1338" s="4" t="str">
        <f>"84060"</f>
        <v>84060</v>
      </c>
      <c r="CD1338" t="s">
        <v>1459</v>
      </c>
      <c r="CE1338" t="s">
        <v>4193</v>
      </c>
      <c r="CF1338" s="6">
        <v>14.93</v>
      </c>
      <c r="CG1338" s="6">
        <v>22.5</v>
      </c>
      <c r="CH1338" s="6">
        <v>22.4</v>
      </c>
      <c r="CI1338" s="6">
        <v>33.75</v>
      </c>
      <c r="CJ1338" t="s">
        <v>137</v>
      </c>
      <c r="CK1338" t="s">
        <v>11261</v>
      </c>
      <c r="CL1338" t="s">
        <v>11262</v>
      </c>
      <c r="CO1338" t="s">
        <v>138</v>
      </c>
      <c r="CP1338" t="s">
        <v>114</v>
      </c>
      <c r="CQ1338" t="s">
        <v>134</v>
      </c>
      <c r="CR1338" t="s">
        <v>114</v>
      </c>
      <c r="CS1338" t="s">
        <v>114</v>
      </c>
      <c r="CT1338" t="s">
        <v>114</v>
      </c>
      <c r="CU1338" t="s">
        <v>114</v>
      </c>
      <c r="CV1338" s="2" t="s">
        <v>11263</v>
      </c>
      <c r="CW1338" s="5" t="str">
        <f>"+19734592350"</f>
        <v>+19734592350</v>
      </c>
      <c r="CX1338" t="s">
        <v>11264</v>
      </c>
      <c r="CY1338" t="s">
        <v>138</v>
      </c>
      <c r="CZ1338" t="s">
        <v>139</v>
      </c>
      <c r="DA1338" t="s">
        <v>134</v>
      </c>
      <c r="DB1338" t="s">
        <v>134</v>
      </c>
      <c r="DC1338" t="s">
        <v>114</v>
      </c>
      <c r="DD1338" t="s">
        <v>134</v>
      </c>
    </row>
    <row r="1339" spans="1:113" ht="15" customHeight="1" x14ac:dyDescent="0.25">
      <c r="A1339" t="s">
        <v>3676</v>
      </c>
      <c r="B1339" t="s">
        <v>523</v>
      </c>
      <c r="C1339" s="1">
        <v>44799.783340277776</v>
      </c>
      <c r="D1339" s="1">
        <v>44841</v>
      </c>
      <c r="E1339" t="s">
        <v>134</v>
      </c>
      <c r="F1339" t="s">
        <v>3677</v>
      </c>
      <c r="G1339" t="str">
        <f>"35-2014.00"</f>
        <v>35-2014.00</v>
      </c>
      <c r="H1339" t="s">
        <v>915</v>
      </c>
      <c r="I1339">
        <v>25</v>
      </c>
      <c r="J1339">
        <v>23</v>
      </c>
      <c r="K1339" s="1">
        <v>44889</v>
      </c>
      <c r="L1339" s="1">
        <v>45030</v>
      </c>
      <c r="M1339" s="1">
        <v>44889</v>
      </c>
      <c r="N1339" s="1">
        <v>45030</v>
      </c>
      <c r="O1339" t="s">
        <v>117</v>
      </c>
      <c r="P1339" t="s">
        <v>3678</v>
      </c>
      <c r="Q1339" t="s">
        <v>3679</v>
      </c>
      <c r="R1339" t="s">
        <v>3680</v>
      </c>
      <c r="T1339" t="s">
        <v>3681</v>
      </c>
      <c r="U1339" t="s">
        <v>181</v>
      </c>
      <c r="V1339" s="4" t="str">
        <f>"80487"</f>
        <v>80487</v>
      </c>
      <c r="W1339" t="s">
        <v>120</v>
      </c>
      <c r="Y1339" s="5">
        <v>19708715138</v>
      </c>
      <c r="AA1339">
        <v>721110</v>
      </c>
      <c r="AB1339" t="s">
        <v>3682</v>
      </c>
      <c r="AC1339" t="s">
        <v>3683</v>
      </c>
      <c r="AE1339" t="s">
        <v>2863</v>
      </c>
      <c r="AF1339" t="s">
        <v>3680</v>
      </c>
      <c r="AH1339" t="s">
        <v>3681</v>
      </c>
      <c r="AI1339" t="s">
        <v>181</v>
      </c>
      <c r="AJ1339" s="4" t="str">
        <f>"80487"</f>
        <v>80487</v>
      </c>
      <c r="AK1339" t="s">
        <v>120</v>
      </c>
      <c r="AM1339" s="5">
        <v>19708715138</v>
      </c>
      <c r="AO1339" t="s">
        <v>3684</v>
      </c>
      <c r="AP1339" t="s">
        <v>122</v>
      </c>
      <c r="AQ1339" t="s">
        <v>3685</v>
      </c>
      <c r="AR1339" t="s">
        <v>2874</v>
      </c>
      <c r="AS1339" t="s">
        <v>3686</v>
      </c>
      <c r="AT1339" t="s">
        <v>3687</v>
      </c>
      <c r="AU1339" t="s">
        <v>152</v>
      </c>
      <c r="AV1339" t="s">
        <v>3688</v>
      </c>
      <c r="AW1339" t="s">
        <v>444</v>
      </c>
      <c r="AX1339" s="4" t="str">
        <f>"91361"</f>
        <v>91361</v>
      </c>
      <c r="AY1339" t="s">
        <v>120</v>
      </c>
      <c r="BA1339" s="5">
        <v>18052611393</v>
      </c>
      <c r="BC1339" t="s">
        <v>3689</v>
      </c>
      <c r="BD1339" t="s">
        <v>3690</v>
      </c>
      <c r="BE1339" t="s">
        <v>154</v>
      </c>
      <c r="BF1339" t="s">
        <v>157</v>
      </c>
      <c r="BG1339" t="s">
        <v>181</v>
      </c>
      <c r="BH1339" s="1">
        <v>44794.833333333336</v>
      </c>
      <c r="BI1339">
        <v>35</v>
      </c>
      <c r="BJ1339">
        <v>5</v>
      </c>
      <c r="BK1339">
        <v>5</v>
      </c>
      <c r="BL1339">
        <v>5</v>
      </c>
      <c r="BM1339">
        <v>5</v>
      </c>
      <c r="BN1339">
        <v>5</v>
      </c>
      <c r="BO1339">
        <v>5</v>
      </c>
      <c r="BP1339">
        <v>5</v>
      </c>
      <c r="BQ1339" t="str">
        <f>"7:00 AM"</f>
        <v>7:00 AM</v>
      </c>
      <c r="BR1339" t="str">
        <f>"3:00 PM"</f>
        <v>3:00 PM</v>
      </c>
      <c r="BS1339" t="s">
        <v>133</v>
      </c>
      <c r="BT1339">
        <v>0</v>
      </c>
      <c r="BU1339">
        <v>12</v>
      </c>
      <c r="BV1339" t="s">
        <v>134</v>
      </c>
      <c r="BX1339" s="2" t="s">
        <v>3691</v>
      </c>
      <c r="BY1339" t="s">
        <v>3680</v>
      </c>
      <c r="CA1339" t="s">
        <v>3681</v>
      </c>
      <c r="CB1339" t="s">
        <v>181</v>
      </c>
      <c r="CC1339" s="4" t="str">
        <f>"80487"</f>
        <v>80487</v>
      </c>
      <c r="CD1339" t="s">
        <v>3692</v>
      </c>
      <c r="CE1339" t="s">
        <v>1570</v>
      </c>
      <c r="CF1339" s="6">
        <v>17.510000000000002</v>
      </c>
      <c r="CG1339" s="6">
        <v>23</v>
      </c>
      <c r="CH1339" s="6">
        <v>26.27</v>
      </c>
      <c r="CI1339" s="6">
        <v>34.5</v>
      </c>
      <c r="CJ1339" t="s">
        <v>137</v>
      </c>
      <c r="CK1339" t="s">
        <v>3693</v>
      </c>
      <c r="CL1339" t="s">
        <v>3694</v>
      </c>
      <c r="CO1339" t="s">
        <v>138</v>
      </c>
      <c r="CP1339" t="s">
        <v>134</v>
      </c>
      <c r="CQ1339" t="s">
        <v>114</v>
      </c>
      <c r="CR1339" t="s">
        <v>114</v>
      </c>
      <c r="CS1339" t="s">
        <v>114</v>
      </c>
      <c r="CT1339" t="s">
        <v>114</v>
      </c>
      <c r="CU1339" t="s">
        <v>114</v>
      </c>
      <c r="CV1339" t="s">
        <v>3695</v>
      </c>
      <c r="CW1339" s="5" t="str">
        <f>"+19708715138"</f>
        <v>+19708715138</v>
      </c>
      <c r="CX1339" t="s">
        <v>3684</v>
      </c>
      <c r="CY1339" t="s">
        <v>138</v>
      </c>
      <c r="CZ1339" t="s">
        <v>139</v>
      </c>
      <c r="DA1339" t="s">
        <v>134</v>
      </c>
      <c r="DB1339" t="s">
        <v>134</v>
      </c>
      <c r="DC1339" t="s">
        <v>114</v>
      </c>
      <c r="DD1339" t="s">
        <v>134</v>
      </c>
    </row>
    <row r="1340" spans="1:113" ht="15" customHeight="1" x14ac:dyDescent="0.25">
      <c r="A1340" t="s">
        <v>13817</v>
      </c>
      <c r="B1340" t="s">
        <v>523</v>
      </c>
      <c r="C1340" s="1">
        <v>44772.520091319442</v>
      </c>
      <c r="D1340" s="1">
        <v>44840</v>
      </c>
      <c r="E1340" t="s">
        <v>134</v>
      </c>
      <c r="F1340" t="s">
        <v>1662</v>
      </c>
      <c r="G1340" t="str">
        <f>"37-3011.00"</f>
        <v>37-3011.00</v>
      </c>
      <c r="H1340" t="s">
        <v>335</v>
      </c>
      <c r="I1340">
        <v>30</v>
      </c>
      <c r="J1340">
        <v>11</v>
      </c>
      <c r="K1340" s="1">
        <v>44847</v>
      </c>
      <c r="L1340" s="1">
        <v>44910</v>
      </c>
      <c r="M1340" s="1">
        <v>44847</v>
      </c>
      <c r="N1340" s="1">
        <v>44910</v>
      </c>
      <c r="O1340" t="s">
        <v>199</v>
      </c>
      <c r="P1340" t="s">
        <v>6083</v>
      </c>
      <c r="Q1340" t="s">
        <v>6084</v>
      </c>
      <c r="R1340" t="s">
        <v>6085</v>
      </c>
      <c r="T1340" t="s">
        <v>4556</v>
      </c>
      <c r="U1340" t="s">
        <v>184</v>
      </c>
      <c r="V1340" s="4" t="str">
        <f>"62208"</f>
        <v>62208</v>
      </c>
      <c r="W1340" t="s">
        <v>120</v>
      </c>
      <c r="Y1340" s="5">
        <v>16183976913</v>
      </c>
      <c r="AA1340">
        <v>5617</v>
      </c>
      <c r="AB1340" t="s">
        <v>6086</v>
      </c>
      <c r="AC1340" t="s">
        <v>2734</v>
      </c>
      <c r="AE1340" t="s">
        <v>6087</v>
      </c>
      <c r="AF1340" t="s">
        <v>6085</v>
      </c>
      <c r="AH1340" t="s">
        <v>4556</v>
      </c>
      <c r="AI1340" t="s">
        <v>184</v>
      </c>
      <c r="AJ1340" s="4" t="str">
        <f>"62208"</f>
        <v>62208</v>
      </c>
      <c r="AK1340" t="s">
        <v>120</v>
      </c>
      <c r="AM1340" s="5">
        <v>16183976913</v>
      </c>
      <c r="AO1340" t="s">
        <v>6088</v>
      </c>
      <c r="AP1340" t="s">
        <v>122</v>
      </c>
      <c r="AQ1340" t="s">
        <v>3645</v>
      </c>
      <c r="AR1340" t="s">
        <v>4063</v>
      </c>
      <c r="AS1340" t="s">
        <v>1633</v>
      </c>
      <c r="AT1340" t="s">
        <v>4554</v>
      </c>
      <c r="AU1340" t="s">
        <v>4555</v>
      </c>
      <c r="AV1340" t="s">
        <v>4556</v>
      </c>
      <c r="AW1340" t="s">
        <v>184</v>
      </c>
      <c r="AX1340" s="4" t="str">
        <f>"62208"</f>
        <v>62208</v>
      </c>
      <c r="AY1340" t="s">
        <v>120</v>
      </c>
      <c r="BA1340" s="5">
        <v>16186880590</v>
      </c>
      <c r="BC1340" t="s">
        <v>4557</v>
      </c>
      <c r="BD1340" t="s">
        <v>4558</v>
      </c>
      <c r="BE1340" t="s">
        <v>184</v>
      </c>
      <c r="BF1340" t="s">
        <v>2673</v>
      </c>
      <c r="BG1340" t="s">
        <v>184</v>
      </c>
      <c r="BH1340" s="1">
        <v>44768.833333333336</v>
      </c>
      <c r="BI1340">
        <v>40</v>
      </c>
      <c r="BJ1340">
        <v>0</v>
      </c>
      <c r="BK1340">
        <v>8</v>
      </c>
      <c r="BL1340">
        <v>8</v>
      </c>
      <c r="BM1340">
        <v>8</v>
      </c>
      <c r="BN1340">
        <v>8</v>
      </c>
      <c r="BO1340">
        <v>8</v>
      </c>
      <c r="BP1340">
        <v>0</v>
      </c>
      <c r="BQ1340" t="str">
        <f>"7:30 AM"</f>
        <v>7:30 AM</v>
      </c>
      <c r="BR1340" t="str">
        <f>"3:30 PM"</f>
        <v>3:30 PM</v>
      </c>
      <c r="BS1340" t="s">
        <v>133</v>
      </c>
      <c r="BT1340">
        <v>0</v>
      </c>
      <c r="BU1340">
        <v>0</v>
      </c>
      <c r="BV1340" t="s">
        <v>134</v>
      </c>
      <c r="BX1340" t="s">
        <v>4559</v>
      </c>
      <c r="BY1340" t="s">
        <v>6085</v>
      </c>
      <c r="CA1340" t="s">
        <v>4556</v>
      </c>
      <c r="CB1340" t="s">
        <v>184</v>
      </c>
      <c r="CC1340" s="4" t="str">
        <f>"62208"</f>
        <v>62208</v>
      </c>
      <c r="CD1340" t="s">
        <v>2374</v>
      </c>
      <c r="CE1340" t="s">
        <v>713</v>
      </c>
      <c r="CF1340" s="6">
        <v>16.96</v>
      </c>
      <c r="CG1340" s="6">
        <v>16.96</v>
      </c>
      <c r="CH1340" s="6">
        <v>25.44</v>
      </c>
      <c r="CI1340" s="6">
        <v>25.44</v>
      </c>
      <c r="CJ1340" t="s">
        <v>137</v>
      </c>
      <c r="CL1340" t="s">
        <v>6089</v>
      </c>
      <c r="CO1340" t="s">
        <v>138</v>
      </c>
      <c r="CP1340" t="s">
        <v>114</v>
      </c>
      <c r="CQ1340" t="s">
        <v>114</v>
      </c>
      <c r="CR1340" t="s">
        <v>114</v>
      </c>
      <c r="CS1340" t="s">
        <v>134</v>
      </c>
      <c r="CT1340" t="s">
        <v>114</v>
      </c>
      <c r="CU1340" t="s">
        <v>134</v>
      </c>
      <c r="CV1340" t="s">
        <v>13818</v>
      </c>
      <c r="CW1340" s="5" t="str">
        <f>"N/A"</f>
        <v>N/A</v>
      </c>
      <c r="CX1340" t="s">
        <v>6088</v>
      </c>
      <c r="CY1340" t="s">
        <v>6090</v>
      </c>
      <c r="CZ1340" t="s">
        <v>139</v>
      </c>
      <c r="DA1340" t="s">
        <v>134</v>
      </c>
      <c r="DB1340" t="s">
        <v>134</v>
      </c>
      <c r="DC1340" t="s">
        <v>114</v>
      </c>
      <c r="DD1340" t="s">
        <v>134</v>
      </c>
    </row>
    <row r="1341" spans="1:113" ht="15" customHeight="1" x14ac:dyDescent="0.25">
      <c r="A1341" t="s">
        <v>7372</v>
      </c>
      <c r="B1341" t="s">
        <v>523</v>
      </c>
      <c r="C1341" s="1">
        <v>44760.67971423611</v>
      </c>
      <c r="D1341" s="1">
        <v>44840</v>
      </c>
      <c r="E1341" t="s">
        <v>114</v>
      </c>
      <c r="F1341" t="s">
        <v>5678</v>
      </c>
      <c r="G1341" t="str">
        <f>"47-2152.00"</f>
        <v>47-2152.00</v>
      </c>
      <c r="H1341" t="s">
        <v>4296</v>
      </c>
      <c r="I1341">
        <v>75</v>
      </c>
      <c r="J1341">
        <v>72</v>
      </c>
      <c r="K1341" s="1">
        <v>44849</v>
      </c>
      <c r="L1341" s="1">
        <v>45152</v>
      </c>
      <c r="M1341" s="1">
        <v>44849</v>
      </c>
      <c r="N1341" s="1">
        <v>45152</v>
      </c>
      <c r="O1341" t="s">
        <v>117</v>
      </c>
      <c r="P1341" t="s">
        <v>7373</v>
      </c>
      <c r="Q1341" t="s">
        <v>7374</v>
      </c>
      <c r="R1341" t="s">
        <v>7375</v>
      </c>
      <c r="T1341" t="s">
        <v>3227</v>
      </c>
      <c r="U1341" t="s">
        <v>232</v>
      </c>
      <c r="V1341" s="4" t="str">
        <f>"78409"</f>
        <v>78409</v>
      </c>
      <c r="W1341" t="s">
        <v>120</v>
      </c>
      <c r="Y1341" s="5">
        <v>13616932100</v>
      </c>
      <c r="AA1341">
        <v>236210</v>
      </c>
      <c r="AB1341" t="s">
        <v>1352</v>
      </c>
      <c r="AC1341" t="s">
        <v>883</v>
      </c>
      <c r="AE1341" t="s">
        <v>4204</v>
      </c>
      <c r="AF1341" t="s">
        <v>7375</v>
      </c>
      <c r="AH1341" t="s">
        <v>3227</v>
      </c>
      <c r="AI1341" t="s">
        <v>232</v>
      </c>
      <c r="AJ1341" s="4" t="str">
        <f>"78409"</f>
        <v>78409</v>
      </c>
      <c r="AK1341" t="s">
        <v>120</v>
      </c>
      <c r="AM1341" s="5">
        <v>13616932164</v>
      </c>
      <c r="AO1341" t="s">
        <v>7376</v>
      </c>
      <c r="AP1341" t="s">
        <v>122</v>
      </c>
      <c r="AQ1341" t="s">
        <v>5680</v>
      </c>
      <c r="AR1341" t="s">
        <v>5681</v>
      </c>
      <c r="AS1341" t="s">
        <v>843</v>
      </c>
      <c r="AT1341" t="s">
        <v>7377</v>
      </c>
      <c r="AV1341" t="s">
        <v>822</v>
      </c>
      <c r="AW1341" t="s">
        <v>232</v>
      </c>
      <c r="AX1341" s="4" t="str">
        <f>"77656"</f>
        <v>77656</v>
      </c>
      <c r="AY1341" t="s">
        <v>120</v>
      </c>
      <c r="BA1341" s="5">
        <v>14093860386</v>
      </c>
      <c r="BC1341" t="s">
        <v>5682</v>
      </c>
      <c r="BD1341" t="s">
        <v>5683</v>
      </c>
      <c r="BE1341" t="s">
        <v>232</v>
      </c>
      <c r="BF1341" t="s">
        <v>687</v>
      </c>
      <c r="BG1341" t="s">
        <v>232</v>
      </c>
      <c r="BH1341" s="1">
        <v>44759.833333333336</v>
      </c>
      <c r="BI1341">
        <v>40</v>
      </c>
      <c r="BJ1341">
        <v>0</v>
      </c>
      <c r="BK1341">
        <v>8</v>
      </c>
      <c r="BL1341">
        <v>8</v>
      </c>
      <c r="BM1341">
        <v>8</v>
      </c>
      <c r="BN1341">
        <v>8</v>
      </c>
      <c r="BO1341">
        <v>8</v>
      </c>
      <c r="BP1341">
        <v>0</v>
      </c>
      <c r="BQ1341" t="str">
        <f>"7:00 AM"</f>
        <v>7:00 AM</v>
      </c>
      <c r="BR1341" t="str">
        <f>"3:30 PM"</f>
        <v>3:30 PM</v>
      </c>
      <c r="BS1341" t="s">
        <v>133</v>
      </c>
      <c r="BT1341">
        <v>0</v>
      </c>
      <c r="BU1341">
        <v>24</v>
      </c>
      <c r="BV1341" t="s">
        <v>134</v>
      </c>
      <c r="BX1341" s="2" t="s">
        <v>7378</v>
      </c>
      <c r="BY1341" t="s">
        <v>7375</v>
      </c>
      <c r="CA1341" t="s">
        <v>3227</v>
      </c>
      <c r="CB1341" t="s">
        <v>232</v>
      </c>
      <c r="CC1341" s="4" t="str">
        <f>"78409"</f>
        <v>78409</v>
      </c>
      <c r="CD1341" t="s">
        <v>3231</v>
      </c>
      <c r="CE1341" t="s">
        <v>327</v>
      </c>
      <c r="CF1341" s="6">
        <v>26.34</v>
      </c>
      <c r="CH1341" s="6">
        <v>39.51</v>
      </c>
      <c r="CJ1341" t="s">
        <v>137</v>
      </c>
      <c r="CL1341" t="s">
        <v>7379</v>
      </c>
      <c r="CO1341" t="s">
        <v>138</v>
      </c>
      <c r="CP1341" t="s">
        <v>114</v>
      </c>
      <c r="CQ1341" t="s">
        <v>134</v>
      </c>
      <c r="CR1341" t="s">
        <v>114</v>
      </c>
      <c r="CS1341" t="s">
        <v>134</v>
      </c>
      <c r="CT1341" t="s">
        <v>114</v>
      </c>
      <c r="CU1341" t="s">
        <v>134</v>
      </c>
      <c r="CV1341" t="s">
        <v>7380</v>
      </c>
      <c r="CW1341" s="5" t="str">
        <f>"+18327202738"</f>
        <v>+18327202738</v>
      </c>
      <c r="CX1341" t="s">
        <v>7381</v>
      </c>
      <c r="CY1341" t="s">
        <v>138</v>
      </c>
      <c r="CZ1341" t="s">
        <v>139</v>
      </c>
      <c r="DA1341" t="s">
        <v>134</v>
      </c>
      <c r="DB1341" t="s">
        <v>114</v>
      </c>
      <c r="DC1341" t="s">
        <v>114</v>
      </c>
      <c r="DD1341" t="s">
        <v>134</v>
      </c>
    </row>
    <row r="1342" spans="1:113" ht="15" customHeight="1" x14ac:dyDescent="0.25">
      <c r="A1342" t="s">
        <v>12603</v>
      </c>
      <c r="B1342" t="s">
        <v>1033</v>
      </c>
      <c r="C1342" s="1">
        <v>44911.726181018515</v>
      </c>
      <c r="D1342" s="1">
        <v>44922</v>
      </c>
      <c r="E1342" t="s">
        <v>134</v>
      </c>
      <c r="F1342" t="s">
        <v>12604</v>
      </c>
      <c r="G1342" t="str">
        <f>"47-2181.00"</f>
        <v>47-2181.00</v>
      </c>
      <c r="H1342" t="s">
        <v>1935</v>
      </c>
      <c r="I1342">
        <v>50</v>
      </c>
      <c r="K1342" s="1">
        <v>44986</v>
      </c>
      <c r="L1342" s="1">
        <v>46082</v>
      </c>
      <c r="O1342" t="s">
        <v>168</v>
      </c>
      <c r="P1342" t="s">
        <v>12605</v>
      </c>
      <c r="R1342" t="s">
        <v>12606</v>
      </c>
      <c r="T1342" t="s">
        <v>4207</v>
      </c>
      <c r="U1342" t="s">
        <v>154</v>
      </c>
      <c r="V1342" s="4" t="str">
        <f>"33311"</f>
        <v>33311</v>
      </c>
      <c r="W1342" t="s">
        <v>120</v>
      </c>
      <c r="Y1342" s="5">
        <v>19545226868</v>
      </c>
      <c r="AA1342">
        <v>23816</v>
      </c>
      <c r="AB1342" t="s">
        <v>12607</v>
      </c>
      <c r="AC1342" t="s">
        <v>5585</v>
      </c>
      <c r="AE1342" t="s">
        <v>12608</v>
      </c>
      <c r="AF1342" t="s">
        <v>12606</v>
      </c>
      <c r="AH1342" t="s">
        <v>4207</v>
      </c>
      <c r="AI1342" t="s">
        <v>154</v>
      </c>
      <c r="AJ1342" s="4" t="str">
        <f>"33311"</f>
        <v>33311</v>
      </c>
      <c r="AK1342" t="s">
        <v>120</v>
      </c>
      <c r="AM1342" s="5">
        <v>19545226868</v>
      </c>
      <c r="AN1342">
        <v>1009</v>
      </c>
      <c r="AO1342" t="s">
        <v>12609</v>
      </c>
      <c r="AP1342" t="s">
        <v>256</v>
      </c>
      <c r="AQ1342" t="s">
        <v>1468</v>
      </c>
      <c r="AR1342" t="s">
        <v>1469</v>
      </c>
      <c r="AS1342" t="s">
        <v>1470</v>
      </c>
      <c r="AT1342" t="s">
        <v>1471</v>
      </c>
      <c r="AU1342" t="s">
        <v>1472</v>
      </c>
      <c r="AV1342" t="s">
        <v>1473</v>
      </c>
      <c r="AW1342" t="s">
        <v>479</v>
      </c>
      <c r="AX1342" s="4" t="str">
        <f>"22949"</f>
        <v>22949</v>
      </c>
      <c r="AY1342" t="s">
        <v>120</v>
      </c>
      <c r="BA1342" s="5">
        <v>14342634300</v>
      </c>
      <c r="BC1342" t="s">
        <v>1474</v>
      </c>
      <c r="BD1342" t="s">
        <v>481</v>
      </c>
      <c r="BG1342" t="s">
        <v>154</v>
      </c>
      <c r="BH1342" s="1">
        <v>45275.791666666664</v>
      </c>
      <c r="BI1342">
        <v>42.5</v>
      </c>
      <c r="BJ1342">
        <v>0</v>
      </c>
      <c r="BK1342">
        <v>8.5</v>
      </c>
      <c r="BL1342">
        <v>8.5</v>
      </c>
      <c r="BM1342">
        <v>8.5</v>
      </c>
      <c r="BN1342">
        <v>8.5</v>
      </c>
      <c r="BO1342">
        <v>8.5</v>
      </c>
      <c r="BP1342">
        <v>0</v>
      </c>
      <c r="BQ1342" t="str">
        <f>"7:00 AM"</f>
        <v>7:00 AM</v>
      </c>
      <c r="BR1342" t="str">
        <f>"4:00 PM"</f>
        <v>4:00 PM</v>
      </c>
      <c r="BS1342" t="s">
        <v>133</v>
      </c>
      <c r="BT1342">
        <v>0</v>
      </c>
      <c r="BU1342">
        <v>0</v>
      </c>
      <c r="BV1342" t="s">
        <v>134</v>
      </c>
      <c r="BX1342" s="2" t="s">
        <v>12610</v>
      </c>
      <c r="BY1342" t="s">
        <v>12606</v>
      </c>
      <c r="CA1342" t="s">
        <v>4207</v>
      </c>
      <c r="CB1342" t="s">
        <v>154</v>
      </c>
      <c r="CC1342" s="4" t="str">
        <f>"33311"</f>
        <v>33311</v>
      </c>
      <c r="CD1342" t="s">
        <v>2313</v>
      </c>
      <c r="CE1342" t="s">
        <v>1742</v>
      </c>
      <c r="CF1342" s="6">
        <v>20.63</v>
      </c>
      <c r="CH1342" s="6">
        <v>30.95</v>
      </c>
      <c r="CJ1342" t="s">
        <v>137</v>
      </c>
      <c r="CK1342" t="s">
        <v>3123</v>
      </c>
      <c r="CL1342" t="s">
        <v>12611</v>
      </c>
      <c r="CO1342" t="s">
        <v>114</v>
      </c>
      <c r="CP1342" t="s">
        <v>114</v>
      </c>
      <c r="CQ1342" t="s">
        <v>114</v>
      </c>
      <c r="CR1342" t="s">
        <v>114</v>
      </c>
      <c r="CS1342" t="s">
        <v>114</v>
      </c>
      <c r="CT1342" t="s">
        <v>114</v>
      </c>
      <c r="CU1342" t="s">
        <v>114</v>
      </c>
      <c r="CV1342" t="s">
        <v>12612</v>
      </c>
      <c r="CW1342" s="5" t="str">
        <f>"N/A"</f>
        <v>N/A</v>
      </c>
      <c r="CX1342" t="s">
        <v>12613</v>
      </c>
      <c r="CY1342" t="s">
        <v>1274</v>
      </c>
      <c r="CZ1342" t="s">
        <v>139</v>
      </c>
      <c r="DA1342" t="s">
        <v>134</v>
      </c>
      <c r="DB1342" t="s">
        <v>114</v>
      </c>
      <c r="DC1342" t="s">
        <v>114</v>
      </c>
      <c r="DD1342" t="s">
        <v>134</v>
      </c>
      <c r="DE1342" t="s">
        <v>1477</v>
      </c>
      <c r="DF1342" t="s">
        <v>1478</v>
      </c>
      <c r="DH1342" t="s">
        <v>481</v>
      </c>
      <c r="DI1342" t="s">
        <v>1474</v>
      </c>
    </row>
    <row r="1343" spans="1:113" ht="15" customHeight="1" x14ac:dyDescent="0.25">
      <c r="A1343" t="s">
        <v>13481</v>
      </c>
      <c r="B1343" t="s">
        <v>1033</v>
      </c>
      <c r="C1343" s="1">
        <v>44909.376620023148</v>
      </c>
      <c r="D1343" s="1">
        <v>44910</v>
      </c>
      <c r="E1343" t="s">
        <v>134</v>
      </c>
      <c r="F1343" t="s">
        <v>115</v>
      </c>
      <c r="G1343" t="str">
        <f>"37-2012.00"</f>
        <v>37-2012.00</v>
      </c>
      <c r="H1343" t="s">
        <v>116</v>
      </c>
      <c r="I1343">
        <v>5</v>
      </c>
      <c r="K1343" s="1">
        <v>44988</v>
      </c>
      <c r="L1343" s="1">
        <v>45289</v>
      </c>
      <c r="O1343" t="s">
        <v>3130</v>
      </c>
      <c r="P1343" t="s">
        <v>3900</v>
      </c>
      <c r="R1343" t="s">
        <v>3901</v>
      </c>
      <c r="S1343" t="s">
        <v>5460</v>
      </c>
      <c r="T1343" t="s">
        <v>3902</v>
      </c>
      <c r="U1343" t="s">
        <v>748</v>
      </c>
      <c r="V1343" s="4" t="str">
        <f>"18109"</f>
        <v>18109</v>
      </c>
      <c r="W1343" t="s">
        <v>120</v>
      </c>
      <c r="Y1343" s="5">
        <v>14843503133</v>
      </c>
      <c r="AA1343">
        <v>561720</v>
      </c>
      <c r="AB1343" t="s">
        <v>3903</v>
      </c>
      <c r="AC1343" t="s">
        <v>3904</v>
      </c>
      <c r="AE1343" t="s">
        <v>285</v>
      </c>
      <c r="AF1343" t="s">
        <v>3901</v>
      </c>
      <c r="AG1343" t="s">
        <v>5459</v>
      </c>
      <c r="AH1343" t="s">
        <v>3902</v>
      </c>
      <c r="AI1343" t="s">
        <v>748</v>
      </c>
      <c r="AJ1343" s="4" t="str">
        <f>"18109"</f>
        <v>18109</v>
      </c>
      <c r="AK1343" t="s">
        <v>120</v>
      </c>
      <c r="AM1343" s="5">
        <v>14843503133</v>
      </c>
      <c r="AO1343" t="s">
        <v>3905</v>
      </c>
      <c r="AX1343" s="4" t="str">
        <f>""</f>
        <v/>
      </c>
      <c r="BG1343" t="s">
        <v>748</v>
      </c>
      <c r="BH1343" s="1">
        <v>44864.833333333336</v>
      </c>
      <c r="BI1343">
        <v>35</v>
      </c>
      <c r="BJ1343">
        <v>5</v>
      </c>
      <c r="BK1343">
        <v>5</v>
      </c>
      <c r="BL1343">
        <v>5</v>
      </c>
      <c r="BM1343">
        <v>5</v>
      </c>
      <c r="BN1343">
        <v>5</v>
      </c>
      <c r="BO1343">
        <v>5</v>
      </c>
      <c r="BP1343">
        <v>5</v>
      </c>
      <c r="BQ1343" t="str">
        <f>"10:00 AM"</f>
        <v>10:00 AM</v>
      </c>
      <c r="BR1343" t="str">
        <f>"3:00 PM"</f>
        <v>3:00 PM</v>
      </c>
      <c r="BS1343" t="s">
        <v>133</v>
      </c>
      <c r="BT1343">
        <v>0</v>
      </c>
      <c r="BU1343">
        <v>0</v>
      </c>
      <c r="BV1343" t="s">
        <v>134</v>
      </c>
      <c r="BX1343" t="s">
        <v>2314</v>
      </c>
      <c r="BY1343" t="s">
        <v>3901</v>
      </c>
      <c r="BZ1343" t="s">
        <v>5460</v>
      </c>
      <c r="CA1343" t="s">
        <v>3902</v>
      </c>
      <c r="CB1343" t="s">
        <v>748</v>
      </c>
      <c r="CC1343" s="4" t="str">
        <f>"18109"</f>
        <v>18109</v>
      </c>
      <c r="CD1343" t="s">
        <v>3906</v>
      </c>
      <c r="CE1343" t="s">
        <v>3907</v>
      </c>
      <c r="CF1343" s="6">
        <v>15</v>
      </c>
      <c r="CG1343" s="6">
        <v>18</v>
      </c>
      <c r="CJ1343" t="s">
        <v>137</v>
      </c>
      <c r="CL1343" t="s">
        <v>13482</v>
      </c>
      <c r="CO1343" t="s">
        <v>138</v>
      </c>
      <c r="CP1343" t="s">
        <v>134</v>
      </c>
      <c r="CQ1343" t="s">
        <v>114</v>
      </c>
      <c r="CR1343" t="s">
        <v>134</v>
      </c>
      <c r="CS1343" t="s">
        <v>134</v>
      </c>
      <c r="CT1343" t="s">
        <v>114</v>
      </c>
      <c r="CU1343" t="s">
        <v>114</v>
      </c>
      <c r="CV1343" t="s">
        <v>2314</v>
      </c>
      <c r="CW1343" s="5" t="str">
        <f>"+14843503133"</f>
        <v>+14843503133</v>
      </c>
      <c r="CX1343" t="s">
        <v>3905</v>
      </c>
      <c r="CY1343" t="s">
        <v>138</v>
      </c>
      <c r="CZ1343" t="s">
        <v>139</v>
      </c>
      <c r="DA1343" t="s">
        <v>134</v>
      </c>
      <c r="DB1343" t="s">
        <v>114</v>
      </c>
      <c r="DC1343" t="s">
        <v>114</v>
      </c>
      <c r="DD1343" t="s">
        <v>134</v>
      </c>
    </row>
    <row r="1344" spans="1:113" ht="15" customHeight="1" x14ac:dyDescent="0.25">
      <c r="A1344" t="s">
        <v>6165</v>
      </c>
      <c r="B1344" t="s">
        <v>1033</v>
      </c>
      <c r="C1344" s="1">
        <v>44908.385190856483</v>
      </c>
      <c r="D1344" s="1">
        <v>44910</v>
      </c>
      <c r="E1344" t="s">
        <v>134</v>
      </c>
      <c r="F1344" t="s">
        <v>6166</v>
      </c>
      <c r="G1344" t="str">
        <f>"49-9071.00"</f>
        <v>49-9071.00</v>
      </c>
      <c r="H1344" t="s">
        <v>2375</v>
      </c>
      <c r="I1344">
        <v>3</v>
      </c>
      <c r="K1344" s="1">
        <v>44991</v>
      </c>
      <c r="L1344" s="1">
        <v>45289</v>
      </c>
      <c r="O1344" t="s">
        <v>3130</v>
      </c>
      <c r="P1344" t="s">
        <v>6167</v>
      </c>
      <c r="R1344" t="s">
        <v>6168</v>
      </c>
      <c r="S1344" t="s">
        <v>3035</v>
      </c>
      <c r="T1344" t="s">
        <v>3902</v>
      </c>
      <c r="U1344" t="s">
        <v>748</v>
      </c>
      <c r="V1344" s="4" t="str">
        <f>"18109"</f>
        <v>18109</v>
      </c>
      <c r="W1344" t="s">
        <v>120</v>
      </c>
      <c r="X1344" t="s">
        <v>6169</v>
      </c>
      <c r="Y1344" s="5">
        <v>14843503133</v>
      </c>
      <c r="AA1344">
        <v>488119</v>
      </c>
      <c r="AB1344" t="s">
        <v>3903</v>
      </c>
      <c r="AC1344" t="s">
        <v>3904</v>
      </c>
      <c r="AE1344" t="s">
        <v>285</v>
      </c>
      <c r="AF1344" t="s">
        <v>6168</v>
      </c>
      <c r="AG1344" t="s">
        <v>6170</v>
      </c>
      <c r="AH1344" t="s">
        <v>3902</v>
      </c>
      <c r="AI1344" t="s">
        <v>748</v>
      </c>
      <c r="AJ1344" s="4" t="str">
        <f>"18109"</f>
        <v>18109</v>
      </c>
      <c r="AK1344" t="s">
        <v>120</v>
      </c>
      <c r="AL1344" t="s">
        <v>6169</v>
      </c>
      <c r="AM1344" s="5">
        <v>14843503133</v>
      </c>
      <c r="AO1344" t="s">
        <v>3905</v>
      </c>
      <c r="AX1344" s="4" t="str">
        <f>""</f>
        <v/>
      </c>
      <c r="BG1344" t="s">
        <v>748</v>
      </c>
      <c r="BH1344" s="1">
        <v>44861.833333333336</v>
      </c>
      <c r="BI1344">
        <v>35</v>
      </c>
      <c r="BJ1344">
        <v>0</v>
      </c>
      <c r="BK1344">
        <v>7</v>
      </c>
      <c r="BL1344">
        <v>7</v>
      </c>
      <c r="BM1344">
        <v>7</v>
      </c>
      <c r="BN1344">
        <v>7</v>
      </c>
      <c r="BO1344">
        <v>7</v>
      </c>
      <c r="BP1344">
        <v>0</v>
      </c>
      <c r="BQ1344" t="str">
        <f>"10:00 AM"</f>
        <v>10:00 AM</v>
      </c>
      <c r="BR1344" t="str">
        <f>"5:00 PM"</f>
        <v>5:00 PM</v>
      </c>
      <c r="BS1344" t="s">
        <v>133</v>
      </c>
      <c r="BT1344">
        <v>0</v>
      </c>
      <c r="BU1344">
        <v>0</v>
      </c>
      <c r="BV1344" t="s">
        <v>134</v>
      </c>
      <c r="BX1344" t="s">
        <v>2314</v>
      </c>
      <c r="BY1344" t="s">
        <v>6168</v>
      </c>
      <c r="BZ1344" t="s">
        <v>3035</v>
      </c>
      <c r="CA1344" t="s">
        <v>3902</v>
      </c>
      <c r="CB1344" t="s">
        <v>748</v>
      </c>
      <c r="CC1344" s="4" t="str">
        <f>"18109"</f>
        <v>18109</v>
      </c>
      <c r="CD1344" t="s">
        <v>3906</v>
      </c>
      <c r="CE1344" t="s">
        <v>3907</v>
      </c>
      <c r="CF1344" s="6">
        <v>13</v>
      </c>
      <c r="CG1344" s="6">
        <v>15</v>
      </c>
      <c r="CJ1344" t="s">
        <v>137</v>
      </c>
      <c r="CL1344" t="s">
        <v>6171</v>
      </c>
      <c r="CO1344" t="s">
        <v>138</v>
      </c>
      <c r="CP1344" t="s">
        <v>134</v>
      </c>
      <c r="CQ1344" t="s">
        <v>114</v>
      </c>
      <c r="CR1344" t="s">
        <v>114</v>
      </c>
      <c r="CS1344" t="s">
        <v>134</v>
      </c>
      <c r="CT1344" t="s">
        <v>114</v>
      </c>
      <c r="CU1344" t="s">
        <v>114</v>
      </c>
      <c r="CV1344" t="s">
        <v>2314</v>
      </c>
      <c r="CW1344" s="5" t="str">
        <f>"+14843503133"</f>
        <v>+14843503133</v>
      </c>
      <c r="CX1344" t="s">
        <v>3905</v>
      </c>
      <c r="CY1344" t="s">
        <v>138</v>
      </c>
      <c r="CZ1344" t="s">
        <v>139</v>
      </c>
      <c r="DA1344" t="s">
        <v>134</v>
      </c>
      <c r="DB1344" t="s">
        <v>114</v>
      </c>
      <c r="DC1344" t="s">
        <v>114</v>
      </c>
      <c r="DD1344" t="s">
        <v>134</v>
      </c>
      <c r="DE1344" t="s">
        <v>3903</v>
      </c>
      <c r="DF1344" t="s">
        <v>3904</v>
      </c>
      <c r="DH1344" t="s">
        <v>6167</v>
      </c>
      <c r="DI1344" t="s">
        <v>3905</v>
      </c>
    </row>
    <row r="1345" spans="1:113" ht="15" customHeight="1" x14ac:dyDescent="0.25">
      <c r="A1345" t="s">
        <v>15611</v>
      </c>
      <c r="B1345" t="s">
        <v>1033</v>
      </c>
      <c r="C1345" s="1">
        <v>44901.403580092592</v>
      </c>
      <c r="D1345" s="1">
        <v>44909</v>
      </c>
      <c r="E1345" t="s">
        <v>114</v>
      </c>
      <c r="F1345" t="s">
        <v>10815</v>
      </c>
      <c r="G1345" t="str">
        <f>"53-7051.00"</f>
        <v>53-7051.00</v>
      </c>
      <c r="H1345" t="s">
        <v>2127</v>
      </c>
      <c r="I1345">
        <v>1</v>
      </c>
      <c r="K1345" s="1">
        <v>44942</v>
      </c>
      <c r="L1345" s="1">
        <v>46021</v>
      </c>
      <c r="O1345" t="s">
        <v>168</v>
      </c>
      <c r="P1345" t="s">
        <v>10816</v>
      </c>
      <c r="Q1345" t="s">
        <v>10817</v>
      </c>
      <c r="R1345" t="s">
        <v>10818</v>
      </c>
      <c r="T1345" t="s">
        <v>2553</v>
      </c>
      <c r="U1345" t="s">
        <v>1279</v>
      </c>
      <c r="V1345" s="4" t="str">
        <f>"66538"</f>
        <v>66538</v>
      </c>
      <c r="W1345" t="s">
        <v>120</v>
      </c>
      <c r="Y1345" s="5">
        <v>17853362121</v>
      </c>
      <c r="AA1345">
        <v>11511</v>
      </c>
      <c r="AB1345" t="s">
        <v>4076</v>
      </c>
      <c r="AC1345" t="s">
        <v>10819</v>
      </c>
      <c r="AD1345" t="s">
        <v>3718</v>
      </c>
      <c r="AE1345" t="s">
        <v>10820</v>
      </c>
      <c r="AF1345" t="s">
        <v>10818</v>
      </c>
      <c r="AH1345" t="s">
        <v>2553</v>
      </c>
      <c r="AI1345" t="s">
        <v>1279</v>
      </c>
      <c r="AJ1345" s="4" t="str">
        <f>"66538"</f>
        <v>66538</v>
      </c>
      <c r="AK1345" t="s">
        <v>120</v>
      </c>
      <c r="AM1345" s="5">
        <v>17853362121</v>
      </c>
      <c r="AO1345" t="s">
        <v>10821</v>
      </c>
      <c r="AX1345" s="4" t="str">
        <f>""</f>
        <v/>
      </c>
      <c r="BG1345" t="s">
        <v>1279</v>
      </c>
      <c r="BH1345" s="1">
        <v>44900.791666666664</v>
      </c>
      <c r="BI1345">
        <v>40</v>
      </c>
      <c r="BJ1345">
        <v>0</v>
      </c>
      <c r="BK1345">
        <v>8</v>
      </c>
      <c r="BL1345">
        <v>8</v>
      </c>
      <c r="BM1345">
        <v>8</v>
      </c>
      <c r="BN1345">
        <v>8</v>
      </c>
      <c r="BO1345">
        <v>8</v>
      </c>
      <c r="BP1345">
        <v>0</v>
      </c>
      <c r="BQ1345" t="str">
        <f>"8:00 AM"</f>
        <v>8:00 AM</v>
      </c>
      <c r="BR1345" t="str">
        <f>"5:00 PM"</f>
        <v>5:00 PM</v>
      </c>
      <c r="BS1345" t="s">
        <v>295</v>
      </c>
      <c r="BT1345">
        <v>0</v>
      </c>
      <c r="BU1345">
        <v>12</v>
      </c>
      <c r="BV1345" t="s">
        <v>134</v>
      </c>
      <c r="BX1345" s="2" t="s">
        <v>10822</v>
      </c>
      <c r="BY1345" t="s">
        <v>10818</v>
      </c>
      <c r="CA1345" t="s">
        <v>2553</v>
      </c>
      <c r="CB1345" t="s">
        <v>1279</v>
      </c>
      <c r="CC1345" s="4" t="str">
        <f>"66538"</f>
        <v>66538</v>
      </c>
      <c r="CD1345" t="s">
        <v>10823</v>
      </c>
      <c r="CE1345" t="s">
        <v>4209</v>
      </c>
      <c r="CF1345" s="6">
        <v>19.690000000000001</v>
      </c>
      <c r="CG1345" s="6">
        <v>21</v>
      </c>
      <c r="CH1345" s="6">
        <v>29.54</v>
      </c>
      <c r="CI1345" s="6">
        <v>31.5</v>
      </c>
      <c r="CJ1345" t="s">
        <v>137</v>
      </c>
      <c r="CL1345" t="s">
        <v>10824</v>
      </c>
      <c r="CO1345" t="s">
        <v>114</v>
      </c>
      <c r="CP1345" t="s">
        <v>134</v>
      </c>
      <c r="CQ1345" t="s">
        <v>134</v>
      </c>
      <c r="CR1345" t="s">
        <v>114</v>
      </c>
      <c r="CS1345" t="s">
        <v>114</v>
      </c>
      <c r="CT1345" t="s">
        <v>114</v>
      </c>
      <c r="CU1345" t="s">
        <v>134</v>
      </c>
      <c r="CV1345" t="s">
        <v>10825</v>
      </c>
      <c r="CW1345" s="5" t="str">
        <f>"+17853362121"</f>
        <v>+17853362121</v>
      </c>
      <c r="CX1345" t="s">
        <v>10821</v>
      </c>
      <c r="CY1345" t="s">
        <v>138</v>
      </c>
      <c r="CZ1345" t="s">
        <v>139</v>
      </c>
      <c r="DA1345" t="s">
        <v>134</v>
      </c>
      <c r="DB1345" t="s">
        <v>134</v>
      </c>
      <c r="DC1345" t="s">
        <v>114</v>
      </c>
      <c r="DD1345" t="s">
        <v>134</v>
      </c>
    </row>
    <row r="1346" spans="1:113" ht="15" customHeight="1" x14ac:dyDescent="0.25">
      <c r="A1346" t="s">
        <v>8277</v>
      </c>
      <c r="B1346" t="s">
        <v>1033</v>
      </c>
      <c r="C1346" s="1">
        <v>44900.801771527775</v>
      </c>
      <c r="D1346" s="1">
        <v>44908</v>
      </c>
      <c r="E1346" t="s">
        <v>134</v>
      </c>
      <c r="F1346" t="s">
        <v>8278</v>
      </c>
      <c r="G1346" t="str">
        <f>"31-1122.00"</f>
        <v>31-1122.00</v>
      </c>
      <c r="H1346" t="s">
        <v>3583</v>
      </c>
      <c r="I1346">
        <v>3</v>
      </c>
      <c r="K1346" s="1">
        <v>44927</v>
      </c>
      <c r="L1346" s="1">
        <v>45291</v>
      </c>
      <c r="O1346" t="s">
        <v>3130</v>
      </c>
      <c r="P1346" t="s">
        <v>8279</v>
      </c>
      <c r="Q1346" t="s">
        <v>8280</v>
      </c>
      <c r="R1346" t="s">
        <v>8281</v>
      </c>
      <c r="S1346" t="s">
        <v>8282</v>
      </c>
      <c r="T1346" t="s">
        <v>8283</v>
      </c>
      <c r="U1346" t="s">
        <v>1779</v>
      </c>
      <c r="V1346" s="4" t="str">
        <f>"00718"</f>
        <v>00718</v>
      </c>
      <c r="W1346" t="s">
        <v>120</v>
      </c>
      <c r="Y1346" s="5">
        <v>17874079686</v>
      </c>
      <c r="AA1346">
        <v>62331</v>
      </c>
      <c r="AB1346" t="s">
        <v>8284</v>
      </c>
      <c r="AC1346" t="s">
        <v>8285</v>
      </c>
      <c r="AE1346" t="s">
        <v>1419</v>
      </c>
      <c r="AF1346" t="s">
        <v>8286</v>
      </c>
      <c r="AG1346" t="s">
        <v>8287</v>
      </c>
      <c r="AH1346" t="s">
        <v>6973</v>
      </c>
      <c r="AI1346" t="s">
        <v>1779</v>
      </c>
      <c r="AJ1346" s="4" t="str">
        <f>"00983"</f>
        <v>00983</v>
      </c>
      <c r="AK1346" t="s">
        <v>120</v>
      </c>
      <c r="AM1346" s="5">
        <v>17874079686</v>
      </c>
      <c r="AO1346" t="s">
        <v>8288</v>
      </c>
      <c r="AP1346" t="s">
        <v>256</v>
      </c>
      <c r="AQ1346" t="s">
        <v>8289</v>
      </c>
      <c r="AR1346" t="s">
        <v>2628</v>
      </c>
      <c r="AT1346" t="s">
        <v>8290</v>
      </c>
      <c r="AU1346" t="s">
        <v>8291</v>
      </c>
      <c r="AV1346" t="s">
        <v>8292</v>
      </c>
      <c r="AW1346" t="s">
        <v>1779</v>
      </c>
      <c r="AX1346" s="4" t="str">
        <f>"00956"</f>
        <v>00956</v>
      </c>
      <c r="AY1346" t="s">
        <v>120</v>
      </c>
      <c r="BA1346" s="5">
        <v>17876319010</v>
      </c>
      <c r="BC1346" t="s">
        <v>8293</v>
      </c>
      <c r="BD1346" t="s">
        <v>8294</v>
      </c>
      <c r="BG1346" t="s">
        <v>1779</v>
      </c>
      <c r="BH1346" s="1">
        <v>44899.791666666664</v>
      </c>
      <c r="BI1346">
        <v>56</v>
      </c>
      <c r="BJ1346">
        <v>8</v>
      </c>
      <c r="BK1346">
        <v>8</v>
      </c>
      <c r="BL1346">
        <v>8</v>
      </c>
      <c r="BM1346">
        <v>8</v>
      </c>
      <c r="BN1346">
        <v>8</v>
      </c>
      <c r="BO1346">
        <v>8</v>
      </c>
      <c r="BP1346">
        <v>8</v>
      </c>
      <c r="BQ1346" t="str">
        <f>"6:00 AM"</f>
        <v>6:00 AM</v>
      </c>
      <c r="BR1346" t="str">
        <f>"10:00 PM"</f>
        <v>10:00 PM</v>
      </c>
      <c r="BS1346" t="s">
        <v>295</v>
      </c>
      <c r="BT1346">
        <v>1</v>
      </c>
      <c r="BU1346">
        <v>1</v>
      </c>
      <c r="BV1346" t="s">
        <v>134</v>
      </c>
      <c r="BX1346" t="s">
        <v>8295</v>
      </c>
      <c r="BY1346" t="s">
        <v>8281</v>
      </c>
      <c r="BZ1346" t="s">
        <v>8282</v>
      </c>
      <c r="CA1346" t="s">
        <v>8283</v>
      </c>
      <c r="CB1346" t="s">
        <v>1779</v>
      </c>
      <c r="CC1346" s="4" t="str">
        <f>"00718"</f>
        <v>00718</v>
      </c>
      <c r="CD1346" t="s">
        <v>8296</v>
      </c>
      <c r="CE1346" t="s">
        <v>1785</v>
      </c>
      <c r="CF1346" s="6">
        <v>9</v>
      </c>
      <c r="CG1346" s="6">
        <v>10</v>
      </c>
      <c r="CH1346" s="6">
        <v>13.5</v>
      </c>
      <c r="CI1346" s="6">
        <v>15</v>
      </c>
      <c r="CJ1346" t="s">
        <v>137</v>
      </c>
      <c r="CL1346" t="s">
        <v>8297</v>
      </c>
      <c r="CO1346" t="s">
        <v>114</v>
      </c>
      <c r="CP1346" t="s">
        <v>134</v>
      </c>
      <c r="CQ1346" t="s">
        <v>134</v>
      </c>
      <c r="CR1346" t="s">
        <v>114</v>
      </c>
      <c r="CS1346" t="s">
        <v>114</v>
      </c>
      <c r="CT1346" t="s">
        <v>114</v>
      </c>
      <c r="CU1346" t="s">
        <v>134</v>
      </c>
      <c r="CV1346" t="s">
        <v>8298</v>
      </c>
      <c r="CW1346" s="5" t="str">
        <f>"+17874079686"</f>
        <v>+17874079686</v>
      </c>
      <c r="CX1346" t="s">
        <v>8288</v>
      </c>
      <c r="CY1346" t="s">
        <v>138</v>
      </c>
      <c r="CZ1346" t="s">
        <v>139</v>
      </c>
      <c r="DA1346" t="s">
        <v>134</v>
      </c>
      <c r="DB1346" t="s">
        <v>134</v>
      </c>
      <c r="DC1346" t="s">
        <v>114</v>
      </c>
      <c r="DD1346" t="s">
        <v>134</v>
      </c>
    </row>
    <row r="1347" spans="1:113" ht="15" customHeight="1" x14ac:dyDescent="0.25">
      <c r="A1347" t="s">
        <v>11058</v>
      </c>
      <c r="B1347" t="s">
        <v>1033</v>
      </c>
      <c r="C1347" s="1">
        <v>44894.920855902776</v>
      </c>
      <c r="D1347" s="1">
        <v>44903</v>
      </c>
      <c r="E1347" t="s">
        <v>134</v>
      </c>
      <c r="F1347" t="s">
        <v>5576</v>
      </c>
      <c r="G1347" t="str">
        <f>"47-3016.00"</f>
        <v>47-3016.00</v>
      </c>
      <c r="H1347" t="s">
        <v>2369</v>
      </c>
      <c r="I1347">
        <v>30</v>
      </c>
      <c r="K1347" s="1">
        <v>44927</v>
      </c>
      <c r="L1347" s="1">
        <v>45260</v>
      </c>
      <c r="O1347" t="s">
        <v>168</v>
      </c>
      <c r="P1347" t="s">
        <v>5577</v>
      </c>
      <c r="R1347" t="s">
        <v>5578</v>
      </c>
      <c r="T1347" t="s">
        <v>5579</v>
      </c>
      <c r="U1347" t="s">
        <v>154</v>
      </c>
      <c r="V1347" s="4" t="str">
        <f>"32404"</f>
        <v>32404</v>
      </c>
      <c r="W1347" t="s">
        <v>120</v>
      </c>
      <c r="Y1347" s="5">
        <v>14235670906</v>
      </c>
      <c r="AA1347">
        <v>23816</v>
      </c>
      <c r="AB1347" t="s">
        <v>5580</v>
      </c>
      <c r="AC1347" t="s">
        <v>1951</v>
      </c>
      <c r="AE1347" t="s">
        <v>342</v>
      </c>
      <c r="AF1347" t="s">
        <v>5578</v>
      </c>
      <c r="AH1347" t="s">
        <v>5579</v>
      </c>
      <c r="AI1347" t="s">
        <v>154</v>
      </c>
      <c r="AJ1347" s="4" t="str">
        <f>"32404"</f>
        <v>32404</v>
      </c>
      <c r="AK1347" t="s">
        <v>120</v>
      </c>
      <c r="AM1347" s="5">
        <v>14235670906</v>
      </c>
      <c r="AO1347" t="s">
        <v>5581</v>
      </c>
      <c r="AP1347" t="s">
        <v>256</v>
      </c>
      <c r="AQ1347" t="s">
        <v>1439</v>
      </c>
      <c r="AR1347" t="s">
        <v>1440</v>
      </c>
      <c r="AT1347" t="s">
        <v>1422</v>
      </c>
      <c r="AU1347" t="s">
        <v>347</v>
      </c>
      <c r="AV1347" t="s">
        <v>1441</v>
      </c>
      <c r="AW1347" t="s">
        <v>349</v>
      </c>
      <c r="AX1347" s="4" t="str">
        <f>"83814"</f>
        <v>83814</v>
      </c>
      <c r="AY1347" t="s">
        <v>120</v>
      </c>
      <c r="BA1347" s="5">
        <v>12087772654</v>
      </c>
      <c r="BC1347" t="s">
        <v>1442</v>
      </c>
      <c r="BD1347" t="s">
        <v>351</v>
      </c>
      <c r="BG1347" t="s">
        <v>154</v>
      </c>
      <c r="BH1347" s="1">
        <v>44893.791666666664</v>
      </c>
      <c r="BI1347">
        <v>40</v>
      </c>
      <c r="BJ1347">
        <v>0</v>
      </c>
      <c r="BK1347">
        <v>8</v>
      </c>
      <c r="BL1347">
        <v>8</v>
      </c>
      <c r="BM1347">
        <v>8</v>
      </c>
      <c r="BN1347">
        <v>8</v>
      </c>
      <c r="BO1347">
        <v>8</v>
      </c>
      <c r="BP1347">
        <v>0</v>
      </c>
      <c r="BQ1347" t="str">
        <f>"8:00 AM"</f>
        <v>8:00 AM</v>
      </c>
      <c r="BR1347" t="str">
        <f>"5:00 PM"</f>
        <v>5:00 PM</v>
      </c>
      <c r="BS1347" t="s">
        <v>133</v>
      </c>
      <c r="BT1347">
        <v>0</v>
      </c>
      <c r="BU1347">
        <v>0</v>
      </c>
      <c r="BV1347" t="s">
        <v>134</v>
      </c>
      <c r="BX1347" s="2" t="s">
        <v>10392</v>
      </c>
      <c r="BY1347" t="s">
        <v>10393</v>
      </c>
      <c r="CA1347" t="s">
        <v>10394</v>
      </c>
      <c r="CB1347" t="s">
        <v>154</v>
      </c>
      <c r="CC1347" s="4" t="str">
        <f>"33914"</f>
        <v>33914</v>
      </c>
      <c r="CD1347" t="s">
        <v>1505</v>
      </c>
      <c r="CE1347" t="s">
        <v>1506</v>
      </c>
      <c r="CF1347" s="6">
        <v>15.65</v>
      </c>
      <c r="CH1347" s="6">
        <v>23.48</v>
      </c>
      <c r="CJ1347" t="s">
        <v>137</v>
      </c>
      <c r="CK1347" t="s">
        <v>2288</v>
      </c>
      <c r="CL1347" t="s">
        <v>10395</v>
      </c>
      <c r="CO1347" t="s">
        <v>114</v>
      </c>
      <c r="CP1347" t="s">
        <v>114</v>
      </c>
      <c r="CQ1347" t="s">
        <v>114</v>
      </c>
      <c r="CR1347" t="s">
        <v>114</v>
      </c>
      <c r="CS1347" t="s">
        <v>114</v>
      </c>
      <c r="CT1347" t="s">
        <v>114</v>
      </c>
      <c r="CU1347" t="s">
        <v>134</v>
      </c>
      <c r="CV1347" t="s">
        <v>358</v>
      </c>
      <c r="CW1347" s="5" t="str">
        <f>"+14235670906"</f>
        <v>+14235670906</v>
      </c>
      <c r="CX1347" t="s">
        <v>5581</v>
      </c>
      <c r="CY1347" t="s">
        <v>138</v>
      </c>
      <c r="CZ1347" t="s">
        <v>139</v>
      </c>
      <c r="DA1347" t="s">
        <v>134</v>
      </c>
      <c r="DB1347" t="s">
        <v>134</v>
      </c>
      <c r="DC1347" t="s">
        <v>114</v>
      </c>
      <c r="DD1347" t="s">
        <v>134</v>
      </c>
    </row>
    <row r="1348" spans="1:113" ht="15" customHeight="1" x14ac:dyDescent="0.25">
      <c r="A1348" t="s">
        <v>15705</v>
      </c>
      <c r="B1348" t="s">
        <v>1033</v>
      </c>
      <c r="C1348" s="1">
        <v>44887.937700578703</v>
      </c>
      <c r="D1348" s="1">
        <v>44896</v>
      </c>
      <c r="E1348" t="s">
        <v>134</v>
      </c>
      <c r="F1348" t="s">
        <v>1034</v>
      </c>
      <c r="G1348" t="str">
        <f>"37-3011.00"</f>
        <v>37-3011.00</v>
      </c>
      <c r="H1348" t="s">
        <v>335</v>
      </c>
      <c r="I1348">
        <v>400</v>
      </c>
      <c r="K1348" s="1">
        <v>44955</v>
      </c>
      <c r="L1348" s="1">
        <v>45443</v>
      </c>
      <c r="O1348" t="s">
        <v>168</v>
      </c>
      <c r="P1348" t="s">
        <v>1035</v>
      </c>
      <c r="Q1348" t="s">
        <v>1036</v>
      </c>
      <c r="R1348" t="s">
        <v>1037</v>
      </c>
      <c r="S1348" t="s">
        <v>138</v>
      </c>
      <c r="T1348" t="s">
        <v>1038</v>
      </c>
      <c r="U1348" t="s">
        <v>214</v>
      </c>
      <c r="V1348" s="4" t="str">
        <f>"70460"</f>
        <v>70460</v>
      </c>
      <c r="W1348" t="s">
        <v>120</v>
      </c>
      <c r="X1348" t="s">
        <v>138</v>
      </c>
      <c r="Y1348" s="5">
        <v>19856432427</v>
      </c>
      <c r="AA1348">
        <v>5617</v>
      </c>
      <c r="AB1348" t="s">
        <v>1039</v>
      </c>
      <c r="AC1348" t="s">
        <v>1040</v>
      </c>
      <c r="AE1348" t="s">
        <v>845</v>
      </c>
      <c r="AF1348" t="s">
        <v>1037</v>
      </c>
      <c r="AH1348" t="s">
        <v>1038</v>
      </c>
      <c r="AI1348" t="s">
        <v>214</v>
      </c>
      <c r="AJ1348" s="4" t="str">
        <f>"70460"</f>
        <v>70460</v>
      </c>
      <c r="AK1348" t="s">
        <v>120</v>
      </c>
      <c r="AM1348" s="5">
        <v>19856432427</v>
      </c>
      <c r="AN1348">
        <v>132</v>
      </c>
      <c r="AO1348" t="s">
        <v>1041</v>
      </c>
      <c r="AP1348" t="s">
        <v>256</v>
      </c>
      <c r="AQ1348" t="s">
        <v>1042</v>
      </c>
      <c r="AR1348" t="s">
        <v>1043</v>
      </c>
      <c r="AT1348" t="s">
        <v>1044</v>
      </c>
      <c r="AU1348" t="s">
        <v>1045</v>
      </c>
      <c r="AV1348" t="s">
        <v>587</v>
      </c>
      <c r="AW1348" t="s">
        <v>530</v>
      </c>
      <c r="AX1348" s="4" t="str">
        <f>"85048"</f>
        <v>85048</v>
      </c>
      <c r="AY1348" t="s">
        <v>120</v>
      </c>
      <c r="BA1348" s="5">
        <v>14809411885</v>
      </c>
      <c r="BC1348" t="s">
        <v>1046</v>
      </c>
      <c r="BD1348" t="s">
        <v>1047</v>
      </c>
      <c r="BG1348" t="s">
        <v>154</v>
      </c>
      <c r="BH1348" s="1">
        <v>44886.791666666664</v>
      </c>
      <c r="BI1348">
        <v>40</v>
      </c>
      <c r="BJ1348">
        <v>0</v>
      </c>
      <c r="BK1348">
        <v>8</v>
      </c>
      <c r="BL1348">
        <v>8</v>
      </c>
      <c r="BM1348">
        <v>8</v>
      </c>
      <c r="BN1348">
        <v>8</v>
      </c>
      <c r="BO1348">
        <v>8</v>
      </c>
      <c r="BP1348">
        <v>0</v>
      </c>
      <c r="BQ1348" t="str">
        <f>"6:00 AM"</f>
        <v>6:00 AM</v>
      </c>
      <c r="BR1348" t="str">
        <f>"2:30 PM"</f>
        <v>2:30 PM</v>
      </c>
      <c r="BS1348" t="s">
        <v>133</v>
      </c>
      <c r="BT1348">
        <v>0</v>
      </c>
      <c r="BU1348">
        <v>3</v>
      </c>
      <c r="BV1348" t="s">
        <v>134</v>
      </c>
      <c r="BX1348" s="2" t="s">
        <v>1048</v>
      </c>
      <c r="BY1348" t="s">
        <v>1049</v>
      </c>
      <c r="CA1348" t="s">
        <v>1050</v>
      </c>
      <c r="CB1348" t="s">
        <v>154</v>
      </c>
      <c r="CC1348" s="4" t="str">
        <f>"33870"</f>
        <v>33870</v>
      </c>
      <c r="CD1348" t="s">
        <v>1051</v>
      </c>
      <c r="CE1348" t="s">
        <v>1052</v>
      </c>
      <c r="CF1348" s="6">
        <v>13.32</v>
      </c>
      <c r="CG1348" s="6">
        <v>13.32</v>
      </c>
      <c r="CH1348" s="6">
        <v>19.98</v>
      </c>
      <c r="CI1348" s="6">
        <v>19.98</v>
      </c>
      <c r="CJ1348" t="s">
        <v>137</v>
      </c>
      <c r="CK1348" t="s">
        <v>9027</v>
      </c>
      <c r="CL1348" t="s">
        <v>15706</v>
      </c>
      <c r="CO1348" t="s">
        <v>114</v>
      </c>
      <c r="CP1348" t="s">
        <v>114</v>
      </c>
      <c r="CQ1348" t="s">
        <v>114</v>
      </c>
      <c r="CR1348" t="s">
        <v>114</v>
      </c>
      <c r="CS1348" t="s">
        <v>114</v>
      </c>
      <c r="CT1348" t="s">
        <v>114</v>
      </c>
      <c r="CU1348" t="s">
        <v>114</v>
      </c>
      <c r="CV1348" t="s">
        <v>1055</v>
      </c>
      <c r="CW1348" s="5" t="str">
        <f>"+19856432427"</f>
        <v>+19856432427</v>
      </c>
      <c r="CX1348" t="s">
        <v>1041</v>
      </c>
      <c r="CY1348" t="s">
        <v>138</v>
      </c>
      <c r="CZ1348" t="s">
        <v>139</v>
      </c>
      <c r="DA1348" t="s">
        <v>134</v>
      </c>
      <c r="DB1348" t="s">
        <v>114</v>
      </c>
      <c r="DC1348" t="s">
        <v>114</v>
      </c>
      <c r="DD1348" t="s">
        <v>134</v>
      </c>
    </row>
    <row r="1349" spans="1:113" ht="15" customHeight="1" x14ac:dyDescent="0.25">
      <c r="A1349" t="s">
        <v>15781</v>
      </c>
      <c r="B1349" t="s">
        <v>1033</v>
      </c>
      <c r="C1349" s="1">
        <v>44883.506995023148</v>
      </c>
      <c r="D1349" s="1">
        <v>44893</v>
      </c>
      <c r="E1349" t="s">
        <v>114</v>
      </c>
      <c r="F1349" t="s">
        <v>10815</v>
      </c>
      <c r="G1349" t="str">
        <f>"53-7051.00"</f>
        <v>53-7051.00</v>
      </c>
      <c r="H1349" t="s">
        <v>2127</v>
      </c>
      <c r="I1349">
        <v>2</v>
      </c>
      <c r="K1349" s="1">
        <v>44935</v>
      </c>
      <c r="L1349" s="1">
        <v>46021</v>
      </c>
      <c r="O1349" t="s">
        <v>168</v>
      </c>
      <c r="P1349" t="s">
        <v>10816</v>
      </c>
      <c r="Q1349" t="s">
        <v>10817</v>
      </c>
      <c r="R1349" t="s">
        <v>10818</v>
      </c>
      <c r="T1349" t="s">
        <v>2553</v>
      </c>
      <c r="U1349" t="s">
        <v>1279</v>
      </c>
      <c r="V1349" s="4" t="str">
        <f>"66538"</f>
        <v>66538</v>
      </c>
      <c r="W1349" t="s">
        <v>120</v>
      </c>
      <c r="Y1349" s="5">
        <v>17853362121</v>
      </c>
      <c r="AA1349">
        <v>11511</v>
      </c>
      <c r="AB1349" t="s">
        <v>4076</v>
      </c>
      <c r="AC1349" t="s">
        <v>10819</v>
      </c>
      <c r="AD1349" t="s">
        <v>3718</v>
      </c>
      <c r="AE1349" t="s">
        <v>10820</v>
      </c>
      <c r="AF1349" t="s">
        <v>10818</v>
      </c>
      <c r="AH1349" t="s">
        <v>2553</v>
      </c>
      <c r="AI1349" t="s">
        <v>1279</v>
      </c>
      <c r="AJ1349" s="4" t="str">
        <f>"66538"</f>
        <v>66538</v>
      </c>
      <c r="AK1349" t="s">
        <v>120</v>
      </c>
      <c r="AM1349" s="5">
        <v>17853362121</v>
      </c>
      <c r="AO1349" t="s">
        <v>10821</v>
      </c>
      <c r="AX1349" s="4" t="str">
        <f>""</f>
        <v/>
      </c>
      <c r="BG1349" t="s">
        <v>1279</v>
      </c>
      <c r="BH1349" s="1">
        <v>44900.791666666664</v>
      </c>
      <c r="BI1349">
        <v>40</v>
      </c>
      <c r="BJ1349">
        <v>0</v>
      </c>
      <c r="BK1349">
        <v>8</v>
      </c>
      <c r="BL1349">
        <v>8</v>
      </c>
      <c r="BM1349">
        <v>8</v>
      </c>
      <c r="BN1349">
        <v>8</v>
      </c>
      <c r="BO1349">
        <v>8</v>
      </c>
      <c r="BP1349">
        <v>0</v>
      </c>
      <c r="BQ1349" t="str">
        <f>"8:00 AM"</f>
        <v>8:00 AM</v>
      </c>
      <c r="BR1349" t="str">
        <f>"5:00 PM"</f>
        <v>5:00 PM</v>
      </c>
      <c r="BS1349" t="s">
        <v>295</v>
      </c>
      <c r="BT1349">
        <v>0</v>
      </c>
      <c r="BU1349">
        <v>12</v>
      </c>
      <c r="BV1349" t="s">
        <v>134</v>
      </c>
      <c r="BX1349" s="2" t="s">
        <v>10822</v>
      </c>
      <c r="BY1349" t="s">
        <v>10818</v>
      </c>
      <c r="CA1349" t="s">
        <v>2553</v>
      </c>
      <c r="CB1349" t="s">
        <v>1279</v>
      </c>
      <c r="CC1349" s="4" t="str">
        <f>"66538"</f>
        <v>66538</v>
      </c>
      <c r="CD1349" t="s">
        <v>10823</v>
      </c>
      <c r="CE1349" t="s">
        <v>4209</v>
      </c>
      <c r="CF1349" s="6">
        <v>19.690000000000001</v>
      </c>
      <c r="CG1349" s="6">
        <v>21</v>
      </c>
      <c r="CH1349" s="6">
        <v>29.54</v>
      </c>
      <c r="CI1349" s="6">
        <v>31.5</v>
      </c>
      <c r="CJ1349" t="s">
        <v>137</v>
      </c>
      <c r="CL1349" t="s">
        <v>10824</v>
      </c>
      <c r="CO1349" t="s">
        <v>114</v>
      </c>
      <c r="CP1349" t="s">
        <v>134</v>
      </c>
      <c r="CQ1349" t="s">
        <v>134</v>
      </c>
      <c r="CR1349" t="s">
        <v>114</v>
      </c>
      <c r="CS1349" t="s">
        <v>114</v>
      </c>
      <c r="CT1349" t="s">
        <v>114</v>
      </c>
      <c r="CU1349" t="s">
        <v>134</v>
      </c>
      <c r="CV1349" t="s">
        <v>10825</v>
      </c>
      <c r="CW1349" s="5" t="str">
        <f>"+17853362121"</f>
        <v>+17853362121</v>
      </c>
      <c r="CX1349" t="s">
        <v>10821</v>
      </c>
      <c r="CY1349" t="s">
        <v>138</v>
      </c>
      <c r="CZ1349" t="s">
        <v>139</v>
      </c>
      <c r="DA1349" t="s">
        <v>134</v>
      </c>
      <c r="DB1349" t="s">
        <v>134</v>
      </c>
      <c r="DC1349" t="s">
        <v>114</v>
      </c>
      <c r="DD1349" t="s">
        <v>134</v>
      </c>
    </row>
    <row r="1350" spans="1:113" ht="15" customHeight="1" x14ac:dyDescent="0.25">
      <c r="A1350" t="s">
        <v>7607</v>
      </c>
      <c r="B1350" t="s">
        <v>1033</v>
      </c>
      <c r="C1350" s="1">
        <v>44881.811494212961</v>
      </c>
      <c r="D1350" s="1">
        <v>44887</v>
      </c>
      <c r="E1350" t="s">
        <v>114</v>
      </c>
      <c r="F1350" t="s">
        <v>7608</v>
      </c>
      <c r="G1350" t="str">
        <f>"31-1122.00"</f>
        <v>31-1122.00</v>
      </c>
      <c r="H1350" t="s">
        <v>3583</v>
      </c>
      <c r="I1350">
        <v>1000</v>
      </c>
      <c r="K1350" s="1">
        <v>44927</v>
      </c>
      <c r="L1350" s="1">
        <v>45230</v>
      </c>
      <c r="O1350" t="s">
        <v>168</v>
      </c>
      <c r="P1350" t="s">
        <v>7609</v>
      </c>
      <c r="Q1350" t="s">
        <v>7610</v>
      </c>
      <c r="R1350" t="s">
        <v>7611</v>
      </c>
      <c r="T1350" t="s">
        <v>7612</v>
      </c>
      <c r="U1350" t="s">
        <v>792</v>
      </c>
      <c r="V1350" s="4" t="str">
        <f>"98104"</f>
        <v>98104</v>
      </c>
      <c r="W1350" t="s">
        <v>120</v>
      </c>
      <c r="Y1350" s="5">
        <v>12066794181</v>
      </c>
      <c r="AA1350">
        <v>621610</v>
      </c>
      <c r="AB1350" t="s">
        <v>7613</v>
      </c>
      <c r="AC1350" t="s">
        <v>7614</v>
      </c>
      <c r="AD1350" t="s">
        <v>7615</v>
      </c>
      <c r="AE1350" t="s">
        <v>285</v>
      </c>
      <c r="AF1350" t="s">
        <v>7611</v>
      </c>
      <c r="AH1350" t="s">
        <v>7612</v>
      </c>
      <c r="AI1350" t="s">
        <v>792</v>
      </c>
      <c r="AJ1350" s="4" t="str">
        <f>"98104"</f>
        <v>98104</v>
      </c>
      <c r="AK1350" t="s">
        <v>120</v>
      </c>
      <c r="AM1350" s="5">
        <v>12066794181</v>
      </c>
      <c r="AO1350" t="s">
        <v>7616</v>
      </c>
      <c r="AX1350" s="4" t="str">
        <f>""</f>
        <v/>
      </c>
      <c r="BG1350" t="s">
        <v>792</v>
      </c>
      <c r="BH1350" s="1">
        <v>44812.833333333336</v>
      </c>
      <c r="BI1350">
        <v>40</v>
      </c>
      <c r="BJ1350">
        <v>3</v>
      </c>
      <c r="BK1350">
        <v>6</v>
      </c>
      <c r="BL1350">
        <v>8</v>
      </c>
      <c r="BM1350">
        <v>6</v>
      </c>
      <c r="BN1350">
        <v>5</v>
      </c>
      <c r="BO1350">
        <v>8</v>
      </c>
      <c r="BP1350">
        <v>4</v>
      </c>
      <c r="BQ1350" t="str">
        <f>"10:00 AM"</f>
        <v>10:00 AM</v>
      </c>
      <c r="BR1350" t="str">
        <f>"6:00 PM"</f>
        <v>6:00 PM</v>
      </c>
      <c r="BS1350" t="s">
        <v>133</v>
      </c>
      <c r="BT1350">
        <v>0</v>
      </c>
      <c r="BU1350">
        <v>0</v>
      </c>
      <c r="BV1350" t="s">
        <v>134</v>
      </c>
      <c r="BX1350" t="s">
        <v>2314</v>
      </c>
      <c r="BY1350" t="s">
        <v>7611</v>
      </c>
      <c r="CA1350" t="s">
        <v>7612</v>
      </c>
      <c r="CB1350" t="s">
        <v>792</v>
      </c>
      <c r="CC1350" s="4" t="str">
        <f>"98104"</f>
        <v>98104</v>
      </c>
      <c r="CD1350" t="s">
        <v>2679</v>
      </c>
      <c r="CE1350" t="s">
        <v>2680</v>
      </c>
      <c r="CF1350" s="6">
        <v>19.7</v>
      </c>
      <c r="CG1350" s="6">
        <v>22.09</v>
      </c>
      <c r="CL1350" t="s">
        <v>7617</v>
      </c>
      <c r="CO1350" t="s">
        <v>114</v>
      </c>
      <c r="CP1350" t="s">
        <v>134</v>
      </c>
      <c r="CQ1350" t="s">
        <v>134</v>
      </c>
      <c r="CR1350" t="s">
        <v>114</v>
      </c>
      <c r="CS1350" t="s">
        <v>114</v>
      </c>
      <c r="CT1350" t="s">
        <v>114</v>
      </c>
      <c r="CU1350" t="s">
        <v>114</v>
      </c>
      <c r="CV1350" s="2" t="s">
        <v>7618</v>
      </c>
      <c r="CW1350" s="5" t="str">
        <f>"+12066794181"</f>
        <v>+12066794181</v>
      </c>
      <c r="CX1350" t="s">
        <v>7616</v>
      </c>
      <c r="CY1350" t="s">
        <v>7619</v>
      </c>
      <c r="CZ1350" t="s">
        <v>139</v>
      </c>
      <c r="DA1350" t="s">
        <v>134</v>
      </c>
      <c r="DB1350" t="s">
        <v>114</v>
      </c>
      <c r="DC1350" t="s">
        <v>114</v>
      </c>
      <c r="DD1350" t="s">
        <v>134</v>
      </c>
      <c r="DE1350" t="s">
        <v>7620</v>
      </c>
      <c r="DF1350" t="s">
        <v>7614</v>
      </c>
      <c r="DH1350" t="s">
        <v>7610</v>
      </c>
      <c r="DI1350" t="s">
        <v>7616</v>
      </c>
    </row>
    <row r="1351" spans="1:113" ht="15" customHeight="1" x14ac:dyDescent="0.25">
      <c r="A1351" t="s">
        <v>9493</v>
      </c>
      <c r="B1351" t="s">
        <v>1033</v>
      </c>
      <c r="C1351" s="1">
        <v>44875.997493750001</v>
      </c>
      <c r="D1351" s="1">
        <v>44883</v>
      </c>
      <c r="E1351" t="s">
        <v>134</v>
      </c>
      <c r="F1351" t="s">
        <v>9494</v>
      </c>
      <c r="G1351" t="str">
        <f>"31-1122.00"</f>
        <v>31-1122.00</v>
      </c>
      <c r="H1351" t="s">
        <v>3583</v>
      </c>
      <c r="I1351">
        <v>14</v>
      </c>
      <c r="K1351" s="1">
        <v>44950</v>
      </c>
      <c r="L1351" s="1">
        <v>45291</v>
      </c>
      <c r="O1351" t="s">
        <v>168</v>
      </c>
      <c r="P1351" t="s">
        <v>9495</v>
      </c>
      <c r="R1351" t="s">
        <v>9496</v>
      </c>
      <c r="S1351" t="s">
        <v>9497</v>
      </c>
      <c r="T1351" t="s">
        <v>9498</v>
      </c>
      <c r="U1351" t="s">
        <v>748</v>
      </c>
      <c r="V1351" s="4" t="str">
        <f>"18610"</f>
        <v>18610</v>
      </c>
      <c r="W1351" t="s">
        <v>120</v>
      </c>
      <c r="Y1351" s="5">
        <v>15705793383</v>
      </c>
      <c r="AA1351">
        <v>623110</v>
      </c>
      <c r="AB1351" t="s">
        <v>1914</v>
      </c>
      <c r="AC1351" t="s">
        <v>9499</v>
      </c>
      <c r="AE1351" t="s">
        <v>4593</v>
      </c>
      <c r="AF1351" t="s">
        <v>9496</v>
      </c>
      <c r="AG1351" t="s">
        <v>9497</v>
      </c>
      <c r="AH1351" t="s">
        <v>9498</v>
      </c>
      <c r="AI1351" t="s">
        <v>748</v>
      </c>
      <c r="AJ1351" s="4" t="str">
        <f>"18610"</f>
        <v>18610</v>
      </c>
      <c r="AK1351" t="s">
        <v>120</v>
      </c>
      <c r="AM1351" s="5">
        <v>15705793383</v>
      </c>
      <c r="AO1351" t="s">
        <v>9500</v>
      </c>
      <c r="AP1351" t="s">
        <v>122</v>
      </c>
      <c r="AQ1351" t="s">
        <v>4090</v>
      </c>
      <c r="AR1351" t="s">
        <v>4091</v>
      </c>
      <c r="AS1351" t="s">
        <v>1869</v>
      </c>
      <c r="AT1351" t="s">
        <v>9501</v>
      </c>
      <c r="AU1351" t="s">
        <v>4322</v>
      </c>
      <c r="AV1351" t="s">
        <v>9502</v>
      </c>
      <c r="AW1351" t="s">
        <v>2081</v>
      </c>
      <c r="AX1351" s="4" t="str">
        <f>"50322"</f>
        <v>50322</v>
      </c>
      <c r="AY1351" t="s">
        <v>120</v>
      </c>
      <c r="BA1351" s="5">
        <v>15154124961</v>
      </c>
      <c r="BC1351" t="s">
        <v>9503</v>
      </c>
      <c r="BD1351" t="s">
        <v>9504</v>
      </c>
      <c r="BE1351" t="s">
        <v>2081</v>
      </c>
      <c r="BF1351" t="s">
        <v>4514</v>
      </c>
      <c r="BG1351" t="s">
        <v>748</v>
      </c>
      <c r="BH1351" s="1">
        <v>44874.791666666664</v>
      </c>
      <c r="BI1351">
        <v>40</v>
      </c>
      <c r="BJ1351">
        <v>0</v>
      </c>
      <c r="BK1351">
        <v>8</v>
      </c>
      <c r="BL1351">
        <v>8</v>
      </c>
      <c r="BM1351">
        <v>8</v>
      </c>
      <c r="BN1351">
        <v>8</v>
      </c>
      <c r="BO1351">
        <v>8</v>
      </c>
      <c r="BP1351">
        <v>0</v>
      </c>
      <c r="BQ1351" t="str">
        <f>"7:00 AM"</f>
        <v>7:00 AM</v>
      </c>
      <c r="BR1351" t="str">
        <f>"3:00 PM"</f>
        <v>3:00 PM</v>
      </c>
      <c r="BS1351" t="s">
        <v>133</v>
      </c>
      <c r="BT1351">
        <v>0</v>
      </c>
      <c r="BU1351">
        <v>0</v>
      </c>
      <c r="BV1351" t="s">
        <v>134</v>
      </c>
      <c r="BX1351" t="s">
        <v>9505</v>
      </c>
      <c r="BY1351" t="s">
        <v>9506</v>
      </c>
      <c r="CA1351" t="s">
        <v>9507</v>
      </c>
      <c r="CB1351" t="s">
        <v>748</v>
      </c>
      <c r="CC1351" s="4" t="str">
        <f>"18210"</f>
        <v>18210</v>
      </c>
      <c r="CD1351" t="s">
        <v>9431</v>
      </c>
      <c r="CE1351" t="s">
        <v>3907</v>
      </c>
      <c r="CF1351" s="6">
        <v>13.63</v>
      </c>
      <c r="CH1351" s="6">
        <v>20.45</v>
      </c>
      <c r="CJ1351" t="s">
        <v>137</v>
      </c>
      <c r="CK1351" t="s">
        <v>9508</v>
      </c>
      <c r="CL1351" t="s">
        <v>9509</v>
      </c>
      <c r="CO1351" t="s">
        <v>114</v>
      </c>
      <c r="CP1351" t="s">
        <v>114</v>
      </c>
      <c r="CQ1351" t="s">
        <v>114</v>
      </c>
      <c r="CR1351" t="s">
        <v>114</v>
      </c>
      <c r="CS1351" t="s">
        <v>114</v>
      </c>
      <c r="CT1351" t="s">
        <v>114</v>
      </c>
      <c r="CU1351" t="s">
        <v>114</v>
      </c>
      <c r="CV1351" t="s">
        <v>9510</v>
      </c>
      <c r="CW1351" s="5" t="str">
        <f>"+15705793383"</f>
        <v>+15705793383</v>
      </c>
      <c r="CX1351" t="s">
        <v>9500</v>
      </c>
      <c r="CY1351" t="s">
        <v>138</v>
      </c>
      <c r="CZ1351" t="s">
        <v>139</v>
      </c>
      <c r="DA1351" t="s">
        <v>134</v>
      </c>
      <c r="DB1351" t="s">
        <v>134</v>
      </c>
      <c r="DC1351" t="s">
        <v>134</v>
      </c>
      <c r="DD1351" t="s">
        <v>134</v>
      </c>
    </row>
    <row r="1352" spans="1:113" ht="15" customHeight="1" x14ac:dyDescent="0.25">
      <c r="A1352" t="s">
        <v>5051</v>
      </c>
      <c r="B1352" t="s">
        <v>1033</v>
      </c>
      <c r="C1352" s="1">
        <v>44874.905270370371</v>
      </c>
      <c r="D1352" s="1">
        <v>44883</v>
      </c>
      <c r="E1352" t="s">
        <v>134</v>
      </c>
      <c r="F1352" t="s">
        <v>1034</v>
      </c>
      <c r="G1352" t="str">
        <f>"37-3011.00"</f>
        <v>37-3011.00</v>
      </c>
      <c r="H1352" t="s">
        <v>335</v>
      </c>
      <c r="I1352">
        <v>400</v>
      </c>
      <c r="K1352" s="1">
        <v>44942</v>
      </c>
      <c r="L1352" s="1">
        <v>45443</v>
      </c>
      <c r="O1352" t="s">
        <v>168</v>
      </c>
      <c r="P1352" t="s">
        <v>1035</v>
      </c>
      <c r="Q1352" t="s">
        <v>1036</v>
      </c>
      <c r="R1352" t="s">
        <v>1037</v>
      </c>
      <c r="S1352" t="s">
        <v>138</v>
      </c>
      <c r="T1352" t="s">
        <v>1038</v>
      </c>
      <c r="U1352" t="s">
        <v>214</v>
      </c>
      <c r="V1352" s="4" t="str">
        <f>"70460"</f>
        <v>70460</v>
      </c>
      <c r="W1352" t="s">
        <v>120</v>
      </c>
      <c r="X1352" t="s">
        <v>138</v>
      </c>
      <c r="Y1352" s="5">
        <v>19856432427</v>
      </c>
      <c r="AA1352">
        <v>5617</v>
      </c>
      <c r="AB1352" t="s">
        <v>1039</v>
      </c>
      <c r="AC1352" t="s">
        <v>1040</v>
      </c>
      <c r="AE1352" t="s">
        <v>845</v>
      </c>
      <c r="AF1352" t="s">
        <v>1037</v>
      </c>
      <c r="AH1352" t="s">
        <v>1038</v>
      </c>
      <c r="AI1352" t="s">
        <v>214</v>
      </c>
      <c r="AJ1352" s="4" t="str">
        <f>"70460"</f>
        <v>70460</v>
      </c>
      <c r="AK1352" t="s">
        <v>120</v>
      </c>
      <c r="AM1352" s="5">
        <v>19856432427</v>
      </c>
      <c r="AN1352">
        <v>132</v>
      </c>
      <c r="AO1352" t="s">
        <v>1041</v>
      </c>
      <c r="AP1352" t="s">
        <v>256</v>
      </c>
      <c r="AQ1352" t="s">
        <v>1042</v>
      </c>
      <c r="AR1352" t="s">
        <v>1043</v>
      </c>
      <c r="AT1352" t="s">
        <v>1044</v>
      </c>
      <c r="AU1352" t="s">
        <v>1045</v>
      </c>
      <c r="AV1352" t="s">
        <v>587</v>
      </c>
      <c r="AW1352" t="s">
        <v>530</v>
      </c>
      <c r="AX1352" s="4" t="str">
        <f>"85048"</f>
        <v>85048</v>
      </c>
      <c r="AY1352" t="s">
        <v>120</v>
      </c>
      <c r="BA1352" s="5">
        <v>14809411885</v>
      </c>
      <c r="BC1352" t="s">
        <v>1046</v>
      </c>
      <c r="BD1352" t="s">
        <v>1047</v>
      </c>
      <c r="BG1352" t="s">
        <v>154</v>
      </c>
      <c r="BH1352" s="1">
        <v>44873.791666666664</v>
      </c>
      <c r="BI1352">
        <v>40</v>
      </c>
      <c r="BJ1352">
        <v>0</v>
      </c>
      <c r="BK1352">
        <v>8</v>
      </c>
      <c r="BL1352">
        <v>8</v>
      </c>
      <c r="BM1352">
        <v>8</v>
      </c>
      <c r="BN1352">
        <v>8</v>
      </c>
      <c r="BO1352">
        <v>8</v>
      </c>
      <c r="BP1352">
        <v>0</v>
      </c>
      <c r="BQ1352" t="str">
        <f>"6:00 AM"</f>
        <v>6:00 AM</v>
      </c>
      <c r="BR1352" t="str">
        <f>"2:30 PM"</f>
        <v>2:30 PM</v>
      </c>
      <c r="BS1352" t="s">
        <v>133</v>
      </c>
      <c r="BT1352">
        <v>0</v>
      </c>
      <c r="BU1352">
        <v>3</v>
      </c>
      <c r="BV1352" t="s">
        <v>134</v>
      </c>
      <c r="BX1352" s="2" t="s">
        <v>1048</v>
      </c>
      <c r="BY1352" t="s">
        <v>1049</v>
      </c>
      <c r="CA1352" t="s">
        <v>1050</v>
      </c>
      <c r="CB1352" t="s">
        <v>154</v>
      </c>
      <c r="CC1352" s="4" t="str">
        <f>"33870"</f>
        <v>33870</v>
      </c>
      <c r="CD1352" t="s">
        <v>1051</v>
      </c>
      <c r="CE1352" t="s">
        <v>1052</v>
      </c>
      <c r="CF1352" s="6">
        <v>13.32</v>
      </c>
      <c r="CG1352" s="6">
        <v>13.32</v>
      </c>
      <c r="CH1352" s="6">
        <v>19.98</v>
      </c>
      <c r="CI1352" s="6">
        <v>19.98</v>
      </c>
      <c r="CJ1352" t="s">
        <v>137</v>
      </c>
      <c r="CK1352" t="s">
        <v>1053</v>
      </c>
      <c r="CL1352" t="s">
        <v>5052</v>
      </c>
      <c r="CO1352" t="s">
        <v>114</v>
      </c>
      <c r="CP1352" t="s">
        <v>114</v>
      </c>
      <c r="CQ1352" t="s">
        <v>114</v>
      </c>
      <c r="CR1352" t="s">
        <v>114</v>
      </c>
      <c r="CS1352" t="s">
        <v>114</v>
      </c>
      <c r="CT1352" t="s">
        <v>114</v>
      </c>
      <c r="CU1352" t="s">
        <v>114</v>
      </c>
      <c r="CV1352" t="s">
        <v>1055</v>
      </c>
      <c r="CW1352" s="5" t="str">
        <f>"+19856432427"</f>
        <v>+19856432427</v>
      </c>
      <c r="CX1352" t="s">
        <v>1041</v>
      </c>
      <c r="CY1352" t="s">
        <v>138</v>
      </c>
      <c r="CZ1352" t="s">
        <v>139</v>
      </c>
      <c r="DA1352" t="s">
        <v>134</v>
      </c>
      <c r="DB1352" t="s">
        <v>114</v>
      </c>
      <c r="DC1352" t="s">
        <v>114</v>
      </c>
      <c r="DD1352" t="s">
        <v>134</v>
      </c>
    </row>
    <row r="1353" spans="1:113" ht="15" customHeight="1" x14ac:dyDescent="0.25">
      <c r="A1353" t="s">
        <v>14440</v>
      </c>
      <c r="B1353" t="s">
        <v>1033</v>
      </c>
      <c r="C1353" s="1">
        <v>44874.715346759258</v>
      </c>
      <c r="D1353" s="1">
        <v>44882</v>
      </c>
      <c r="E1353" t="s">
        <v>134</v>
      </c>
      <c r="F1353" t="s">
        <v>14441</v>
      </c>
      <c r="G1353" t="str">
        <f>"53-3041.00"</f>
        <v>53-3041.00</v>
      </c>
      <c r="H1353" t="s">
        <v>14442</v>
      </c>
      <c r="I1353">
        <v>3</v>
      </c>
      <c r="K1353" s="1">
        <v>44949</v>
      </c>
      <c r="L1353" s="1">
        <v>45224</v>
      </c>
      <c r="O1353" t="s">
        <v>199</v>
      </c>
      <c r="P1353" t="s">
        <v>14443</v>
      </c>
      <c r="Q1353" t="s">
        <v>14444</v>
      </c>
      <c r="R1353" t="s">
        <v>14445</v>
      </c>
      <c r="T1353" t="s">
        <v>7905</v>
      </c>
      <c r="U1353" t="s">
        <v>661</v>
      </c>
      <c r="V1353" s="4" t="str">
        <f>"59714"</f>
        <v>59714</v>
      </c>
      <c r="W1353" t="s">
        <v>120</v>
      </c>
      <c r="Y1353" s="5">
        <v>14066248600</v>
      </c>
      <c r="AA1353">
        <v>4853</v>
      </c>
      <c r="AB1353" t="s">
        <v>14446</v>
      </c>
      <c r="AC1353" t="s">
        <v>2817</v>
      </c>
      <c r="AE1353" t="s">
        <v>285</v>
      </c>
      <c r="AF1353" t="s">
        <v>14447</v>
      </c>
      <c r="AH1353" t="s">
        <v>7905</v>
      </c>
      <c r="AI1353" t="s">
        <v>661</v>
      </c>
      <c r="AJ1353" s="4" t="str">
        <f>"59714"</f>
        <v>59714</v>
      </c>
      <c r="AK1353" t="s">
        <v>120</v>
      </c>
      <c r="AM1353" s="5">
        <v>14066248294</v>
      </c>
      <c r="AO1353" t="s">
        <v>14448</v>
      </c>
      <c r="AX1353" s="4" t="str">
        <f>""</f>
        <v/>
      </c>
      <c r="BG1353" t="s">
        <v>661</v>
      </c>
      <c r="BH1353" s="1">
        <v>44678.833333333336</v>
      </c>
      <c r="BI1353">
        <v>40</v>
      </c>
      <c r="BJ1353">
        <v>8</v>
      </c>
      <c r="BK1353">
        <v>8</v>
      </c>
      <c r="BL1353">
        <v>0</v>
      </c>
      <c r="BM1353">
        <v>0</v>
      </c>
      <c r="BN1353">
        <v>8</v>
      </c>
      <c r="BO1353">
        <v>8</v>
      </c>
      <c r="BP1353">
        <v>8</v>
      </c>
      <c r="BQ1353" t="str">
        <f>"5:00 AM"</f>
        <v>5:00 AM</v>
      </c>
      <c r="BR1353" t="str">
        <f>"1:00 PM"</f>
        <v>1:00 PM</v>
      </c>
      <c r="BS1353" t="s">
        <v>133</v>
      </c>
      <c r="BT1353">
        <v>0</v>
      </c>
      <c r="BU1353">
        <v>0</v>
      </c>
      <c r="BV1353" t="s">
        <v>134</v>
      </c>
      <c r="BX1353" s="2" t="s">
        <v>14449</v>
      </c>
      <c r="BY1353" t="s">
        <v>14450</v>
      </c>
      <c r="CA1353" t="s">
        <v>7905</v>
      </c>
      <c r="CB1353" t="s">
        <v>661</v>
      </c>
      <c r="CC1353" s="4" t="str">
        <f>"59714"</f>
        <v>59714</v>
      </c>
      <c r="CD1353" t="s">
        <v>665</v>
      </c>
      <c r="CE1353" t="s">
        <v>666</v>
      </c>
      <c r="CF1353" s="6">
        <v>15.36</v>
      </c>
      <c r="CJ1353" t="s">
        <v>137</v>
      </c>
      <c r="CL1353" t="s">
        <v>14451</v>
      </c>
      <c r="CO1353" t="s">
        <v>138</v>
      </c>
      <c r="CP1353" t="s">
        <v>134</v>
      </c>
      <c r="CQ1353" t="s">
        <v>114</v>
      </c>
      <c r="CR1353" t="s">
        <v>114</v>
      </c>
      <c r="CS1353" t="s">
        <v>114</v>
      </c>
      <c r="CT1353" t="s">
        <v>114</v>
      </c>
      <c r="CU1353" t="s">
        <v>114</v>
      </c>
      <c r="CV1353" t="s">
        <v>14452</v>
      </c>
      <c r="CW1353" s="5" t="str">
        <f>"+14066248600"</f>
        <v>+14066248600</v>
      </c>
      <c r="CX1353" t="s">
        <v>14453</v>
      </c>
      <c r="CY1353" t="s">
        <v>138</v>
      </c>
      <c r="CZ1353" t="s">
        <v>139</v>
      </c>
      <c r="DA1353" t="s">
        <v>134</v>
      </c>
      <c r="DB1353" t="s">
        <v>134</v>
      </c>
      <c r="DC1353" t="s">
        <v>114</v>
      </c>
      <c r="DD1353" t="s">
        <v>134</v>
      </c>
    </row>
    <row r="1354" spans="1:113" ht="15" customHeight="1" x14ac:dyDescent="0.25">
      <c r="A1354" t="s">
        <v>10391</v>
      </c>
      <c r="B1354" t="s">
        <v>1033</v>
      </c>
      <c r="C1354" s="1">
        <v>44872.790946412038</v>
      </c>
      <c r="D1354" s="1">
        <v>44882</v>
      </c>
      <c r="E1354" t="s">
        <v>134</v>
      </c>
      <c r="F1354" t="s">
        <v>5576</v>
      </c>
      <c r="G1354" t="str">
        <f>"47-3016.00"</f>
        <v>47-3016.00</v>
      </c>
      <c r="H1354" t="s">
        <v>2369</v>
      </c>
      <c r="I1354">
        <v>30</v>
      </c>
      <c r="K1354" s="1">
        <v>44896</v>
      </c>
      <c r="L1354" s="1">
        <v>45260</v>
      </c>
      <c r="O1354" t="s">
        <v>168</v>
      </c>
      <c r="P1354" t="s">
        <v>5577</v>
      </c>
      <c r="R1354" t="s">
        <v>5578</v>
      </c>
      <c r="T1354" t="s">
        <v>5579</v>
      </c>
      <c r="U1354" t="s">
        <v>154</v>
      </c>
      <c r="V1354" s="4" t="str">
        <f>"32404"</f>
        <v>32404</v>
      </c>
      <c r="W1354" t="s">
        <v>120</v>
      </c>
      <c r="Y1354" s="5">
        <v>14235670906</v>
      </c>
      <c r="AA1354">
        <v>23816</v>
      </c>
      <c r="AB1354" t="s">
        <v>5580</v>
      </c>
      <c r="AC1354" t="s">
        <v>1951</v>
      </c>
      <c r="AE1354" t="s">
        <v>342</v>
      </c>
      <c r="AF1354" t="s">
        <v>5578</v>
      </c>
      <c r="AH1354" t="s">
        <v>5579</v>
      </c>
      <c r="AI1354" t="s">
        <v>154</v>
      </c>
      <c r="AJ1354" s="4" t="str">
        <f>"32404"</f>
        <v>32404</v>
      </c>
      <c r="AK1354" t="s">
        <v>120</v>
      </c>
      <c r="AM1354" s="5">
        <v>14235670906</v>
      </c>
      <c r="AO1354" t="s">
        <v>5581</v>
      </c>
      <c r="AP1354" t="s">
        <v>256</v>
      </c>
      <c r="AQ1354" t="s">
        <v>1439</v>
      </c>
      <c r="AR1354" t="s">
        <v>1440</v>
      </c>
      <c r="AT1354" t="s">
        <v>1422</v>
      </c>
      <c r="AU1354" t="s">
        <v>347</v>
      </c>
      <c r="AV1354" t="s">
        <v>1441</v>
      </c>
      <c r="AW1354" t="s">
        <v>349</v>
      </c>
      <c r="AX1354" s="4" t="str">
        <f>"83814"</f>
        <v>83814</v>
      </c>
      <c r="AY1354" t="s">
        <v>120</v>
      </c>
      <c r="BA1354" s="5">
        <v>12087772654</v>
      </c>
      <c r="BC1354" t="s">
        <v>1442</v>
      </c>
      <c r="BD1354" t="s">
        <v>351</v>
      </c>
      <c r="BG1354" t="s">
        <v>154</v>
      </c>
      <c r="BH1354" s="1">
        <v>44871.791666666664</v>
      </c>
      <c r="BI1354">
        <v>40</v>
      </c>
      <c r="BJ1354">
        <v>0</v>
      </c>
      <c r="BK1354">
        <v>8</v>
      </c>
      <c r="BL1354">
        <v>8</v>
      </c>
      <c r="BM1354">
        <v>8</v>
      </c>
      <c r="BN1354">
        <v>8</v>
      </c>
      <c r="BO1354">
        <v>8</v>
      </c>
      <c r="BP1354">
        <v>0</v>
      </c>
      <c r="BQ1354" t="str">
        <f>"8:00 AM"</f>
        <v>8:00 AM</v>
      </c>
      <c r="BR1354" t="str">
        <f>"5:00 PM"</f>
        <v>5:00 PM</v>
      </c>
      <c r="BS1354" t="s">
        <v>133</v>
      </c>
      <c r="BT1354">
        <v>0</v>
      </c>
      <c r="BU1354">
        <v>0</v>
      </c>
      <c r="BV1354" t="s">
        <v>134</v>
      </c>
      <c r="BX1354" s="2" t="s">
        <v>10392</v>
      </c>
      <c r="BY1354" t="s">
        <v>10393</v>
      </c>
      <c r="CA1354" t="s">
        <v>10394</v>
      </c>
      <c r="CB1354" t="s">
        <v>154</v>
      </c>
      <c r="CC1354" s="4" t="str">
        <f>"33914"</f>
        <v>33914</v>
      </c>
      <c r="CD1354" t="s">
        <v>1505</v>
      </c>
      <c r="CE1354" t="s">
        <v>1506</v>
      </c>
      <c r="CF1354" s="6">
        <v>15.65</v>
      </c>
      <c r="CH1354" s="6">
        <v>23.48</v>
      </c>
      <c r="CJ1354" t="s">
        <v>137</v>
      </c>
      <c r="CK1354" t="s">
        <v>2288</v>
      </c>
      <c r="CL1354" t="s">
        <v>10395</v>
      </c>
      <c r="CO1354" t="s">
        <v>114</v>
      </c>
      <c r="CP1354" t="s">
        <v>114</v>
      </c>
      <c r="CQ1354" t="s">
        <v>114</v>
      </c>
      <c r="CR1354" t="s">
        <v>114</v>
      </c>
      <c r="CS1354" t="s">
        <v>114</v>
      </c>
      <c r="CT1354" t="s">
        <v>114</v>
      </c>
      <c r="CU1354" t="s">
        <v>134</v>
      </c>
      <c r="CV1354" t="s">
        <v>358</v>
      </c>
      <c r="CW1354" s="5" t="str">
        <f>"+14235670906"</f>
        <v>+14235670906</v>
      </c>
      <c r="CX1354" t="s">
        <v>5581</v>
      </c>
      <c r="CY1354" t="s">
        <v>138</v>
      </c>
      <c r="CZ1354" t="s">
        <v>139</v>
      </c>
      <c r="DA1354" t="s">
        <v>134</v>
      </c>
      <c r="DB1354" t="s">
        <v>134</v>
      </c>
      <c r="DC1354" t="s">
        <v>114</v>
      </c>
      <c r="DD1354" t="s">
        <v>134</v>
      </c>
    </row>
    <row r="1355" spans="1:113" ht="15" customHeight="1" x14ac:dyDescent="0.25">
      <c r="A1355" t="s">
        <v>1032</v>
      </c>
      <c r="B1355" t="s">
        <v>1033</v>
      </c>
      <c r="C1355" s="1">
        <v>44866.676743865741</v>
      </c>
      <c r="D1355" s="1">
        <v>44874</v>
      </c>
      <c r="E1355" t="s">
        <v>134</v>
      </c>
      <c r="F1355" t="s">
        <v>1034</v>
      </c>
      <c r="G1355" t="str">
        <f>"37-3011.00"</f>
        <v>37-3011.00</v>
      </c>
      <c r="H1355" t="s">
        <v>335</v>
      </c>
      <c r="I1355">
        <v>400</v>
      </c>
      <c r="K1355" s="1">
        <v>44941</v>
      </c>
      <c r="L1355" s="1">
        <v>45443</v>
      </c>
      <c r="O1355" t="s">
        <v>168</v>
      </c>
      <c r="P1355" t="s">
        <v>1035</v>
      </c>
      <c r="Q1355" t="s">
        <v>1036</v>
      </c>
      <c r="R1355" t="s">
        <v>1037</v>
      </c>
      <c r="S1355" t="s">
        <v>138</v>
      </c>
      <c r="T1355" t="s">
        <v>1038</v>
      </c>
      <c r="U1355" t="s">
        <v>214</v>
      </c>
      <c r="V1355" s="4" t="str">
        <f>"70460"</f>
        <v>70460</v>
      </c>
      <c r="W1355" t="s">
        <v>120</v>
      </c>
      <c r="X1355" t="s">
        <v>138</v>
      </c>
      <c r="Y1355" s="5">
        <v>19856432427</v>
      </c>
      <c r="AA1355">
        <v>5617</v>
      </c>
      <c r="AB1355" t="s">
        <v>1039</v>
      </c>
      <c r="AC1355" t="s">
        <v>1040</v>
      </c>
      <c r="AE1355" t="s">
        <v>845</v>
      </c>
      <c r="AF1355" t="s">
        <v>1037</v>
      </c>
      <c r="AH1355" t="s">
        <v>1038</v>
      </c>
      <c r="AI1355" t="s">
        <v>214</v>
      </c>
      <c r="AJ1355" s="4" t="str">
        <f>"70460"</f>
        <v>70460</v>
      </c>
      <c r="AK1355" t="s">
        <v>120</v>
      </c>
      <c r="AM1355" s="5">
        <v>19856432427</v>
      </c>
      <c r="AN1355">
        <v>132</v>
      </c>
      <c r="AO1355" t="s">
        <v>1041</v>
      </c>
      <c r="AP1355" t="s">
        <v>256</v>
      </c>
      <c r="AQ1355" t="s">
        <v>1042</v>
      </c>
      <c r="AR1355" t="s">
        <v>1043</v>
      </c>
      <c r="AT1355" t="s">
        <v>1044</v>
      </c>
      <c r="AU1355" t="s">
        <v>1045</v>
      </c>
      <c r="AV1355" t="s">
        <v>587</v>
      </c>
      <c r="AW1355" t="s">
        <v>530</v>
      </c>
      <c r="AX1355" s="4" t="str">
        <f>"85048"</f>
        <v>85048</v>
      </c>
      <c r="AY1355" t="s">
        <v>120</v>
      </c>
      <c r="BA1355" s="5">
        <v>14809411885</v>
      </c>
      <c r="BC1355" t="s">
        <v>1046</v>
      </c>
      <c r="BD1355" t="s">
        <v>1047</v>
      </c>
      <c r="BG1355" t="s">
        <v>154</v>
      </c>
      <c r="BH1355" s="1">
        <v>44865.833333333336</v>
      </c>
      <c r="BI1355">
        <v>40</v>
      </c>
      <c r="BJ1355">
        <v>0</v>
      </c>
      <c r="BK1355">
        <v>8</v>
      </c>
      <c r="BL1355">
        <v>8</v>
      </c>
      <c r="BM1355">
        <v>8</v>
      </c>
      <c r="BN1355">
        <v>8</v>
      </c>
      <c r="BO1355">
        <v>8</v>
      </c>
      <c r="BP1355">
        <v>0</v>
      </c>
      <c r="BQ1355" t="str">
        <f>"6:00 AM"</f>
        <v>6:00 AM</v>
      </c>
      <c r="BR1355" t="str">
        <f>"2:30 PM"</f>
        <v>2:30 PM</v>
      </c>
      <c r="BS1355" t="s">
        <v>133</v>
      </c>
      <c r="BT1355">
        <v>0</v>
      </c>
      <c r="BU1355">
        <v>3</v>
      </c>
      <c r="BV1355" t="s">
        <v>134</v>
      </c>
      <c r="BX1355" s="2" t="s">
        <v>1048</v>
      </c>
      <c r="BY1355" t="s">
        <v>1049</v>
      </c>
      <c r="CA1355" t="s">
        <v>1050</v>
      </c>
      <c r="CB1355" t="s">
        <v>154</v>
      </c>
      <c r="CC1355" s="4" t="str">
        <f>"33870"</f>
        <v>33870</v>
      </c>
      <c r="CD1355" t="s">
        <v>1051</v>
      </c>
      <c r="CE1355" t="s">
        <v>1052</v>
      </c>
      <c r="CF1355" s="6">
        <v>13.32</v>
      </c>
      <c r="CG1355" s="6">
        <v>13.32</v>
      </c>
      <c r="CH1355" s="6">
        <v>19.98</v>
      </c>
      <c r="CI1355" s="6">
        <v>19.98</v>
      </c>
      <c r="CJ1355" t="s">
        <v>137</v>
      </c>
      <c r="CK1355" t="s">
        <v>1053</v>
      </c>
      <c r="CL1355" t="s">
        <v>1054</v>
      </c>
      <c r="CO1355" t="s">
        <v>114</v>
      </c>
      <c r="CP1355" t="s">
        <v>114</v>
      </c>
      <c r="CQ1355" t="s">
        <v>114</v>
      </c>
      <c r="CR1355" t="s">
        <v>114</v>
      </c>
      <c r="CS1355" t="s">
        <v>114</v>
      </c>
      <c r="CT1355" t="s">
        <v>114</v>
      </c>
      <c r="CU1355" t="s">
        <v>114</v>
      </c>
      <c r="CV1355" t="s">
        <v>1055</v>
      </c>
      <c r="CW1355" s="5" t="str">
        <f>"+19856432427"</f>
        <v>+19856432427</v>
      </c>
      <c r="CX1355" t="s">
        <v>1041</v>
      </c>
      <c r="CY1355" t="s">
        <v>138</v>
      </c>
      <c r="CZ1355" t="s">
        <v>139</v>
      </c>
      <c r="DA1355" t="s">
        <v>134</v>
      </c>
      <c r="DB1355" t="s">
        <v>114</v>
      </c>
      <c r="DC1355" t="s">
        <v>114</v>
      </c>
      <c r="DD1355" t="s">
        <v>134</v>
      </c>
    </row>
    <row r="1356" spans="1:113" ht="15" customHeight="1" x14ac:dyDescent="0.25">
      <c r="A1356" t="s">
        <v>10456</v>
      </c>
      <c r="B1356" t="s">
        <v>1033</v>
      </c>
      <c r="C1356" s="1">
        <v>44862.616675578705</v>
      </c>
      <c r="D1356" s="1">
        <v>44867</v>
      </c>
      <c r="E1356" t="s">
        <v>134</v>
      </c>
      <c r="F1356" t="s">
        <v>10457</v>
      </c>
      <c r="G1356" t="str">
        <f>"39-2021.00"</f>
        <v>39-2021.00</v>
      </c>
      <c r="H1356" t="s">
        <v>615</v>
      </c>
      <c r="I1356">
        <v>2</v>
      </c>
      <c r="K1356" s="1">
        <v>44927</v>
      </c>
      <c r="L1356" s="1">
        <v>45229</v>
      </c>
      <c r="O1356" t="s">
        <v>199</v>
      </c>
      <c r="P1356" t="s">
        <v>10458</v>
      </c>
      <c r="R1356" t="s">
        <v>10459</v>
      </c>
      <c r="T1356" t="s">
        <v>2762</v>
      </c>
      <c r="U1356" t="s">
        <v>1414</v>
      </c>
      <c r="V1356" s="4" t="str">
        <f>"48430"</f>
        <v>48430</v>
      </c>
      <c r="W1356" t="s">
        <v>120</v>
      </c>
      <c r="Y1356" s="5">
        <v>18106296169</v>
      </c>
      <c r="AA1356">
        <v>711212</v>
      </c>
      <c r="AB1356" t="s">
        <v>10460</v>
      </c>
      <c r="AC1356" t="s">
        <v>2730</v>
      </c>
      <c r="AE1356" t="s">
        <v>10461</v>
      </c>
      <c r="AF1356" t="s">
        <v>10459</v>
      </c>
      <c r="AH1356" t="s">
        <v>2762</v>
      </c>
      <c r="AI1356" t="s">
        <v>1414</v>
      </c>
      <c r="AJ1356" s="4" t="str">
        <f>"48430"</f>
        <v>48430</v>
      </c>
      <c r="AK1356" t="s">
        <v>120</v>
      </c>
      <c r="AM1356" s="5">
        <v>18106296169</v>
      </c>
      <c r="AO1356" t="s">
        <v>10462</v>
      </c>
      <c r="AP1356" t="s">
        <v>122</v>
      </c>
      <c r="AQ1356" t="s">
        <v>1551</v>
      </c>
      <c r="AR1356" t="s">
        <v>1400</v>
      </c>
      <c r="AS1356" t="s">
        <v>1869</v>
      </c>
      <c r="AT1356" t="s">
        <v>10463</v>
      </c>
      <c r="AV1356" t="s">
        <v>2016</v>
      </c>
      <c r="AW1356" t="s">
        <v>1414</v>
      </c>
      <c r="AX1356" s="4" t="str">
        <f>"49504"</f>
        <v>49504</v>
      </c>
      <c r="AY1356" t="s">
        <v>120</v>
      </c>
      <c r="BA1356" s="5">
        <v>16163366441</v>
      </c>
      <c r="BC1356" t="s">
        <v>10464</v>
      </c>
      <c r="BD1356" t="s">
        <v>10465</v>
      </c>
      <c r="BE1356" t="s">
        <v>1414</v>
      </c>
      <c r="BF1356" t="s">
        <v>7131</v>
      </c>
      <c r="BG1356" t="s">
        <v>1414</v>
      </c>
      <c r="BH1356" s="1">
        <v>44861.833333333336</v>
      </c>
      <c r="BI1356">
        <v>48</v>
      </c>
      <c r="BJ1356">
        <v>8</v>
      </c>
      <c r="BK1356">
        <v>8</v>
      </c>
      <c r="BL1356">
        <v>8</v>
      </c>
      <c r="BM1356">
        <v>8</v>
      </c>
      <c r="BN1356">
        <v>8</v>
      </c>
      <c r="BO1356">
        <v>8</v>
      </c>
      <c r="BP1356">
        <v>0</v>
      </c>
      <c r="BQ1356" t="str">
        <f>"5:00 AM"</f>
        <v>5:00 AM</v>
      </c>
      <c r="BR1356" t="str">
        <f>"5:00 PM"</f>
        <v>5:00 PM</v>
      </c>
      <c r="BS1356" t="s">
        <v>133</v>
      </c>
      <c r="BT1356">
        <v>0</v>
      </c>
      <c r="BU1356">
        <v>1</v>
      </c>
      <c r="BV1356" t="s">
        <v>134</v>
      </c>
      <c r="BX1356" s="2" t="s">
        <v>2930</v>
      </c>
      <c r="BY1356" t="s">
        <v>10459</v>
      </c>
      <c r="CA1356" t="s">
        <v>2762</v>
      </c>
      <c r="CB1356" t="s">
        <v>1414</v>
      </c>
      <c r="CC1356" s="4" t="str">
        <f>"48430"</f>
        <v>48430</v>
      </c>
      <c r="CD1356" t="s">
        <v>9980</v>
      </c>
      <c r="CE1356" t="s">
        <v>10466</v>
      </c>
      <c r="CF1356" s="6">
        <v>13.13</v>
      </c>
      <c r="CH1356" s="6">
        <v>19.7</v>
      </c>
      <c r="CJ1356" t="s">
        <v>137</v>
      </c>
      <c r="CL1356" t="s">
        <v>10467</v>
      </c>
      <c r="CO1356" t="s">
        <v>114</v>
      </c>
      <c r="CP1356" t="s">
        <v>134</v>
      </c>
      <c r="CQ1356" t="s">
        <v>134</v>
      </c>
      <c r="CR1356" t="s">
        <v>114</v>
      </c>
      <c r="CS1356" t="s">
        <v>114</v>
      </c>
      <c r="CT1356" t="s">
        <v>114</v>
      </c>
      <c r="CU1356" t="s">
        <v>134</v>
      </c>
      <c r="CV1356" t="s">
        <v>10468</v>
      </c>
      <c r="CW1356" s="5" t="str">
        <f>"+18106296169"</f>
        <v>+18106296169</v>
      </c>
      <c r="CX1356" t="s">
        <v>10462</v>
      </c>
      <c r="CY1356" t="s">
        <v>138</v>
      </c>
      <c r="CZ1356" t="s">
        <v>139</v>
      </c>
      <c r="DA1356" t="s">
        <v>134</v>
      </c>
      <c r="DB1356" t="s">
        <v>134</v>
      </c>
      <c r="DC1356" t="s">
        <v>114</v>
      </c>
      <c r="DD1356" t="s">
        <v>134</v>
      </c>
    </row>
    <row r="1357" spans="1:113" ht="15" customHeight="1" x14ac:dyDescent="0.25">
      <c r="A1357" t="s">
        <v>12412</v>
      </c>
      <c r="B1357" t="s">
        <v>1033</v>
      </c>
      <c r="C1357" s="1">
        <v>44859.832811111111</v>
      </c>
      <c r="D1357" s="1">
        <v>44867</v>
      </c>
      <c r="E1357" t="s">
        <v>114</v>
      </c>
      <c r="F1357" t="s">
        <v>12413</v>
      </c>
      <c r="G1357" t="str">
        <f>"49-2021.00"</f>
        <v>49-2021.00</v>
      </c>
      <c r="H1357" t="s">
        <v>2671</v>
      </c>
      <c r="I1357">
        <v>21</v>
      </c>
      <c r="K1357" s="1">
        <v>44900</v>
      </c>
      <c r="L1357" s="1">
        <v>45567</v>
      </c>
      <c r="O1357" t="s">
        <v>117</v>
      </c>
      <c r="P1357" t="s">
        <v>12279</v>
      </c>
      <c r="R1357" t="s">
        <v>12281</v>
      </c>
      <c r="T1357" t="s">
        <v>12286</v>
      </c>
      <c r="U1357" t="s">
        <v>444</v>
      </c>
      <c r="V1357" s="4" t="str">
        <f>"93105"</f>
        <v>93105</v>
      </c>
      <c r="W1357" t="s">
        <v>120</v>
      </c>
      <c r="Y1357" s="5">
        <v>18052455108</v>
      </c>
      <c r="AA1357">
        <v>541330</v>
      </c>
      <c r="AB1357" t="s">
        <v>12283</v>
      </c>
      <c r="AC1357" t="s">
        <v>12284</v>
      </c>
      <c r="AE1357" t="s">
        <v>342</v>
      </c>
      <c r="AF1357" t="s">
        <v>12414</v>
      </c>
      <c r="AH1357" t="s">
        <v>12286</v>
      </c>
      <c r="AI1357" t="s">
        <v>444</v>
      </c>
      <c r="AJ1357" s="4" t="str">
        <f>"93105"</f>
        <v>93105</v>
      </c>
      <c r="AK1357" t="s">
        <v>120</v>
      </c>
      <c r="AM1357" s="5">
        <v>18054489426</v>
      </c>
      <c r="AO1357" t="s">
        <v>12287</v>
      </c>
      <c r="AX1357" s="4" t="str">
        <f>""</f>
        <v/>
      </c>
      <c r="BG1357" t="s">
        <v>444</v>
      </c>
      <c r="BH1357" s="1">
        <v>44843.833333333336</v>
      </c>
      <c r="BI1357">
        <v>40</v>
      </c>
      <c r="BJ1357">
        <v>0</v>
      </c>
      <c r="BK1357">
        <v>8</v>
      </c>
      <c r="BL1357">
        <v>8</v>
      </c>
      <c r="BM1357">
        <v>8</v>
      </c>
      <c r="BN1357">
        <v>8</v>
      </c>
      <c r="BO1357">
        <v>8</v>
      </c>
      <c r="BP1357">
        <v>0</v>
      </c>
      <c r="BQ1357" t="str">
        <f>"8:00 AM"</f>
        <v>8:00 AM</v>
      </c>
      <c r="BR1357" t="str">
        <f>"5:00 PM"</f>
        <v>5:00 PM</v>
      </c>
      <c r="BS1357" t="s">
        <v>133</v>
      </c>
      <c r="BT1357">
        <v>12</v>
      </c>
      <c r="BU1357">
        <v>24</v>
      </c>
      <c r="BV1357" t="s">
        <v>134</v>
      </c>
      <c r="BX1357" s="2" t="s">
        <v>12415</v>
      </c>
      <c r="BY1357" t="s">
        <v>12416</v>
      </c>
      <c r="CA1357" t="s">
        <v>12417</v>
      </c>
      <c r="CB1357" t="s">
        <v>444</v>
      </c>
      <c r="CC1357" s="4" t="str">
        <f>"92868"</f>
        <v>92868</v>
      </c>
      <c r="CD1357" t="s">
        <v>2302</v>
      </c>
      <c r="CE1357" t="s">
        <v>1767</v>
      </c>
      <c r="CF1357" s="6">
        <v>18</v>
      </c>
      <c r="CG1357" s="6">
        <v>22</v>
      </c>
      <c r="CH1357" s="6">
        <v>27</v>
      </c>
      <c r="CI1357" s="6">
        <v>33</v>
      </c>
      <c r="CJ1357" t="s">
        <v>2625</v>
      </c>
      <c r="CL1357" t="s">
        <v>12418</v>
      </c>
      <c r="CO1357" t="s">
        <v>114</v>
      </c>
      <c r="CP1357" t="s">
        <v>134</v>
      </c>
      <c r="CQ1357" t="s">
        <v>114</v>
      </c>
      <c r="CR1357" t="s">
        <v>114</v>
      </c>
      <c r="CS1357" t="s">
        <v>114</v>
      </c>
      <c r="CT1357" t="s">
        <v>114</v>
      </c>
      <c r="CU1357" t="s">
        <v>114</v>
      </c>
      <c r="CV1357" t="s">
        <v>12419</v>
      </c>
      <c r="CW1357" s="5" t="str">
        <f>"+18053250840"</f>
        <v>+18053250840</v>
      </c>
      <c r="CX1357" t="s">
        <v>12293</v>
      </c>
      <c r="CY1357" t="s">
        <v>12420</v>
      </c>
      <c r="CZ1357" t="s">
        <v>139</v>
      </c>
      <c r="DA1357" t="s">
        <v>134</v>
      </c>
      <c r="DB1357" t="s">
        <v>134</v>
      </c>
      <c r="DC1357" t="s">
        <v>114</v>
      </c>
      <c r="DD1357" t="s">
        <v>134</v>
      </c>
    </row>
    <row r="1358" spans="1:113" ht="15" customHeight="1" x14ac:dyDescent="0.25">
      <c r="A1358" t="s">
        <v>12277</v>
      </c>
      <c r="B1358" t="s">
        <v>1033</v>
      </c>
      <c r="C1358" s="1">
        <v>44859.805898032406</v>
      </c>
      <c r="D1358" s="1">
        <v>44866</v>
      </c>
      <c r="E1358" t="s">
        <v>134</v>
      </c>
      <c r="F1358" t="s">
        <v>12278</v>
      </c>
      <c r="G1358" t="str">
        <f>"49-2021.00"</f>
        <v>49-2021.00</v>
      </c>
      <c r="H1358" t="s">
        <v>2671</v>
      </c>
      <c r="I1358">
        <v>21</v>
      </c>
      <c r="K1358" s="1">
        <v>44900</v>
      </c>
      <c r="L1358" s="1">
        <v>45201</v>
      </c>
      <c r="O1358" t="s">
        <v>117</v>
      </c>
      <c r="P1358" t="s">
        <v>12279</v>
      </c>
      <c r="Q1358" t="s">
        <v>12280</v>
      </c>
      <c r="R1358" t="s">
        <v>12281</v>
      </c>
      <c r="T1358" t="s">
        <v>12282</v>
      </c>
      <c r="U1358" t="s">
        <v>444</v>
      </c>
      <c r="V1358" s="4" t="str">
        <f>"93105"</f>
        <v>93105</v>
      </c>
      <c r="W1358" t="s">
        <v>120</v>
      </c>
      <c r="Y1358" s="5">
        <v>18054489426</v>
      </c>
      <c r="AA1358">
        <v>238210</v>
      </c>
      <c r="AB1358" t="s">
        <v>12283</v>
      </c>
      <c r="AC1358" t="s">
        <v>12284</v>
      </c>
      <c r="AD1358" t="s">
        <v>12285</v>
      </c>
      <c r="AE1358" t="s">
        <v>342</v>
      </c>
      <c r="AF1358" t="s">
        <v>12281</v>
      </c>
      <c r="AH1358" t="s">
        <v>12286</v>
      </c>
      <c r="AI1358" t="s">
        <v>444</v>
      </c>
      <c r="AJ1358" s="4" t="str">
        <f>"93105"</f>
        <v>93105</v>
      </c>
      <c r="AK1358" t="s">
        <v>120</v>
      </c>
      <c r="AM1358" s="5">
        <v>18054489426</v>
      </c>
      <c r="AO1358" t="s">
        <v>12287</v>
      </c>
      <c r="AX1358" s="4" t="str">
        <f>""</f>
        <v/>
      </c>
      <c r="BG1358" t="s">
        <v>792</v>
      </c>
      <c r="BH1358" s="1">
        <v>44823.833333333336</v>
      </c>
      <c r="BI1358">
        <v>40</v>
      </c>
      <c r="BJ1358">
        <v>0</v>
      </c>
      <c r="BK1358">
        <v>8</v>
      </c>
      <c r="BL1358">
        <v>8</v>
      </c>
      <c r="BM1358">
        <v>8</v>
      </c>
      <c r="BN1358">
        <v>8</v>
      </c>
      <c r="BO1358">
        <v>8</v>
      </c>
      <c r="BP1358">
        <v>0</v>
      </c>
      <c r="BQ1358" t="str">
        <f>"8:00 AM"</f>
        <v>8:00 AM</v>
      </c>
      <c r="BR1358" t="str">
        <f>"5:00 PM"</f>
        <v>5:00 PM</v>
      </c>
      <c r="BS1358" t="s">
        <v>133</v>
      </c>
      <c r="BT1358">
        <v>12</v>
      </c>
      <c r="BU1358">
        <v>24</v>
      </c>
      <c r="BV1358" t="s">
        <v>134</v>
      </c>
      <c r="BX1358" s="2" t="s">
        <v>12288</v>
      </c>
      <c r="BY1358" t="s">
        <v>12289</v>
      </c>
      <c r="CA1358" t="s">
        <v>7176</v>
      </c>
      <c r="CB1358" t="s">
        <v>792</v>
      </c>
      <c r="CC1358" s="4" t="str">
        <f>"98072"</f>
        <v>98072</v>
      </c>
      <c r="CD1358" t="s">
        <v>2679</v>
      </c>
      <c r="CE1358" t="s">
        <v>2680</v>
      </c>
      <c r="CF1358" s="6">
        <v>18</v>
      </c>
      <c r="CG1358" s="6">
        <v>22</v>
      </c>
      <c r="CH1358" s="6">
        <v>27</v>
      </c>
      <c r="CI1358" s="6">
        <v>33</v>
      </c>
      <c r="CJ1358" t="s">
        <v>2625</v>
      </c>
      <c r="CK1358" t="s">
        <v>12290</v>
      </c>
      <c r="CL1358" t="s">
        <v>12291</v>
      </c>
      <c r="CO1358" t="s">
        <v>114</v>
      </c>
      <c r="CP1358" t="s">
        <v>134</v>
      </c>
      <c r="CQ1358" t="s">
        <v>114</v>
      </c>
      <c r="CR1358" t="s">
        <v>114</v>
      </c>
      <c r="CS1358" t="s">
        <v>114</v>
      </c>
      <c r="CT1358" t="s">
        <v>114</v>
      </c>
      <c r="CU1358" t="s">
        <v>114</v>
      </c>
      <c r="CV1358" t="s">
        <v>12292</v>
      </c>
      <c r="CW1358" s="5" t="str">
        <f>"+18053250840"</f>
        <v>+18053250840</v>
      </c>
      <c r="CX1358" t="s">
        <v>12293</v>
      </c>
      <c r="CY1358" t="s">
        <v>12294</v>
      </c>
      <c r="CZ1358" t="s">
        <v>139</v>
      </c>
      <c r="DA1358" t="s">
        <v>134</v>
      </c>
      <c r="DB1358" t="s">
        <v>134</v>
      </c>
      <c r="DC1358" t="s">
        <v>114</v>
      </c>
      <c r="DD1358" t="s">
        <v>134</v>
      </c>
      <c r="DE1358" t="s">
        <v>12283</v>
      </c>
      <c r="DF1358" t="s">
        <v>12284</v>
      </c>
      <c r="DH1358" t="s">
        <v>12279</v>
      </c>
      <c r="DI1358" t="s">
        <v>12287</v>
      </c>
    </row>
    <row r="1359" spans="1:113" ht="15" customHeight="1" x14ac:dyDescent="0.25">
      <c r="A1359" t="s">
        <v>15091</v>
      </c>
      <c r="B1359" t="s">
        <v>1033</v>
      </c>
      <c r="C1359" s="1">
        <v>44852.762323495372</v>
      </c>
      <c r="D1359" s="1">
        <v>44861</v>
      </c>
      <c r="E1359" t="s">
        <v>134</v>
      </c>
      <c r="F1359" t="s">
        <v>15092</v>
      </c>
      <c r="G1359" t="str">
        <f>"53-3032.00"</f>
        <v>53-3032.00</v>
      </c>
      <c r="H1359" t="s">
        <v>227</v>
      </c>
      <c r="I1359">
        <v>4</v>
      </c>
      <c r="K1359" s="1">
        <v>44928</v>
      </c>
      <c r="L1359" s="1">
        <v>45213</v>
      </c>
      <c r="O1359" t="s">
        <v>199</v>
      </c>
      <c r="P1359" t="s">
        <v>15093</v>
      </c>
      <c r="R1359" t="s">
        <v>15094</v>
      </c>
      <c r="T1359" t="s">
        <v>4470</v>
      </c>
      <c r="U1359" t="s">
        <v>2057</v>
      </c>
      <c r="V1359" s="4" t="str">
        <f>"57106"</f>
        <v>57106</v>
      </c>
      <c r="W1359" t="s">
        <v>120</v>
      </c>
      <c r="Y1359" s="5">
        <v>17123017769</v>
      </c>
      <c r="AA1359">
        <v>484230</v>
      </c>
      <c r="AB1359" t="s">
        <v>15095</v>
      </c>
      <c r="AC1359" t="s">
        <v>6938</v>
      </c>
      <c r="AE1359" t="s">
        <v>963</v>
      </c>
      <c r="AF1359" t="s">
        <v>15094</v>
      </c>
      <c r="AH1359" t="s">
        <v>4470</v>
      </c>
      <c r="AI1359" t="s">
        <v>2057</v>
      </c>
      <c r="AJ1359" s="4" t="str">
        <f>"57106"</f>
        <v>57106</v>
      </c>
      <c r="AK1359" t="s">
        <v>120</v>
      </c>
      <c r="AM1359" s="5">
        <v>17123017769</v>
      </c>
      <c r="AO1359" t="s">
        <v>15096</v>
      </c>
      <c r="AX1359" s="4" t="str">
        <f>""</f>
        <v/>
      </c>
      <c r="BG1359" t="s">
        <v>2057</v>
      </c>
      <c r="BH1359" s="1">
        <v>44784.833333333336</v>
      </c>
      <c r="BI1359">
        <v>56</v>
      </c>
      <c r="BJ1359">
        <v>8</v>
      </c>
      <c r="BK1359">
        <v>8</v>
      </c>
      <c r="BL1359">
        <v>8</v>
      </c>
      <c r="BM1359">
        <v>8</v>
      </c>
      <c r="BN1359">
        <v>8</v>
      </c>
      <c r="BO1359">
        <v>8</v>
      </c>
      <c r="BP1359">
        <v>8</v>
      </c>
      <c r="BQ1359" t="str">
        <f>"6:00 AM"</f>
        <v>6:00 AM</v>
      </c>
      <c r="BR1359" t="str">
        <f>"4:00 PM"</f>
        <v>4:00 PM</v>
      </c>
      <c r="BS1359" t="s">
        <v>133</v>
      </c>
      <c r="BT1359">
        <v>0</v>
      </c>
      <c r="BU1359">
        <v>0</v>
      </c>
      <c r="BV1359" t="s">
        <v>134</v>
      </c>
      <c r="BX1359" s="2" t="s">
        <v>15097</v>
      </c>
      <c r="BY1359" t="s">
        <v>15094</v>
      </c>
      <c r="CA1359" t="s">
        <v>4470</v>
      </c>
      <c r="CB1359" t="s">
        <v>2057</v>
      </c>
      <c r="CC1359" s="4" t="str">
        <f>"57106"</f>
        <v>57106</v>
      </c>
      <c r="CD1359" t="s">
        <v>4472</v>
      </c>
      <c r="CE1359" t="s">
        <v>2562</v>
      </c>
      <c r="CF1359" s="6">
        <v>22.48</v>
      </c>
      <c r="CG1359" s="6">
        <v>22.48</v>
      </c>
      <c r="CH1359" s="6">
        <v>32.72</v>
      </c>
      <c r="CI1359" s="6">
        <v>32.72</v>
      </c>
      <c r="CJ1359" t="s">
        <v>137</v>
      </c>
      <c r="CL1359" t="s">
        <v>15098</v>
      </c>
      <c r="CO1359" t="s">
        <v>138</v>
      </c>
      <c r="CP1359" t="s">
        <v>134</v>
      </c>
      <c r="CQ1359" t="s">
        <v>114</v>
      </c>
      <c r="CR1359" t="s">
        <v>114</v>
      </c>
      <c r="CS1359" t="s">
        <v>134</v>
      </c>
      <c r="CT1359" t="s">
        <v>114</v>
      </c>
      <c r="CU1359" t="s">
        <v>114</v>
      </c>
      <c r="CV1359" t="s">
        <v>15099</v>
      </c>
      <c r="CW1359" s="5" t="str">
        <f>"+17123017769"</f>
        <v>+17123017769</v>
      </c>
      <c r="CX1359" t="s">
        <v>15096</v>
      </c>
      <c r="CY1359" t="s">
        <v>138</v>
      </c>
      <c r="CZ1359" t="s">
        <v>139</v>
      </c>
      <c r="DA1359" t="s">
        <v>134</v>
      </c>
      <c r="DB1359" t="s">
        <v>134</v>
      </c>
      <c r="DC1359" t="s">
        <v>114</v>
      </c>
      <c r="DD1359" t="s">
        <v>134</v>
      </c>
      <c r="DE1359" t="s">
        <v>10102</v>
      </c>
      <c r="DF1359" t="s">
        <v>14916</v>
      </c>
      <c r="DG1359" t="s">
        <v>1905</v>
      </c>
      <c r="DH1359" t="s">
        <v>15100</v>
      </c>
      <c r="DI1359" t="s">
        <v>15101</v>
      </c>
    </row>
    <row r="1360" spans="1:113" ht="15" customHeight="1" x14ac:dyDescent="0.25">
      <c r="A1360" t="s">
        <v>11548</v>
      </c>
      <c r="B1360" t="s">
        <v>1033</v>
      </c>
      <c r="C1360" s="1">
        <v>44855.744842708336</v>
      </c>
      <c r="D1360" s="1">
        <v>44859</v>
      </c>
      <c r="E1360" t="s">
        <v>134</v>
      </c>
      <c r="F1360" t="s">
        <v>11549</v>
      </c>
      <c r="G1360" t="str">
        <f>"49-3023.00"</f>
        <v>49-3023.00</v>
      </c>
      <c r="H1360" t="s">
        <v>5060</v>
      </c>
      <c r="I1360">
        <v>1</v>
      </c>
      <c r="K1360" s="1">
        <v>44936</v>
      </c>
      <c r="L1360" s="1">
        <v>45148</v>
      </c>
      <c r="O1360" t="s">
        <v>3130</v>
      </c>
      <c r="P1360" t="s">
        <v>11550</v>
      </c>
      <c r="R1360" t="s">
        <v>11551</v>
      </c>
      <c r="T1360" t="s">
        <v>11552</v>
      </c>
      <c r="U1360" t="s">
        <v>2842</v>
      </c>
      <c r="V1360" s="4" t="str">
        <f>"06607"</f>
        <v>06607</v>
      </c>
      <c r="W1360" t="s">
        <v>120</v>
      </c>
      <c r="Y1360" s="5">
        <v>12035706493</v>
      </c>
      <c r="AA1360">
        <v>53241</v>
      </c>
      <c r="AB1360" t="s">
        <v>8289</v>
      </c>
      <c r="AC1360" t="s">
        <v>11553</v>
      </c>
      <c r="AD1360" t="s">
        <v>11554</v>
      </c>
      <c r="AE1360" t="s">
        <v>700</v>
      </c>
      <c r="AF1360" t="s">
        <v>11555</v>
      </c>
      <c r="AH1360" t="s">
        <v>9158</v>
      </c>
      <c r="AI1360" t="s">
        <v>2842</v>
      </c>
      <c r="AJ1360" s="4" t="str">
        <f>"06607"</f>
        <v>06607</v>
      </c>
      <c r="AK1360" t="s">
        <v>120</v>
      </c>
      <c r="AM1360" s="5">
        <v>12035706493</v>
      </c>
      <c r="AO1360" t="s">
        <v>11556</v>
      </c>
      <c r="AX1360" s="4" t="str">
        <f>""</f>
        <v/>
      </c>
      <c r="BG1360" t="s">
        <v>2842</v>
      </c>
      <c r="BH1360" s="1">
        <v>44854.833333333336</v>
      </c>
      <c r="BI1360">
        <v>40</v>
      </c>
      <c r="BJ1360">
        <v>0</v>
      </c>
      <c r="BK1360">
        <v>8</v>
      </c>
      <c r="BL1360">
        <v>8</v>
      </c>
      <c r="BM1360">
        <v>8</v>
      </c>
      <c r="BN1360">
        <v>8</v>
      </c>
      <c r="BO1360">
        <v>8</v>
      </c>
      <c r="BP1360">
        <v>0</v>
      </c>
      <c r="BQ1360" t="str">
        <f>"9:00 AM"</f>
        <v>9:00 AM</v>
      </c>
      <c r="BR1360" t="str">
        <f>"5:00 PM"</f>
        <v>5:00 PM</v>
      </c>
      <c r="BS1360" t="s">
        <v>295</v>
      </c>
      <c r="BT1360">
        <v>1</v>
      </c>
      <c r="BU1360">
        <v>6</v>
      </c>
      <c r="BV1360" t="s">
        <v>134</v>
      </c>
      <c r="BX1360" t="s">
        <v>11557</v>
      </c>
      <c r="BY1360" t="s">
        <v>11558</v>
      </c>
      <c r="CA1360" t="s">
        <v>11559</v>
      </c>
      <c r="CB1360" t="s">
        <v>2842</v>
      </c>
      <c r="CC1360" s="4" t="str">
        <f>"06516"</f>
        <v>06516</v>
      </c>
      <c r="CD1360" t="s">
        <v>11560</v>
      </c>
      <c r="CE1360" t="s">
        <v>10883</v>
      </c>
      <c r="CF1360" s="6">
        <v>15</v>
      </c>
      <c r="CG1360" s="6">
        <v>20</v>
      </c>
      <c r="CK1360" t="s">
        <v>11561</v>
      </c>
      <c r="CL1360" t="s">
        <v>11562</v>
      </c>
      <c r="CO1360" t="s">
        <v>114</v>
      </c>
      <c r="CP1360" t="s">
        <v>134</v>
      </c>
      <c r="CQ1360" t="s">
        <v>114</v>
      </c>
      <c r="CR1360" t="s">
        <v>134</v>
      </c>
      <c r="CS1360" t="s">
        <v>114</v>
      </c>
      <c r="CT1360" t="s">
        <v>114</v>
      </c>
      <c r="CU1360" t="s">
        <v>114</v>
      </c>
      <c r="CV1360" t="s">
        <v>11563</v>
      </c>
      <c r="CW1360" s="5" t="str">
        <f>"+18494024020"</f>
        <v>+18494024020</v>
      </c>
      <c r="CX1360" t="s">
        <v>11564</v>
      </c>
      <c r="CY1360" t="s">
        <v>138</v>
      </c>
      <c r="CZ1360" t="s">
        <v>139</v>
      </c>
      <c r="DA1360" t="s">
        <v>134</v>
      </c>
      <c r="DB1360" t="s">
        <v>134</v>
      </c>
      <c r="DC1360" t="s">
        <v>114</v>
      </c>
      <c r="DD1360" t="s">
        <v>134</v>
      </c>
    </row>
    <row r="1361" spans="1:113" ht="15" customHeight="1" x14ac:dyDescent="0.25">
      <c r="A1361" t="s">
        <v>12913</v>
      </c>
      <c r="B1361" t="s">
        <v>1033</v>
      </c>
      <c r="C1361" s="1">
        <v>44841.633847453704</v>
      </c>
      <c r="D1361" s="1">
        <v>44852</v>
      </c>
      <c r="E1361" t="s">
        <v>134</v>
      </c>
      <c r="F1361" t="s">
        <v>12914</v>
      </c>
      <c r="G1361" t="str">
        <f>"39-9011.01"</f>
        <v>39-9011.01</v>
      </c>
      <c r="H1361" t="s">
        <v>12915</v>
      </c>
      <c r="I1361">
        <v>1</v>
      </c>
      <c r="K1361" s="1">
        <v>44866</v>
      </c>
      <c r="L1361" s="1">
        <v>45137</v>
      </c>
      <c r="O1361" t="s">
        <v>168</v>
      </c>
      <c r="P1361" t="s">
        <v>12916</v>
      </c>
      <c r="R1361" t="s">
        <v>12917</v>
      </c>
      <c r="T1361" t="s">
        <v>11808</v>
      </c>
      <c r="U1361" t="s">
        <v>848</v>
      </c>
      <c r="V1361" s="4" t="str">
        <f>"11212"</f>
        <v>11212</v>
      </c>
      <c r="W1361" t="s">
        <v>120</v>
      </c>
      <c r="Y1361" s="5">
        <v>19292715517</v>
      </c>
      <c r="AA1361">
        <v>814110</v>
      </c>
      <c r="AB1361" t="s">
        <v>12918</v>
      </c>
      <c r="AC1361" t="s">
        <v>1649</v>
      </c>
      <c r="AD1361" t="s">
        <v>12919</v>
      </c>
      <c r="AE1361" t="s">
        <v>963</v>
      </c>
      <c r="AF1361" t="s">
        <v>12920</v>
      </c>
      <c r="AH1361" t="s">
        <v>11808</v>
      </c>
      <c r="AI1361" t="s">
        <v>848</v>
      </c>
      <c r="AJ1361" s="4" t="str">
        <f>"11212"</f>
        <v>11212</v>
      </c>
      <c r="AK1361" t="s">
        <v>120</v>
      </c>
      <c r="AM1361" s="5">
        <v>19292715517</v>
      </c>
      <c r="AO1361" t="s">
        <v>12921</v>
      </c>
      <c r="AX1361" s="4" t="str">
        <f>""</f>
        <v/>
      </c>
      <c r="BG1361" t="s">
        <v>848</v>
      </c>
      <c r="BH1361" s="1">
        <v>44840.833333333336</v>
      </c>
      <c r="BI1361">
        <v>40</v>
      </c>
      <c r="BJ1361">
        <v>8</v>
      </c>
      <c r="BK1361">
        <v>8</v>
      </c>
      <c r="BL1361">
        <v>8</v>
      </c>
      <c r="BM1361">
        <v>0</v>
      </c>
      <c r="BN1361">
        <v>0</v>
      </c>
      <c r="BO1361">
        <v>8</v>
      </c>
      <c r="BP1361">
        <v>8</v>
      </c>
      <c r="BQ1361" t="str">
        <f>"9:00 AM"</f>
        <v>9:00 AM</v>
      </c>
      <c r="BR1361" t="str">
        <f>"5:30 PM"</f>
        <v>5:30 PM</v>
      </c>
      <c r="BS1361" t="s">
        <v>133</v>
      </c>
      <c r="BT1361">
        <v>0</v>
      </c>
      <c r="BU1361">
        <v>0</v>
      </c>
      <c r="BV1361" t="s">
        <v>134</v>
      </c>
      <c r="BX1361" s="2" t="s">
        <v>12922</v>
      </c>
      <c r="BY1361" t="s">
        <v>12917</v>
      </c>
      <c r="CA1361" t="s">
        <v>11808</v>
      </c>
      <c r="CB1361" t="s">
        <v>848</v>
      </c>
      <c r="CC1361" s="4" t="str">
        <f>"11212"</f>
        <v>11212</v>
      </c>
      <c r="CD1361" t="s">
        <v>4300</v>
      </c>
      <c r="CE1361" t="s">
        <v>1009</v>
      </c>
      <c r="CF1361" s="6">
        <v>15</v>
      </c>
      <c r="CG1361" s="6">
        <v>16</v>
      </c>
      <c r="CJ1361" t="s">
        <v>137</v>
      </c>
      <c r="CL1361" t="s">
        <v>12923</v>
      </c>
      <c r="CO1361" t="s">
        <v>114</v>
      </c>
      <c r="CP1361" t="s">
        <v>134</v>
      </c>
      <c r="CQ1361" t="s">
        <v>134</v>
      </c>
      <c r="CR1361" t="s">
        <v>134</v>
      </c>
      <c r="CS1361" t="s">
        <v>114</v>
      </c>
      <c r="CT1361" t="s">
        <v>114</v>
      </c>
      <c r="CU1361" t="s">
        <v>134</v>
      </c>
      <c r="CV1361" t="s">
        <v>219</v>
      </c>
      <c r="CW1361" s="5" t="str">
        <f>"+19292715517"</f>
        <v>+19292715517</v>
      </c>
      <c r="CX1361" t="s">
        <v>12924</v>
      </c>
      <c r="CY1361" t="s">
        <v>138</v>
      </c>
      <c r="CZ1361" t="s">
        <v>139</v>
      </c>
      <c r="DA1361" t="s">
        <v>134</v>
      </c>
      <c r="DB1361" t="s">
        <v>134</v>
      </c>
      <c r="DC1361" t="s">
        <v>114</v>
      </c>
      <c r="DD1361" t="s">
        <v>134</v>
      </c>
      <c r="DE1361" t="s">
        <v>12925</v>
      </c>
      <c r="DF1361" t="s">
        <v>12926</v>
      </c>
      <c r="DG1361" t="s">
        <v>926</v>
      </c>
      <c r="DH1361" t="s">
        <v>12927</v>
      </c>
      <c r="DI1361" t="s">
        <v>12924</v>
      </c>
    </row>
    <row r="1362" spans="1:113" ht="15" customHeight="1" x14ac:dyDescent="0.25">
      <c r="A1362" t="s">
        <v>11617</v>
      </c>
      <c r="B1362" t="s">
        <v>1033</v>
      </c>
      <c r="C1362" s="1">
        <v>44846.616865162039</v>
      </c>
      <c r="D1362" s="1">
        <v>44848</v>
      </c>
      <c r="E1362" t="s">
        <v>134</v>
      </c>
      <c r="F1362" t="s">
        <v>11618</v>
      </c>
      <c r="G1362" t="str">
        <f>"43-4171.00"</f>
        <v>43-4171.00</v>
      </c>
      <c r="H1362" t="s">
        <v>11619</v>
      </c>
      <c r="I1362">
        <v>2</v>
      </c>
      <c r="K1362" s="1">
        <v>44925</v>
      </c>
      <c r="L1362" s="1">
        <v>45184</v>
      </c>
      <c r="O1362" t="s">
        <v>117</v>
      </c>
      <c r="P1362" t="s">
        <v>8232</v>
      </c>
      <c r="R1362" t="s">
        <v>6168</v>
      </c>
      <c r="S1362" t="s">
        <v>8233</v>
      </c>
      <c r="T1362" t="s">
        <v>8234</v>
      </c>
      <c r="U1362" t="s">
        <v>748</v>
      </c>
      <c r="V1362" s="4" t="str">
        <f>"18109"</f>
        <v>18109</v>
      </c>
      <c r="W1362" t="s">
        <v>120</v>
      </c>
      <c r="X1362" t="s">
        <v>6169</v>
      </c>
      <c r="Y1362" s="5">
        <v>19146493048</v>
      </c>
      <c r="AA1362">
        <v>561410</v>
      </c>
      <c r="AB1362" t="s">
        <v>11620</v>
      </c>
      <c r="AC1362" t="s">
        <v>11347</v>
      </c>
      <c r="AE1362" t="s">
        <v>342</v>
      </c>
      <c r="AF1362" t="s">
        <v>8235</v>
      </c>
      <c r="AG1362" t="s">
        <v>8233</v>
      </c>
      <c r="AH1362" t="s">
        <v>8236</v>
      </c>
      <c r="AI1362" t="s">
        <v>748</v>
      </c>
      <c r="AJ1362" s="4" t="str">
        <f>"18109"</f>
        <v>18109</v>
      </c>
      <c r="AK1362" t="s">
        <v>120</v>
      </c>
      <c r="AL1362" t="s">
        <v>6169</v>
      </c>
      <c r="AM1362" s="5">
        <v>19146494038</v>
      </c>
      <c r="AO1362" t="s">
        <v>11621</v>
      </c>
      <c r="AX1362" s="4" t="str">
        <f>""</f>
        <v/>
      </c>
      <c r="BG1362" t="s">
        <v>748</v>
      </c>
      <c r="BH1362" s="1">
        <v>44845.833333333336</v>
      </c>
      <c r="BI1362">
        <v>35</v>
      </c>
      <c r="BJ1362">
        <v>0</v>
      </c>
      <c r="BK1362">
        <v>7</v>
      </c>
      <c r="BL1362">
        <v>7</v>
      </c>
      <c r="BM1362">
        <v>7</v>
      </c>
      <c r="BN1362">
        <v>7</v>
      </c>
      <c r="BO1362">
        <v>7</v>
      </c>
      <c r="BP1362">
        <v>0</v>
      </c>
      <c r="BQ1362" t="str">
        <f>"9:00 AM"</f>
        <v>9:00 AM</v>
      </c>
      <c r="BR1362" t="str">
        <f>"3:00 PM"</f>
        <v>3:00 PM</v>
      </c>
      <c r="BS1362" t="s">
        <v>295</v>
      </c>
      <c r="BT1362">
        <v>0</v>
      </c>
      <c r="BU1362">
        <v>1</v>
      </c>
      <c r="BV1362" t="s">
        <v>134</v>
      </c>
      <c r="BX1362" s="2" t="s">
        <v>11622</v>
      </c>
      <c r="BY1362" t="s">
        <v>6168</v>
      </c>
      <c r="BZ1362" t="s">
        <v>8233</v>
      </c>
      <c r="CA1362" t="s">
        <v>8234</v>
      </c>
      <c r="CB1362" t="s">
        <v>748</v>
      </c>
      <c r="CC1362" s="4" t="str">
        <f>"18109"</f>
        <v>18109</v>
      </c>
      <c r="CD1362" t="s">
        <v>3906</v>
      </c>
      <c r="CE1362" t="s">
        <v>3907</v>
      </c>
      <c r="CF1362" s="6">
        <v>18</v>
      </c>
      <c r="CG1362" s="6">
        <v>20</v>
      </c>
      <c r="CH1362" s="6">
        <v>27</v>
      </c>
      <c r="CI1362" s="6">
        <v>30</v>
      </c>
      <c r="CJ1362" t="s">
        <v>137</v>
      </c>
      <c r="CL1362" t="s">
        <v>8239</v>
      </c>
      <c r="CO1362" t="s">
        <v>138</v>
      </c>
      <c r="CP1362" t="s">
        <v>134</v>
      </c>
      <c r="CQ1362" t="s">
        <v>114</v>
      </c>
      <c r="CR1362" t="s">
        <v>134</v>
      </c>
      <c r="CS1362" t="s">
        <v>134</v>
      </c>
      <c r="CT1362" t="s">
        <v>114</v>
      </c>
      <c r="CU1362" t="s">
        <v>134</v>
      </c>
      <c r="CV1362" s="2" t="s">
        <v>11623</v>
      </c>
      <c r="CW1362" s="5" t="str">
        <f>"+19146494038"</f>
        <v>+19146494038</v>
      </c>
      <c r="CX1362" t="s">
        <v>11621</v>
      </c>
      <c r="CY1362" t="s">
        <v>138</v>
      </c>
      <c r="CZ1362" t="s">
        <v>139</v>
      </c>
      <c r="DA1362" t="s">
        <v>134</v>
      </c>
      <c r="DB1362" t="s">
        <v>114</v>
      </c>
      <c r="DC1362" t="s">
        <v>114</v>
      </c>
      <c r="DD1362" t="s">
        <v>134</v>
      </c>
      <c r="DE1362" t="s">
        <v>11624</v>
      </c>
      <c r="DF1362" t="s">
        <v>1486</v>
      </c>
      <c r="DG1362" t="s">
        <v>134</v>
      </c>
      <c r="DH1362" t="s">
        <v>11625</v>
      </c>
      <c r="DI1362" t="s">
        <v>11621</v>
      </c>
    </row>
    <row r="1363" spans="1:113" ht="15" customHeight="1" x14ac:dyDescent="0.25">
      <c r="A1363" t="s">
        <v>1203</v>
      </c>
      <c r="B1363" t="s">
        <v>1033</v>
      </c>
      <c r="C1363" s="1">
        <v>44838.654499421296</v>
      </c>
      <c r="D1363" s="1">
        <v>44846</v>
      </c>
      <c r="E1363" t="s">
        <v>134</v>
      </c>
      <c r="F1363" t="s">
        <v>1204</v>
      </c>
      <c r="G1363" t="str">
        <f>"47-2061.00"</f>
        <v>47-2061.00</v>
      </c>
      <c r="H1363" t="s">
        <v>1205</v>
      </c>
      <c r="I1363">
        <v>10</v>
      </c>
      <c r="K1363" s="1">
        <v>44845</v>
      </c>
      <c r="L1363" s="1">
        <v>45210</v>
      </c>
      <c r="O1363" t="s">
        <v>199</v>
      </c>
      <c r="P1363" t="s">
        <v>1206</v>
      </c>
      <c r="R1363" t="s">
        <v>1207</v>
      </c>
      <c r="T1363" t="s">
        <v>1208</v>
      </c>
      <c r="U1363" t="s">
        <v>129</v>
      </c>
      <c r="V1363" s="4" t="str">
        <f>"30047"</f>
        <v>30047</v>
      </c>
      <c r="Y1363" s="5" t="s">
        <v>1209</v>
      </c>
      <c r="AA1363">
        <v>561311</v>
      </c>
      <c r="AB1363" t="s">
        <v>1210</v>
      </c>
      <c r="AC1363" t="s">
        <v>1211</v>
      </c>
      <c r="AE1363" t="s">
        <v>1212</v>
      </c>
      <c r="AH1363" t="s">
        <v>1213</v>
      </c>
      <c r="AI1363" t="s">
        <v>129</v>
      </c>
      <c r="AJ1363" s="4" t="str">
        <f>"30047"</f>
        <v>30047</v>
      </c>
      <c r="AM1363" s="5" t="s">
        <v>1209</v>
      </c>
      <c r="AO1363" t="s">
        <v>1214</v>
      </c>
      <c r="AX1363" s="4" t="str">
        <f>""</f>
        <v/>
      </c>
      <c r="BG1363" t="s">
        <v>129</v>
      </c>
      <c r="BH1363" s="1">
        <v>44672.833333333336</v>
      </c>
      <c r="BQ1363" t="str">
        <f>"7:00 AM"</f>
        <v>7:00 AM</v>
      </c>
      <c r="BR1363" t="str">
        <f>"2:00 PM"</f>
        <v>2:00 PM</v>
      </c>
      <c r="BS1363" t="s">
        <v>133</v>
      </c>
      <c r="BT1363">
        <v>0</v>
      </c>
      <c r="BU1363">
        <v>24</v>
      </c>
      <c r="BV1363" t="s">
        <v>134</v>
      </c>
      <c r="BX1363" t="s">
        <v>1215</v>
      </c>
      <c r="BY1363" t="s">
        <v>1207</v>
      </c>
      <c r="CA1363" t="s">
        <v>1213</v>
      </c>
      <c r="CB1363" t="s">
        <v>129</v>
      </c>
      <c r="CC1363" s="4" t="str">
        <f>"30047"</f>
        <v>30047</v>
      </c>
      <c r="CE1363" t="s">
        <v>1216</v>
      </c>
      <c r="CF1363" s="6">
        <v>17</v>
      </c>
      <c r="CG1363" s="6">
        <v>20</v>
      </c>
      <c r="CJ1363" t="s">
        <v>137</v>
      </c>
      <c r="CL1363" t="s">
        <v>1217</v>
      </c>
      <c r="CO1363" t="s">
        <v>138</v>
      </c>
      <c r="CP1363" t="s">
        <v>134</v>
      </c>
      <c r="CQ1363" t="s">
        <v>114</v>
      </c>
      <c r="CR1363" t="s">
        <v>134</v>
      </c>
      <c r="CS1363" t="s">
        <v>114</v>
      </c>
      <c r="CT1363" t="s">
        <v>114</v>
      </c>
      <c r="CU1363" t="s">
        <v>114</v>
      </c>
      <c r="CV1363" s="2" t="s">
        <v>1218</v>
      </c>
      <c r="CW1363" s="5" t="str">
        <f>"404-519-3007"</f>
        <v>404-519-3007</v>
      </c>
      <c r="CX1363" t="s">
        <v>1214</v>
      </c>
      <c r="CY1363" t="s">
        <v>1215</v>
      </c>
      <c r="DA1363" t="s">
        <v>114</v>
      </c>
      <c r="DB1363" t="s">
        <v>134</v>
      </c>
      <c r="DC1363" t="s">
        <v>114</v>
      </c>
      <c r="DD1363" t="s">
        <v>114</v>
      </c>
    </row>
    <row r="1364" spans="1:113" ht="15" customHeight="1" x14ac:dyDescent="0.25">
      <c r="A1364" t="s">
        <v>16522</v>
      </c>
      <c r="B1364" t="s">
        <v>1033</v>
      </c>
      <c r="C1364" s="1">
        <v>44832.587251273151</v>
      </c>
      <c r="D1364" s="1">
        <v>44838</v>
      </c>
      <c r="E1364" t="s">
        <v>134</v>
      </c>
      <c r="F1364" t="s">
        <v>9352</v>
      </c>
      <c r="G1364" t="str">
        <f>"39-2021.00"</f>
        <v>39-2021.00</v>
      </c>
      <c r="H1364" t="s">
        <v>1090</v>
      </c>
      <c r="I1364">
        <v>2</v>
      </c>
      <c r="K1364" s="1">
        <v>44896</v>
      </c>
      <c r="L1364" s="1">
        <v>45078</v>
      </c>
      <c r="O1364" t="s">
        <v>199</v>
      </c>
      <c r="P1364" t="s">
        <v>3163</v>
      </c>
      <c r="Q1364" t="s">
        <v>3163</v>
      </c>
      <c r="R1364" t="s">
        <v>3168</v>
      </c>
      <c r="T1364" t="s">
        <v>3164</v>
      </c>
      <c r="V1364" s="4" t="str">
        <f>"30046"</f>
        <v>30046</v>
      </c>
      <c r="W1364" t="s">
        <v>130</v>
      </c>
      <c r="X1364" t="s">
        <v>130</v>
      </c>
      <c r="Y1364" s="5">
        <v>16784512506</v>
      </c>
      <c r="AA1364">
        <v>423920</v>
      </c>
      <c r="AB1364" t="s">
        <v>3165</v>
      </c>
      <c r="AC1364" t="s">
        <v>3166</v>
      </c>
      <c r="AE1364" t="s">
        <v>700</v>
      </c>
      <c r="AF1364" t="s">
        <v>3168</v>
      </c>
      <c r="AH1364" t="s">
        <v>3164</v>
      </c>
      <c r="AJ1364" s="4" t="str">
        <f>"30046"</f>
        <v>30046</v>
      </c>
      <c r="AK1364" t="s">
        <v>130</v>
      </c>
      <c r="AL1364" t="s">
        <v>130</v>
      </c>
      <c r="AM1364" s="5">
        <v>16784512506</v>
      </c>
      <c r="AO1364" t="s">
        <v>3167</v>
      </c>
      <c r="AX1364" s="4" t="str">
        <f>""</f>
        <v/>
      </c>
      <c r="BG1364" t="s">
        <v>129</v>
      </c>
      <c r="BH1364" s="1">
        <v>44777.833333333336</v>
      </c>
      <c r="BI1364">
        <v>40</v>
      </c>
      <c r="BJ1364">
        <v>0</v>
      </c>
      <c r="BK1364">
        <v>8</v>
      </c>
      <c r="BL1364">
        <v>8</v>
      </c>
      <c r="BM1364">
        <v>8</v>
      </c>
      <c r="BN1364">
        <v>8</v>
      </c>
      <c r="BO1364">
        <v>4</v>
      </c>
      <c r="BP1364">
        <v>4</v>
      </c>
      <c r="BQ1364" t="str">
        <f>"8:15 AM"</f>
        <v>8:15 AM</v>
      </c>
      <c r="BR1364" t="str">
        <f>"5:15 PM"</f>
        <v>5:15 PM</v>
      </c>
      <c r="BS1364" t="s">
        <v>295</v>
      </c>
      <c r="BT1364">
        <v>48</v>
      </c>
      <c r="BU1364">
        <v>48</v>
      </c>
      <c r="BV1364" t="s">
        <v>134</v>
      </c>
      <c r="BX1364" s="2" t="s">
        <v>9353</v>
      </c>
      <c r="BY1364" t="s">
        <v>9354</v>
      </c>
      <c r="CA1364" t="s">
        <v>3164</v>
      </c>
      <c r="CB1364" t="s">
        <v>129</v>
      </c>
      <c r="CC1364" s="4" t="str">
        <f>"30046"</f>
        <v>30046</v>
      </c>
      <c r="CD1364" t="s">
        <v>2560</v>
      </c>
      <c r="CE1364" t="s">
        <v>908</v>
      </c>
      <c r="CF1364" s="6">
        <v>12.83</v>
      </c>
      <c r="CG1364" s="6">
        <v>13.5</v>
      </c>
      <c r="CH1364" s="6">
        <v>19.25</v>
      </c>
      <c r="CI1364" s="6">
        <v>20.25</v>
      </c>
      <c r="CJ1364" t="s">
        <v>137</v>
      </c>
      <c r="CL1364" t="s">
        <v>16523</v>
      </c>
      <c r="CO1364" t="s">
        <v>114</v>
      </c>
      <c r="CP1364" t="s">
        <v>134</v>
      </c>
      <c r="CQ1364" t="s">
        <v>114</v>
      </c>
      <c r="CR1364" t="s">
        <v>114</v>
      </c>
      <c r="CS1364" t="s">
        <v>114</v>
      </c>
      <c r="CT1364" t="s">
        <v>114</v>
      </c>
      <c r="CU1364" t="s">
        <v>114</v>
      </c>
      <c r="CV1364" t="s">
        <v>16524</v>
      </c>
      <c r="CW1364" s="5" t="str">
        <f>"+16784512506"</f>
        <v>+16784512506</v>
      </c>
      <c r="CX1364" t="s">
        <v>3169</v>
      </c>
      <c r="CY1364" t="s">
        <v>138</v>
      </c>
      <c r="CZ1364" t="s">
        <v>139</v>
      </c>
      <c r="DA1364" t="s">
        <v>134</v>
      </c>
      <c r="DB1364" t="s">
        <v>134</v>
      </c>
      <c r="DC1364" t="s">
        <v>114</v>
      </c>
      <c r="DD1364" t="s">
        <v>134</v>
      </c>
    </row>
    <row r="1365" spans="1:113" ht="15" customHeight="1" x14ac:dyDescent="0.25">
      <c r="A1365" t="s">
        <v>9572</v>
      </c>
      <c r="B1365" t="s">
        <v>1033</v>
      </c>
      <c r="C1365" s="1">
        <v>44826.992287037036</v>
      </c>
      <c r="D1365" s="1">
        <v>44837</v>
      </c>
      <c r="E1365" t="s">
        <v>134</v>
      </c>
      <c r="F1365" t="s">
        <v>9573</v>
      </c>
      <c r="G1365" t="str">
        <f>"19-3022.00"</f>
        <v>19-3022.00</v>
      </c>
      <c r="H1365" t="s">
        <v>9574</v>
      </c>
      <c r="I1365">
        <v>1</v>
      </c>
      <c r="K1365" s="1">
        <v>44835</v>
      </c>
      <c r="L1365" s="1">
        <v>45138</v>
      </c>
      <c r="O1365" t="s">
        <v>117</v>
      </c>
      <c r="P1365" t="s">
        <v>9575</v>
      </c>
      <c r="Q1365" t="s">
        <v>9576</v>
      </c>
      <c r="R1365" t="s">
        <v>9577</v>
      </c>
      <c r="T1365" t="s">
        <v>4598</v>
      </c>
      <c r="U1365" t="s">
        <v>420</v>
      </c>
      <c r="V1365" s="4" t="str">
        <f>"84097"</f>
        <v>84097</v>
      </c>
      <c r="W1365" t="s">
        <v>120</v>
      </c>
      <c r="Y1365" s="5">
        <v>18017055300</v>
      </c>
      <c r="AA1365">
        <v>541910</v>
      </c>
      <c r="AB1365" t="s">
        <v>9578</v>
      </c>
      <c r="AC1365" t="s">
        <v>1457</v>
      </c>
      <c r="AD1365" t="s">
        <v>8158</v>
      </c>
      <c r="AE1365" t="s">
        <v>9579</v>
      </c>
      <c r="AF1365" t="s">
        <v>9580</v>
      </c>
      <c r="AH1365" t="s">
        <v>4598</v>
      </c>
      <c r="AI1365" t="s">
        <v>420</v>
      </c>
      <c r="AJ1365" s="4" t="str">
        <f>"84097"</f>
        <v>84097</v>
      </c>
      <c r="AK1365" t="s">
        <v>120</v>
      </c>
      <c r="AM1365" s="5">
        <v>18014142392</v>
      </c>
      <c r="AO1365" t="s">
        <v>9581</v>
      </c>
      <c r="AP1365" t="s">
        <v>256</v>
      </c>
      <c r="AQ1365" t="s">
        <v>1703</v>
      </c>
      <c r="AR1365" t="s">
        <v>422</v>
      </c>
      <c r="AS1365" t="s">
        <v>2077</v>
      </c>
      <c r="AT1365" t="s">
        <v>9582</v>
      </c>
      <c r="AV1365" t="s">
        <v>2748</v>
      </c>
      <c r="AW1365" t="s">
        <v>420</v>
      </c>
      <c r="AX1365" s="4" t="str">
        <f>"84103"</f>
        <v>84103</v>
      </c>
      <c r="AY1365" t="s">
        <v>120</v>
      </c>
      <c r="BA1365" s="5">
        <v>18018318883</v>
      </c>
      <c r="BC1365" t="s">
        <v>9583</v>
      </c>
      <c r="BD1365" t="s">
        <v>9575</v>
      </c>
      <c r="BG1365" t="s">
        <v>420</v>
      </c>
      <c r="BH1365" s="1">
        <v>44804.833333333336</v>
      </c>
      <c r="BI1365">
        <v>40</v>
      </c>
      <c r="BJ1365">
        <v>0</v>
      </c>
      <c r="BK1365">
        <v>8</v>
      </c>
      <c r="BL1365">
        <v>8</v>
      </c>
      <c r="BM1365">
        <v>8</v>
      </c>
      <c r="BN1365">
        <v>8</v>
      </c>
      <c r="BO1365">
        <v>8</v>
      </c>
      <c r="BP1365">
        <v>0</v>
      </c>
      <c r="BQ1365" t="str">
        <f>"8:00 AM"</f>
        <v>8:00 AM</v>
      </c>
      <c r="BR1365" t="str">
        <f>"5:00 PM"</f>
        <v>5:00 PM</v>
      </c>
      <c r="BS1365" t="s">
        <v>295</v>
      </c>
      <c r="BT1365">
        <v>1</v>
      </c>
      <c r="BU1365">
        <v>1</v>
      </c>
      <c r="BV1365" t="s">
        <v>134</v>
      </c>
      <c r="BX1365" s="2" t="s">
        <v>9584</v>
      </c>
      <c r="BY1365" t="s">
        <v>9580</v>
      </c>
      <c r="CA1365" t="s">
        <v>4598</v>
      </c>
      <c r="CB1365" t="s">
        <v>420</v>
      </c>
      <c r="CC1365" s="4" t="str">
        <f>"84097"</f>
        <v>84097</v>
      </c>
      <c r="CD1365" t="s">
        <v>433</v>
      </c>
      <c r="CE1365" t="s">
        <v>434</v>
      </c>
      <c r="CF1365" s="6">
        <v>15</v>
      </c>
      <c r="CG1365" s="6">
        <v>20</v>
      </c>
      <c r="CH1365" s="6">
        <v>30</v>
      </c>
      <c r="CI1365" s="6">
        <v>40</v>
      </c>
      <c r="CJ1365" t="s">
        <v>2625</v>
      </c>
      <c r="CL1365" t="s">
        <v>9585</v>
      </c>
      <c r="CO1365" t="s">
        <v>114</v>
      </c>
      <c r="CP1365" t="s">
        <v>114</v>
      </c>
      <c r="CQ1365" t="s">
        <v>114</v>
      </c>
      <c r="CR1365" t="s">
        <v>114</v>
      </c>
      <c r="CS1365" t="s">
        <v>114</v>
      </c>
      <c r="CT1365" t="s">
        <v>114</v>
      </c>
      <c r="CU1365" t="s">
        <v>114</v>
      </c>
      <c r="CV1365" t="s">
        <v>9586</v>
      </c>
      <c r="CW1365" s="5" t="str">
        <f>"+18017055300"</f>
        <v>+18017055300</v>
      </c>
      <c r="CX1365" t="s">
        <v>9583</v>
      </c>
      <c r="CY1365" t="s">
        <v>9587</v>
      </c>
      <c r="CZ1365" t="s">
        <v>139</v>
      </c>
      <c r="DA1365" t="s">
        <v>134</v>
      </c>
      <c r="DB1365" t="s">
        <v>134</v>
      </c>
      <c r="DC1365" t="s">
        <v>114</v>
      </c>
      <c r="DD1365" t="s">
        <v>134</v>
      </c>
    </row>
    <row r="1366" spans="1:113" ht="15" customHeight="1" x14ac:dyDescent="0.25">
      <c r="A1366" t="s">
        <v>3823</v>
      </c>
      <c r="B1366" t="s">
        <v>141</v>
      </c>
      <c r="C1366" s="1">
        <v>44876.499809837966</v>
      </c>
      <c r="D1366" s="1">
        <v>44925</v>
      </c>
      <c r="E1366" t="s">
        <v>134</v>
      </c>
      <c r="F1366" t="s">
        <v>1465</v>
      </c>
      <c r="G1366" t="str">
        <f>"37-3011.00"</f>
        <v>37-3011.00</v>
      </c>
      <c r="H1366" t="s">
        <v>335</v>
      </c>
      <c r="I1366">
        <v>8</v>
      </c>
      <c r="K1366" s="1">
        <v>44958</v>
      </c>
      <c r="L1366" s="1">
        <v>45230</v>
      </c>
      <c r="O1366" t="s">
        <v>117</v>
      </c>
      <c r="P1366" t="s">
        <v>3824</v>
      </c>
      <c r="R1366" t="s">
        <v>3825</v>
      </c>
      <c r="S1366" t="s">
        <v>3826</v>
      </c>
      <c r="T1366" t="s">
        <v>1110</v>
      </c>
      <c r="U1366" t="s">
        <v>511</v>
      </c>
      <c r="V1366" s="4" t="str">
        <f>"97504"</f>
        <v>97504</v>
      </c>
      <c r="W1366" t="s">
        <v>120</v>
      </c>
      <c r="X1366" t="s">
        <v>3827</v>
      </c>
      <c r="Y1366" s="5">
        <v>15412616913</v>
      </c>
      <c r="AA1366">
        <v>5617</v>
      </c>
      <c r="AB1366" t="s">
        <v>3828</v>
      </c>
      <c r="AC1366" t="s">
        <v>626</v>
      </c>
      <c r="AD1366" t="s">
        <v>3567</v>
      </c>
      <c r="AE1366" t="s">
        <v>285</v>
      </c>
      <c r="AF1366" t="s">
        <v>3825</v>
      </c>
      <c r="AG1366" t="s">
        <v>3829</v>
      </c>
      <c r="AH1366" t="s">
        <v>1110</v>
      </c>
      <c r="AI1366" t="s">
        <v>511</v>
      </c>
      <c r="AJ1366" s="4" t="str">
        <f>"97504"</f>
        <v>97504</v>
      </c>
      <c r="AK1366" t="s">
        <v>120</v>
      </c>
      <c r="AM1366" s="5">
        <v>15412616913</v>
      </c>
      <c r="AO1366" t="s">
        <v>3830</v>
      </c>
      <c r="AP1366" t="s">
        <v>122</v>
      </c>
      <c r="AQ1366" t="s">
        <v>369</v>
      </c>
      <c r="AR1366" t="s">
        <v>370</v>
      </c>
      <c r="AS1366" t="s">
        <v>371</v>
      </c>
      <c r="AT1366" t="s">
        <v>372</v>
      </c>
      <c r="AU1366" t="s">
        <v>373</v>
      </c>
      <c r="AV1366" t="s">
        <v>374</v>
      </c>
      <c r="AW1366" t="s">
        <v>339</v>
      </c>
      <c r="AX1366" s="4" t="str">
        <f>"21401"</f>
        <v>21401</v>
      </c>
      <c r="AY1366" t="s">
        <v>120</v>
      </c>
      <c r="BA1366" s="5">
        <v>14105739955</v>
      </c>
      <c r="BB1366">
        <v>0</v>
      </c>
      <c r="BC1366" t="s">
        <v>375</v>
      </c>
      <c r="BD1366" t="s">
        <v>376</v>
      </c>
      <c r="BE1366" t="s">
        <v>339</v>
      </c>
      <c r="BF1366" t="s">
        <v>377</v>
      </c>
      <c r="BG1366" t="s">
        <v>511</v>
      </c>
      <c r="BH1366" s="1">
        <v>44875.791666666664</v>
      </c>
      <c r="BI1366">
        <v>40</v>
      </c>
      <c r="BJ1366">
        <v>0</v>
      </c>
      <c r="BK1366">
        <v>8</v>
      </c>
      <c r="BL1366">
        <v>8</v>
      </c>
      <c r="BM1366">
        <v>8</v>
      </c>
      <c r="BN1366">
        <v>8</v>
      </c>
      <c r="BO1366">
        <v>8</v>
      </c>
      <c r="BP1366">
        <v>0</v>
      </c>
      <c r="BQ1366" t="str">
        <f>"7:00 AM"</f>
        <v>7:00 AM</v>
      </c>
      <c r="BR1366" t="str">
        <f>"3:00 PM"</f>
        <v>3:00 PM</v>
      </c>
      <c r="BS1366" t="s">
        <v>133</v>
      </c>
      <c r="BT1366">
        <v>0</v>
      </c>
      <c r="BU1366">
        <v>0</v>
      </c>
      <c r="BV1366" t="s">
        <v>134</v>
      </c>
      <c r="BX1366" t="s">
        <v>3831</v>
      </c>
      <c r="BY1366" t="s">
        <v>3832</v>
      </c>
      <c r="CA1366" t="s">
        <v>2119</v>
      </c>
      <c r="CB1366" t="s">
        <v>511</v>
      </c>
      <c r="CC1366" s="4" t="str">
        <f>"97502"</f>
        <v>97502</v>
      </c>
      <c r="CD1366" t="s">
        <v>1116</v>
      </c>
      <c r="CE1366" t="s">
        <v>1117</v>
      </c>
      <c r="CF1366" s="6">
        <v>17.8</v>
      </c>
      <c r="CG1366" s="6">
        <v>17.8</v>
      </c>
      <c r="CH1366" s="6">
        <v>26.7</v>
      </c>
      <c r="CI1366" s="6">
        <v>26.7</v>
      </c>
      <c r="CJ1366" t="s">
        <v>137</v>
      </c>
      <c r="CK1366" t="s">
        <v>3833</v>
      </c>
      <c r="CL1366" t="s">
        <v>3834</v>
      </c>
      <c r="CO1366" t="s">
        <v>138</v>
      </c>
      <c r="CP1366" t="s">
        <v>114</v>
      </c>
      <c r="CQ1366" t="s">
        <v>134</v>
      </c>
      <c r="CR1366" t="s">
        <v>114</v>
      </c>
      <c r="CS1366" t="s">
        <v>114</v>
      </c>
      <c r="CT1366" t="s">
        <v>114</v>
      </c>
      <c r="CU1366" t="s">
        <v>114</v>
      </c>
      <c r="CV1366" t="s">
        <v>3835</v>
      </c>
      <c r="CW1366" s="5" t="str">
        <f>"+15418267713"</f>
        <v>+15418267713</v>
      </c>
      <c r="CX1366" t="s">
        <v>3836</v>
      </c>
      <c r="CY1366" t="s">
        <v>138</v>
      </c>
      <c r="CZ1366" t="s">
        <v>139</v>
      </c>
      <c r="DA1366" t="s">
        <v>134</v>
      </c>
      <c r="DB1366" t="s">
        <v>114</v>
      </c>
      <c r="DC1366" t="s">
        <v>114</v>
      </c>
      <c r="DD1366" t="s">
        <v>134</v>
      </c>
    </row>
    <row r="1367" spans="1:113" ht="15" customHeight="1" x14ac:dyDescent="0.25">
      <c r="A1367" t="s">
        <v>8221</v>
      </c>
      <c r="B1367" t="s">
        <v>141</v>
      </c>
      <c r="C1367" s="1">
        <v>44903.647857523145</v>
      </c>
      <c r="D1367" s="1">
        <v>44924</v>
      </c>
      <c r="E1367" t="s">
        <v>114</v>
      </c>
      <c r="F1367" t="s">
        <v>8222</v>
      </c>
      <c r="G1367" t="str">
        <f>"47-2051.00"</f>
        <v>47-2051.00</v>
      </c>
      <c r="H1367" t="s">
        <v>1508</v>
      </c>
      <c r="I1367">
        <v>12</v>
      </c>
      <c r="K1367" s="1">
        <v>44986</v>
      </c>
      <c r="L1367" s="1">
        <v>45275</v>
      </c>
      <c r="O1367" t="s">
        <v>117</v>
      </c>
      <c r="P1367" t="s">
        <v>8223</v>
      </c>
      <c r="R1367" t="s">
        <v>8224</v>
      </c>
      <c r="T1367" t="s">
        <v>8225</v>
      </c>
      <c r="U1367" t="s">
        <v>631</v>
      </c>
      <c r="V1367" s="4" t="str">
        <f>"73160"</f>
        <v>73160</v>
      </c>
      <c r="W1367" t="s">
        <v>120</v>
      </c>
      <c r="Y1367" s="5">
        <v>14057937655</v>
      </c>
      <c r="AA1367">
        <v>238110</v>
      </c>
      <c r="AB1367" t="s">
        <v>5890</v>
      </c>
      <c r="AC1367" t="s">
        <v>4015</v>
      </c>
      <c r="AE1367" t="s">
        <v>8226</v>
      </c>
      <c r="AF1367" t="s">
        <v>8224</v>
      </c>
      <c r="AH1367" t="s">
        <v>8225</v>
      </c>
      <c r="AI1367" t="s">
        <v>631</v>
      </c>
      <c r="AJ1367" s="4" t="str">
        <f>"73160"</f>
        <v>73160</v>
      </c>
      <c r="AK1367" t="s">
        <v>120</v>
      </c>
      <c r="AM1367" s="5">
        <v>14057937665</v>
      </c>
      <c r="AO1367" t="s">
        <v>8227</v>
      </c>
      <c r="AP1367" t="s">
        <v>122</v>
      </c>
      <c r="AQ1367" t="s">
        <v>2589</v>
      </c>
      <c r="AR1367" t="s">
        <v>589</v>
      </c>
      <c r="AS1367" t="s">
        <v>146</v>
      </c>
      <c r="AT1367" t="s">
        <v>628</v>
      </c>
      <c r="AU1367" t="s">
        <v>629</v>
      </c>
      <c r="AV1367" t="s">
        <v>630</v>
      </c>
      <c r="AW1367" t="s">
        <v>631</v>
      </c>
      <c r="AX1367" s="4" t="str">
        <f>"73069"</f>
        <v>73069</v>
      </c>
      <c r="AY1367" t="s">
        <v>120</v>
      </c>
      <c r="BA1367" s="5">
        <v>14053642525</v>
      </c>
      <c r="BC1367" t="s">
        <v>632</v>
      </c>
      <c r="BD1367" t="s">
        <v>633</v>
      </c>
      <c r="BE1367" t="s">
        <v>631</v>
      </c>
      <c r="BF1367" t="s">
        <v>634</v>
      </c>
      <c r="BG1367" t="s">
        <v>631</v>
      </c>
      <c r="BH1367" s="1">
        <v>44901.791666666664</v>
      </c>
      <c r="BI1367">
        <v>40</v>
      </c>
      <c r="BJ1367">
        <v>0</v>
      </c>
      <c r="BK1367">
        <v>8</v>
      </c>
      <c r="BL1367">
        <v>8</v>
      </c>
      <c r="BM1367">
        <v>8</v>
      </c>
      <c r="BN1367">
        <v>8</v>
      </c>
      <c r="BO1367">
        <v>8</v>
      </c>
      <c r="BP1367">
        <v>0</v>
      </c>
      <c r="BQ1367" t="str">
        <f>"7:00 AM"</f>
        <v>7:00 AM</v>
      </c>
      <c r="BR1367" t="str">
        <f>"4:00 PM"</f>
        <v>4:00 PM</v>
      </c>
      <c r="BS1367" t="s">
        <v>133</v>
      </c>
      <c r="BT1367">
        <v>0</v>
      </c>
      <c r="BU1367">
        <v>1</v>
      </c>
      <c r="BV1367" t="s">
        <v>134</v>
      </c>
      <c r="BX1367" s="2" t="s">
        <v>3839</v>
      </c>
      <c r="BY1367" t="s">
        <v>8224</v>
      </c>
      <c r="CA1367" t="s">
        <v>1481</v>
      </c>
      <c r="CB1367" t="s">
        <v>631</v>
      </c>
      <c r="CC1367" s="4" t="str">
        <f>"73160"</f>
        <v>73160</v>
      </c>
      <c r="CD1367" t="s">
        <v>2732</v>
      </c>
      <c r="CE1367" t="s">
        <v>2926</v>
      </c>
      <c r="CF1367" s="6">
        <v>19.29</v>
      </c>
      <c r="CG1367" s="6">
        <v>19.29</v>
      </c>
      <c r="CH1367" s="6">
        <v>28.94</v>
      </c>
      <c r="CI1367" s="6">
        <v>28.94</v>
      </c>
      <c r="CJ1367" t="s">
        <v>137</v>
      </c>
      <c r="CL1367" t="s">
        <v>8228</v>
      </c>
      <c r="CO1367" t="s">
        <v>138</v>
      </c>
      <c r="CP1367" t="s">
        <v>114</v>
      </c>
      <c r="CQ1367" t="s">
        <v>114</v>
      </c>
      <c r="CR1367" t="s">
        <v>114</v>
      </c>
      <c r="CS1367" t="s">
        <v>134</v>
      </c>
      <c r="CT1367" t="s">
        <v>114</v>
      </c>
      <c r="CU1367" t="s">
        <v>134</v>
      </c>
      <c r="CV1367" t="s">
        <v>2591</v>
      </c>
      <c r="CW1367" s="5" t="str">
        <f>"+14057012000"</f>
        <v>+14057012000</v>
      </c>
      <c r="CX1367" t="s">
        <v>8227</v>
      </c>
      <c r="CY1367" t="s">
        <v>138</v>
      </c>
      <c r="CZ1367" t="s">
        <v>139</v>
      </c>
      <c r="DA1367" t="s">
        <v>134</v>
      </c>
      <c r="DB1367" t="s">
        <v>134</v>
      </c>
      <c r="DC1367" t="s">
        <v>114</v>
      </c>
      <c r="DD1367" t="s">
        <v>134</v>
      </c>
    </row>
    <row r="1368" spans="1:113" ht="15" customHeight="1" x14ac:dyDescent="0.25">
      <c r="A1368" t="s">
        <v>16218</v>
      </c>
      <c r="B1368" t="s">
        <v>141</v>
      </c>
      <c r="C1368" s="1">
        <v>44896.617067708336</v>
      </c>
      <c r="D1368" s="1">
        <v>44924</v>
      </c>
      <c r="E1368" t="s">
        <v>134</v>
      </c>
      <c r="F1368" t="s">
        <v>13340</v>
      </c>
      <c r="G1368" t="str">
        <f>"39-3091.00"</f>
        <v>39-3091.00</v>
      </c>
      <c r="H1368" t="s">
        <v>362</v>
      </c>
      <c r="I1368">
        <v>8</v>
      </c>
      <c r="K1368" s="1">
        <v>44986</v>
      </c>
      <c r="L1368" s="1">
        <v>45230</v>
      </c>
      <c r="O1368" t="s">
        <v>117</v>
      </c>
      <c r="P1368" t="s">
        <v>13341</v>
      </c>
      <c r="R1368" t="s">
        <v>13342</v>
      </c>
      <c r="T1368" t="s">
        <v>2596</v>
      </c>
      <c r="U1368" t="s">
        <v>1411</v>
      </c>
      <c r="V1368" s="4" t="str">
        <f>"44024"</f>
        <v>44024</v>
      </c>
      <c r="W1368" t="s">
        <v>120</v>
      </c>
      <c r="Y1368" s="5">
        <v>14407294844</v>
      </c>
      <c r="AA1368">
        <v>532289</v>
      </c>
      <c r="AB1368" t="s">
        <v>8723</v>
      </c>
      <c r="AC1368" t="s">
        <v>1081</v>
      </c>
      <c r="AD1368" t="s">
        <v>9077</v>
      </c>
      <c r="AE1368" t="s">
        <v>285</v>
      </c>
      <c r="AF1368" t="s">
        <v>13342</v>
      </c>
      <c r="AH1368" t="s">
        <v>2596</v>
      </c>
      <c r="AI1368" t="s">
        <v>1411</v>
      </c>
      <c r="AJ1368" s="4" t="str">
        <f>"44024"</f>
        <v>44024</v>
      </c>
      <c r="AK1368" t="s">
        <v>120</v>
      </c>
      <c r="AM1368" s="5">
        <v>14407294844</v>
      </c>
      <c r="AO1368" t="s">
        <v>13343</v>
      </c>
      <c r="AP1368" t="s">
        <v>256</v>
      </c>
      <c r="AQ1368" t="s">
        <v>826</v>
      </c>
      <c r="AR1368" t="s">
        <v>827</v>
      </c>
      <c r="AS1368" t="s">
        <v>138</v>
      </c>
      <c r="AT1368" t="s">
        <v>346</v>
      </c>
      <c r="AU1368" t="s">
        <v>347</v>
      </c>
      <c r="AV1368" t="s">
        <v>828</v>
      </c>
      <c r="AW1368" t="s">
        <v>349</v>
      </c>
      <c r="AX1368" s="4" t="str">
        <f>"83814"</f>
        <v>83814</v>
      </c>
      <c r="AY1368" t="s">
        <v>120</v>
      </c>
      <c r="BA1368" s="5">
        <v>12087772654</v>
      </c>
      <c r="BC1368" t="s">
        <v>829</v>
      </c>
      <c r="BD1368" t="s">
        <v>351</v>
      </c>
      <c r="BG1368" t="s">
        <v>1411</v>
      </c>
      <c r="BH1368" s="1">
        <v>44895.791666666664</v>
      </c>
      <c r="BI1368">
        <v>40</v>
      </c>
      <c r="BJ1368">
        <v>0</v>
      </c>
      <c r="BK1368">
        <v>8</v>
      </c>
      <c r="BL1368">
        <v>8</v>
      </c>
      <c r="BM1368">
        <v>8</v>
      </c>
      <c r="BN1368">
        <v>8</v>
      </c>
      <c r="BO1368">
        <v>8</v>
      </c>
      <c r="BP1368">
        <v>0</v>
      </c>
      <c r="BQ1368" t="str">
        <f>"7:30 AM"</f>
        <v>7:30 AM</v>
      </c>
      <c r="BR1368" t="str">
        <f>"5:30 PM"</f>
        <v>5:30 PM</v>
      </c>
      <c r="BS1368" t="s">
        <v>133</v>
      </c>
      <c r="BT1368">
        <v>0</v>
      </c>
      <c r="BU1368">
        <v>0</v>
      </c>
      <c r="BV1368" t="s">
        <v>134</v>
      </c>
      <c r="BX1368" s="2" t="s">
        <v>13344</v>
      </c>
      <c r="BY1368" t="s">
        <v>13345</v>
      </c>
      <c r="CA1368" t="s">
        <v>13346</v>
      </c>
      <c r="CB1368" t="s">
        <v>1411</v>
      </c>
      <c r="CC1368" s="4" t="str">
        <f>"44026"</f>
        <v>44026</v>
      </c>
      <c r="CD1368" t="s">
        <v>2597</v>
      </c>
      <c r="CE1368" t="s">
        <v>1464</v>
      </c>
      <c r="CF1368" s="6">
        <v>11.11</v>
      </c>
      <c r="CG1368" s="6">
        <v>15</v>
      </c>
      <c r="CH1368" s="6">
        <v>16.670000000000002</v>
      </c>
      <c r="CI1368" s="6">
        <v>22.5</v>
      </c>
      <c r="CJ1368" t="s">
        <v>137</v>
      </c>
      <c r="CK1368" t="s">
        <v>356</v>
      </c>
      <c r="CL1368" t="s">
        <v>13347</v>
      </c>
      <c r="CO1368" t="s">
        <v>138</v>
      </c>
      <c r="CP1368" t="s">
        <v>114</v>
      </c>
      <c r="CQ1368" t="s">
        <v>114</v>
      </c>
      <c r="CR1368" t="s">
        <v>114</v>
      </c>
      <c r="CS1368" t="s">
        <v>114</v>
      </c>
      <c r="CT1368" t="s">
        <v>114</v>
      </c>
      <c r="CU1368" t="s">
        <v>134</v>
      </c>
      <c r="CV1368" t="s">
        <v>358</v>
      </c>
      <c r="CW1368" s="5" t="str">
        <f>"+14404870386"</f>
        <v>+14404870386</v>
      </c>
      <c r="CX1368" t="s">
        <v>13343</v>
      </c>
      <c r="CY1368" t="s">
        <v>138</v>
      </c>
      <c r="CZ1368" t="s">
        <v>139</v>
      </c>
      <c r="DA1368" t="s">
        <v>134</v>
      </c>
      <c r="DB1368" t="s">
        <v>114</v>
      </c>
      <c r="DC1368" t="s">
        <v>114</v>
      </c>
      <c r="DD1368" t="s">
        <v>134</v>
      </c>
    </row>
    <row r="1369" spans="1:113" ht="15" customHeight="1" x14ac:dyDescent="0.25">
      <c r="A1369" t="s">
        <v>10213</v>
      </c>
      <c r="B1369" t="s">
        <v>141</v>
      </c>
      <c r="C1369" s="1">
        <v>44896.434343171299</v>
      </c>
      <c r="D1369" s="1">
        <v>44924</v>
      </c>
      <c r="E1369" t="s">
        <v>134</v>
      </c>
      <c r="F1369" t="s">
        <v>334</v>
      </c>
      <c r="G1369" t="str">
        <f>"37-3011.00"</f>
        <v>37-3011.00</v>
      </c>
      <c r="H1369" t="s">
        <v>335</v>
      </c>
      <c r="I1369">
        <v>15</v>
      </c>
      <c r="K1369" s="1">
        <v>44986</v>
      </c>
      <c r="L1369" s="1">
        <v>45275</v>
      </c>
      <c r="O1369" t="s">
        <v>199</v>
      </c>
      <c r="P1369" t="s">
        <v>10079</v>
      </c>
      <c r="R1369" t="s">
        <v>10080</v>
      </c>
      <c r="S1369" t="s">
        <v>10081</v>
      </c>
      <c r="T1369" t="s">
        <v>10082</v>
      </c>
      <c r="U1369" t="s">
        <v>748</v>
      </c>
      <c r="V1369" s="4" t="str">
        <f>"18964"</f>
        <v>18964</v>
      </c>
      <c r="W1369" t="s">
        <v>120</v>
      </c>
      <c r="X1369" t="s">
        <v>138</v>
      </c>
      <c r="Y1369" s="5">
        <v>12157219839</v>
      </c>
      <c r="AA1369">
        <v>561730</v>
      </c>
      <c r="AB1369" t="s">
        <v>10083</v>
      </c>
      <c r="AC1369" t="s">
        <v>4345</v>
      </c>
      <c r="AE1369" t="s">
        <v>424</v>
      </c>
      <c r="AF1369" t="s">
        <v>10080</v>
      </c>
      <c r="AG1369" t="s">
        <v>10081</v>
      </c>
      <c r="AH1369" t="s">
        <v>10082</v>
      </c>
      <c r="AI1369" t="s">
        <v>748</v>
      </c>
      <c r="AJ1369" s="4" t="str">
        <f>"18964"</f>
        <v>18964</v>
      </c>
      <c r="AK1369" t="s">
        <v>120</v>
      </c>
      <c r="AM1369" s="5">
        <v>12157219839</v>
      </c>
      <c r="AO1369" t="s">
        <v>10084</v>
      </c>
      <c r="AP1369" t="s">
        <v>256</v>
      </c>
      <c r="AQ1369" t="s">
        <v>2362</v>
      </c>
      <c r="AR1369" t="s">
        <v>1907</v>
      </c>
      <c r="AS1369" t="s">
        <v>1857</v>
      </c>
      <c r="AT1369" t="s">
        <v>1284</v>
      </c>
      <c r="AU1369" t="s">
        <v>138</v>
      </c>
      <c r="AV1369" t="s">
        <v>1285</v>
      </c>
      <c r="AW1369" t="s">
        <v>232</v>
      </c>
      <c r="AX1369" s="4" t="str">
        <f>"77414"</f>
        <v>77414</v>
      </c>
      <c r="AY1369" t="s">
        <v>120</v>
      </c>
      <c r="BA1369" s="5">
        <v>19793187282</v>
      </c>
      <c r="BC1369" t="s">
        <v>2363</v>
      </c>
      <c r="BD1369" t="s">
        <v>1287</v>
      </c>
      <c r="BG1369" t="s">
        <v>748</v>
      </c>
      <c r="BH1369" s="1">
        <v>44895.791666666664</v>
      </c>
      <c r="BI1369">
        <v>40</v>
      </c>
      <c r="BJ1369">
        <v>0</v>
      </c>
      <c r="BK1369">
        <v>8</v>
      </c>
      <c r="BL1369">
        <v>8</v>
      </c>
      <c r="BM1369">
        <v>8</v>
      </c>
      <c r="BN1369">
        <v>8</v>
      </c>
      <c r="BO1369">
        <v>8</v>
      </c>
      <c r="BP1369">
        <v>0</v>
      </c>
      <c r="BQ1369" t="str">
        <f>"7:00 AM"</f>
        <v>7:00 AM</v>
      </c>
      <c r="BR1369" t="str">
        <f>"4:00 PM"</f>
        <v>4:00 PM</v>
      </c>
      <c r="BS1369" t="s">
        <v>133</v>
      </c>
      <c r="BT1369">
        <v>0</v>
      </c>
      <c r="BU1369">
        <v>0</v>
      </c>
      <c r="BV1369" t="s">
        <v>134</v>
      </c>
      <c r="BX1369" s="2" t="s">
        <v>10085</v>
      </c>
      <c r="BY1369" t="s">
        <v>10086</v>
      </c>
      <c r="BZ1369" t="s">
        <v>138</v>
      </c>
      <c r="CA1369" t="s">
        <v>10082</v>
      </c>
      <c r="CB1369" t="s">
        <v>748</v>
      </c>
      <c r="CC1369" s="4" t="str">
        <f>"18964"</f>
        <v>18964</v>
      </c>
      <c r="CD1369" t="s">
        <v>1533</v>
      </c>
      <c r="CE1369" t="s">
        <v>1266</v>
      </c>
      <c r="CF1369" s="6">
        <v>17.82</v>
      </c>
      <c r="CH1369" s="6">
        <v>26.73</v>
      </c>
      <c r="CJ1369" t="s">
        <v>137</v>
      </c>
      <c r="CK1369" t="s">
        <v>6318</v>
      </c>
      <c r="CL1369" t="s">
        <v>10087</v>
      </c>
      <c r="CO1369" t="s">
        <v>138</v>
      </c>
      <c r="CP1369" t="s">
        <v>114</v>
      </c>
      <c r="CQ1369" t="s">
        <v>114</v>
      </c>
      <c r="CR1369" t="s">
        <v>114</v>
      </c>
      <c r="CS1369" t="s">
        <v>114</v>
      </c>
      <c r="CT1369" t="s">
        <v>114</v>
      </c>
      <c r="CU1369" t="s">
        <v>114</v>
      </c>
      <c r="CV1369" t="s">
        <v>10088</v>
      </c>
      <c r="CW1369" s="5" t="str">
        <f>"+12157219839"</f>
        <v>+12157219839</v>
      </c>
      <c r="CX1369" t="s">
        <v>10084</v>
      </c>
      <c r="CY1369" t="s">
        <v>138</v>
      </c>
      <c r="CZ1369" t="s">
        <v>139</v>
      </c>
      <c r="DA1369" t="s">
        <v>134</v>
      </c>
      <c r="DB1369" t="s">
        <v>134</v>
      </c>
      <c r="DC1369" t="s">
        <v>114</v>
      </c>
      <c r="DD1369" t="s">
        <v>134</v>
      </c>
    </row>
    <row r="1370" spans="1:113" ht="15" customHeight="1" x14ac:dyDescent="0.25">
      <c r="A1370" t="s">
        <v>13554</v>
      </c>
      <c r="B1370" t="s">
        <v>141</v>
      </c>
      <c r="C1370" s="1">
        <v>44890.52346585648</v>
      </c>
      <c r="D1370" s="1">
        <v>44924</v>
      </c>
      <c r="E1370" t="s">
        <v>134</v>
      </c>
      <c r="F1370" t="s">
        <v>4109</v>
      </c>
      <c r="G1370" t="str">
        <f>"47-2051.00"</f>
        <v>47-2051.00</v>
      </c>
      <c r="H1370" t="s">
        <v>1508</v>
      </c>
      <c r="I1370">
        <v>30</v>
      </c>
      <c r="K1370" s="1">
        <v>44972</v>
      </c>
      <c r="L1370" s="1">
        <v>45245</v>
      </c>
      <c r="O1370" t="s">
        <v>117</v>
      </c>
      <c r="P1370" t="s">
        <v>4110</v>
      </c>
      <c r="Q1370" t="s">
        <v>4111</v>
      </c>
      <c r="R1370" t="s">
        <v>4112</v>
      </c>
      <c r="T1370" t="s">
        <v>4113</v>
      </c>
      <c r="U1370" t="s">
        <v>420</v>
      </c>
      <c r="V1370" s="4" t="str">
        <f>"84341"</f>
        <v>84341</v>
      </c>
      <c r="W1370" t="s">
        <v>120</v>
      </c>
      <c r="Y1370" s="5">
        <v>14357706844</v>
      </c>
      <c r="AA1370">
        <v>2383</v>
      </c>
      <c r="AB1370" t="s">
        <v>4114</v>
      </c>
      <c r="AC1370" t="s">
        <v>2534</v>
      </c>
      <c r="AE1370" t="s">
        <v>342</v>
      </c>
      <c r="AF1370" t="s">
        <v>4112</v>
      </c>
      <c r="AH1370" t="s">
        <v>4113</v>
      </c>
      <c r="AI1370" t="s">
        <v>420</v>
      </c>
      <c r="AJ1370" s="4" t="str">
        <f>"84341"</f>
        <v>84341</v>
      </c>
      <c r="AK1370" t="s">
        <v>120</v>
      </c>
      <c r="AM1370" s="5">
        <v>14357706844</v>
      </c>
      <c r="AO1370" t="s">
        <v>138</v>
      </c>
      <c r="AP1370" t="s">
        <v>256</v>
      </c>
      <c r="AQ1370" t="s">
        <v>4076</v>
      </c>
      <c r="AR1370" t="s">
        <v>726</v>
      </c>
      <c r="AT1370" t="s">
        <v>4115</v>
      </c>
      <c r="AV1370" t="s">
        <v>4116</v>
      </c>
      <c r="AW1370" t="s">
        <v>232</v>
      </c>
      <c r="AX1370" s="4" t="str">
        <f>"75442"</f>
        <v>75442</v>
      </c>
      <c r="AY1370" t="s">
        <v>120</v>
      </c>
      <c r="BA1370" s="5">
        <v>14692388392</v>
      </c>
      <c r="BC1370" t="s">
        <v>4117</v>
      </c>
      <c r="BD1370" t="s">
        <v>4118</v>
      </c>
      <c r="BG1370" t="s">
        <v>420</v>
      </c>
      <c r="BH1370" s="1">
        <v>44889.791666666664</v>
      </c>
      <c r="BI1370">
        <v>40</v>
      </c>
      <c r="BJ1370">
        <v>0</v>
      </c>
      <c r="BK1370">
        <v>8</v>
      </c>
      <c r="BL1370">
        <v>8</v>
      </c>
      <c r="BM1370">
        <v>8</v>
      </c>
      <c r="BN1370">
        <v>8</v>
      </c>
      <c r="BO1370">
        <v>8</v>
      </c>
      <c r="BP1370">
        <v>0</v>
      </c>
      <c r="BQ1370" t="str">
        <f>"9:00 PM"</f>
        <v>9:00 PM</v>
      </c>
      <c r="BR1370" t="str">
        <f>"6:00 AM"</f>
        <v>6:00 AM</v>
      </c>
      <c r="BS1370" t="s">
        <v>133</v>
      </c>
      <c r="BT1370">
        <v>0</v>
      </c>
      <c r="BU1370">
        <v>0</v>
      </c>
      <c r="BV1370" t="s">
        <v>134</v>
      </c>
      <c r="BX1370" t="s">
        <v>133</v>
      </c>
      <c r="BY1370" t="s">
        <v>4112</v>
      </c>
      <c r="CA1370" t="s">
        <v>4113</v>
      </c>
      <c r="CB1370" t="s">
        <v>420</v>
      </c>
      <c r="CC1370" s="4" t="str">
        <f>"84341"</f>
        <v>84341</v>
      </c>
      <c r="CD1370" t="s">
        <v>1584</v>
      </c>
      <c r="CE1370" t="s">
        <v>1585</v>
      </c>
      <c r="CF1370" s="6">
        <v>24.24</v>
      </c>
      <c r="CG1370" s="6">
        <v>24.24</v>
      </c>
      <c r="CH1370" s="6">
        <v>36.36</v>
      </c>
      <c r="CI1370" s="6">
        <v>36.36</v>
      </c>
      <c r="CJ1370" t="s">
        <v>137</v>
      </c>
      <c r="CK1370" t="s">
        <v>4119</v>
      </c>
      <c r="CL1370" t="s">
        <v>4120</v>
      </c>
      <c r="CO1370" t="s">
        <v>138</v>
      </c>
      <c r="CP1370" t="s">
        <v>114</v>
      </c>
      <c r="CQ1370" t="s">
        <v>114</v>
      </c>
      <c r="CR1370" t="s">
        <v>114</v>
      </c>
      <c r="CS1370" t="s">
        <v>114</v>
      </c>
      <c r="CT1370" t="s">
        <v>114</v>
      </c>
      <c r="CU1370" t="s">
        <v>134</v>
      </c>
      <c r="CV1370" t="s">
        <v>4121</v>
      </c>
      <c r="CW1370" s="5" t="str">
        <f>"+14357706844"</f>
        <v>+14357706844</v>
      </c>
      <c r="CX1370" t="s">
        <v>138</v>
      </c>
      <c r="CY1370" t="s">
        <v>4122</v>
      </c>
      <c r="CZ1370" t="s">
        <v>139</v>
      </c>
      <c r="DA1370" t="s">
        <v>134</v>
      </c>
      <c r="DB1370" t="s">
        <v>134</v>
      </c>
      <c r="DC1370" t="s">
        <v>114</v>
      </c>
      <c r="DD1370" t="s">
        <v>134</v>
      </c>
    </row>
    <row r="1371" spans="1:113" ht="15" customHeight="1" x14ac:dyDescent="0.25">
      <c r="A1371" t="s">
        <v>15610</v>
      </c>
      <c r="B1371" t="s">
        <v>141</v>
      </c>
      <c r="C1371" s="1">
        <v>44901.466105671294</v>
      </c>
      <c r="D1371" s="1">
        <v>44923</v>
      </c>
      <c r="E1371" t="s">
        <v>134</v>
      </c>
      <c r="F1371" t="s">
        <v>334</v>
      </c>
      <c r="G1371" t="str">
        <f>"37-3011.00"</f>
        <v>37-3011.00</v>
      </c>
      <c r="H1371" t="s">
        <v>335</v>
      </c>
      <c r="I1371">
        <v>23</v>
      </c>
      <c r="K1371" s="1">
        <v>44986</v>
      </c>
      <c r="L1371" s="1">
        <v>45275</v>
      </c>
      <c r="O1371" t="s">
        <v>199</v>
      </c>
      <c r="P1371" t="s">
        <v>14065</v>
      </c>
      <c r="R1371" t="s">
        <v>14066</v>
      </c>
      <c r="T1371" t="s">
        <v>14067</v>
      </c>
      <c r="U1371" t="s">
        <v>619</v>
      </c>
      <c r="V1371" s="4" t="str">
        <f>"40965"</f>
        <v>40965</v>
      </c>
      <c r="W1371" t="s">
        <v>120</v>
      </c>
      <c r="Y1371" s="5">
        <v>16064992732</v>
      </c>
      <c r="AA1371">
        <v>56173</v>
      </c>
      <c r="AB1371" t="s">
        <v>2294</v>
      </c>
      <c r="AC1371" t="s">
        <v>14068</v>
      </c>
      <c r="AE1371" t="s">
        <v>8956</v>
      </c>
      <c r="AF1371" t="s">
        <v>14066</v>
      </c>
      <c r="AH1371" t="s">
        <v>14067</v>
      </c>
      <c r="AI1371" t="s">
        <v>619</v>
      </c>
      <c r="AJ1371" s="4" t="str">
        <f>"40965"</f>
        <v>40965</v>
      </c>
      <c r="AK1371" t="s">
        <v>120</v>
      </c>
      <c r="AM1371" s="5">
        <v>16064992732</v>
      </c>
      <c r="AO1371" t="s">
        <v>14069</v>
      </c>
      <c r="AP1371" t="s">
        <v>256</v>
      </c>
      <c r="AQ1371" t="s">
        <v>2115</v>
      </c>
      <c r="AR1371" t="s">
        <v>2116</v>
      </c>
      <c r="AT1371" t="s">
        <v>1930</v>
      </c>
      <c r="AU1371" t="s">
        <v>1931</v>
      </c>
      <c r="AV1371" t="s">
        <v>1932</v>
      </c>
      <c r="AW1371" t="s">
        <v>349</v>
      </c>
      <c r="AX1371" s="4" t="str">
        <f>"83814"</f>
        <v>83814</v>
      </c>
      <c r="AY1371" t="s">
        <v>120</v>
      </c>
      <c r="BA1371" s="5">
        <v>12087772654</v>
      </c>
      <c r="BC1371" t="s">
        <v>2117</v>
      </c>
      <c r="BD1371" t="s">
        <v>351</v>
      </c>
      <c r="BG1371" t="s">
        <v>619</v>
      </c>
      <c r="BH1371" s="1">
        <v>44887.791666666664</v>
      </c>
      <c r="BI1371">
        <v>40</v>
      </c>
      <c r="BJ1371">
        <v>0</v>
      </c>
      <c r="BK1371">
        <v>8</v>
      </c>
      <c r="BL1371">
        <v>8</v>
      </c>
      <c r="BM1371">
        <v>8</v>
      </c>
      <c r="BN1371">
        <v>8</v>
      </c>
      <c r="BO1371">
        <v>8</v>
      </c>
      <c r="BP1371">
        <v>0</v>
      </c>
      <c r="BQ1371" t="str">
        <f>"7:00 AM"</f>
        <v>7:00 AM</v>
      </c>
      <c r="BR1371" t="str">
        <f>"4:00 PM"</f>
        <v>4:00 PM</v>
      </c>
      <c r="BS1371" t="s">
        <v>133</v>
      </c>
      <c r="BT1371">
        <v>0</v>
      </c>
      <c r="BU1371">
        <v>0</v>
      </c>
      <c r="BV1371" t="s">
        <v>134</v>
      </c>
      <c r="BX1371" s="2" t="s">
        <v>14070</v>
      </c>
      <c r="BY1371" t="s">
        <v>14071</v>
      </c>
      <c r="CA1371" t="s">
        <v>14067</v>
      </c>
      <c r="CB1371" t="s">
        <v>619</v>
      </c>
      <c r="CC1371" s="4" t="str">
        <f>"40965"</f>
        <v>40965</v>
      </c>
      <c r="CD1371" t="s">
        <v>4240</v>
      </c>
      <c r="CE1371" t="s">
        <v>14072</v>
      </c>
      <c r="CF1371" s="6">
        <v>13.29</v>
      </c>
      <c r="CG1371" s="6">
        <v>17</v>
      </c>
      <c r="CH1371" s="6">
        <v>19.940000000000001</v>
      </c>
      <c r="CI1371" s="6">
        <v>25.5</v>
      </c>
      <c r="CJ1371" t="s">
        <v>137</v>
      </c>
      <c r="CK1371" t="s">
        <v>356</v>
      </c>
      <c r="CL1371" t="s">
        <v>14073</v>
      </c>
      <c r="CO1371" t="s">
        <v>138</v>
      </c>
      <c r="CP1371" t="s">
        <v>114</v>
      </c>
      <c r="CQ1371" t="s">
        <v>114</v>
      </c>
      <c r="CR1371" t="s">
        <v>114</v>
      </c>
      <c r="CS1371" t="s">
        <v>114</v>
      </c>
      <c r="CT1371" t="s">
        <v>114</v>
      </c>
      <c r="CU1371" t="s">
        <v>134</v>
      </c>
      <c r="CV1371" t="s">
        <v>358</v>
      </c>
      <c r="CW1371" s="5" t="str">
        <f>"+16064992732"</f>
        <v>+16064992732</v>
      </c>
      <c r="CX1371" t="s">
        <v>14074</v>
      </c>
      <c r="CY1371" t="s">
        <v>138</v>
      </c>
      <c r="CZ1371" t="s">
        <v>139</v>
      </c>
      <c r="DA1371" t="s">
        <v>134</v>
      </c>
      <c r="DB1371" t="s">
        <v>134</v>
      </c>
      <c r="DC1371" t="s">
        <v>114</v>
      </c>
      <c r="DD1371" t="s">
        <v>134</v>
      </c>
    </row>
    <row r="1372" spans="1:113" ht="15" customHeight="1" x14ac:dyDescent="0.25">
      <c r="A1372" t="s">
        <v>9330</v>
      </c>
      <c r="B1372" t="s">
        <v>141</v>
      </c>
      <c r="C1372" s="1">
        <v>44900.77411377315</v>
      </c>
      <c r="D1372" s="1">
        <v>44923</v>
      </c>
      <c r="E1372" t="s">
        <v>134</v>
      </c>
      <c r="F1372" t="s">
        <v>9331</v>
      </c>
      <c r="G1372" t="str">
        <f>"37-2011.00"</f>
        <v>37-2011.00</v>
      </c>
      <c r="H1372" t="s">
        <v>672</v>
      </c>
      <c r="I1372">
        <v>4</v>
      </c>
      <c r="K1372" s="1">
        <v>44986</v>
      </c>
      <c r="L1372" s="1">
        <v>45261</v>
      </c>
      <c r="O1372" t="s">
        <v>199</v>
      </c>
      <c r="P1372" t="s">
        <v>9332</v>
      </c>
      <c r="R1372" t="s">
        <v>9333</v>
      </c>
      <c r="T1372" t="s">
        <v>9334</v>
      </c>
      <c r="U1372" t="s">
        <v>511</v>
      </c>
      <c r="V1372" s="4" t="str">
        <f>"97062"</f>
        <v>97062</v>
      </c>
      <c r="W1372" t="s">
        <v>120</v>
      </c>
      <c r="Y1372" s="5">
        <v>15039561879</v>
      </c>
      <c r="AA1372">
        <v>56172</v>
      </c>
      <c r="AB1372" t="s">
        <v>4466</v>
      </c>
      <c r="AC1372" t="s">
        <v>7144</v>
      </c>
      <c r="AE1372" t="s">
        <v>700</v>
      </c>
      <c r="AF1372" t="s">
        <v>9335</v>
      </c>
      <c r="AH1372" t="s">
        <v>9334</v>
      </c>
      <c r="AI1372" t="s">
        <v>511</v>
      </c>
      <c r="AJ1372" s="4" t="str">
        <f>"97062"</f>
        <v>97062</v>
      </c>
      <c r="AK1372" t="s">
        <v>120</v>
      </c>
      <c r="AM1372" s="5">
        <v>15039561879</v>
      </c>
      <c r="AO1372" t="s">
        <v>9336</v>
      </c>
      <c r="AX1372" s="4" t="str">
        <f>""</f>
        <v/>
      </c>
      <c r="BG1372" t="s">
        <v>511</v>
      </c>
      <c r="BH1372" s="1">
        <v>44899.791666666664</v>
      </c>
      <c r="BI1372">
        <v>40</v>
      </c>
      <c r="BJ1372">
        <v>0</v>
      </c>
      <c r="BK1372">
        <v>8</v>
      </c>
      <c r="BL1372">
        <v>8</v>
      </c>
      <c r="BM1372">
        <v>8</v>
      </c>
      <c r="BN1372">
        <v>8</v>
      </c>
      <c r="BO1372">
        <v>8</v>
      </c>
      <c r="BP1372">
        <v>0</v>
      </c>
      <c r="BQ1372" t="str">
        <f>"6:00 AM"</f>
        <v>6:00 AM</v>
      </c>
      <c r="BR1372" t="str">
        <f>"2:00 PM"</f>
        <v>2:00 PM</v>
      </c>
      <c r="BS1372" t="s">
        <v>133</v>
      </c>
      <c r="BT1372">
        <v>0</v>
      </c>
      <c r="BU1372">
        <v>0</v>
      </c>
      <c r="BV1372" t="s">
        <v>134</v>
      </c>
      <c r="BX1372" t="s">
        <v>2314</v>
      </c>
      <c r="BY1372" t="s">
        <v>9335</v>
      </c>
      <c r="CA1372" t="s">
        <v>9334</v>
      </c>
      <c r="CB1372" t="s">
        <v>511</v>
      </c>
      <c r="CC1372" s="4" t="str">
        <f>"97062"</f>
        <v>97062</v>
      </c>
      <c r="CD1372" t="s">
        <v>1345</v>
      </c>
      <c r="CE1372" t="s">
        <v>2137</v>
      </c>
      <c r="CF1372" s="6">
        <v>16.88</v>
      </c>
      <c r="CJ1372" t="s">
        <v>137</v>
      </c>
      <c r="CL1372" t="s">
        <v>9337</v>
      </c>
      <c r="CO1372" t="s">
        <v>138</v>
      </c>
      <c r="CP1372" t="s">
        <v>114</v>
      </c>
      <c r="CQ1372" t="s">
        <v>114</v>
      </c>
      <c r="CR1372" t="s">
        <v>134</v>
      </c>
      <c r="CS1372" t="s">
        <v>114</v>
      </c>
      <c r="CT1372" t="s">
        <v>114</v>
      </c>
      <c r="CU1372" t="s">
        <v>114</v>
      </c>
      <c r="CV1372" t="s">
        <v>9338</v>
      </c>
      <c r="CW1372" s="5" t="str">
        <f>"+15039561879"</f>
        <v>+15039561879</v>
      </c>
      <c r="CX1372" t="s">
        <v>9339</v>
      </c>
      <c r="CY1372" t="s">
        <v>138</v>
      </c>
      <c r="CZ1372" t="s">
        <v>139</v>
      </c>
      <c r="DA1372" t="s">
        <v>134</v>
      </c>
      <c r="DB1372" t="s">
        <v>134</v>
      </c>
      <c r="DC1372" t="s">
        <v>114</v>
      </c>
      <c r="DD1372" t="s">
        <v>134</v>
      </c>
    </row>
    <row r="1373" spans="1:113" ht="15" customHeight="1" x14ac:dyDescent="0.25">
      <c r="A1373" t="s">
        <v>13279</v>
      </c>
      <c r="B1373" t="s">
        <v>141</v>
      </c>
      <c r="C1373" s="1">
        <v>44904.506367013892</v>
      </c>
      <c r="D1373" s="1">
        <v>44921</v>
      </c>
      <c r="E1373" t="s">
        <v>134</v>
      </c>
      <c r="F1373" t="s">
        <v>13280</v>
      </c>
      <c r="G1373" t="str">
        <f>"47-3016.00"</f>
        <v>47-3016.00</v>
      </c>
      <c r="H1373" t="s">
        <v>2369</v>
      </c>
      <c r="I1373">
        <v>20</v>
      </c>
      <c r="K1373" s="1">
        <v>44986</v>
      </c>
      <c r="L1373" s="1">
        <v>45231</v>
      </c>
      <c r="O1373" t="s">
        <v>117</v>
      </c>
      <c r="P1373" t="s">
        <v>13281</v>
      </c>
      <c r="R1373" t="s">
        <v>13282</v>
      </c>
      <c r="T1373" t="s">
        <v>7909</v>
      </c>
      <c r="U1373" t="s">
        <v>1995</v>
      </c>
      <c r="V1373" s="4" t="str">
        <f>"58103"</f>
        <v>58103</v>
      </c>
      <c r="W1373" t="s">
        <v>120</v>
      </c>
      <c r="Y1373" s="5">
        <v>17015157150</v>
      </c>
      <c r="AA1373">
        <v>23816</v>
      </c>
      <c r="AB1373" t="s">
        <v>13283</v>
      </c>
      <c r="AC1373" t="s">
        <v>13284</v>
      </c>
      <c r="AD1373" t="s">
        <v>4037</v>
      </c>
      <c r="AE1373" t="s">
        <v>2513</v>
      </c>
      <c r="AF1373" t="s">
        <v>13282</v>
      </c>
      <c r="AH1373" t="s">
        <v>7909</v>
      </c>
      <c r="AI1373" t="s">
        <v>1995</v>
      </c>
      <c r="AJ1373" s="4" t="str">
        <f>"58103"</f>
        <v>58103</v>
      </c>
      <c r="AK1373" t="s">
        <v>120</v>
      </c>
      <c r="AM1373" s="5">
        <v>17015157150</v>
      </c>
      <c r="AO1373" t="s">
        <v>13285</v>
      </c>
      <c r="AP1373" t="s">
        <v>256</v>
      </c>
      <c r="AQ1373" t="s">
        <v>2495</v>
      </c>
      <c r="AR1373" t="s">
        <v>2496</v>
      </c>
      <c r="AS1373" t="s">
        <v>1723</v>
      </c>
      <c r="AT1373" t="s">
        <v>2497</v>
      </c>
      <c r="AU1373" t="s">
        <v>2498</v>
      </c>
      <c r="AV1373" t="s">
        <v>2499</v>
      </c>
      <c r="AW1373" t="s">
        <v>1411</v>
      </c>
      <c r="AX1373" s="4" t="str">
        <f>"44053"</f>
        <v>44053</v>
      </c>
      <c r="AY1373" t="s">
        <v>120</v>
      </c>
      <c r="BA1373" s="5">
        <v>14409874000</v>
      </c>
      <c r="BC1373" t="s">
        <v>2500</v>
      </c>
      <c r="BD1373" t="s">
        <v>2501</v>
      </c>
      <c r="BG1373" t="s">
        <v>1995</v>
      </c>
      <c r="BH1373" s="1">
        <v>44902.791666666664</v>
      </c>
      <c r="BI1373">
        <v>40</v>
      </c>
      <c r="BJ1373">
        <v>0</v>
      </c>
      <c r="BK1373">
        <v>8</v>
      </c>
      <c r="BL1373">
        <v>8</v>
      </c>
      <c r="BM1373">
        <v>8</v>
      </c>
      <c r="BN1373">
        <v>8</v>
      </c>
      <c r="BO1373">
        <v>8</v>
      </c>
      <c r="BP1373">
        <v>0</v>
      </c>
      <c r="BQ1373" t="str">
        <f>"7:00 AM"</f>
        <v>7:00 AM</v>
      </c>
      <c r="BR1373" t="str">
        <f>"4:00 PM"</f>
        <v>4:00 PM</v>
      </c>
      <c r="BS1373" t="s">
        <v>133</v>
      </c>
      <c r="BT1373">
        <v>0</v>
      </c>
      <c r="BU1373">
        <v>0</v>
      </c>
      <c r="BV1373" t="s">
        <v>134</v>
      </c>
      <c r="BX1373" s="2" t="s">
        <v>13286</v>
      </c>
      <c r="BY1373" t="s">
        <v>13282</v>
      </c>
      <c r="CA1373" t="s">
        <v>7909</v>
      </c>
      <c r="CB1373" t="s">
        <v>1995</v>
      </c>
      <c r="CC1373" s="4" t="str">
        <f>"58103"</f>
        <v>58103</v>
      </c>
      <c r="CD1373" t="s">
        <v>1084</v>
      </c>
      <c r="CE1373" t="s">
        <v>1996</v>
      </c>
      <c r="CF1373" s="6">
        <v>17.309999999999999</v>
      </c>
      <c r="CG1373" s="6">
        <v>17.309999999999999</v>
      </c>
      <c r="CH1373" s="6">
        <v>25.97</v>
      </c>
      <c r="CI1373" s="6">
        <v>25.97</v>
      </c>
      <c r="CJ1373" t="s">
        <v>137</v>
      </c>
      <c r="CK1373" t="s">
        <v>13287</v>
      </c>
      <c r="CL1373" t="s">
        <v>13288</v>
      </c>
      <c r="CO1373" t="s">
        <v>138</v>
      </c>
      <c r="CP1373" t="s">
        <v>114</v>
      </c>
      <c r="CQ1373" t="s">
        <v>114</v>
      </c>
      <c r="CR1373" t="s">
        <v>114</v>
      </c>
      <c r="CS1373" t="s">
        <v>114</v>
      </c>
      <c r="CT1373" t="s">
        <v>114</v>
      </c>
      <c r="CU1373" t="s">
        <v>114</v>
      </c>
      <c r="CV1373" t="s">
        <v>2973</v>
      </c>
      <c r="CW1373" s="5" t="str">
        <f>"+17015157150"</f>
        <v>+17015157150</v>
      </c>
      <c r="CX1373" t="s">
        <v>13289</v>
      </c>
      <c r="CY1373" t="s">
        <v>138</v>
      </c>
      <c r="CZ1373" t="s">
        <v>139</v>
      </c>
      <c r="DA1373" t="s">
        <v>134</v>
      </c>
      <c r="DB1373" t="s">
        <v>114</v>
      </c>
      <c r="DC1373" t="s">
        <v>114</v>
      </c>
      <c r="DD1373" t="s">
        <v>134</v>
      </c>
    </row>
    <row r="1374" spans="1:113" ht="15" customHeight="1" x14ac:dyDescent="0.25">
      <c r="A1374" t="s">
        <v>3200</v>
      </c>
      <c r="B1374" t="s">
        <v>141</v>
      </c>
      <c r="C1374" s="1">
        <v>44564.618697106482</v>
      </c>
      <c r="D1374" s="1">
        <v>44921</v>
      </c>
      <c r="E1374" t="s">
        <v>134</v>
      </c>
      <c r="F1374" t="s">
        <v>3201</v>
      </c>
      <c r="G1374" t="str">
        <f>"35-1011.00"</f>
        <v>35-1011.00</v>
      </c>
      <c r="H1374" t="s">
        <v>3202</v>
      </c>
      <c r="I1374">
        <v>1</v>
      </c>
      <c r="K1374" s="1">
        <v>44652</v>
      </c>
      <c r="L1374" s="1">
        <v>45382</v>
      </c>
      <c r="O1374" t="s">
        <v>168</v>
      </c>
      <c r="P1374" t="s">
        <v>3203</v>
      </c>
      <c r="R1374" t="s">
        <v>3204</v>
      </c>
      <c r="S1374" t="s">
        <v>152</v>
      </c>
      <c r="T1374" t="s">
        <v>3205</v>
      </c>
      <c r="U1374" t="s">
        <v>2081</v>
      </c>
      <c r="V1374" s="4" t="str">
        <f>"50312"</f>
        <v>50312</v>
      </c>
      <c r="W1374" t="s">
        <v>120</v>
      </c>
      <c r="Y1374" s="5">
        <v>15152441430</v>
      </c>
      <c r="AA1374">
        <v>72251</v>
      </c>
      <c r="AB1374" t="s">
        <v>3206</v>
      </c>
      <c r="AC1374" t="s">
        <v>3207</v>
      </c>
      <c r="AE1374" t="s">
        <v>424</v>
      </c>
      <c r="AF1374" t="s">
        <v>3208</v>
      </c>
      <c r="AG1374" t="s">
        <v>152</v>
      </c>
      <c r="AH1374" t="s">
        <v>3209</v>
      </c>
      <c r="AI1374" t="s">
        <v>2081</v>
      </c>
      <c r="AJ1374" s="4" t="str">
        <f>"50312"</f>
        <v>50312</v>
      </c>
      <c r="AK1374" t="s">
        <v>120</v>
      </c>
      <c r="AM1374" s="5">
        <v>15152441430</v>
      </c>
      <c r="AO1374" t="s">
        <v>3210</v>
      </c>
      <c r="AP1374" t="s">
        <v>122</v>
      </c>
      <c r="AQ1374" t="s">
        <v>3211</v>
      </c>
      <c r="AR1374" t="s">
        <v>3212</v>
      </c>
      <c r="AS1374" t="s">
        <v>755</v>
      </c>
      <c r="AT1374" t="s">
        <v>3213</v>
      </c>
      <c r="AU1374" t="s">
        <v>3214</v>
      </c>
      <c r="AV1374" t="s">
        <v>3215</v>
      </c>
      <c r="AW1374" t="s">
        <v>184</v>
      </c>
      <c r="AX1374" s="4" t="str">
        <f>"61107"</f>
        <v>61107</v>
      </c>
      <c r="AY1374" t="s">
        <v>120</v>
      </c>
      <c r="BA1374" s="5">
        <v>17792102940</v>
      </c>
      <c r="BB1374">
        <v>2</v>
      </c>
      <c r="BC1374" t="s">
        <v>3216</v>
      </c>
      <c r="BD1374" t="s">
        <v>3217</v>
      </c>
      <c r="BE1374" t="s">
        <v>184</v>
      </c>
      <c r="BF1374" t="s">
        <v>185</v>
      </c>
      <c r="BG1374" t="s">
        <v>2081</v>
      </c>
      <c r="BH1374" s="1">
        <v>44558.791666666664</v>
      </c>
      <c r="BI1374">
        <v>50</v>
      </c>
      <c r="BJ1374">
        <v>0</v>
      </c>
      <c r="BK1374">
        <v>0</v>
      </c>
      <c r="BL1374">
        <v>10</v>
      </c>
      <c r="BM1374">
        <v>10</v>
      </c>
      <c r="BN1374">
        <v>10</v>
      </c>
      <c r="BO1374">
        <v>10</v>
      </c>
      <c r="BP1374">
        <v>10</v>
      </c>
      <c r="BQ1374" t="str">
        <f>"9:00 AM"</f>
        <v>9:00 AM</v>
      </c>
      <c r="BR1374" t="str">
        <f>"7:00 PM"</f>
        <v>7:00 PM</v>
      </c>
      <c r="BS1374" t="s">
        <v>133</v>
      </c>
      <c r="BT1374">
        <v>0</v>
      </c>
      <c r="BU1374">
        <v>24</v>
      </c>
      <c r="BV1374" t="s">
        <v>134</v>
      </c>
      <c r="BX1374" s="2" t="s">
        <v>3218</v>
      </c>
      <c r="BY1374" t="s">
        <v>3208</v>
      </c>
      <c r="CA1374" t="s">
        <v>3205</v>
      </c>
      <c r="CB1374" t="s">
        <v>2081</v>
      </c>
      <c r="CC1374" s="4" t="str">
        <f>"50312"</f>
        <v>50312</v>
      </c>
      <c r="CD1374" t="s">
        <v>2306</v>
      </c>
      <c r="CE1374" t="s">
        <v>3219</v>
      </c>
      <c r="CF1374" s="6">
        <v>23.26</v>
      </c>
      <c r="CH1374" s="6">
        <v>34.89</v>
      </c>
      <c r="CJ1374" t="s">
        <v>137</v>
      </c>
      <c r="CL1374" t="s">
        <v>3220</v>
      </c>
      <c r="CO1374" t="s">
        <v>138</v>
      </c>
      <c r="CP1374" t="s">
        <v>134</v>
      </c>
      <c r="CQ1374" t="s">
        <v>134</v>
      </c>
      <c r="CR1374" t="s">
        <v>114</v>
      </c>
      <c r="CS1374" t="s">
        <v>134</v>
      </c>
      <c r="CT1374" t="s">
        <v>114</v>
      </c>
      <c r="CU1374" t="s">
        <v>114</v>
      </c>
      <c r="CV1374" t="s">
        <v>3221</v>
      </c>
      <c r="CW1374" s="5" t="str">
        <f>"+15152441430"</f>
        <v>+15152441430</v>
      </c>
      <c r="CX1374" t="s">
        <v>3210</v>
      </c>
      <c r="CY1374" t="s">
        <v>138</v>
      </c>
      <c r="CZ1374" t="s">
        <v>139</v>
      </c>
      <c r="DA1374" t="s">
        <v>134</v>
      </c>
      <c r="DB1374" t="s">
        <v>134</v>
      </c>
      <c r="DC1374" t="s">
        <v>114</v>
      </c>
      <c r="DD1374" t="s">
        <v>134</v>
      </c>
    </row>
    <row r="1375" spans="1:113" ht="15" customHeight="1" x14ac:dyDescent="0.25">
      <c r="A1375" t="s">
        <v>16645</v>
      </c>
      <c r="B1375" t="s">
        <v>141</v>
      </c>
      <c r="C1375" s="1">
        <v>44910.489033796293</v>
      </c>
      <c r="D1375" s="1">
        <v>44917</v>
      </c>
      <c r="E1375" t="s">
        <v>134</v>
      </c>
      <c r="F1375" t="s">
        <v>614</v>
      </c>
      <c r="G1375" t="str">
        <f>"39-2021.00"</f>
        <v>39-2021.00</v>
      </c>
      <c r="H1375" t="s">
        <v>615</v>
      </c>
      <c r="I1375">
        <v>10</v>
      </c>
      <c r="K1375" s="1">
        <v>44986</v>
      </c>
      <c r="L1375" s="1">
        <v>45291</v>
      </c>
      <c r="O1375" t="s">
        <v>199</v>
      </c>
      <c r="P1375" t="s">
        <v>3308</v>
      </c>
      <c r="R1375" t="s">
        <v>3309</v>
      </c>
      <c r="T1375" t="s">
        <v>1706</v>
      </c>
      <c r="U1375" t="s">
        <v>619</v>
      </c>
      <c r="V1375" s="4" t="str">
        <f>"40513"</f>
        <v>40513</v>
      </c>
      <c r="W1375" t="s">
        <v>120</v>
      </c>
      <c r="Y1375" s="5">
        <v>15028210614</v>
      </c>
      <c r="AA1375">
        <v>711219</v>
      </c>
      <c r="AB1375" t="s">
        <v>3310</v>
      </c>
      <c r="AC1375" t="s">
        <v>3311</v>
      </c>
      <c r="AE1375" t="s">
        <v>622</v>
      </c>
      <c r="AF1375" t="s">
        <v>3309</v>
      </c>
      <c r="AH1375" t="s">
        <v>1706</v>
      </c>
      <c r="AI1375" t="s">
        <v>619</v>
      </c>
      <c r="AJ1375" s="4" t="str">
        <f>"40513"</f>
        <v>40513</v>
      </c>
      <c r="AK1375" t="s">
        <v>120</v>
      </c>
      <c r="AM1375" s="5">
        <v>15028210614</v>
      </c>
      <c r="AO1375" t="s">
        <v>3312</v>
      </c>
      <c r="AP1375" t="s">
        <v>122</v>
      </c>
      <c r="AQ1375" t="s">
        <v>625</v>
      </c>
      <c r="AR1375" t="s">
        <v>626</v>
      </c>
      <c r="AS1375" t="s">
        <v>627</v>
      </c>
      <c r="AT1375" t="s">
        <v>628</v>
      </c>
      <c r="AU1375" t="s">
        <v>629</v>
      </c>
      <c r="AV1375" t="s">
        <v>630</v>
      </c>
      <c r="AW1375" t="s">
        <v>631</v>
      </c>
      <c r="AX1375" s="4" t="str">
        <f>"73069"</f>
        <v>73069</v>
      </c>
      <c r="AY1375" t="s">
        <v>120</v>
      </c>
      <c r="BA1375" s="5">
        <v>14053642525</v>
      </c>
      <c r="BC1375" t="s">
        <v>632</v>
      </c>
      <c r="BD1375" t="s">
        <v>633</v>
      </c>
      <c r="BE1375" t="s">
        <v>631</v>
      </c>
      <c r="BF1375" t="s">
        <v>634</v>
      </c>
      <c r="BG1375" t="s">
        <v>619</v>
      </c>
      <c r="BH1375" s="1">
        <v>44902.791666666664</v>
      </c>
      <c r="BI1375">
        <v>56</v>
      </c>
      <c r="BJ1375">
        <v>8</v>
      </c>
      <c r="BK1375">
        <v>8</v>
      </c>
      <c r="BL1375">
        <v>8</v>
      </c>
      <c r="BM1375">
        <v>8</v>
      </c>
      <c r="BN1375">
        <v>8</v>
      </c>
      <c r="BO1375">
        <v>8</v>
      </c>
      <c r="BP1375">
        <v>8</v>
      </c>
      <c r="BQ1375" t="str">
        <f>"5:00 AM"</f>
        <v>5:00 AM</v>
      </c>
      <c r="BR1375" t="str">
        <f>"5:00 PM"</f>
        <v>5:00 PM</v>
      </c>
      <c r="BS1375" t="s">
        <v>133</v>
      </c>
      <c r="BT1375">
        <v>0</v>
      </c>
      <c r="BU1375">
        <v>1</v>
      </c>
      <c r="BV1375" t="s">
        <v>134</v>
      </c>
      <c r="BX1375" s="2" t="s">
        <v>2590</v>
      </c>
      <c r="BY1375" t="s">
        <v>4620</v>
      </c>
      <c r="BZ1375" t="s">
        <v>4621</v>
      </c>
      <c r="CA1375" t="s">
        <v>4014</v>
      </c>
      <c r="CB1375" t="s">
        <v>619</v>
      </c>
      <c r="CC1375" s="4" t="str">
        <f>"40208"</f>
        <v>40208</v>
      </c>
      <c r="CD1375" t="s">
        <v>1387</v>
      </c>
      <c r="CE1375" t="s">
        <v>1483</v>
      </c>
      <c r="CF1375" s="6">
        <v>13.19</v>
      </c>
      <c r="CG1375" s="6">
        <v>13.19</v>
      </c>
      <c r="CH1375" s="6">
        <v>19.79</v>
      </c>
      <c r="CI1375" s="6">
        <v>19.79</v>
      </c>
      <c r="CJ1375" t="s">
        <v>137</v>
      </c>
      <c r="CL1375" t="s">
        <v>13278</v>
      </c>
      <c r="CO1375" t="s">
        <v>138</v>
      </c>
      <c r="CP1375" t="s">
        <v>134</v>
      </c>
      <c r="CQ1375" t="s">
        <v>134</v>
      </c>
      <c r="CR1375" t="s">
        <v>114</v>
      </c>
      <c r="CS1375" t="s">
        <v>134</v>
      </c>
      <c r="CT1375" t="s">
        <v>114</v>
      </c>
      <c r="CU1375" t="s">
        <v>114</v>
      </c>
      <c r="CV1375" t="s">
        <v>2591</v>
      </c>
      <c r="CW1375" s="5" t="str">
        <f>"+15025744100"</f>
        <v>+15025744100</v>
      </c>
      <c r="CX1375" t="s">
        <v>3312</v>
      </c>
      <c r="CY1375" t="s">
        <v>138</v>
      </c>
      <c r="CZ1375" t="s">
        <v>139</v>
      </c>
      <c r="DA1375" t="s">
        <v>134</v>
      </c>
      <c r="DB1375" t="s">
        <v>134</v>
      </c>
      <c r="DC1375" t="s">
        <v>114</v>
      </c>
      <c r="DD1375" t="s">
        <v>134</v>
      </c>
    </row>
    <row r="1376" spans="1:113" ht="15" customHeight="1" x14ac:dyDescent="0.25">
      <c r="A1376" t="s">
        <v>12818</v>
      </c>
      <c r="B1376" t="s">
        <v>141</v>
      </c>
      <c r="C1376" s="1">
        <v>44901.39760300926</v>
      </c>
      <c r="D1376" s="1">
        <v>44917</v>
      </c>
      <c r="E1376" t="s">
        <v>134</v>
      </c>
      <c r="F1376" t="s">
        <v>12819</v>
      </c>
      <c r="G1376" t="str">
        <f t="shared" ref="G1376:G1381" si="57">"37-3011.00"</f>
        <v>37-3011.00</v>
      </c>
      <c r="H1376" t="s">
        <v>335</v>
      </c>
      <c r="I1376">
        <v>15</v>
      </c>
      <c r="K1376" s="1">
        <v>44986</v>
      </c>
      <c r="L1376" s="1">
        <v>45260</v>
      </c>
      <c r="O1376" t="s">
        <v>199</v>
      </c>
      <c r="P1376" t="s">
        <v>12820</v>
      </c>
      <c r="R1376" t="s">
        <v>12821</v>
      </c>
      <c r="T1376" t="s">
        <v>2971</v>
      </c>
      <c r="U1376" t="s">
        <v>1411</v>
      </c>
      <c r="V1376" s="4" t="str">
        <f>"43204"</f>
        <v>43204</v>
      </c>
      <c r="W1376" t="s">
        <v>120</v>
      </c>
      <c r="Y1376" s="5">
        <v>16142844887</v>
      </c>
      <c r="AA1376">
        <v>5617</v>
      </c>
      <c r="AB1376" t="s">
        <v>12822</v>
      </c>
      <c r="AC1376" t="s">
        <v>12823</v>
      </c>
      <c r="AD1376" t="s">
        <v>5810</v>
      </c>
      <c r="AE1376" t="s">
        <v>700</v>
      </c>
      <c r="AF1376" t="s">
        <v>12821</v>
      </c>
      <c r="AH1376" t="s">
        <v>2971</v>
      </c>
      <c r="AI1376" t="s">
        <v>1411</v>
      </c>
      <c r="AJ1376" s="4" t="str">
        <f>"43204"</f>
        <v>43204</v>
      </c>
      <c r="AK1376" t="s">
        <v>120</v>
      </c>
      <c r="AM1376" s="5">
        <v>16142844887</v>
      </c>
      <c r="AO1376" t="s">
        <v>12824</v>
      </c>
      <c r="AP1376" t="s">
        <v>256</v>
      </c>
      <c r="AQ1376" t="s">
        <v>2495</v>
      </c>
      <c r="AR1376" t="s">
        <v>2496</v>
      </c>
      <c r="AS1376" t="s">
        <v>1723</v>
      </c>
      <c r="AT1376" t="s">
        <v>2497</v>
      </c>
      <c r="AU1376" t="s">
        <v>2498</v>
      </c>
      <c r="AV1376" t="s">
        <v>2499</v>
      </c>
      <c r="AW1376" t="s">
        <v>1411</v>
      </c>
      <c r="AX1376" s="4" t="str">
        <f>"44053"</f>
        <v>44053</v>
      </c>
      <c r="AY1376" t="s">
        <v>120</v>
      </c>
      <c r="BA1376" s="5">
        <v>14409874000</v>
      </c>
      <c r="BC1376" t="s">
        <v>2500</v>
      </c>
      <c r="BD1376" t="s">
        <v>2501</v>
      </c>
      <c r="BG1376" t="s">
        <v>1411</v>
      </c>
      <c r="BH1376" s="1">
        <v>44900.791666666664</v>
      </c>
      <c r="BI1376">
        <v>40</v>
      </c>
      <c r="BJ1376">
        <v>0</v>
      </c>
      <c r="BK1376">
        <v>8</v>
      </c>
      <c r="BL1376">
        <v>8</v>
      </c>
      <c r="BM1376">
        <v>8</v>
      </c>
      <c r="BN1376">
        <v>8</v>
      </c>
      <c r="BO1376">
        <v>8</v>
      </c>
      <c r="BP1376">
        <v>0</v>
      </c>
      <c r="BQ1376" t="str">
        <f>"7:00 AM"</f>
        <v>7:00 AM</v>
      </c>
      <c r="BR1376" t="str">
        <f>"4:00 PM"</f>
        <v>4:00 PM</v>
      </c>
      <c r="BS1376" t="s">
        <v>133</v>
      </c>
      <c r="BT1376">
        <v>0</v>
      </c>
      <c r="BU1376">
        <v>0</v>
      </c>
      <c r="BV1376" t="s">
        <v>134</v>
      </c>
      <c r="BX1376" s="2" t="s">
        <v>2822</v>
      </c>
      <c r="BY1376" t="s">
        <v>12821</v>
      </c>
      <c r="CA1376" t="s">
        <v>2971</v>
      </c>
      <c r="CB1376" t="s">
        <v>1411</v>
      </c>
      <c r="CC1376" s="4" t="str">
        <f>"43204"</f>
        <v>43204</v>
      </c>
      <c r="CD1376" t="s">
        <v>1679</v>
      </c>
      <c r="CE1376" t="s">
        <v>2876</v>
      </c>
      <c r="CF1376" s="6">
        <v>16.61</v>
      </c>
      <c r="CG1376" s="6">
        <v>16.61</v>
      </c>
      <c r="CH1376" s="6">
        <v>24.92</v>
      </c>
      <c r="CI1376" s="6">
        <v>24.92</v>
      </c>
      <c r="CJ1376" t="s">
        <v>137</v>
      </c>
      <c r="CK1376" t="s">
        <v>12825</v>
      </c>
      <c r="CL1376" t="s">
        <v>12826</v>
      </c>
      <c r="CO1376" t="s">
        <v>138</v>
      </c>
      <c r="CP1376" t="s">
        <v>114</v>
      </c>
      <c r="CQ1376" t="s">
        <v>114</v>
      </c>
      <c r="CR1376" t="s">
        <v>114</v>
      </c>
      <c r="CS1376" t="s">
        <v>114</v>
      </c>
      <c r="CT1376" t="s">
        <v>114</v>
      </c>
      <c r="CU1376" t="s">
        <v>114</v>
      </c>
      <c r="CV1376" t="s">
        <v>2973</v>
      </c>
      <c r="CW1376" s="5" t="str">
        <f>"+16142844887"</f>
        <v>+16142844887</v>
      </c>
      <c r="CX1376" t="s">
        <v>12827</v>
      </c>
      <c r="CY1376" t="s">
        <v>138</v>
      </c>
      <c r="CZ1376" t="s">
        <v>139</v>
      </c>
      <c r="DA1376" t="s">
        <v>134</v>
      </c>
      <c r="DB1376" t="s">
        <v>114</v>
      </c>
      <c r="DC1376" t="s">
        <v>114</v>
      </c>
      <c r="DD1376" t="s">
        <v>134</v>
      </c>
    </row>
    <row r="1377" spans="1:113" ht="15" customHeight="1" x14ac:dyDescent="0.25">
      <c r="A1377" t="s">
        <v>14719</v>
      </c>
      <c r="B1377" t="s">
        <v>141</v>
      </c>
      <c r="C1377" s="1">
        <v>44905.395229629627</v>
      </c>
      <c r="D1377" s="1">
        <v>44915</v>
      </c>
      <c r="E1377" t="s">
        <v>134</v>
      </c>
      <c r="F1377" t="s">
        <v>334</v>
      </c>
      <c r="G1377" t="str">
        <f t="shared" si="57"/>
        <v>37-3011.00</v>
      </c>
      <c r="H1377" t="s">
        <v>335</v>
      </c>
      <c r="I1377">
        <v>8</v>
      </c>
      <c r="K1377" s="1">
        <v>44995</v>
      </c>
      <c r="L1377" s="1">
        <v>45283</v>
      </c>
      <c r="O1377" t="s">
        <v>117</v>
      </c>
      <c r="P1377" t="s">
        <v>3945</v>
      </c>
      <c r="R1377" t="s">
        <v>3946</v>
      </c>
      <c r="T1377" t="s">
        <v>3947</v>
      </c>
      <c r="U1377" t="s">
        <v>479</v>
      </c>
      <c r="V1377" s="4" t="str">
        <f>"24502"</f>
        <v>24502</v>
      </c>
      <c r="W1377" t="s">
        <v>120</v>
      </c>
      <c r="Y1377" s="5">
        <v>14344446461</v>
      </c>
      <c r="AA1377">
        <v>56173</v>
      </c>
      <c r="AB1377" t="s">
        <v>3948</v>
      </c>
      <c r="AC1377" t="s">
        <v>1951</v>
      </c>
      <c r="AE1377" t="s">
        <v>342</v>
      </c>
      <c r="AF1377" t="s">
        <v>3946</v>
      </c>
      <c r="AH1377" t="s">
        <v>3947</v>
      </c>
      <c r="AI1377" t="s">
        <v>479</v>
      </c>
      <c r="AJ1377" s="4" t="str">
        <f>"24502"</f>
        <v>24502</v>
      </c>
      <c r="AK1377" t="s">
        <v>120</v>
      </c>
      <c r="AM1377" s="5">
        <v>14344446461</v>
      </c>
      <c r="AO1377" t="s">
        <v>3949</v>
      </c>
      <c r="AP1377" t="s">
        <v>256</v>
      </c>
      <c r="AQ1377" t="s">
        <v>1439</v>
      </c>
      <c r="AR1377" t="s">
        <v>1440</v>
      </c>
      <c r="AT1377" t="s">
        <v>1422</v>
      </c>
      <c r="AU1377" t="s">
        <v>347</v>
      </c>
      <c r="AV1377" t="s">
        <v>1441</v>
      </c>
      <c r="AW1377" t="s">
        <v>349</v>
      </c>
      <c r="AX1377" s="4" t="str">
        <f>"83814"</f>
        <v>83814</v>
      </c>
      <c r="AY1377" t="s">
        <v>120</v>
      </c>
      <c r="BA1377" s="5">
        <v>12087772654</v>
      </c>
      <c r="BC1377" t="s">
        <v>1442</v>
      </c>
      <c r="BD1377" t="s">
        <v>351</v>
      </c>
      <c r="BG1377" t="s">
        <v>479</v>
      </c>
      <c r="BH1377" s="1">
        <v>44881.791666666664</v>
      </c>
      <c r="BI1377">
        <v>40</v>
      </c>
      <c r="BJ1377">
        <v>0</v>
      </c>
      <c r="BK1377">
        <v>8</v>
      </c>
      <c r="BL1377">
        <v>8</v>
      </c>
      <c r="BM1377">
        <v>8</v>
      </c>
      <c r="BN1377">
        <v>8</v>
      </c>
      <c r="BO1377">
        <v>8</v>
      </c>
      <c r="BP1377">
        <v>0</v>
      </c>
      <c r="BQ1377" t="str">
        <f>"7:00 AM"</f>
        <v>7:00 AM</v>
      </c>
      <c r="BR1377" t="str">
        <f>"5:00 PM"</f>
        <v>5:00 PM</v>
      </c>
      <c r="BS1377" t="s">
        <v>133</v>
      </c>
      <c r="BT1377">
        <v>0</v>
      </c>
      <c r="BU1377">
        <v>3</v>
      </c>
      <c r="BV1377" t="s">
        <v>134</v>
      </c>
      <c r="BX1377" s="2" t="s">
        <v>1660</v>
      </c>
      <c r="BY1377" t="s">
        <v>3950</v>
      </c>
      <c r="CA1377" t="s">
        <v>3947</v>
      </c>
      <c r="CB1377" t="s">
        <v>479</v>
      </c>
      <c r="CC1377" s="4" t="str">
        <f>"24502"</f>
        <v>24502</v>
      </c>
      <c r="CD1377" t="s">
        <v>3951</v>
      </c>
      <c r="CE1377" t="s">
        <v>1714</v>
      </c>
      <c r="CF1377" s="6">
        <v>13.88</v>
      </c>
      <c r="CG1377" s="6">
        <v>15</v>
      </c>
      <c r="CH1377" s="6">
        <v>20.82</v>
      </c>
      <c r="CI1377" s="6">
        <v>22.5</v>
      </c>
      <c r="CJ1377" t="s">
        <v>137</v>
      </c>
      <c r="CK1377" t="s">
        <v>356</v>
      </c>
      <c r="CL1377" t="s">
        <v>3952</v>
      </c>
      <c r="CO1377" t="s">
        <v>138</v>
      </c>
      <c r="CP1377" t="s">
        <v>114</v>
      </c>
      <c r="CQ1377" t="s">
        <v>114</v>
      </c>
      <c r="CR1377" t="s">
        <v>114</v>
      </c>
      <c r="CS1377" t="s">
        <v>134</v>
      </c>
      <c r="CT1377" t="s">
        <v>114</v>
      </c>
      <c r="CU1377" t="s">
        <v>114</v>
      </c>
      <c r="CV1377" t="s">
        <v>3953</v>
      </c>
      <c r="CW1377" s="5" t="str">
        <f>"+14344446461"</f>
        <v>+14344446461</v>
      </c>
      <c r="CX1377" t="s">
        <v>3949</v>
      </c>
      <c r="CY1377" t="s">
        <v>138</v>
      </c>
      <c r="CZ1377" t="s">
        <v>139</v>
      </c>
      <c r="DA1377" t="s">
        <v>134</v>
      </c>
      <c r="DB1377" t="s">
        <v>114</v>
      </c>
      <c r="DC1377" t="s">
        <v>114</v>
      </c>
      <c r="DD1377" t="s">
        <v>134</v>
      </c>
    </row>
    <row r="1378" spans="1:113" ht="15" customHeight="1" x14ac:dyDescent="0.25">
      <c r="A1378" t="s">
        <v>10214</v>
      </c>
      <c r="B1378" t="s">
        <v>141</v>
      </c>
      <c r="C1378" s="1">
        <v>44882.442055092593</v>
      </c>
      <c r="D1378" s="1">
        <v>44915</v>
      </c>
      <c r="E1378" t="s">
        <v>134</v>
      </c>
      <c r="F1378" t="s">
        <v>334</v>
      </c>
      <c r="G1378" t="str">
        <f t="shared" si="57"/>
        <v>37-3011.00</v>
      </c>
      <c r="H1378" t="s">
        <v>335</v>
      </c>
      <c r="I1378">
        <v>25</v>
      </c>
      <c r="K1378" s="1">
        <v>44972</v>
      </c>
      <c r="L1378" s="1">
        <v>45275</v>
      </c>
      <c r="O1378" t="s">
        <v>199</v>
      </c>
      <c r="P1378" t="s">
        <v>10215</v>
      </c>
      <c r="R1378" t="s">
        <v>8007</v>
      </c>
      <c r="S1378" t="s">
        <v>8008</v>
      </c>
      <c r="T1378" t="s">
        <v>8009</v>
      </c>
      <c r="U1378" t="s">
        <v>394</v>
      </c>
      <c r="V1378" s="4" t="str">
        <f>"29429"</f>
        <v>29429</v>
      </c>
      <c r="W1378" t="s">
        <v>120</v>
      </c>
      <c r="Y1378" s="5">
        <v>18438869314</v>
      </c>
      <c r="AA1378">
        <v>56173</v>
      </c>
      <c r="AB1378" t="s">
        <v>6132</v>
      </c>
      <c r="AC1378" t="s">
        <v>4443</v>
      </c>
      <c r="AE1378" t="s">
        <v>1526</v>
      </c>
      <c r="AF1378" t="s">
        <v>8010</v>
      </c>
      <c r="AG1378" t="s">
        <v>8008</v>
      </c>
      <c r="AH1378" t="s">
        <v>8009</v>
      </c>
      <c r="AI1378" t="s">
        <v>394</v>
      </c>
      <c r="AJ1378" s="4" t="str">
        <f>"29429"</f>
        <v>29429</v>
      </c>
      <c r="AK1378" t="s">
        <v>120</v>
      </c>
      <c r="AM1378" s="5">
        <v>18438869314</v>
      </c>
      <c r="AO1378" t="s">
        <v>8011</v>
      </c>
      <c r="AP1378" t="s">
        <v>256</v>
      </c>
      <c r="AQ1378" t="s">
        <v>1731</v>
      </c>
      <c r="AR1378" t="s">
        <v>1732</v>
      </c>
      <c r="AS1378" t="s">
        <v>1733</v>
      </c>
      <c r="AT1378" t="s">
        <v>1734</v>
      </c>
      <c r="AU1378" t="s">
        <v>1735</v>
      </c>
      <c r="AV1378" t="s">
        <v>1736</v>
      </c>
      <c r="AW1378" t="s">
        <v>479</v>
      </c>
      <c r="AX1378" s="4" t="str">
        <f>"24521"</f>
        <v>24521</v>
      </c>
      <c r="AY1378" t="s">
        <v>120</v>
      </c>
      <c r="AZ1378" t="s">
        <v>10216</v>
      </c>
      <c r="BA1378" s="5">
        <v>14349460035</v>
      </c>
      <c r="BB1378">
        <v>11</v>
      </c>
      <c r="BC1378" t="s">
        <v>1737</v>
      </c>
      <c r="BD1378" t="s">
        <v>1738</v>
      </c>
      <c r="BG1378" t="s">
        <v>394</v>
      </c>
      <c r="BH1378" s="1">
        <v>44879.791666666664</v>
      </c>
      <c r="BI1378">
        <v>35</v>
      </c>
      <c r="BJ1378">
        <v>0</v>
      </c>
      <c r="BK1378">
        <v>7</v>
      </c>
      <c r="BL1378">
        <v>7</v>
      </c>
      <c r="BM1378">
        <v>7</v>
      </c>
      <c r="BN1378">
        <v>7</v>
      </c>
      <c r="BO1378">
        <v>7</v>
      </c>
      <c r="BP1378">
        <v>0</v>
      </c>
      <c r="BQ1378" t="str">
        <f>"7:30 AM"</f>
        <v>7:30 AM</v>
      </c>
      <c r="BR1378" t="str">
        <f>"3:30 PM"</f>
        <v>3:30 PM</v>
      </c>
      <c r="BS1378" t="s">
        <v>133</v>
      </c>
      <c r="BT1378">
        <v>0</v>
      </c>
      <c r="BU1378">
        <v>0</v>
      </c>
      <c r="BV1378" t="s">
        <v>134</v>
      </c>
      <c r="BX1378" t="s">
        <v>10217</v>
      </c>
      <c r="BY1378" t="s">
        <v>8007</v>
      </c>
      <c r="CA1378" t="s">
        <v>8012</v>
      </c>
      <c r="CB1378" t="s">
        <v>394</v>
      </c>
      <c r="CC1378" s="4" t="str">
        <f>"29429"</f>
        <v>29429</v>
      </c>
      <c r="CD1378" t="s">
        <v>1243</v>
      </c>
      <c r="CE1378" t="s">
        <v>1244</v>
      </c>
      <c r="CF1378" s="6">
        <v>16.09</v>
      </c>
      <c r="CG1378" s="6">
        <v>16.09</v>
      </c>
      <c r="CH1378" s="6">
        <v>24.14</v>
      </c>
      <c r="CI1378" s="6">
        <v>24.14</v>
      </c>
      <c r="CJ1378" t="s">
        <v>137</v>
      </c>
      <c r="CK1378" t="s">
        <v>2162</v>
      </c>
      <c r="CL1378" t="s">
        <v>8013</v>
      </c>
      <c r="CO1378" t="s">
        <v>138</v>
      </c>
      <c r="CP1378" t="s">
        <v>114</v>
      </c>
      <c r="CQ1378" t="s">
        <v>114</v>
      </c>
      <c r="CR1378" t="s">
        <v>114</v>
      </c>
      <c r="CS1378" t="s">
        <v>114</v>
      </c>
      <c r="CT1378" t="s">
        <v>114</v>
      </c>
      <c r="CU1378" t="s">
        <v>114</v>
      </c>
      <c r="CV1378" t="s">
        <v>10218</v>
      </c>
      <c r="CW1378" s="5" t="str">
        <f>"+18438869314"</f>
        <v>+18438869314</v>
      </c>
      <c r="CX1378" t="s">
        <v>8011</v>
      </c>
      <c r="CY1378" t="s">
        <v>138</v>
      </c>
      <c r="CZ1378" t="s">
        <v>139</v>
      </c>
      <c r="DA1378" t="s">
        <v>134</v>
      </c>
      <c r="DB1378" t="s">
        <v>114</v>
      </c>
      <c r="DC1378" t="s">
        <v>114</v>
      </c>
      <c r="DD1378" t="s">
        <v>134</v>
      </c>
    </row>
    <row r="1379" spans="1:113" ht="15" customHeight="1" x14ac:dyDescent="0.25">
      <c r="A1379" t="s">
        <v>14992</v>
      </c>
      <c r="B1379" t="s">
        <v>141</v>
      </c>
      <c r="C1379" s="1">
        <v>44882.422938541669</v>
      </c>
      <c r="D1379" s="1">
        <v>44915</v>
      </c>
      <c r="E1379" t="s">
        <v>134</v>
      </c>
      <c r="F1379" t="s">
        <v>334</v>
      </c>
      <c r="G1379" t="str">
        <f t="shared" si="57"/>
        <v>37-3011.00</v>
      </c>
      <c r="H1379" t="s">
        <v>335</v>
      </c>
      <c r="I1379">
        <v>10</v>
      </c>
      <c r="K1379" s="1">
        <v>44972</v>
      </c>
      <c r="L1379" s="1">
        <v>45275</v>
      </c>
      <c r="O1379" t="s">
        <v>199</v>
      </c>
      <c r="P1379" t="s">
        <v>9228</v>
      </c>
      <c r="Q1379" t="s">
        <v>9229</v>
      </c>
      <c r="R1379" t="s">
        <v>9230</v>
      </c>
      <c r="T1379" t="s">
        <v>2364</v>
      </c>
      <c r="U1379" t="s">
        <v>748</v>
      </c>
      <c r="V1379" s="4" t="str">
        <f>"19426"</f>
        <v>19426</v>
      </c>
      <c r="W1379" t="s">
        <v>120</v>
      </c>
      <c r="Y1379" s="5">
        <v>16102752170</v>
      </c>
      <c r="AA1379">
        <v>5617</v>
      </c>
      <c r="AB1379" t="s">
        <v>9231</v>
      </c>
      <c r="AC1379" t="s">
        <v>9232</v>
      </c>
      <c r="AE1379" t="s">
        <v>342</v>
      </c>
      <c r="AF1379" t="s">
        <v>9230</v>
      </c>
      <c r="AH1379" t="s">
        <v>2364</v>
      </c>
      <c r="AI1379" t="s">
        <v>748</v>
      </c>
      <c r="AJ1379" s="4" t="str">
        <f>"19426"</f>
        <v>19426</v>
      </c>
      <c r="AK1379" t="s">
        <v>120</v>
      </c>
      <c r="AM1379" s="5">
        <v>16102752170</v>
      </c>
      <c r="AO1379" t="s">
        <v>9233</v>
      </c>
      <c r="AP1379" t="s">
        <v>256</v>
      </c>
      <c r="AQ1379" t="s">
        <v>1731</v>
      </c>
      <c r="AR1379" t="s">
        <v>1732</v>
      </c>
      <c r="AS1379" t="s">
        <v>1733</v>
      </c>
      <c r="AT1379" t="s">
        <v>1734</v>
      </c>
      <c r="AU1379" t="s">
        <v>1735</v>
      </c>
      <c r="AV1379" t="s">
        <v>1736</v>
      </c>
      <c r="AW1379" t="s">
        <v>479</v>
      </c>
      <c r="AX1379" s="4" t="str">
        <f>"24521"</f>
        <v>24521</v>
      </c>
      <c r="AY1379" t="s">
        <v>120</v>
      </c>
      <c r="AZ1379" t="s">
        <v>2983</v>
      </c>
      <c r="BA1379" s="5">
        <v>14349460035</v>
      </c>
      <c r="BB1379">
        <v>11</v>
      </c>
      <c r="BC1379" t="s">
        <v>1737</v>
      </c>
      <c r="BD1379" t="s">
        <v>1738</v>
      </c>
      <c r="BG1379" t="s">
        <v>748</v>
      </c>
      <c r="BH1379" s="1">
        <v>44867.833333333336</v>
      </c>
      <c r="BI1379">
        <v>40</v>
      </c>
      <c r="BJ1379">
        <v>0</v>
      </c>
      <c r="BK1379">
        <v>8</v>
      </c>
      <c r="BL1379">
        <v>8</v>
      </c>
      <c r="BM1379">
        <v>8</v>
      </c>
      <c r="BN1379">
        <v>8</v>
      </c>
      <c r="BO1379">
        <v>8</v>
      </c>
      <c r="BP1379">
        <v>0</v>
      </c>
      <c r="BQ1379" t="str">
        <f>"8:30 AM"</f>
        <v>8:30 AM</v>
      </c>
      <c r="BR1379" t="str">
        <f>"5:30 PM"</f>
        <v>5:30 PM</v>
      </c>
      <c r="BS1379" t="s">
        <v>133</v>
      </c>
      <c r="BT1379">
        <v>0</v>
      </c>
      <c r="BU1379">
        <v>0</v>
      </c>
      <c r="BV1379" t="s">
        <v>134</v>
      </c>
      <c r="BX1379" s="2" t="s">
        <v>4565</v>
      </c>
      <c r="BY1379" t="s">
        <v>9230</v>
      </c>
      <c r="CA1379" t="s">
        <v>2364</v>
      </c>
      <c r="CB1379" t="s">
        <v>748</v>
      </c>
      <c r="CC1379" s="4" t="str">
        <f>"19426"</f>
        <v>19426</v>
      </c>
      <c r="CD1379" t="s">
        <v>2007</v>
      </c>
      <c r="CE1379" t="s">
        <v>1266</v>
      </c>
      <c r="CF1379" s="6">
        <v>17.82</v>
      </c>
      <c r="CG1379" s="6">
        <v>17.82</v>
      </c>
      <c r="CH1379" s="6">
        <v>26.73</v>
      </c>
      <c r="CI1379" s="6">
        <v>26.73</v>
      </c>
      <c r="CJ1379" t="s">
        <v>137</v>
      </c>
      <c r="CK1379" t="s">
        <v>2162</v>
      </c>
      <c r="CL1379" t="s">
        <v>9234</v>
      </c>
      <c r="CO1379" t="s">
        <v>138</v>
      </c>
      <c r="CP1379" t="s">
        <v>114</v>
      </c>
      <c r="CQ1379" t="s">
        <v>114</v>
      </c>
      <c r="CR1379" t="s">
        <v>114</v>
      </c>
      <c r="CS1379" t="s">
        <v>114</v>
      </c>
      <c r="CT1379" t="s">
        <v>114</v>
      </c>
      <c r="CU1379" t="s">
        <v>114</v>
      </c>
      <c r="CV1379" s="2" t="s">
        <v>14993</v>
      </c>
      <c r="CW1379" s="5" t="str">
        <f>"+16102752170"</f>
        <v>+16102752170</v>
      </c>
      <c r="CX1379" t="s">
        <v>138</v>
      </c>
      <c r="CY1379" t="s">
        <v>9233</v>
      </c>
      <c r="CZ1379" t="s">
        <v>139</v>
      </c>
      <c r="DA1379" t="s">
        <v>134</v>
      </c>
      <c r="DB1379" t="s">
        <v>114</v>
      </c>
      <c r="DC1379" t="s">
        <v>114</v>
      </c>
      <c r="DD1379" t="s">
        <v>134</v>
      </c>
    </row>
    <row r="1380" spans="1:113" ht="15" customHeight="1" x14ac:dyDescent="0.25">
      <c r="A1380" t="s">
        <v>7529</v>
      </c>
      <c r="B1380" t="s">
        <v>141</v>
      </c>
      <c r="C1380" s="1">
        <v>44869.42444988426</v>
      </c>
      <c r="D1380" s="1">
        <v>44915</v>
      </c>
      <c r="E1380" t="s">
        <v>134</v>
      </c>
      <c r="F1380" t="s">
        <v>334</v>
      </c>
      <c r="G1380" t="str">
        <f t="shared" si="57"/>
        <v>37-3011.00</v>
      </c>
      <c r="H1380" t="s">
        <v>335</v>
      </c>
      <c r="I1380">
        <v>8</v>
      </c>
      <c r="K1380" s="1">
        <v>44958</v>
      </c>
      <c r="L1380" s="1">
        <v>45231</v>
      </c>
      <c r="O1380" t="s">
        <v>117</v>
      </c>
      <c r="P1380" t="s">
        <v>7530</v>
      </c>
      <c r="R1380" t="s">
        <v>7531</v>
      </c>
      <c r="T1380" t="s">
        <v>4237</v>
      </c>
      <c r="U1380" t="s">
        <v>232</v>
      </c>
      <c r="V1380" s="4" t="str">
        <f>"76571"</f>
        <v>76571</v>
      </c>
      <c r="W1380" t="s">
        <v>120</v>
      </c>
      <c r="Y1380" s="5">
        <v>12546570043</v>
      </c>
      <c r="AA1380">
        <v>5617</v>
      </c>
      <c r="AB1380" t="s">
        <v>7532</v>
      </c>
      <c r="AC1380" t="s">
        <v>1362</v>
      </c>
      <c r="AE1380" t="s">
        <v>424</v>
      </c>
      <c r="AF1380" t="s">
        <v>7531</v>
      </c>
      <c r="AH1380" t="s">
        <v>4237</v>
      </c>
      <c r="AI1380" t="s">
        <v>232</v>
      </c>
      <c r="AJ1380" s="4" t="str">
        <f>"76571"</f>
        <v>76571</v>
      </c>
      <c r="AK1380" t="s">
        <v>120</v>
      </c>
      <c r="AM1380" s="5">
        <v>12546570043</v>
      </c>
      <c r="AO1380" t="s">
        <v>138</v>
      </c>
      <c r="AP1380" t="s">
        <v>256</v>
      </c>
      <c r="AQ1380" t="s">
        <v>4076</v>
      </c>
      <c r="AR1380" t="s">
        <v>726</v>
      </c>
      <c r="AT1380" t="s">
        <v>4115</v>
      </c>
      <c r="AV1380" t="s">
        <v>4116</v>
      </c>
      <c r="AW1380" t="s">
        <v>232</v>
      </c>
      <c r="AX1380" s="4" t="str">
        <f>"75442"</f>
        <v>75442</v>
      </c>
      <c r="AY1380" t="s">
        <v>120</v>
      </c>
      <c r="BA1380" s="5">
        <v>14692388392</v>
      </c>
      <c r="BC1380" t="s">
        <v>4117</v>
      </c>
      <c r="BD1380" t="s">
        <v>4118</v>
      </c>
      <c r="BG1380" t="s">
        <v>232</v>
      </c>
      <c r="BH1380" s="1">
        <v>44868.833333333336</v>
      </c>
      <c r="BI1380">
        <v>40</v>
      </c>
      <c r="BJ1380">
        <v>0</v>
      </c>
      <c r="BK1380">
        <v>8</v>
      </c>
      <c r="BL1380">
        <v>8</v>
      </c>
      <c r="BM1380">
        <v>8</v>
      </c>
      <c r="BN1380">
        <v>8</v>
      </c>
      <c r="BO1380">
        <v>8</v>
      </c>
      <c r="BP1380">
        <v>0</v>
      </c>
      <c r="BQ1380" t="str">
        <f>"8:00 AM"</f>
        <v>8:00 AM</v>
      </c>
      <c r="BR1380" t="str">
        <f>"5:00 PM"</f>
        <v>5:00 PM</v>
      </c>
      <c r="BS1380" t="s">
        <v>133</v>
      </c>
      <c r="BT1380">
        <v>0</v>
      </c>
      <c r="BU1380">
        <v>1</v>
      </c>
      <c r="BV1380" t="s">
        <v>134</v>
      </c>
      <c r="BX1380" t="s">
        <v>219</v>
      </c>
      <c r="BY1380" t="s">
        <v>7531</v>
      </c>
      <c r="CA1380" t="s">
        <v>4237</v>
      </c>
      <c r="CB1380" t="s">
        <v>232</v>
      </c>
      <c r="CC1380" s="4" t="str">
        <f>"76571"</f>
        <v>76571</v>
      </c>
      <c r="CD1380" t="s">
        <v>4240</v>
      </c>
      <c r="CE1380" t="s">
        <v>4241</v>
      </c>
      <c r="CF1380" s="6">
        <v>14.58</v>
      </c>
      <c r="CG1380" s="6">
        <v>14.58</v>
      </c>
      <c r="CH1380" s="6">
        <v>21.87</v>
      </c>
      <c r="CI1380" s="6">
        <v>21.87</v>
      </c>
      <c r="CJ1380" t="s">
        <v>137</v>
      </c>
      <c r="CK1380" t="s">
        <v>7533</v>
      </c>
      <c r="CL1380" t="s">
        <v>7534</v>
      </c>
      <c r="CO1380" t="s">
        <v>138</v>
      </c>
      <c r="CP1380" t="s">
        <v>114</v>
      </c>
      <c r="CQ1380" t="s">
        <v>114</v>
      </c>
      <c r="CR1380" t="s">
        <v>114</v>
      </c>
      <c r="CS1380" t="s">
        <v>114</v>
      </c>
      <c r="CT1380" t="s">
        <v>114</v>
      </c>
      <c r="CU1380" t="s">
        <v>134</v>
      </c>
      <c r="CV1380" t="s">
        <v>4121</v>
      </c>
      <c r="CW1380" s="5" t="str">
        <f>"+12546570043"</f>
        <v>+12546570043</v>
      </c>
      <c r="CX1380" t="s">
        <v>138</v>
      </c>
      <c r="CY1380" t="s">
        <v>6675</v>
      </c>
      <c r="CZ1380" t="s">
        <v>139</v>
      </c>
      <c r="DA1380" t="s">
        <v>134</v>
      </c>
      <c r="DB1380" t="s">
        <v>134</v>
      </c>
      <c r="DC1380" t="s">
        <v>114</v>
      </c>
      <c r="DD1380" t="s">
        <v>134</v>
      </c>
    </row>
    <row r="1381" spans="1:113" ht="15" customHeight="1" x14ac:dyDescent="0.25">
      <c r="A1381" t="s">
        <v>4693</v>
      </c>
      <c r="B1381" t="s">
        <v>141</v>
      </c>
      <c r="C1381" s="1">
        <v>44903.727811689816</v>
      </c>
      <c r="D1381" s="1">
        <v>44914</v>
      </c>
      <c r="E1381" t="s">
        <v>134</v>
      </c>
      <c r="F1381" t="s">
        <v>334</v>
      </c>
      <c r="G1381" t="str">
        <f t="shared" si="57"/>
        <v>37-3011.00</v>
      </c>
      <c r="H1381" t="s">
        <v>335</v>
      </c>
      <c r="I1381">
        <v>3</v>
      </c>
      <c r="K1381" s="1">
        <v>44988</v>
      </c>
      <c r="L1381" s="1">
        <v>45270</v>
      </c>
      <c r="O1381" t="s">
        <v>117</v>
      </c>
      <c r="P1381" t="s">
        <v>2600</v>
      </c>
      <c r="R1381" t="s">
        <v>2601</v>
      </c>
      <c r="T1381" t="s">
        <v>2602</v>
      </c>
      <c r="U1381" t="s">
        <v>748</v>
      </c>
      <c r="V1381" s="4" t="str">
        <f>"19342"</f>
        <v>19342</v>
      </c>
      <c r="W1381" t="s">
        <v>120</v>
      </c>
      <c r="Y1381" s="5">
        <v>16105001007</v>
      </c>
      <c r="AA1381">
        <v>56173</v>
      </c>
      <c r="AB1381" t="s">
        <v>2603</v>
      </c>
      <c r="AC1381" t="s">
        <v>1193</v>
      </c>
      <c r="AE1381" t="s">
        <v>342</v>
      </c>
      <c r="AF1381" t="s">
        <v>2601</v>
      </c>
      <c r="AH1381" t="s">
        <v>2602</v>
      </c>
      <c r="AI1381" t="s">
        <v>748</v>
      </c>
      <c r="AJ1381" s="4" t="str">
        <f>"19342"</f>
        <v>19342</v>
      </c>
      <c r="AK1381" t="s">
        <v>120</v>
      </c>
      <c r="AM1381" s="5">
        <v>16105001007</v>
      </c>
      <c r="AO1381" t="s">
        <v>2604</v>
      </c>
      <c r="AP1381" t="s">
        <v>256</v>
      </c>
      <c r="AQ1381" t="s">
        <v>1439</v>
      </c>
      <c r="AR1381" t="s">
        <v>1440</v>
      </c>
      <c r="AT1381" t="s">
        <v>1422</v>
      </c>
      <c r="AU1381" t="s">
        <v>347</v>
      </c>
      <c r="AV1381" t="s">
        <v>1441</v>
      </c>
      <c r="AW1381" t="s">
        <v>349</v>
      </c>
      <c r="AX1381" s="4" t="str">
        <f>"83814"</f>
        <v>83814</v>
      </c>
      <c r="AY1381" t="s">
        <v>120</v>
      </c>
      <c r="BA1381" s="5">
        <v>12087772654</v>
      </c>
      <c r="BC1381" t="s">
        <v>1442</v>
      </c>
      <c r="BD1381" t="s">
        <v>351</v>
      </c>
      <c r="BG1381" t="s">
        <v>748</v>
      </c>
      <c r="BH1381" s="1">
        <v>44902.791666666664</v>
      </c>
      <c r="BI1381">
        <v>40</v>
      </c>
      <c r="BJ1381">
        <v>0</v>
      </c>
      <c r="BK1381">
        <v>8</v>
      </c>
      <c r="BL1381">
        <v>8</v>
      </c>
      <c r="BM1381">
        <v>8</v>
      </c>
      <c r="BN1381">
        <v>8</v>
      </c>
      <c r="BO1381">
        <v>8</v>
      </c>
      <c r="BP1381">
        <v>0</v>
      </c>
      <c r="BQ1381" t="str">
        <f>"7:00 AM"</f>
        <v>7:00 AM</v>
      </c>
      <c r="BR1381" t="str">
        <f>"4:00 PM"</f>
        <v>4:00 PM</v>
      </c>
      <c r="BS1381" t="s">
        <v>133</v>
      </c>
      <c r="BT1381">
        <v>0</v>
      </c>
      <c r="BU1381">
        <v>1</v>
      </c>
      <c r="BV1381" t="s">
        <v>134</v>
      </c>
      <c r="BX1381" t="s">
        <v>2280</v>
      </c>
      <c r="BY1381" t="s">
        <v>2606</v>
      </c>
      <c r="CA1381" t="s">
        <v>2602</v>
      </c>
      <c r="CB1381" t="s">
        <v>748</v>
      </c>
      <c r="CC1381" s="4" t="str">
        <f>"19342"</f>
        <v>19342</v>
      </c>
      <c r="CD1381" t="s">
        <v>1311</v>
      </c>
      <c r="CE1381" t="s">
        <v>1266</v>
      </c>
      <c r="CF1381" s="6">
        <v>17.82</v>
      </c>
      <c r="CG1381" s="6">
        <v>21</v>
      </c>
      <c r="CH1381" s="6">
        <v>26.73</v>
      </c>
      <c r="CI1381" s="6">
        <v>31.5</v>
      </c>
      <c r="CJ1381" t="s">
        <v>137</v>
      </c>
      <c r="CK1381" t="s">
        <v>356</v>
      </c>
      <c r="CL1381" t="s">
        <v>2607</v>
      </c>
      <c r="CO1381" t="s">
        <v>138</v>
      </c>
      <c r="CP1381" t="s">
        <v>114</v>
      </c>
      <c r="CQ1381" t="s">
        <v>114</v>
      </c>
      <c r="CR1381" t="s">
        <v>114</v>
      </c>
      <c r="CS1381" t="s">
        <v>134</v>
      </c>
      <c r="CT1381" t="s">
        <v>114</v>
      </c>
      <c r="CU1381" t="s">
        <v>134</v>
      </c>
      <c r="CV1381" t="s">
        <v>358</v>
      </c>
      <c r="CW1381" s="5" t="str">
        <f>"+16105001007"</f>
        <v>+16105001007</v>
      </c>
      <c r="CX1381" t="s">
        <v>2604</v>
      </c>
      <c r="CY1381" t="s">
        <v>138</v>
      </c>
      <c r="CZ1381" t="s">
        <v>139</v>
      </c>
      <c r="DA1381" t="s">
        <v>134</v>
      </c>
      <c r="DB1381" t="s">
        <v>114</v>
      </c>
      <c r="DC1381" t="s">
        <v>114</v>
      </c>
      <c r="DD1381" t="s">
        <v>134</v>
      </c>
    </row>
    <row r="1382" spans="1:113" ht="15" customHeight="1" x14ac:dyDescent="0.25">
      <c r="A1382" t="s">
        <v>14257</v>
      </c>
      <c r="B1382" t="s">
        <v>141</v>
      </c>
      <c r="C1382" s="1">
        <v>44896.462741898147</v>
      </c>
      <c r="D1382" s="1">
        <v>44914</v>
      </c>
      <c r="E1382" t="s">
        <v>134</v>
      </c>
      <c r="F1382" t="s">
        <v>10947</v>
      </c>
      <c r="G1382" t="str">
        <f>"47-2031.00"</f>
        <v>47-2031.00</v>
      </c>
      <c r="H1382" t="s">
        <v>1410</v>
      </c>
      <c r="I1382">
        <v>8</v>
      </c>
      <c r="K1382" s="1">
        <v>44986</v>
      </c>
      <c r="L1382" s="1">
        <v>45276</v>
      </c>
      <c r="O1382" t="s">
        <v>117</v>
      </c>
      <c r="P1382" t="s">
        <v>12592</v>
      </c>
      <c r="Q1382" t="s">
        <v>12593</v>
      </c>
      <c r="R1382" t="s">
        <v>12594</v>
      </c>
      <c r="S1382" t="s">
        <v>138</v>
      </c>
      <c r="T1382" t="s">
        <v>7459</v>
      </c>
      <c r="U1382" t="s">
        <v>232</v>
      </c>
      <c r="V1382" s="4" t="str">
        <f>"79414"</f>
        <v>79414</v>
      </c>
      <c r="W1382" t="s">
        <v>120</v>
      </c>
      <c r="X1382" t="s">
        <v>138</v>
      </c>
      <c r="Y1382" s="5">
        <v>18067891109</v>
      </c>
      <c r="AA1382">
        <v>236115</v>
      </c>
      <c r="AB1382" t="s">
        <v>12595</v>
      </c>
      <c r="AC1382" t="s">
        <v>750</v>
      </c>
      <c r="AD1382" t="s">
        <v>138</v>
      </c>
      <c r="AE1382" t="s">
        <v>424</v>
      </c>
      <c r="AF1382" t="s">
        <v>12594</v>
      </c>
      <c r="AG1382" t="s">
        <v>138</v>
      </c>
      <c r="AH1382" t="s">
        <v>7459</v>
      </c>
      <c r="AI1382" t="s">
        <v>232</v>
      </c>
      <c r="AJ1382" s="4" t="str">
        <f>"79414"</f>
        <v>79414</v>
      </c>
      <c r="AK1382" t="s">
        <v>120</v>
      </c>
      <c r="AM1382" s="5">
        <v>18067891109</v>
      </c>
      <c r="AO1382" t="s">
        <v>12596</v>
      </c>
      <c r="AP1382" t="s">
        <v>256</v>
      </c>
      <c r="AQ1382" t="s">
        <v>1352</v>
      </c>
      <c r="AR1382" t="s">
        <v>1353</v>
      </c>
      <c r="AS1382" t="s">
        <v>138</v>
      </c>
      <c r="AT1382" t="s">
        <v>1284</v>
      </c>
      <c r="AU1382" t="s">
        <v>138</v>
      </c>
      <c r="AV1382" t="s">
        <v>1285</v>
      </c>
      <c r="AW1382" t="s">
        <v>232</v>
      </c>
      <c r="AX1382" s="4" t="str">
        <f>"77414"</f>
        <v>77414</v>
      </c>
      <c r="AY1382" t="s">
        <v>120</v>
      </c>
      <c r="BA1382" s="5">
        <v>19793187285</v>
      </c>
      <c r="BC1382" t="s">
        <v>1354</v>
      </c>
      <c r="BD1382" t="s">
        <v>1287</v>
      </c>
      <c r="BG1382" t="s">
        <v>232</v>
      </c>
      <c r="BH1382" s="1">
        <v>44895.791666666664</v>
      </c>
      <c r="BI1382">
        <v>40</v>
      </c>
      <c r="BJ1382">
        <v>0</v>
      </c>
      <c r="BK1382">
        <v>8</v>
      </c>
      <c r="BL1382">
        <v>8</v>
      </c>
      <c r="BM1382">
        <v>8</v>
      </c>
      <c r="BN1382">
        <v>8</v>
      </c>
      <c r="BO1382">
        <v>8</v>
      </c>
      <c r="BP1382">
        <v>0</v>
      </c>
      <c r="BQ1382" t="str">
        <f>"8:00 AM"</f>
        <v>8:00 AM</v>
      </c>
      <c r="BR1382" t="str">
        <f>"6:00 PM"</f>
        <v>6:00 PM</v>
      </c>
      <c r="BS1382" t="s">
        <v>133</v>
      </c>
      <c r="BT1382">
        <v>0</v>
      </c>
      <c r="BU1382">
        <v>0</v>
      </c>
      <c r="BV1382" t="s">
        <v>134</v>
      </c>
      <c r="BX1382" s="2" t="s">
        <v>12597</v>
      </c>
      <c r="BY1382" t="s">
        <v>12598</v>
      </c>
      <c r="BZ1382" t="s">
        <v>138</v>
      </c>
      <c r="CA1382" t="s">
        <v>7459</v>
      </c>
      <c r="CB1382" t="s">
        <v>232</v>
      </c>
      <c r="CC1382" s="4" t="str">
        <f>"79414"</f>
        <v>79414</v>
      </c>
      <c r="CD1382" t="s">
        <v>7461</v>
      </c>
      <c r="CE1382" t="s">
        <v>7462</v>
      </c>
      <c r="CF1382" s="6">
        <v>19.149999999999999</v>
      </c>
      <c r="CG1382" s="6">
        <v>20</v>
      </c>
      <c r="CH1382" s="6">
        <v>28.73</v>
      </c>
      <c r="CI1382" s="6">
        <v>30</v>
      </c>
      <c r="CJ1382" t="s">
        <v>137</v>
      </c>
      <c r="CK1382" t="s">
        <v>12599</v>
      </c>
      <c r="CL1382" t="s">
        <v>12600</v>
      </c>
      <c r="CO1382" t="s">
        <v>138</v>
      </c>
      <c r="CP1382" t="s">
        <v>114</v>
      </c>
      <c r="CQ1382" t="s">
        <v>114</v>
      </c>
      <c r="CR1382" t="s">
        <v>114</v>
      </c>
      <c r="CS1382" t="s">
        <v>114</v>
      </c>
      <c r="CT1382" t="s">
        <v>114</v>
      </c>
      <c r="CU1382" t="s">
        <v>114</v>
      </c>
      <c r="CV1382" t="s">
        <v>2491</v>
      </c>
      <c r="CW1382" s="5" t="str">
        <f>"+18067891109"</f>
        <v>+18067891109</v>
      </c>
      <c r="CX1382" t="s">
        <v>12596</v>
      </c>
      <c r="CY1382" t="s">
        <v>138</v>
      </c>
      <c r="CZ1382" t="s">
        <v>139</v>
      </c>
      <c r="DA1382" t="s">
        <v>134</v>
      </c>
      <c r="DB1382" t="s">
        <v>134</v>
      </c>
      <c r="DC1382" t="s">
        <v>114</v>
      </c>
      <c r="DD1382" t="s">
        <v>134</v>
      </c>
    </row>
    <row r="1383" spans="1:113" ht="15" customHeight="1" x14ac:dyDescent="0.25">
      <c r="A1383" t="s">
        <v>6241</v>
      </c>
      <c r="B1383" t="s">
        <v>141</v>
      </c>
      <c r="C1383" s="1">
        <v>44896.016428356481</v>
      </c>
      <c r="D1383" s="1">
        <v>44913</v>
      </c>
      <c r="E1383" t="s">
        <v>134</v>
      </c>
      <c r="F1383" t="s">
        <v>1219</v>
      </c>
      <c r="G1383" t="str">
        <f>"37-3011.00"</f>
        <v>37-3011.00</v>
      </c>
      <c r="H1383" t="s">
        <v>335</v>
      </c>
      <c r="I1383">
        <v>9</v>
      </c>
      <c r="K1383" s="1">
        <v>44986</v>
      </c>
      <c r="L1383" s="1">
        <v>45275</v>
      </c>
      <c r="O1383" t="s">
        <v>199</v>
      </c>
      <c r="P1383" t="s">
        <v>6242</v>
      </c>
      <c r="R1383" t="s">
        <v>6243</v>
      </c>
      <c r="T1383" t="s">
        <v>6244</v>
      </c>
      <c r="U1383" t="s">
        <v>848</v>
      </c>
      <c r="V1383" s="4" t="str">
        <f>"11937"</f>
        <v>11937</v>
      </c>
      <c r="W1383" t="s">
        <v>120</v>
      </c>
      <c r="Y1383" s="5">
        <v>16313244281</v>
      </c>
      <c r="AA1383">
        <v>56173</v>
      </c>
      <c r="AB1383" t="s">
        <v>6245</v>
      </c>
      <c r="AC1383" t="s">
        <v>2628</v>
      </c>
      <c r="AE1383" t="s">
        <v>700</v>
      </c>
      <c r="AF1383" t="s">
        <v>6243</v>
      </c>
      <c r="AH1383" t="s">
        <v>6246</v>
      </c>
      <c r="AI1383" t="s">
        <v>848</v>
      </c>
      <c r="AJ1383" s="4" t="str">
        <f>"11937"</f>
        <v>11937</v>
      </c>
      <c r="AK1383" t="s">
        <v>120</v>
      </c>
      <c r="AM1383" s="5">
        <v>16313244281</v>
      </c>
      <c r="AO1383" t="s">
        <v>138</v>
      </c>
      <c r="AP1383" t="s">
        <v>256</v>
      </c>
      <c r="AQ1383" t="s">
        <v>1220</v>
      </c>
      <c r="AR1383" t="s">
        <v>1221</v>
      </c>
      <c r="AT1383" t="s">
        <v>1222</v>
      </c>
      <c r="AV1383" t="s">
        <v>1223</v>
      </c>
      <c r="AW1383" t="s">
        <v>848</v>
      </c>
      <c r="AX1383" s="4" t="str">
        <f>"11590"</f>
        <v>11590</v>
      </c>
      <c r="AY1383" t="s">
        <v>120</v>
      </c>
      <c r="BA1383" s="5">
        <v>15163307168</v>
      </c>
      <c r="BC1383" t="s">
        <v>1224</v>
      </c>
      <c r="BD1383" t="s">
        <v>6247</v>
      </c>
      <c r="BG1383" t="s">
        <v>848</v>
      </c>
      <c r="BH1383" s="1">
        <v>44894.791666666664</v>
      </c>
      <c r="BI1383">
        <v>40</v>
      </c>
      <c r="BJ1383">
        <v>0</v>
      </c>
      <c r="BK1383">
        <v>8</v>
      </c>
      <c r="BL1383">
        <v>8</v>
      </c>
      <c r="BM1383">
        <v>8</v>
      </c>
      <c r="BN1383">
        <v>8</v>
      </c>
      <c r="BO1383">
        <v>8</v>
      </c>
      <c r="BP1383">
        <v>0</v>
      </c>
      <c r="BQ1383" t="str">
        <f>"8:00 AM"</f>
        <v>8:00 AM</v>
      </c>
      <c r="BR1383" t="str">
        <f>"4:00 PM"</f>
        <v>4:00 PM</v>
      </c>
      <c r="BS1383" t="s">
        <v>133</v>
      </c>
      <c r="BT1383">
        <v>0</v>
      </c>
      <c r="BU1383">
        <v>0</v>
      </c>
      <c r="BV1383" t="s">
        <v>134</v>
      </c>
      <c r="BX1383" t="s">
        <v>138</v>
      </c>
      <c r="BY1383" t="s">
        <v>6243</v>
      </c>
      <c r="CA1383" t="s">
        <v>6246</v>
      </c>
      <c r="CB1383" t="s">
        <v>848</v>
      </c>
      <c r="CC1383" s="4" t="str">
        <f>"11937"</f>
        <v>11937</v>
      </c>
      <c r="CD1383" t="s">
        <v>1227</v>
      </c>
      <c r="CE1383" t="s">
        <v>1009</v>
      </c>
      <c r="CF1383" s="6">
        <v>19.940000000000001</v>
      </c>
      <c r="CG1383" s="6">
        <v>19.940000000000001</v>
      </c>
      <c r="CH1383" s="6">
        <v>29.91</v>
      </c>
      <c r="CI1383" s="6">
        <v>29.91</v>
      </c>
      <c r="CJ1383" t="s">
        <v>137</v>
      </c>
      <c r="CK1383" t="s">
        <v>138</v>
      </c>
      <c r="CL1383" t="s">
        <v>6248</v>
      </c>
      <c r="CO1383" t="s">
        <v>138</v>
      </c>
      <c r="CP1383" t="s">
        <v>114</v>
      </c>
      <c r="CQ1383" t="s">
        <v>114</v>
      </c>
      <c r="CR1383" t="s">
        <v>114</v>
      </c>
      <c r="CS1383" t="s">
        <v>134</v>
      </c>
      <c r="CT1383" t="s">
        <v>114</v>
      </c>
      <c r="CU1383" t="s">
        <v>134</v>
      </c>
      <c r="CV1383" t="s">
        <v>219</v>
      </c>
      <c r="CW1383" s="5" t="str">
        <f>"+16313244281"</f>
        <v>+16313244281</v>
      </c>
      <c r="CX1383" t="s">
        <v>6249</v>
      </c>
      <c r="CY1383" t="s">
        <v>138</v>
      </c>
      <c r="CZ1383" t="s">
        <v>139</v>
      </c>
      <c r="DA1383" t="s">
        <v>134</v>
      </c>
      <c r="DB1383" t="s">
        <v>134</v>
      </c>
      <c r="DC1383" t="s">
        <v>114</v>
      </c>
      <c r="DD1383" t="s">
        <v>134</v>
      </c>
    </row>
    <row r="1384" spans="1:113" ht="15" customHeight="1" x14ac:dyDescent="0.25">
      <c r="A1384" t="s">
        <v>4936</v>
      </c>
      <c r="B1384" t="s">
        <v>141</v>
      </c>
      <c r="C1384" s="1">
        <v>44563.910343634256</v>
      </c>
      <c r="D1384" s="1">
        <v>44913</v>
      </c>
      <c r="E1384" t="s">
        <v>134</v>
      </c>
      <c r="F1384" t="s">
        <v>4937</v>
      </c>
      <c r="G1384" t="str">
        <f>"35-3022.01"</f>
        <v>35-3022.01</v>
      </c>
      <c r="H1384" t="s">
        <v>440</v>
      </c>
      <c r="I1384">
        <v>4</v>
      </c>
      <c r="K1384" s="1">
        <v>44652</v>
      </c>
      <c r="L1384" s="1">
        <v>44926</v>
      </c>
      <c r="O1384" t="s">
        <v>117</v>
      </c>
      <c r="P1384" t="s">
        <v>2638</v>
      </c>
      <c r="Q1384" t="s">
        <v>2639</v>
      </c>
      <c r="R1384" t="s">
        <v>2640</v>
      </c>
      <c r="T1384" t="s">
        <v>2641</v>
      </c>
      <c r="U1384" t="s">
        <v>1191</v>
      </c>
      <c r="V1384" s="4" t="str">
        <f>"03226"</f>
        <v>03226</v>
      </c>
      <c r="W1384" t="s">
        <v>120</v>
      </c>
      <c r="Y1384" s="5">
        <v>16036300168</v>
      </c>
      <c r="AA1384">
        <v>722511</v>
      </c>
      <c r="AB1384" t="s">
        <v>2642</v>
      </c>
      <c r="AC1384" t="s">
        <v>2643</v>
      </c>
      <c r="AE1384" t="s">
        <v>700</v>
      </c>
      <c r="AF1384" t="s">
        <v>2640</v>
      </c>
      <c r="AH1384" t="s">
        <v>2641</v>
      </c>
      <c r="AI1384" t="s">
        <v>1191</v>
      </c>
      <c r="AJ1384" s="4" t="str">
        <f>"03226"</f>
        <v>03226</v>
      </c>
      <c r="AK1384" t="s">
        <v>120</v>
      </c>
      <c r="AM1384" s="5">
        <v>16026300168</v>
      </c>
      <c r="AO1384" t="s">
        <v>2644</v>
      </c>
      <c r="AP1384" t="s">
        <v>256</v>
      </c>
      <c r="AQ1384" t="s">
        <v>2645</v>
      </c>
      <c r="AR1384" t="s">
        <v>2646</v>
      </c>
      <c r="AS1384" t="s">
        <v>259</v>
      </c>
      <c r="AT1384" t="s">
        <v>2647</v>
      </c>
      <c r="AU1384" t="s">
        <v>2648</v>
      </c>
      <c r="AV1384" t="s">
        <v>2649</v>
      </c>
      <c r="AW1384" t="s">
        <v>154</v>
      </c>
      <c r="AX1384" s="4" t="str">
        <f>"33316"</f>
        <v>33316</v>
      </c>
      <c r="AY1384" t="s">
        <v>120</v>
      </c>
      <c r="BA1384" s="5">
        <v>15613228604</v>
      </c>
      <c r="BC1384" t="s">
        <v>2650</v>
      </c>
      <c r="BD1384" t="s">
        <v>2651</v>
      </c>
      <c r="BG1384" t="s">
        <v>1191</v>
      </c>
      <c r="BH1384" s="1">
        <v>44553.791666666664</v>
      </c>
      <c r="BI1384">
        <v>35</v>
      </c>
      <c r="BJ1384">
        <v>5</v>
      </c>
      <c r="BK1384">
        <v>5</v>
      </c>
      <c r="BL1384">
        <v>5</v>
      </c>
      <c r="BM1384">
        <v>5</v>
      </c>
      <c r="BN1384">
        <v>5</v>
      </c>
      <c r="BO1384">
        <v>5</v>
      </c>
      <c r="BP1384">
        <v>5</v>
      </c>
      <c r="BQ1384" t="str">
        <f>"7:00 AM"</f>
        <v>7:00 AM</v>
      </c>
      <c r="BR1384" t="str">
        <f>"9:00 PM"</f>
        <v>9:00 PM</v>
      </c>
      <c r="BS1384" t="s">
        <v>133</v>
      </c>
      <c r="BT1384">
        <v>0</v>
      </c>
      <c r="BU1384">
        <v>3</v>
      </c>
      <c r="BV1384" t="s">
        <v>134</v>
      </c>
      <c r="BX1384" t="s">
        <v>4938</v>
      </c>
      <c r="BY1384" t="s">
        <v>2640</v>
      </c>
      <c r="CA1384" t="s">
        <v>4939</v>
      </c>
      <c r="CB1384" t="s">
        <v>1191</v>
      </c>
      <c r="CC1384" s="4" t="str">
        <f>"03226"</f>
        <v>03226</v>
      </c>
      <c r="CD1384" t="s">
        <v>2641</v>
      </c>
      <c r="CE1384" t="s">
        <v>1648</v>
      </c>
      <c r="CF1384" s="6">
        <v>11.26</v>
      </c>
      <c r="CH1384" s="6">
        <v>16.89</v>
      </c>
      <c r="CJ1384" t="s">
        <v>137</v>
      </c>
      <c r="CK1384" t="s">
        <v>4940</v>
      </c>
      <c r="CL1384" t="s">
        <v>4941</v>
      </c>
      <c r="CO1384" t="s">
        <v>138</v>
      </c>
      <c r="CP1384" t="s">
        <v>114</v>
      </c>
      <c r="CQ1384" t="s">
        <v>114</v>
      </c>
      <c r="CR1384" t="s">
        <v>114</v>
      </c>
      <c r="CS1384" t="s">
        <v>114</v>
      </c>
      <c r="CT1384" t="s">
        <v>114</v>
      </c>
      <c r="CU1384" t="s">
        <v>114</v>
      </c>
      <c r="CV1384" t="s">
        <v>4942</v>
      </c>
      <c r="CW1384" s="5" t="str">
        <f>"+16032508002"</f>
        <v>+16032508002</v>
      </c>
      <c r="CX1384" t="s">
        <v>4943</v>
      </c>
      <c r="CY1384" t="s">
        <v>4944</v>
      </c>
      <c r="CZ1384" t="s">
        <v>139</v>
      </c>
      <c r="DA1384" t="s">
        <v>134</v>
      </c>
      <c r="DB1384" t="s">
        <v>114</v>
      </c>
      <c r="DC1384" t="s">
        <v>114</v>
      </c>
      <c r="DD1384" t="s">
        <v>134</v>
      </c>
      <c r="DE1384" t="s">
        <v>2645</v>
      </c>
      <c r="DF1384" t="s">
        <v>2646</v>
      </c>
      <c r="DG1384" t="s">
        <v>259</v>
      </c>
      <c r="DH1384" t="s">
        <v>2651</v>
      </c>
      <c r="DI1384" t="s">
        <v>2650</v>
      </c>
    </row>
    <row r="1385" spans="1:113" ht="15" customHeight="1" x14ac:dyDescent="0.25">
      <c r="A1385" t="s">
        <v>11023</v>
      </c>
      <c r="B1385" t="s">
        <v>141</v>
      </c>
      <c r="C1385" s="1">
        <v>44900.544150000002</v>
      </c>
      <c r="D1385" s="1">
        <v>44911</v>
      </c>
      <c r="E1385" t="s">
        <v>134</v>
      </c>
      <c r="F1385" t="s">
        <v>334</v>
      </c>
      <c r="G1385" t="str">
        <f>"37-3011.00"</f>
        <v>37-3011.00</v>
      </c>
      <c r="H1385" t="s">
        <v>335</v>
      </c>
      <c r="I1385">
        <v>30</v>
      </c>
      <c r="K1385" s="1">
        <v>44986</v>
      </c>
      <c r="L1385" s="1">
        <v>45260</v>
      </c>
      <c r="O1385" t="s">
        <v>117</v>
      </c>
      <c r="P1385" t="s">
        <v>11024</v>
      </c>
      <c r="R1385" t="s">
        <v>11025</v>
      </c>
      <c r="T1385" t="s">
        <v>9013</v>
      </c>
      <c r="U1385" t="s">
        <v>181</v>
      </c>
      <c r="V1385" s="4" t="str">
        <f>"80002"</f>
        <v>80002</v>
      </c>
      <c r="W1385" t="s">
        <v>120</v>
      </c>
      <c r="Y1385" s="5">
        <v>13032822995</v>
      </c>
      <c r="AA1385">
        <v>56173</v>
      </c>
      <c r="AB1385" t="s">
        <v>5525</v>
      </c>
      <c r="AC1385" t="s">
        <v>1980</v>
      </c>
      <c r="AE1385" t="s">
        <v>5865</v>
      </c>
      <c r="AF1385" t="s">
        <v>11025</v>
      </c>
      <c r="AH1385" t="s">
        <v>9013</v>
      </c>
      <c r="AI1385" t="s">
        <v>181</v>
      </c>
      <c r="AJ1385" s="4" t="str">
        <f>"80002"</f>
        <v>80002</v>
      </c>
      <c r="AK1385" t="s">
        <v>120</v>
      </c>
      <c r="AM1385" s="5">
        <v>13032822995</v>
      </c>
      <c r="AO1385" t="s">
        <v>11026</v>
      </c>
      <c r="AP1385" t="s">
        <v>256</v>
      </c>
      <c r="AQ1385" t="s">
        <v>826</v>
      </c>
      <c r="AR1385" t="s">
        <v>827</v>
      </c>
      <c r="AS1385" t="s">
        <v>138</v>
      </c>
      <c r="AT1385" t="s">
        <v>346</v>
      </c>
      <c r="AU1385" t="s">
        <v>347</v>
      </c>
      <c r="AV1385" t="s">
        <v>828</v>
      </c>
      <c r="AW1385" t="s">
        <v>349</v>
      </c>
      <c r="AX1385" s="4" t="str">
        <f>"83814"</f>
        <v>83814</v>
      </c>
      <c r="AY1385" t="s">
        <v>120</v>
      </c>
      <c r="BA1385" s="5">
        <v>12087772654</v>
      </c>
      <c r="BC1385" t="s">
        <v>829</v>
      </c>
      <c r="BD1385" t="s">
        <v>351</v>
      </c>
      <c r="BG1385" t="s">
        <v>181</v>
      </c>
      <c r="BH1385" s="1">
        <v>44899.791666666664</v>
      </c>
      <c r="BI1385">
        <v>40</v>
      </c>
      <c r="BJ1385">
        <v>0</v>
      </c>
      <c r="BK1385">
        <v>10</v>
      </c>
      <c r="BL1385">
        <v>10</v>
      </c>
      <c r="BM1385">
        <v>10</v>
      </c>
      <c r="BN1385">
        <v>10</v>
      </c>
      <c r="BO1385">
        <v>0</v>
      </c>
      <c r="BP1385">
        <v>0</v>
      </c>
      <c r="BQ1385" t="str">
        <f>"6:30 AM"</f>
        <v>6:30 AM</v>
      </c>
      <c r="BR1385" t="str">
        <f>"4:30 PM"</f>
        <v>4:30 PM</v>
      </c>
      <c r="BS1385" t="s">
        <v>133</v>
      </c>
      <c r="BT1385">
        <v>0</v>
      </c>
      <c r="BU1385">
        <v>0</v>
      </c>
      <c r="BV1385" t="s">
        <v>134</v>
      </c>
      <c r="BX1385" s="2" t="s">
        <v>2605</v>
      </c>
      <c r="BY1385" t="s">
        <v>11027</v>
      </c>
      <c r="CA1385" t="s">
        <v>9013</v>
      </c>
      <c r="CB1385" t="s">
        <v>181</v>
      </c>
      <c r="CC1385" s="4" t="str">
        <f>"80002"</f>
        <v>80002</v>
      </c>
      <c r="CD1385" t="s">
        <v>1387</v>
      </c>
      <c r="CE1385" t="s">
        <v>1610</v>
      </c>
      <c r="CF1385" s="6">
        <v>19.22</v>
      </c>
      <c r="CG1385" s="6">
        <v>20</v>
      </c>
      <c r="CH1385" s="6">
        <v>28.83</v>
      </c>
      <c r="CI1385" s="6">
        <v>30</v>
      </c>
      <c r="CJ1385" t="s">
        <v>137</v>
      </c>
      <c r="CK1385" t="s">
        <v>4478</v>
      </c>
      <c r="CL1385" t="s">
        <v>11028</v>
      </c>
      <c r="CO1385" t="s">
        <v>138</v>
      </c>
      <c r="CP1385" t="s">
        <v>114</v>
      </c>
      <c r="CQ1385" t="s">
        <v>114</v>
      </c>
      <c r="CR1385" t="s">
        <v>114</v>
      </c>
      <c r="CS1385" t="s">
        <v>114</v>
      </c>
      <c r="CT1385" t="s">
        <v>114</v>
      </c>
      <c r="CU1385" t="s">
        <v>134</v>
      </c>
      <c r="CV1385" t="s">
        <v>358</v>
      </c>
      <c r="CW1385" s="5" t="str">
        <f>"+13032822995"</f>
        <v>+13032822995</v>
      </c>
      <c r="CX1385" t="s">
        <v>11029</v>
      </c>
      <c r="CY1385" t="s">
        <v>138</v>
      </c>
      <c r="CZ1385" t="s">
        <v>139</v>
      </c>
      <c r="DA1385" t="s">
        <v>134</v>
      </c>
      <c r="DB1385" t="s">
        <v>114</v>
      </c>
      <c r="DC1385" t="s">
        <v>114</v>
      </c>
      <c r="DD1385" t="s">
        <v>134</v>
      </c>
    </row>
    <row r="1386" spans="1:113" ht="15" customHeight="1" x14ac:dyDescent="0.25">
      <c r="A1386" t="s">
        <v>2974</v>
      </c>
      <c r="B1386" t="s">
        <v>141</v>
      </c>
      <c r="C1386" s="1">
        <v>44882.439372106484</v>
      </c>
      <c r="D1386" s="1">
        <v>44911</v>
      </c>
      <c r="E1386" t="s">
        <v>134</v>
      </c>
      <c r="F1386" t="s">
        <v>334</v>
      </c>
      <c r="G1386" t="str">
        <f>"37-3011.00"</f>
        <v>37-3011.00</v>
      </c>
      <c r="H1386" t="s">
        <v>335</v>
      </c>
      <c r="I1386">
        <v>5</v>
      </c>
      <c r="K1386" s="1">
        <v>44972</v>
      </c>
      <c r="L1386" s="1">
        <v>45275</v>
      </c>
      <c r="O1386" t="s">
        <v>117</v>
      </c>
      <c r="P1386" t="s">
        <v>2975</v>
      </c>
      <c r="R1386" t="s">
        <v>2976</v>
      </c>
      <c r="S1386" t="s">
        <v>2977</v>
      </c>
      <c r="T1386" t="s">
        <v>408</v>
      </c>
      <c r="U1386" t="s">
        <v>394</v>
      </c>
      <c r="V1386" s="4" t="str">
        <f>"29926"</f>
        <v>29926</v>
      </c>
      <c r="W1386" t="s">
        <v>120</v>
      </c>
      <c r="Y1386" s="5">
        <v>19196621009</v>
      </c>
      <c r="AA1386">
        <v>5617</v>
      </c>
      <c r="AB1386" t="s">
        <v>2978</v>
      </c>
      <c r="AC1386" t="s">
        <v>2979</v>
      </c>
      <c r="AD1386" t="s">
        <v>2980</v>
      </c>
      <c r="AE1386" t="s">
        <v>474</v>
      </c>
      <c r="AF1386" t="s">
        <v>2981</v>
      </c>
      <c r="AH1386" t="s">
        <v>2567</v>
      </c>
      <c r="AI1386" t="s">
        <v>119</v>
      </c>
      <c r="AJ1386" s="4" t="str">
        <f>"27603"</f>
        <v>27603</v>
      </c>
      <c r="AK1386" t="s">
        <v>120</v>
      </c>
      <c r="AM1386" s="5">
        <v>19196621009</v>
      </c>
      <c r="AO1386" t="s">
        <v>2982</v>
      </c>
      <c r="AP1386" t="s">
        <v>256</v>
      </c>
      <c r="AQ1386" t="s">
        <v>1731</v>
      </c>
      <c r="AR1386" t="s">
        <v>1732</v>
      </c>
      <c r="AS1386" t="s">
        <v>1733</v>
      </c>
      <c r="AT1386" t="s">
        <v>1734</v>
      </c>
      <c r="AU1386" t="s">
        <v>1735</v>
      </c>
      <c r="AV1386" t="s">
        <v>1736</v>
      </c>
      <c r="AW1386" t="s">
        <v>479</v>
      </c>
      <c r="AX1386" s="4" t="str">
        <f>"24521"</f>
        <v>24521</v>
      </c>
      <c r="AY1386" t="s">
        <v>120</v>
      </c>
      <c r="AZ1386" t="s">
        <v>2983</v>
      </c>
      <c r="BA1386" s="5">
        <v>14349460035</v>
      </c>
      <c r="BB1386">
        <v>11</v>
      </c>
      <c r="BC1386" t="s">
        <v>1737</v>
      </c>
      <c r="BD1386" t="s">
        <v>1738</v>
      </c>
      <c r="BG1386" t="s">
        <v>394</v>
      </c>
      <c r="BH1386" s="1">
        <v>44881.791666666664</v>
      </c>
      <c r="BI1386">
        <v>40</v>
      </c>
      <c r="BJ1386">
        <v>0</v>
      </c>
      <c r="BK1386">
        <v>8</v>
      </c>
      <c r="BL1386">
        <v>8</v>
      </c>
      <c r="BM1386">
        <v>8</v>
      </c>
      <c r="BN1386">
        <v>8</v>
      </c>
      <c r="BO1386">
        <v>8</v>
      </c>
      <c r="BP1386">
        <v>0</v>
      </c>
      <c r="BQ1386" t="str">
        <f>"7:00 PM"</f>
        <v>7:00 PM</v>
      </c>
      <c r="BR1386" t="str">
        <f>"4:00 PM"</f>
        <v>4:00 PM</v>
      </c>
      <c r="BS1386" t="s">
        <v>133</v>
      </c>
      <c r="BT1386">
        <v>0</v>
      </c>
      <c r="BU1386">
        <v>3</v>
      </c>
      <c r="BV1386" t="s">
        <v>134</v>
      </c>
      <c r="BX1386" s="2" t="s">
        <v>2984</v>
      </c>
      <c r="BY1386" t="s">
        <v>2976</v>
      </c>
      <c r="CA1386" t="s">
        <v>408</v>
      </c>
      <c r="CB1386" t="s">
        <v>394</v>
      </c>
      <c r="CC1386" s="4" t="str">
        <f>"29926"</f>
        <v>29926</v>
      </c>
      <c r="CD1386" t="s">
        <v>409</v>
      </c>
      <c r="CE1386" t="s">
        <v>410</v>
      </c>
      <c r="CF1386" s="6">
        <v>15.36</v>
      </c>
      <c r="CG1386" s="6">
        <v>15.36</v>
      </c>
      <c r="CH1386" s="6">
        <v>23.04</v>
      </c>
      <c r="CI1386" s="6">
        <v>23.04</v>
      </c>
      <c r="CJ1386" t="s">
        <v>137</v>
      </c>
      <c r="CK1386" t="s">
        <v>2162</v>
      </c>
      <c r="CL1386" t="s">
        <v>2985</v>
      </c>
      <c r="CO1386" t="s">
        <v>138</v>
      </c>
      <c r="CP1386" t="s">
        <v>114</v>
      </c>
      <c r="CQ1386" t="s">
        <v>114</v>
      </c>
      <c r="CR1386" t="s">
        <v>114</v>
      </c>
      <c r="CS1386" t="s">
        <v>134</v>
      </c>
      <c r="CT1386" t="s">
        <v>114</v>
      </c>
      <c r="CU1386" t="s">
        <v>134</v>
      </c>
      <c r="CV1386" t="s">
        <v>2986</v>
      </c>
      <c r="CW1386" s="5" t="str">
        <f>"+19196621009"</f>
        <v>+19196621009</v>
      </c>
      <c r="CX1386" t="s">
        <v>2982</v>
      </c>
      <c r="CY1386" t="s">
        <v>138</v>
      </c>
      <c r="CZ1386" t="s">
        <v>139</v>
      </c>
      <c r="DA1386" t="s">
        <v>134</v>
      </c>
      <c r="DB1386" t="s">
        <v>114</v>
      </c>
      <c r="DC1386" t="s">
        <v>114</v>
      </c>
      <c r="DD1386" t="s">
        <v>134</v>
      </c>
    </row>
    <row r="1387" spans="1:113" ht="15" customHeight="1" x14ac:dyDescent="0.25">
      <c r="A1387" t="s">
        <v>11030</v>
      </c>
      <c r="B1387" t="s">
        <v>141</v>
      </c>
      <c r="C1387" s="1">
        <v>44882.437911689813</v>
      </c>
      <c r="D1387" s="1">
        <v>44911</v>
      </c>
      <c r="E1387" t="s">
        <v>134</v>
      </c>
      <c r="F1387" t="s">
        <v>334</v>
      </c>
      <c r="G1387" t="str">
        <f>"37-3011.00"</f>
        <v>37-3011.00</v>
      </c>
      <c r="H1387" t="s">
        <v>335</v>
      </c>
      <c r="I1387">
        <v>41</v>
      </c>
      <c r="K1387" s="1">
        <v>44972</v>
      </c>
      <c r="L1387" s="1">
        <v>45275</v>
      </c>
      <c r="O1387" t="s">
        <v>117</v>
      </c>
      <c r="P1387" t="s">
        <v>11031</v>
      </c>
      <c r="R1387" t="s">
        <v>9989</v>
      </c>
      <c r="T1387" t="s">
        <v>2561</v>
      </c>
      <c r="U1387" t="s">
        <v>748</v>
      </c>
      <c r="V1387" s="4" t="str">
        <f>"17110"</f>
        <v>17110</v>
      </c>
      <c r="W1387" t="s">
        <v>120</v>
      </c>
      <c r="Y1387" s="5">
        <v>17176957920</v>
      </c>
      <c r="AA1387">
        <v>5617</v>
      </c>
      <c r="AB1387" t="s">
        <v>5151</v>
      </c>
      <c r="AC1387" t="s">
        <v>3357</v>
      </c>
      <c r="AE1387" t="s">
        <v>1526</v>
      </c>
      <c r="AF1387" t="s">
        <v>9989</v>
      </c>
      <c r="AH1387" t="s">
        <v>2561</v>
      </c>
      <c r="AI1387" t="s">
        <v>748</v>
      </c>
      <c r="AJ1387" s="4" t="str">
        <f>"17110"</f>
        <v>17110</v>
      </c>
      <c r="AK1387" t="s">
        <v>120</v>
      </c>
      <c r="AM1387" s="5">
        <v>17176957920</v>
      </c>
      <c r="AO1387" t="s">
        <v>9990</v>
      </c>
      <c r="AP1387" t="s">
        <v>256</v>
      </c>
      <c r="AQ1387" t="s">
        <v>1731</v>
      </c>
      <c r="AR1387" t="s">
        <v>1732</v>
      </c>
      <c r="AS1387" t="s">
        <v>1733</v>
      </c>
      <c r="AT1387" t="s">
        <v>1734</v>
      </c>
      <c r="AU1387" t="s">
        <v>1735</v>
      </c>
      <c r="AV1387" t="s">
        <v>1736</v>
      </c>
      <c r="AW1387" t="s">
        <v>479</v>
      </c>
      <c r="AX1387" s="4" t="str">
        <f>"24521"</f>
        <v>24521</v>
      </c>
      <c r="AY1387" t="s">
        <v>120</v>
      </c>
      <c r="AZ1387" t="s">
        <v>2983</v>
      </c>
      <c r="BA1387" s="5">
        <v>14349460035</v>
      </c>
      <c r="BB1387">
        <v>11</v>
      </c>
      <c r="BC1387" t="s">
        <v>1737</v>
      </c>
      <c r="BD1387" t="s">
        <v>1738</v>
      </c>
      <c r="BG1387" t="s">
        <v>748</v>
      </c>
      <c r="BH1387" s="1">
        <v>44881.791666666664</v>
      </c>
      <c r="BI1387">
        <v>40</v>
      </c>
      <c r="BJ1387">
        <v>0</v>
      </c>
      <c r="BK1387">
        <v>8</v>
      </c>
      <c r="BL1387">
        <v>8</v>
      </c>
      <c r="BM1387">
        <v>8</v>
      </c>
      <c r="BN1387">
        <v>8</v>
      </c>
      <c r="BO1387">
        <v>8</v>
      </c>
      <c r="BP1387">
        <v>0</v>
      </c>
      <c r="BQ1387" t="str">
        <f>"6:30 AM"</f>
        <v>6:30 AM</v>
      </c>
      <c r="BR1387" t="str">
        <f>"3:30 PM"</f>
        <v>3:30 PM</v>
      </c>
      <c r="BS1387" t="s">
        <v>133</v>
      </c>
      <c r="BT1387">
        <v>0</v>
      </c>
      <c r="BU1387">
        <v>3</v>
      </c>
      <c r="BV1387" t="s">
        <v>134</v>
      </c>
      <c r="BX1387" s="2" t="s">
        <v>9991</v>
      </c>
      <c r="BY1387" t="s">
        <v>9989</v>
      </c>
      <c r="CA1387" t="s">
        <v>2561</v>
      </c>
      <c r="CB1387" t="s">
        <v>748</v>
      </c>
      <c r="CC1387" s="4" t="str">
        <f>"17110"</f>
        <v>17110</v>
      </c>
      <c r="CD1387" t="s">
        <v>9263</v>
      </c>
      <c r="CE1387" t="s">
        <v>7998</v>
      </c>
      <c r="CF1387" s="6">
        <v>16.89</v>
      </c>
      <c r="CG1387" s="6">
        <v>16.98</v>
      </c>
      <c r="CH1387" s="6">
        <v>25.34</v>
      </c>
      <c r="CI1387" s="6">
        <v>25.34</v>
      </c>
      <c r="CJ1387" t="s">
        <v>137</v>
      </c>
      <c r="CK1387" t="s">
        <v>2162</v>
      </c>
      <c r="CL1387" t="s">
        <v>9992</v>
      </c>
      <c r="CO1387" t="s">
        <v>138</v>
      </c>
      <c r="CP1387" t="s">
        <v>114</v>
      </c>
      <c r="CQ1387" t="s">
        <v>114</v>
      </c>
      <c r="CR1387" t="s">
        <v>114</v>
      </c>
      <c r="CS1387" t="s">
        <v>114</v>
      </c>
      <c r="CT1387" t="s">
        <v>114</v>
      </c>
      <c r="CU1387" t="s">
        <v>114</v>
      </c>
      <c r="CV1387" t="s">
        <v>11032</v>
      </c>
      <c r="CW1387" s="5" t="str">
        <f>"+17176957920"</f>
        <v>+17176957920</v>
      </c>
      <c r="CX1387" t="s">
        <v>9990</v>
      </c>
      <c r="CY1387" t="s">
        <v>138</v>
      </c>
      <c r="CZ1387" t="s">
        <v>139</v>
      </c>
      <c r="DA1387" t="s">
        <v>134</v>
      </c>
      <c r="DB1387" t="s">
        <v>114</v>
      </c>
      <c r="DC1387" t="s">
        <v>114</v>
      </c>
      <c r="DD1387" t="s">
        <v>134</v>
      </c>
    </row>
    <row r="1388" spans="1:113" ht="15" customHeight="1" x14ac:dyDescent="0.25">
      <c r="A1388" t="s">
        <v>16782</v>
      </c>
      <c r="B1388" t="s">
        <v>141</v>
      </c>
      <c r="C1388" s="1">
        <v>44882.436024189818</v>
      </c>
      <c r="D1388" s="1">
        <v>44911</v>
      </c>
      <c r="E1388" t="s">
        <v>134</v>
      </c>
      <c r="F1388" t="s">
        <v>334</v>
      </c>
      <c r="G1388" t="str">
        <f>"37-3011.00"</f>
        <v>37-3011.00</v>
      </c>
      <c r="H1388" t="s">
        <v>335</v>
      </c>
      <c r="I1388">
        <v>35</v>
      </c>
      <c r="K1388" s="1">
        <v>44972</v>
      </c>
      <c r="L1388" s="1">
        <v>45275</v>
      </c>
      <c r="O1388" t="s">
        <v>117</v>
      </c>
      <c r="P1388" t="s">
        <v>9987</v>
      </c>
      <c r="R1388" t="s">
        <v>2981</v>
      </c>
      <c r="T1388" t="s">
        <v>2567</v>
      </c>
      <c r="U1388" t="s">
        <v>119</v>
      </c>
      <c r="V1388" s="4" t="str">
        <f>"27603"</f>
        <v>27603</v>
      </c>
      <c r="W1388" t="s">
        <v>120</v>
      </c>
      <c r="Y1388" s="5">
        <v>19196621009</v>
      </c>
      <c r="AA1388">
        <v>5617</v>
      </c>
      <c r="AB1388" t="s">
        <v>2978</v>
      </c>
      <c r="AC1388" t="s">
        <v>2979</v>
      </c>
      <c r="AD1388" t="s">
        <v>2980</v>
      </c>
      <c r="AE1388" t="s">
        <v>474</v>
      </c>
      <c r="AF1388" t="s">
        <v>2981</v>
      </c>
      <c r="AH1388" t="s">
        <v>2567</v>
      </c>
      <c r="AI1388" t="s">
        <v>119</v>
      </c>
      <c r="AJ1388" s="4" t="str">
        <f>"27603"</f>
        <v>27603</v>
      </c>
      <c r="AK1388" t="s">
        <v>120</v>
      </c>
      <c r="AM1388" s="5">
        <v>19196621009</v>
      </c>
      <c r="AO1388" t="s">
        <v>2982</v>
      </c>
      <c r="AP1388" t="s">
        <v>256</v>
      </c>
      <c r="AQ1388" t="s">
        <v>1731</v>
      </c>
      <c r="AR1388" t="s">
        <v>1732</v>
      </c>
      <c r="AS1388" t="s">
        <v>1733</v>
      </c>
      <c r="AT1388" t="s">
        <v>1734</v>
      </c>
      <c r="AU1388" t="s">
        <v>1735</v>
      </c>
      <c r="AV1388" t="s">
        <v>1736</v>
      </c>
      <c r="AW1388" t="s">
        <v>479</v>
      </c>
      <c r="AX1388" s="4" t="str">
        <f>"24521"</f>
        <v>24521</v>
      </c>
      <c r="AY1388" t="s">
        <v>120</v>
      </c>
      <c r="BA1388" s="5">
        <v>14349460035</v>
      </c>
      <c r="BB1388">
        <v>11</v>
      </c>
      <c r="BC1388" t="s">
        <v>1737</v>
      </c>
      <c r="BD1388" t="s">
        <v>1738</v>
      </c>
      <c r="BG1388" t="s">
        <v>119</v>
      </c>
      <c r="BH1388" s="1">
        <v>44881.791666666664</v>
      </c>
      <c r="BI1388">
        <v>40</v>
      </c>
      <c r="BJ1388">
        <v>0</v>
      </c>
      <c r="BK1388">
        <v>8</v>
      </c>
      <c r="BL1388">
        <v>8</v>
      </c>
      <c r="BM1388">
        <v>8</v>
      </c>
      <c r="BN1388">
        <v>8</v>
      </c>
      <c r="BO1388">
        <v>8</v>
      </c>
      <c r="BP1388">
        <v>0</v>
      </c>
      <c r="BQ1388" t="str">
        <f>"6:30 AM"</f>
        <v>6:30 AM</v>
      </c>
      <c r="BR1388" t="str">
        <f>"4:00 PM"</f>
        <v>4:00 PM</v>
      </c>
      <c r="BS1388" t="s">
        <v>133</v>
      </c>
      <c r="BT1388">
        <v>0</v>
      </c>
      <c r="BU1388">
        <v>0</v>
      </c>
      <c r="BV1388" t="s">
        <v>134</v>
      </c>
      <c r="BX1388" s="2" t="s">
        <v>16783</v>
      </c>
      <c r="BY1388" t="s">
        <v>2981</v>
      </c>
      <c r="CA1388" t="s">
        <v>2567</v>
      </c>
      <c r="CB1388" t="s">
        <v>119</v>
      </c>
      <c r="CC1388" s="4" t="str">
        <f>"27603"</f>
        <v>27603</v>
      </c>
      <c r="CD1388" t="s">
        <v>2391</v>
      </c>
      <c r="CE1388" t="s">
        <v>2392</v>
      </c>
      <c r="CF1388" s="6">
        <v>16.420000000000002</v>
      </c>
      <c r="CG1388" s="6">
        <v>16.420000000000002</v>
      </c>
      <c r="CH1388" s="6">
        <v>24.68</v>
      </c>
      <c r="CI1388" s="6">
        <v>24.68</v>
      </c>
      <c r="CJ1388" t="s">
        <v>137</v>
      </c>
      <c r="CK1388" t="s">
        <v>6406</v>
      </c>
      <c r="CL1388" t="s">
        <v>9988</v>
      </c>
      <c r="CO1388" t="s">
        <v>138</v>
      </c>
      <c r="CP1388" t="s">
        <v>114</v>
      </c>
      <c r="CQ1388" t="s">
        <v>114</v>
      </c>
      <c r="CR1388" t="s">
        <v>114</v>
      </c>
      <c r="CS1388" t="s">
        <v>114</v>
      </c>
      <c r="CT1388" t="s">
        <v>114</v>
      </c>
      <c r="CU1388" t="s">
        <v>134</v>
      </c>
      <c r="CV1388" t="s">
        <v>16784</v>
      </c>
      <c r="CW1388" s="5" t="str">
        <f>"+19196621009"</f>
        <v>+19196621009</v>
      </c>
      <c r="CX1388" t="s">
        <v>138</v>
      </c>
      <c r="CY1388" t="s">
        <v>1740</v>
      </c>
      <c r="CZ1388" t="s">
        <v>139</v>
      </c>
      <c r="DA1388" t="s">
        <v>134</v>
      </c>
      <c r="DB1388" t="s">
        <v>114</v>
      </c>
      <c r="DC1388" t="s">
        <v>114</v>
      </c>
      <c r="DD1388" t="s">
        <v>134</v>
      </c>
    </row>
    <row r="1389" spans="1:113" ht="15" customHeight="1" x14ac:dyDescent="0.25">
      <c r="A1389" t="s">
        <v>11033</v>
      </c>
      <c r="B1389" t="s">
        <v>141</v>
      </c>
      <c r="C1389" s="1">
        <v>44910.553167708335</v>
      </c>
      <c r="D1389" s="1">
        <v>44910</v>
      </c>
      <c r="E1389" t="s">
        <v>134</v>
      </c>
      <c r="F1389" t="s">
        <v>6019</v>
      </c>
      <c r="G1389" t="str">
        <f>"47-2061.00"</f>
        <v>47-2061.00</v>
      </c>
      <c r="H1389" t="s">
        <v>1625</v>
      </c>
      <c r="I1389">
        <v>5</v>
      </c>
      <c r="K1389" s="1">
        <v>44995</v>
      </c>
      <c r="L1389" s="1">
        <v>45170</v>
      </c>
      <c r="O1389" t="s">
        <v>199</v>
      </c>
      <c r="P1389" t="s">
        <v>6020</v>
      </c>
      <c r="Q1389" t="s">
        <v>6021</v>
      </c>
      <c r="R1389" t="s">
        <v>6022</v>
      </c>
      <c r="T1389" t="s">
        <v>291</v>
      </c>
      <c r="U1389" t="s">
        <v>479</v>
      </c>
      <c r="V1389" s="4" t="str">
        <f>"22151"</f>
        <v>22151</v>
      </c>
      <c r="W1389" t="s">
        <v>120</v>
      </c>
      <c r="Y1389" s="5">
        <v>17039395062</v>
      </c>
      <c r="AA1389">
        <v>561790</v>
      </c>
      <c r="AB1389" t="s">
        <v>6023</v>
      </c>
      <c r="AC1389" t="s">
        <v>2454</v>
      </c>
      <c r="AE1389" t="s">
        <v>342</v>
      </c>
      <c r="AF1389" t="s">
        <v>6022</v>
      </c>
      <c r="AH1389" t="s">
        <v>291</v>
      </c>
      <c r="AI1389" t="s">
        <v>479</v>
      </c>
      <c r="AJ1389" s="4" t="str">
        <f>"22151"</f>
        <v>22151</v>
      </c>
      <c r="AK1389" t="s">
        <v>120</v>
      </c>
      <c r="AM1389" s="5">
        <v>17037746971</v>
      </c>
      <c r="AO1389" t="s">
        <v>6024</v>
      </c>
      <c r="AX1389" s="4" t="str">
        <f>""</f>
        <v/>
      </c>
      <c r="BG1389" t="s">
        <v>479</v>
      </c>
      <c r="BH1389" s="1">
        <v>44907.791666666664</v>
      </c>
      <c r="BI1389">
        <v>40</v>
      </c>
      <c r="BJ1389">
        <v>0</v>
      </c>
      <c r="BK1389">
        <v>8</v>
      </c>
      <c r="BL1389">
        <v>8</v>
      </c>
      <c r="BM1389">
        <v>8</v>
      </c>
      <c r="BN1389">
        <v>8</v>
      </c>
      <c r="BO1389">
        <v>8</v>
      </c>
      <c r="BP1389">
        <v>0</v>
      </c>
      <c r="BQ1389" t="str">
        <f>"7:00 AM"</f>
        <v>7:00 AM</v>
      </c>
      <c r="BR1389" t="str">
        <f>"3:00 PM"</f>
        <v>3:00 PM</v>
      </c>
      <c r="BS1389" t="s">
        <v>133</v>
      </c>
      <c r="BT1389">
        <v>0</v>
      </c>
      <c r="BU1389">
        <v>0</v>
      </c>
      <c r="BV1389" t="s">
        <v>134</v>
      </c>
      <c r="BX1389" s="2" t="s">
        <v>6025</v>
      </c>
      <c r="BY1389" t="s">
        <v>6022</v>
      </c>
      <c r="CA1389" t="s">
        <v>291</v>
      </c>
      <c r="CB1389" t="s">
        <v>479</v>
      </c>
      <c r="CC1389" s="4" t="str">
        <f>"22151"</f>
        <v>22151</v>
      </c>
      <c r="CD1389" t="s">
        <v>2631</v>
      </c>
      <c r="CE1389" t="s">
        <v>355</v>
      </c>
      <c r="CF1389" s="6">
        <v>20.02</v>
      </c>
      <c r="CH1389" s="6">
        <v>30.03</v>
      </c>
      <c r="CJ1389" t="s">
        <v>137</v>
      </c>
      <c r="CL1389" t="s">
        <v>6026</v>
      </c>
      <c r="CO1389" t="s">
        <v>138</v>
      </c>
      <c r="CP1389" t="s">
        <v>114</v>
      </c>
      <c r="CQ1389" t="s">
        <v>114</v>
      </c>
      <c r="CR1389" t="s">
        <v>114</v>
      </c>
      <c r="CS1389" t="s">
        <v>114</v>
      </c>
      <c r="CT1389" t="s">
        <v>114</v>
      </c>
      <c r="CU1389" t="s">
        <v>114</v>
      </c>
      <c r="CV1389" s="2" t="s">
        <v>11034</v>
      </c>
      <c r="CW1389" s="5" t="str">
        <f>"+17037746971"</f>
        <v>+17037746971</v>
      </c>
      <c r="CX1389" t="s">
        <v>6024</v>
      </c>
      <c r="CY1389" t="s">
        <v>138</v>
      </c>
      <c r="CZ1389" t="s">
        <v>139</v>
      </c>
      <c r="DA1389" t="s">
        <v>134</v>
      </c>
      <c r="DB1389" t="s">
        <v>134</v>
      </c>
      <c r="DC1389" t="s">
        <v>114</v>
      </c>
      <c r="DD1389" t="s">
        <v>134</v>
      </c>
    </row>
    <row r="1390" spans="1:113" ht="15" customHeight="1" x14ac:dyDescent="0.25">
      <c r="A1390" t="s">
        <v>3054</v>
      </c>
      <c r="B1390" t="s">
        <v>141</v>
      </c>
      <c r="C1390" s="1">
        <v>44898.457010185186</v>
      </c>
      <c r="D1390" s="1">
        <v>44910</v>
      </c>
      <c r="E1390" t="s">
        <v>134</v>
      </c>
      <c r="F1390" t="s">
        <v>334</v>
      </c>
      <c r="G1390" t="str">
        <f>"37-3011.00"</f>
        <v>37-3011.00</v>
      </c>
      <c r="H1390" t="s">
        <v>335</v>
      </c>
      <c r="I1390">
        <v>18</v>
      </c>
      <c r="K1390" s="1">
        <v>44988</v>
      </c>
      <c r="L1390" s="1">
        <v>45261</v>
      </c>
      <c r="O1390" t="s">
        <v>117</v>
      </c>
      <c r="P1390" t="s">
        <v>3055</v>
      </c>
      <c r="R1390" t="s">
        <v>3056</v>
      </c>
      <c r="T1390" t="s">
        <v>291</v>
      </c>
      <c r="U1390" t="s">
        <v>697</v>
      </c>
      <c r="V1390" s="4" t="str">
        <f>"65802"</f>
        <v>65802</v>
      </c>
      <c r="W1390" t="s">
        <v>120</v>
      </c>
      <c r="Y1390" s="5">
        <v>14177512348</v>
      </c>
      <c r="AA1390">
        <v>56173</v>
      </c>
      <c r="AB1390" t="s">
        <v>3057</v>
      </c>
      <c r="AC1390" t="s">
        <v>2274</v>
      </c>
      <c r="AE1390" t="s">
        <v>1855</v>
      </c>
      <c r="AF1390" t="s">
        <v>3056</v>
      </c>
      <c r="AH1390" t="s">
        <v>291</v>
      </c>
      <c r="AI1390" t="s">
        <v>697</v>
      </c>
      <c r="AJ1390" s="4" t="str">
        <f>"65802"</f>
        <v>65802</v>
      </c>
      <c r="AK1390" t="s">
        <v>120</v>
      </c>
      <c r="AM1390" s="5">
        <v>14177512348</v>
      </c>
      <c r="AO1390" t="s">
        <v>3058</v>
      </c>
      <c r="AP1390" t="s">
        <v>256</v>
      </c>
      <c r="AQ1390" t="s">
        <v>1439</v>
      </c>
      <c r="AR1390" t="s">
        <v>1440</v>
      </c>
      <c r="AT1390" t="s">
        <v>1422</v>
      </c>
      <c r="AU1390" t="s">
        <v>347</v>
      </c>
      <c r="AV1390" t="s">
        <v>1441</v>
      </c>
      <c r="AW1390" t="s">
        <v>349</v>
      </c>
      <c r="AX1390" s="4" t="str">
        <f>"83814"</f>
        <v>83814</v>
      </c>
      <c r="AY1390" t="s">
        <v>120</v>
      </c>
      <c r="BA1390" s="5">
        <v>12087772654</v>
      </c>
      <c r="BC1390" t="s">
        <v>1442</v>
      </c>
      <c r="BD1390" t="s">
        <v>351</v>
      </c>
      <c r="BG1390" t="s">
        <v>697</v>
      </c>
      <c r="BH1390" s="1">
        <v>44895.791666666664</v>
      </c>
      <c r="BI1390">
        <v>40</v>
      </c>
      <c r="BJ1390">
        <v>0</v>
      </c>
      <c r="BK1390">
        <v>8</v>
      </c>
      <c r="BL1390">
        <v>8</v>
      </c>
      <c r="BM1390">
        <v>8</v>
      </c>
      <c r="BN1390">
        <v>8</v>
      </c>
      <c r="BO1390">
        <v>8</v>
      </c>
      <c r="BP1390">
        <v>0</v>
      </c>
      <c r="BQ1390" t="str">
        <f>"7:00 AM"</f>
        <v>7:00 AM</v>
      </c>
      <c r="BR1390" t="str">
        <f>"5:00 PM"</f>
        <v>5:00 PM</v>
      </c>
      <c r="BS1390" t="s">
        <v>133</v>
      </c>
      <c r="BT1390">
        <v>0</v>
      </c>
      <c r="BU1390">
        <v>0</v>
      </c>
      <c r="BV1390" t="s">
        <v>134</v>
      </c>
      <c r="BX1390" s="2" t="s">
        <v>3059</v>
      </c>
      <c r="BY1390" t="s">
        <v>3060</v>
      </c>
      <c r="CA1390" t="s">
        <v>291</v>
      </c>
      <c r="CB1390" t="s">
        <v>697</v>
      </c>
      <c r="CC1390" s="4" t="str">
        <f>"65802"</f>
        <v>65802</v>
      </c>
      <c r="CD1390" t="s">
        <v>1363</v>
      </c>
      <c r="CE1390" t="s">
        <v>1364</v>
      </c>
      <c r="CF1390" s="6">
        <v>14.84</v>
      </c>
      <c r="CG1390" s="6">
        <v>16</v>
      </c>
      <c r="CH1390" s="6">
        <v>22.26</v>
      </c>
      <c r="CI1390" s="6">
        <v>24</v>
      </c>
      <c r="CJ1390" t="s">
        <v>137</v>
      </c>
      <c r="CK1390" t="s">
        <v>356</v>
      </c>
      <c r="CL1390" t="s">
        <v>3061</v>
      </c>
      <c r="CO1390" t="s">
        <v>138</v>
      </c>
      <c r="CP1390" t="s">
        <v>114</v>
      </c>
      <c r="CQ1390" t="s">
        <v>114</v>
      </c>
      <c r="CR1390" t="s">
        <v>114</v>
      </c>
      <c r="CS1390" t="s">
        <v>114</v>
      </c>
      <c r="CT1390" t="s">
        <v>114</v>
      </c>
      <c r="CU1390" t="s">
        <v>114</v>
      </c>
      <c r="CV1390" t="s">
        <v>3062</v>
      </c>
      <c r="CW1390" s="5" t="str">
        <f>"+14178729414"</f>
        <v>+14178729414</v>
      </c>
      <c r="CX1390" t="s">
        <v>3063</v>
      </c>
      <c r="CY1390" t="s">
        <v>138</v>
      </c>
      <c r="CZ1390" t="s">
        <v>139</v>
      </c>
      <c r="DA1390" t="s">
        <v>134</v>
      </c>
      <c r="DB1390" t="s">
        <v>114</v>
      </c>
      <c r="DC1390" t="s">
        <v>114</v>
      </c>
      <c r="DD1390" t="s">
        <v>134</v>
      </c>
    </row>
    <row r="1391" spans="1:113" ht="15" customHeight="1" x14ac:dyDescent="0.25">
      <c r="A1391" t="s">
        <v>14223</v>
      </c>
      <c r="B1391" t="s">
        <v>141</v>
      </c>
      <c r="C1391" s="1">
        <v>44896.408296990739</v>
      </c>
      <c r="D1391" s="1">
        <v>44910</v>
      </c>
      <c r="E1391" t="s">
        <v>134</v>
      </c>
      <c r="F1391" t="s">
        <v>115</v>
      </c>
      <c r="G1391" t="str">
        <f>"37-2012.00"</f>
        <v>37-2012.00</v>
      </c>
      <c r="H1391" t="s">
        <v>116</v>
      </c>
      <c r="I1391">
        <v>20</v>
      </c>
      <c r="K1391" s="1">
        <v>44986</v>
      </c>
      <c r="L1391" s="1">
        <v>45260</v>
      </c>
      <c r="O1391" t="s">
        <v>117</v>
      </c>
      <c r="P1391" t="s">
        <v>3438</v>
      </c>
      <c r="R1391" t="s">
        <v>3439</v>
      </c>
      <c r="T1391" t="s">
        <v>3440</v>
      </c>
      <c r="U1391" t="s">
        <v>232</v>
      </c>
      <c r="V1391" s="4" t="str">
        <f>"78620"</f>
        <v>78620</v>
      </c>
      <c r="W1391" t="s">
        <v>120</v>
      </c>
      <c r="Y1391" s="5">
        <v>15124781888</v>
      </c>
      <c r="AA1391">
        <v>561720</v>
      </c>
      <c r="AB1391" t="s">
        <v>3441</v>
      </c>
      <c r="AC1391" t="s">
        <v>2645</v>
      </c>
      <c r="AD1391" t="s">
        <v>177</v>
      </c>
      <c r="AE1391" t="s">
        <v>1831</v>
      </c>
      <c r="AF1391" t="s">
        <v>3439</v>
      </c>
      <c r="AH1391" t="s">
        <v>3442</v>
      </c>
      <c r="AI1391" t="s">
        <v>232</v>
      </c>
      <c r="AJ1391" s="4" t="str">
        <f>"78620"</f>
        <v>78620</v>
      </c>
      <c r="AK1391" t="s">
        <v>120</v>
      </c>
      <c r="AM1391" s="5">
        <v>15124781888</v>
      </c>
      <c r="AO1391" t="s">
        <v>3443</v>
      </c>
      <c r="AP1391" t="s">
        <v>256</v>
      </c>
      <c r="AQ1391" t="s">
        <v>400</v>
      </c>
      <c r="AR1391" t="s">
        <v>401</v>
      </c>
      <c r="AS1391" t="s">
        <v>397</v>
      </c>
      <c r="AT1391" t="s">
        <v>402</v>
      </c>
      <c r="AU1391" t="s">
        <v>152</v>
      </c>
      <c r="AV1391" t="s">
        <v>403</v>
      </c>
      <c r="AW1391" t="s">
        <v>232</v>
      </c>
      <c r="AX1391" s="4" t="str">
        <f>"75033"</f>
        <v>75033</v>
      </c>
      <c r="AY1391" t="s">
        <v>120</v>
      </c>
      <c r="BA1391" s="5">
        <v>19727789690</v>
      </c>
      <c r="BC1391" t="s">
        <v>3444</v>
      </c>
      <c r="BD1391" t="s">
        <v>405</v>
      </c>
      <c r="BG1391" t="s">
        <v>394</v>
      </c>
      <c r="BH1391" s="1">
        <v>44895.791666666664</v>
      </c>
      <c r="BI1391">
        <v>40</v>
      </c>
      <c r="BJ1391">
        <v>8</v>
      </c>
      <c r="BK1391">
        <v>0</v>
      </c>
      <c r="BL1391">
        <v>0</v>
      </c>
      <c r="BM1391">
        <v>8</v>
      </c>
      <c r="BN1391">
        <v>8</v>
      </c>
      <c r="BO1391">
        <v>8</v>
      </c>
      <c r="BP1391">
        <v>8</v>
      </c>
      <c r="BQ1391" t="str">
        <f>"9:00 AM"</f>
        <v>9:00 AM</v>
      </c>
      <c r="BR1391" t="str">
        <f>"5:30 PM"</f>
        <v>5:30 PM</v>
      </c>
      <c r="BS1391" t="s">
        <v>133</v>
      </c>
      <c r="BT1391">
        <v>0</v>
      </c>
      <c r="BU1391">
        <v>0</v>
      </c>
      <c r="BV1391" t="s">
        <v>134</v>
      </c>
      <c r="BX1391" s="2" t="s">
        <v>14224</v>
      </c>
      <c r="BY1391" t="s">
        <v>14225</v>
      </c>
      <c r="CA1391" t="s">
        <v>2577</v>
      </c>
      <c r="CB1391" t="s">
        <v>394</v>
      </c>
      <c r="CC1391" s="4" t="str">
        <f>"29577"</f>
        <v>29577</v>
      </c>
      <c r="CD1391" t="s">
        <v>2580</v>
      </c>
      <c r="CE1391" t="s">
        <v>2141</v>
      </c>
      <c r="CF1391" s="6">
        <v>12</v>
      </c>
      <c r="CH1391" s="6">
        <v>18</v>
      </c>
      <c r="CJ1391" t="s">
        <v>137</v>
      </c>
      <c r="CK1391" t="s">
        <v>1273</v>
      </c>
      <c r="CL1391" t="s">
        <v>14226</v>
      </c>
      <c r="CO1391" t="s">
        <v>138</v>
      </c>
      <c r="CP1391" t="s">
        <v>114</v>
      </c>
      <c r="CQ1391" t="s">
        <v>114</v>
      </c>
      <c r="CR1391" t="s">
        <v>114</v>
      </c>
      <c r="CS1391" t="s">
        <v>114</v>
      </c>
      <c r="CT1391" t="s">
        <v>114</v>
      </c>
      <c r="CU1391" t="s">
        <v>114</v>
      </c>
      <c r="CV1391" s="2" t="s">
        <v>14227</v>
      </c>
      <c r="CW1391" s="5" t="str">
        <f>"+15124781888"</f>
        <v>+15124781888</v>
      </c>
      <c r="CX1391" t="s">
        <v>138</v>
      </c>
      <c r="CY1391" t="s">
        <v>5779</v>
      </c>
      <c r="CZ1391" t="s">
        <v>139</v>
      </c>
      <c r="DA1391" t="s">
        <v>134</v>
      </c>
      <c r="DB1391" t="s">
        <v>134</v>
      </c>
      <c r="DC1391" t="s">
        <v>114</v>
      </c>
      <c r="DD1391" t="s">
        <v>134</v>
      </c>
    </row>
    <row r="1392" spans="1:113" ht="15" customHeight="1" x14ac:dyDescent="0.25">
      <c r="A1392" t="s">
        <v>15015</v>
      </c>
      <c r="B1392" t="s">
        <v>141</v>
      </c>
      <c r="C1392" s="1">
        <v>44896.400880092595</v>
      </c>
      <c r="D1392" s="1">
        <v>44910</v>
      </c>
      <c r="E1392" t="s">
        <v>134</v>
      </c>
      <c r="F1392" t="s">
        <v>115</v>
      </c>
      <c r="G1392" t="str">
        <f>"37-2012.00"</f>
        <v>37-2012.00</v>
      </c>
      <c r="H1392" t="s">
        <v>116</v>
      </c>
      <c r="I1392">
        <v>10</v>
      </c>
      <c r="K1392" s="1">
        <v>44986</v>
      </c>
      <c r="L1392" s="1">
        <v>45291</v>
      </c>
      <c r="O1392" t="s">
        <v>117</v>
      </c>
      <c r="P1392" t="s">
        <v>3438</v>
      </c>
      <c r="R1392" t="s">
        <v>3439</v>
      </c>
      <c r="T1392" t="s">
        <v>3440</v>
      </c>
      <c r="U1392" t="s">
        <v>232</v>
      </c>
      <c r="V1392" s="4" t="str">
        <f>"78620"</f>
        <v>78620</v>
      </c>
      <c r="W1392" t="s">
        <v>120</v>
      </c>
      <c r="Y1392" s="5">
        <v>15124781888</v>
      </c>
      <c r="AA1392">
        <v>561720</v>
      </c>
      <c r="AB1392" t="s">
        <v>3441</v>
      </c>
      <c r="AC1392" t="s">
        <v>2645</v>
      </c>
      <c r="AD1392" t="s">
        <v>177</v>
      </c>
      <c r="AE1392" t="s">
        <v>1831</v>
      </c>
      <c r="AF1392" t="s">
        <v>3439</v>
      </c>
      <c r="AH1392" t="s">
        <v>3440</v>
      </c>
      <c r="AI1392" t="s">
        <v>232</v>
      </c>
      <c r="AJ1392" s="4" t="str">
        <f>"78620"</f>
        <v>78620</v>
      </c>
      <c r="AK1392" t="s">
        <v>120</v>
      </c>
      <c r="AM1392" s="5">
        <v>15124781888</v>
      </c>
      <c r="AO1392" t="s">
        <v>3443</v>
      </c>
      <c r="AP1392" t="s">
        <v>256</v>
      </c>
      <c r="AQ1392" t="s">
        <v>400</v>
      </c>
      <c r="AR1392" t="s">
        <v>401</v>
      </c>
      <c r="AS1392" t="s">
        <v>397</v>
      </c>
      <c r="AT1392" t="s">
        <v>402</v>
      </c>
      <c r="AU1392" t="s">
        <v>152</v>
      </c>
      <c r="AV1392" t="s">
        <v>403</v>
      </c>
      <c r="AW1392" t="s">
        <v>232</v>
      </c>
      <c r="AX1392" s="4" t="str">
        <f>"75033"</f>
        <v>75033</v>
      </c>
      <c r="AY1392" t="s">
        <v>120</v>
      </c>
      <c r="BA1392" s="5">
        <v>19727789690</v>
      </c>
      <c r="BC1392" t="s">
        <v>3444</v>
      </c>
      <c r="BD1392" t="s">
        <v>405</v>
      </c>
      <c r="BG1392" t="s">
        <v>154</v>
      </c>
      <c r="BH1392" s="1">
        <v>44895.791666666664</v>
      </c>
      <c r="BI1392">
        <v>40</v>
      </c>
      <c r="BJ1392">
        <v>8</v>
      </c>
      <c r="BK1392">
        <v>0</v>
      </c>
      <c r="BL1392">
        <v>0</v>
      </c>
      <c r="BM1392">
        <v>8</v>
      </c>
      <c r="BN1392">
        <v>8</v>
      </c>
      <c r="BO1392">
        <v>8</v>
      </c>
      <c r="BP1392">
        <v>8</v>
      </c>
      <c r="BQ1392" t="str">
        <f>"9:00 AM"</f>
        <v>9:00 AM</v>
      </c>
      <c r="BR1392" t="str">
        <f>"5:30 PM"</f>
        <v>5:30 PM</v>
      </c>
      <c r="BS1392" t="s">
        <v>133</v>
      </c>
      <c r="BT1392">
        <v>0</v>
      </c>
      <c r="BU1392">
        <v>0</v>
      </c>
      <c r="BV1392" t="s">
        <v>134</v>
      </c>
      <c r="BX1392" s="2" t="s">
        <v>15016</v>
      </c>
      <c r="BY1392" t="s">
        <v>15017</v>
      </c>
      <c r="CA1392" t="s">
        <v>1339</v>
      </c>
      <c r="CB1392" t="s">
        <v>154</v>
      </c>
      <c r="CC1392" s="4" t="str">
        <f>"32821"</f>
        <v>32821</v>
      </c>
      <c r="CD1392" t="s">
        <v>2302</v>
      </c>
      <c r="CE1392" t="s">
        <v>3159</v>
      </c>
      <c r="CF1392" s="6">
        <v>13.5</v>
      </c>
      <c r="CH1392" s="6">
        <v>20.25</v>
      </c>
      <c r="CJ1392" t="s">
        <v>137</v>
      </c>
      <c r="CK1392" t="s">
        <v>4437</v>
      </c>
      <c r="CL1392" t="s">
        <v>15018</v>
      </c>
      <c r="CO1392" t="s">
        <v>138</v>
      </c>
      <c r="CP1392" t="s">
        <v>114</v>
      </c>
      <c r="CQ1392" t="s">
        <v>114</v>
      </c>
      <c r="CR1392" t="s">
        <v>114</v>
      </c>
      <c r="CS1392" t="s">
        <v>114</v>
      </c>
      <c r="CT1392" t="s">
        <v>114</v>
      </c>
      <c r="CU1392" t="s">
        <v>114</v>
      </c>
      <c r="CV1392" s="2" t="s">
        <v>15019</v>
      </c>
      <c r="CW1392" s="5" t="str">
        <f>"+15124781888"</f>
        <v>+15124781888</v>
      </c>
      <c r="CX1392" t="s">
        <v>138</v>
      </c>
      <c r="CY1392" t="s">
        <v>8093</v>
      </c>
      <c r="CZ1392" t="s">
        <v>139</v>
      </c>
      <c r="DA1392" t="s">
        <v>134</v>
      </c>
      <c r="DB1392" t="s">
        <v>134</v>
      </c>
      <c r="DC1392" t="s">
        <v>114</v>
      </c>
      <c r="DD1392" t="s">
        <v>134</v>
      </c>
    </row>
    <row r="1393" spans="1:113" ht="15" customHeight="1" x14ac:dyDescent="0.25">
      <c r="A1393" t="s">
        <v>12844</v>
      </c>
      <c r="B1393" t="s">
        <v>141</v>
      </c>
      <c r="C1393" s="1">
        <v>44893.701540046299</v>
      </c>
      <c r="D1393" s="1">
        <v>44910</v>
      </c>
      <c r="E1393" t="s">
        <v>134</v>
      </c>
      <c r="F1393" t="s">
        <v>12845</v>
      </c>
      <c r="G1393" t="str">
        <f>"53-2011.00"</f>
        <v>53-2011.00</v>
      </c>
      <c r="H1393" t="s">
        <v>12846</v>
      </c>
      <c r="I1393">
        <v>1</v>
      </c>
      <c r="K1393" s="1">
        <v>44977</v>
      </c>
      <c r="L1393" s="1">
        <v>45261</v>
      </c>
      <c r="O1393" t="s">
        <v>199</v>
      </c>
      <c r="P1393" t="s">
        <v>12847</v>
      </c>
      <c r="Q1393" t="s">
        <v>1897</v>
      </c>
      <c r="R1393" t="s">
        <v>12848</v>
      </c>
      <c r="S1393" t="s">
        <v>12849</v>
      </c>
      <c r="T1393" t="s">
        <v>12850</v>
      </c>
      <c r="U1393" t="s">
        <v>154</v>
      </c>
      <c r="V1393" s="4" t="str">
        <f>"33309"</f>
        <v>33309</v>
      </c>
      <c r="W1393" t="s">
        <v>120</v>
      </c>
      <c r="Y1393" s="5">
        <v>19547720778</v>
      </c>
      <c r="AA1393">
        <v>481211</v>
      </c>
      <c r="AB1393" t="s">
        <v>12851</v>
      </c>
      <c r="AC1393" t="s">
        <v>8156</v>
      </c>
      <c r="AE1393" t="s">
        <v>12852</v>
      </c>
      <c r="AF1393" t="s">
        <v>12853</v>
      </c>
      <c r="AG1393" t="s">
        <v>12849</v>
      </c>
      <c r="AH1393" t="s">
        <v>12850</v>
      </c>
      <c r="AI1393" t="s">
        <v>154</v>
      </c>
      <c r="AJ1393" s="4" t="str">
        <f>"33309"</f>
        <v>33309</v>
      </c>
      <c r="AK1393" t="s">
        <v>120</v>
      </c>
      <c r="AM1393" s="5">
        <v>19547720778</v>
      </c>
      <c r="AO1393" t="s">
        <v>12854</v>
      </c>
      <c r="AP1393" t="s">
        <v>122</v>
      </c>
      <c r="AQ1393" t="s">
        <v>7247</v>
      </c>
      <c r="AR1393" t="s">
        <v>12855</v>
      </c>
      <c r="AS1393" t="s">
        <v>146</v>
      </c>
      <c r="AT1393" t="s">
        <v>12856</v>
      </c>
      <c r="AU1393" t="s">
        <v>12857</v>
      </c>
      <c r="AV1393" t="s">
        <v>8460</v>
      </c>
      <c r="AW1393" t="s">
        <v>154</v>
      </c>
      <c r="AX1393" s="4" t="str">
        <f>"33139"</f>
        <v>33139</v>
      </c>
      <c r="AY1393" t="s">
        <v>120</v>
      </c>
      <c r="BA1393" s="5">
        <v>13059158167</v>
      </c>
      <c r="BB1393">
        <v>1</v>
      </c>
      <c r="BC1393" t="s">
        <v>12858</v>
      </c>
      <c r="BD1393" t="s">
        <v>12859</v>
      </c>
      <c r="BE1393" t="s">
        <v>154</v>
      </c>
      <c r="BF1393" t="s">
        <v>12860</v>
      </c>
      <c r="BG1393" t="s">
        <v>154</v>
      </c>
      <c r="BH1393" s="1">
        <v>44892.791666666664</v>
      </c>
      <c r="BI1393">
        <v>40</v>
      </c>
      <c r="BJ1393">
        <v>0</v>
      </c>
      <c r="BK1393">
        <v>8</v>
      </c>
      <c r="BL1393">
        <v>8</v>
      </c>
      <c r="BM1393">
        <v>8</v>
      </c>
      <c r="BN1393">
        <v>8</v>
      </c>
      <c r="BO1393">
        <v>8</v>
      </c>
      <c r="BP1393">
        <v>0</v>
      </c>
      <c r="BQ1393" t="str">
        <f>"9:00 AM"</f>
        <v>9:00 AM</v>
      </c>
      <c r="BR1393" t="str">
        <f>"5:00 PM"</f>
        <v>5:00 PM</v>
      </c>
      <c r="BS1393" t="s">
        <v>967</v>
      </c>
      <c r="BT1393">
        <v>1</v>
      </c>
      <c r="BU1393">
        <v>1</v>
      </c>
      <c r="BV1393" t="s">
        <v>134</v>
      </c>
      <c r="BX1393" s="2" t="s">
        <v>12861</v>
      </c>
      <c r="BY1393" t="s">
        <v>12862</v>
      </c>
      <c r="BZ1393" t="s">
        <v>12849</v>
      </c>
      <c r="CA1393" t="s">
        <v>12850</v>
      </c>
      <c r="CB1393" t="s">
        <v>154</v>
      </c>
      <c r="CC1393" s="4" t="str">
        <f>"33309"</f>
        <v>33309</v>
      </c>
      <c r="CD1393" t="s">
        <v>2313</v>
      </c>
      <c r="CE1393" t="s">
        <v>1742</v>
      </c>
      <c r="CF1393" s="6">
        <v>116.61</v>
      </c>
      <c r="CG1393" s="6">
        <v>116.61</v>
      </c>
      <c r="CJ1393" t="s">
        <v>137</v>
      </c>
      <c r="CL1393" t="s">
        <v>12863</v>
      </c>
      <c r="CO1393" t="s">
        <v>138</v>
      </c>
      <c r="CP1393" t="s">
        <v>134</v>
      </c>
      <c r="CQ1393" t="s">
        <v>134</v>
      </c>
      <c r="CR1393" t="s">
        <v>134</v>
      </c>
      <c r="CS1393" t="s">
        <v>114</v>
      </c>
      <c r="CT1393" t="s">
        <v>114</v>
      </c>
      <c r="CU1393" t="s">
        <v>134</v>
      </c>
      <c r="CV1393" t="s">
        <v>12864</v>
      </c>
      <c r="CW1393" s="5" t="str">
        <f>"+19547720778"</f>
        <v>+19547720778</v>
      </c>
      <c r="CX1393" t="s">
        <v>12865</v>
      </c>
      <c r="CY1393" t="s">
        <v>138</v>
      </c>
      <c r="CZ1393" t="s">
        <v>139</v>
      </c>
      <c r="DA1393" t="s">
        <v>134</v>
      </c>
      <c r="DB1393" t="s">
        <v>134</v>
      </c>
      <c r="DC1393" t="s">
        <v>114</v>
      </c>
      <c r="DD1393" t="s">
        <v>134</v>
      </c>
      <c r="DE1393" t="s">
        <v>7247</v>
      </c>
      <c r="DF1393" t="s">
        <v>12855</v>
      </c>
      <c r="DG1393" t="s">
        <v>2795</v>
      </c>
      <c r="DH1393" t="s">
        <v>12866</v>
      </c>
      <c r="DI1393" t="s">
        <v>12867</v>
      </c>
    </row>
    <row r="1394" spans="1:113" ht="15" customHeight="1" x14ac:dyDescent="0.25">
      <c r="A1394" t="s">
        <v>7286</v>
      </c>
      <c r="B1394" t="s">
        <v>141</v>
      </c>
      <c r="C1394" s="1">
        <v>44897.625160532407</v>
      </c>
      <c r="D1394" s="1">
        <v>44909</v>
      </c>
      <c r="E1394" t="s">
        <v>134</v>
      </c>
      <c r="F1394" t="s">
        <v>334</v>
      </c>
      <c r="G1394" t="str">
        <f>"37-3011.00"</f>
        <v>37-3011.00</v>
      </c>
      <c r="H1394" t="s">
        <v>335</v>
      </c>
      <c r="I1394">
        <v>60</v>
      </c>
      <c r="K1394" s="1">
        <v>44987</v>
      </c>
      <c r="L1394" s="1">
        <v>45260</v>
      </c>
      <c r="O1394" t="s">
        <v>199</v>
      </c>
      <c r="P1394" t="s">
        <v>5662</v>
      </c>
      <c r="R1394" t="s">
        <v>5663</v>
      </c>
      <c r="T1394" t="s">
        <v>1856</v>
      </c>
      <c r="U1394" t="s">
        <v>1003</v>
      </c>
      <c r="V1394" s="4" t="str">
        <f>"08527"</f>
        <v>08527</v>
      </c>
      <c r="W1394" t="s">
        <v>120</v>
      </c>
      <c r="Y1394" s="5">
        <v>17328337702</v>
      </c>
      <c r="AA1394">
        <v>56173</v>
      </c>
      <c r="AB1394" t="s">
        <v>5664</v>
      </c>
      <c r="AC1394" t="s">
        <v>2484</v>
      </c>
      <c r="AD1394" t="s">
        <v>138</v>
      </c>
      <c r="AE1394" t="s">
        <v>5665</v>
      </c>
      <c r="AF1394" t="s">
        <v>5663</v>
      </c>
      <c r="AH1394" t="s">
        <v>1856</v>
      </c>
      <c r="AI1394" t="s">
        <v>1003</v>
      </c>
      <c r="AJ1394" s="4" t="str">
        <f>"08527"</f>
        <v>08527</v>
      </c>
      <c r="AK1394" t="s">
        <v>120</v>
      </c>
      <c r="AM1394" s="5">
        <v>17328337702</v>
      </c>
      <c r="AO1394" t="s">
        <v>5666</v>
      </c>
      <c r="AP1394" t="s">
        <v>256</v>
      </c>
      <c r="AQ1394" t="s">
        <v>1698</v>
      </c>
      <c r="AR1394" t="s">
        <v>1699</v>
      </c>
      <c r="AS1394" t="s">
        <v>138</v>
      </c>
      <c r="AT1394" t="s">
        <v>1422</v>
      </c>
      <c r="AU1394" t="s">
        <v>347</v>
      </c>
      <c r="AV1394" t="s">
        <v>1441</v>
      </c>
      <c r="AW1394" t="s">
        <v>349</v>
      </c>
      <c r="AX1394" s="4" t="str">
        <f>"83814"</f>
        <v>83814</v>
      </c>
      <c r="AY1394" t="s">
        <v>120</v>
      </c>
      <c r="BA1394" s="5">
        <v>12087772654</v>
      </c>
      <c r="BC1394" t="s">
        <v>1700</v>
      </c>
      <c r="BD1394" t="s">
        <v>351</v>
      </c>
      <c r="BG1394" t="s">
        <v>1003</v>
      </c>
      <c r="BH1394" s="1">
        <v>44887.791666666664</v>
      </c>
      <c r="BI1394">
        <v>35</v>
      </c>
      <c r="BJ1394">
        <v>0</v>
      </c>
      <c r="BK1394">
        <v>7</v>
      </c>
      <c r="BL1394">
        <v>7</v>
      </c>
      <c r="BM1394">
        <v>7</v>
      </c>
      <c r="BN1394">
        <v>7</v>
      </c>
      <c r="BO1394">
        <v>7</v>
      </c>
      <c r="BP1394">
        <v>0</v>
      </c>
      <c r="BQ1394" t="str">
        <f>"8:00 AM"</f>
        <v>8:00 AM</v>
      </c>
      <c r="BR1394" t="str">
        <f>"4:00 PM"</f>
        <v>4:00 PM</v>
      </c>
      <c r="BS1394" t="s">
        <v>133</v>
      </c>
      <c r="BT1394">
        <v>0</v>
      </c>
      <c r="BU1394">
        <v>0</v>
      </c>
      <c r="BV1394" t="s">
        <v>134</v>
      </c>
      <c r="BX1394" s="2" t="s">
        <v>352</v>
      </c>
      <c r="BY1394" t="s">
        <v>5667</v>
      </c>
      <c r="CA1394" t="s">
        <v>1856</v>
      </c>
      <c r="CB1394" t="s">
        <v>1003</v>
      </c>
      <c r="CC1394" s="4" t="str">
        <f>"08527"</f>
        <v>08527</v>
      </c>
      <c r="CD1394" t="s">
        <v>2126</v>
      </c>
      <c r="CE1394" t="s">
        <v>1009</v>
      </c>
      <c r="CF1394" s="6">
        <v>19.940000000000001</v>
      </c>
      <c r="CG1394" s="6">
        <v>25</v>
      </c>
      <c r="CH1394" s="6">
        <v>29.91</v>
      </c>
      <c r="CI1394" s="6">
        <v>37.5</v>
      </c>
      <c r="CJ1394" t="s">
        <v>137</v>
      </c>
      <c r="CK1394" t="s">
        <v>356</v>
      </c>
      <c r="CL1394" t="s">
        <v>5668</v>
      </c>
      <c r="CO1394" t="s">
        <v>138</v>
      </c>
      <c r="CP1394" t="s">
        <v>114</v>
      </c>
      <c r="CQ1394" t="s">
        <v>114</v>
      </c>
      <c r="CR1394" t="s">
        <v>114</v>
      </c>
      <c r="CS1394" t="s">
        <v>114</v>
      </c>
      <c r="CT1394" t="s">
        <v>114</v>
      </c>
      <c r="CU1394" t="s">
        <v>134</v>
      </c>
      <c r="CV1394" t="s">
        <v>358</v>
      </c>
      <c r="CW1394" s="5" t="str">
        <f>"+17328337702"</f>
        <v>+17328337702</v>
      </c>
      <c r="CX1394" t="s">
        <v>7287</v>
      </c>
      <c r="CY1394" t="s">
        <v>138</v>
      </c>
      <c r="CZ1394" t="s">
        <v>139</v>
      </c>
      <c r="DA1394" t="s">
        <v>134</v>
      </c>
      <c r="DB1394" t="s">
        <v>114</v>
      </c>
      <c r="DC1394" t="s">
        <v>114</v>
      </c>
      <c r="DD1394" t="s">
        <v>134</v>
      </c>
    </row>
    <row r="1395" spans="1:113" ht="15" customHeight="1" x14ac:dyDescent="0.25">
      <c r="A1395" t="s">
        <v>8264</v>
      </c>
      <c r="B1395" t="s">
        <v>141</v>
      </c>
      <c r="C1395" s="1">
        <v>44896.054391666665</v>
      </c>
      <c r="D1395" s="1">
        <v>44909</v>
      </c>
      <c r="E1395" t="s">
        <v>134</v>
      </c>
      <c r="F1395" t="s">
        <v>334</v>
      </c>
      <c r="G1395" t="str">
        <f>"37-3011.00"</f>
        <v>37-3011.00</v>
      </c>
      <c r="H1395" t="s">
        <v>335</v>
      </c>
      <c r="I1395">
        <v>8</v>
      </c>
      <c r="K1395" s="1">
        <v>44986</v>
      </c>
      <c r="L1395" s="1">
        <v>45260</v>
      </c>
      <c r="O1395" t="s">
        <v>117</v>
      </c>
      <c r="P1395" t="s">
        <v>1257</v>
      </c>
      <c r="R1395" t="s">
        <v>1258</v>
      </c>
      <c r="T1395" t="s">
        <v>1259</v>
      </c>
      <c r="U1395" t="s">
        <v>748</v>
      </c>
      <c r="V1395" s="4" t="str">
        <f>"19341"</f>
        <v>19341</v>
      </c>
      <c r="W1395" t="s">
        <v>120</v>
      </c>
      <c r="Y1395" s="5">
        <v>16103635635</v>
      </c>
      <c r="AA1395">
        <v>56173</v>
      </c>
      <c r="AB1395" t="s">
        <v>1260</v>
      </c>
      <c r="AC1395" t="s">
        <v>1261</v>
      </c>
      <c r="AE1395" t="s">
        <v>1262</v>
      </c>
      <c r="AF1395" t="s">
        <v>1258</v>
      </c>
      <c r="AH1395" t="s">
        <v>1259</v>
      </c>
      <c r="AI1395" t="s">
        <v>748</v>
      </c>
      <c r="AJ1395" s="4" t="str">
        <f>"19341"</f>
        <v>19341</v>
      </c>
      <c r="AK1395" t="s">
        <v>120</v>
      </c>
      <c r="AM1395" s="5">
        <v>16103635635</v>
      </c>
      <c r="AO1395" t="s">
        <v>1263</v>
      </c>
      <c r="AP1395" t="s">
        <v>256</v>
      </c>
      <c r="AQ1395" t="s">
        <v>885</v>
      </c>
      <c r="AR1395" t="s">
        <v>886</v>
      </c>
      <c r="AT1395" t="s">
        <v>887</v>
      </c>
      <c r="AV1395" t="s">
        <v>888</v>
      </c>
      <c r="AW1395" t="s">
        <v>232</v>
      </c>
      <c r="AX1395" s="4" t="str">
        <f>"75098"</f>
        <v>75098</v>
      </c>
      <c r="AY1395" t="s">
        <v>120</v>
      </c>
      <c r="BA1395" s="5">
        <v>19724424244</v>
      </c>
      <c r="BC1395" t="s">
        <v>889</v>
      </c>
      <c r="BD1395" t="s">
        <v>1264</v>
      </c>
      <c r="BG1395" t="s">
        <v>748</v>
      </c>
      <c r="BH1395" s="1">
        <v>44895.791666666664</v>
      </c>
      <c r="BI1395">
        <v>40</v>
      </c>
      <c r="BJ1395">
        <v>0</v>
      </c>
      <c r="BK1395">
        <v>8</v>
      </c>
      <c r="BL1395">
        <v>8</v>
      </c>
      <c r="BM1395">
        <v>8</v>
      </c>
      <c r="BN1395">
        <v>8</v>
      </c>
      <c r="BO1395">
        <v>8</v>
      </c>
      <c r="BP1395">
        <v>0</v>
      </c>
      <c r="BQ1395" t="str">
        <f>"6:00 AM"</f>
        <v>6:00 AM</v>
      </c>
      <c r="BR1395" t="str">
        <f>"4:00 PM"</f>
        <v>4:00 PM</v>
      </c>
      <c r="BS1395" t="s">
        <v>133</v>
      </c>
      <c r="BT1395">
        <v>0</v>
      </c>
      <c r="BU1395">
        <v>0</v>
      </c>
      <c r="BV1395" t="s">
        <v>134</v>
      </c>
      <c r="BX1395" t="s">
        <v>219</v>
      </c>
      <c r="BY1395" t="s">
        <v>1258</v>
      </c>
      <c r="CA1395" t="s">
        <v>1259</v>
      </c>
      <c r="CB1395" t="s">
        <v>748</v>
      </c>
      <c r="CC1395" s="4" t="str">
        <f>"19341"</f>
        <v>19341</v>
      </c>
      <c r="CD1395" t="s">
        <v>1265</v>
      </c>
      <c r="CE1395" t="s">
        <v>1266</v>
      </c>
      <c r="CF1395" s="6">
        <v>17.82</v>
      </c>
      <c r="CG1395" s="6">
        <v>18.87</v>
      </c>
      <c r="CH1395" s="6">
        <v>26.73</v>
      </c>
      <c r="CI1395" s="6">
        <v>28.31</v>
      </c>
      <c r="CJ1395" t="s">
        <v>137</v>
      </c>
      <c r="CL1395" t="s">
        <v>1267</v>
      </c>
      <c r="CO1395" t="s">
        <v>138</v>
      </c>
      <c r="CP1395" t="s">
        <v>114</v>
      </c>
      <c r="CQ1395" t="s">
        <v>114</v>
      </c>
      <c r="CR1395" t="s">
        <v>114</v>
      </c>
      <c r="CS1395" t="s">
        <v>114</v>
      </c>
      <c r="CT1395" t="s">
        <v>114</v>
      </c>
      <c r="CU1395" t="s">
        <v>114</v>
      </c>
      <c r="CV1395" t="s">
        <v>1268</v>
      </c>
      <c r="CW1395" s="5" t="str">
        <f>"+16103635635"</f>
        <v>+16103635635</v>
      </c>
      <c r="CX1395" t="s">
        <v>138</v>
      </c>
      <c r="CY1395" t="s">
        <v>1269</v>
      </c>
      <c r="CZ1395" t="s">
        <v>139</v>
      </c>
      <c r="DA1395" t="s">
        <v>134</v>
      </c>
      <c r="DB1395" t="s">
        <v>134</v>
      </c>
      <c r="DC1395" t="s">
        <v>114</v>
      </c>
      <c r="DD1395" t="s">
        <v>134</v>
      </c>
    </row>
    <row r="1396" spans="1:113" ht="15" customHeight="1" x14ac:dyDescent="0.25">
      <c r="A1396" t="s">
        <v>9314</v>
      </c>
      <c r="B1396" t="s">
        <v>141</v>
      </c>
      <c r="C1396" s="1">
        <v>44896.029192708331</v>
      </c>
      <c r="D1396" s="1">
        <v>44909</v>
      </c>
      <c r="E1396" t="s">
        <v>134</v>
      </c>
      <c r="F1396" t="s">
        <v>1848</v>
      </c>
      <c r="G1396" t="str">
        <f>"53-7062.00"</f>
        <v>53-7062.00</v>
      </c>
      <c r="H1396" t="s">
        <v>245</v>
      </c>
      <c r="I1396">
        <v>12</v>
      </c>
      <c r="K1396" s="1">
        <v>44986</v>
      </c>
      <c r="L1396" s="1">
        <v>45275</v>
      </c>
      <c r="O1396" t="s">
        <v>199</v>
      </c>
      <c r="P1396" t="s">
        <v>9315</v>
      </c>
      <c r="R1396" t="s">
        <v>9316</v>
      </c>
      <c r="T1396" t="s">
        <v>4297</v>
      </c>
      <c r="U1396" t="s">
        <v>1593</v>
      </c>
      <c r="V1396" s="4" t="str">
        <f>"03902"</f>
        <v>03902</v>
      </c>
      <c r="W1396" t="s">
        <v>120</v>
      </c>
      <c r="Y1396" s="5">
        <v>12073518007</v>
      </c>
      <c r="AA1396">
        <v>56173</v>
      </c>
      <c r="AB1396" t="s">
        <v>9317</v>
      </c>
      <c r="AC1396" t="s">
        <v>205</v>
      </c>
      <c r="AE1396" t="s">
        <v>700</v>
      </c>
      <c r="AF1396" t="s">
        <v>9316</v>
      </c>
      <c r="AH1396" t="s">
        <v>4297</v>
      </c>
      <c r="AI1396" t="s">
        <v>1593</v>
      </c>
      <c r="AJ1396" s="4" t="str">
        <f>"03902"</f>
        <v>03902</v>
      </c>
      <c r="AK1396" t="s">
        <v>120</v>
      </c>
      <c r="AM1396" s="5">
        <v>12073518007</v>
      </c>
      <c r="AO1396" t="s">
        <v>138</v>
      </c>
      <c r="AP1396" t="s">
        <v>256</v>
      </c>
      <c r="AQ1396" t="s">
        <v>1220</v>
      </c>
      <c r="AR1396" t="s">
        <v>1221</v>
      </c>
      <c r="AT1396" t="s">
        <v>1222</v>
      </c>
      <c r="AV1396" t="s">
        <v>1223</v>
      </c>
      <c r="AW1396" t="s">
        <v>848</v>
      </c>
      <c r="AX1396" s="4" t="str">
        <f>"11590"</f>
        <v>11590</v>
      </c>
      <c r="AY1396" t="s">
        <v>120</v>
      </c>
      <c r="BA1396" s="5">
        <v>15163307168</v>
      </c>
      <c r="BC1396" t="s">
        <v>1224</v>
      </c>
      <c r="BD1396" t="s">
        <v>1225</v>
      </c>
      <c r="BG1396" t="s">
        <v>1593</v>
      </c>
      <c r="BH1396" s="1">
        <v>44876.791666666664</v>
      </c>
      <c r="BI1396">
        <v>40</v>
      </c>
      <c r="BJ1396">
        <v>0</v>
      </c>
      <c r="BK1396">
        <v>8</v>
      </c>
      <c r="BL1396">
        <v>8</v>
      </c>
      <c r="BM1396">
        <v>8</v>
      </c>
      <c r="BN1396">
        <v>8</v>
      </c>
      <c r="BO1396">
        <v>8</v>
      </c>
      <c r="BP1396">
        <v>0</v>
      </c>
      <c r="BQ1396" t="str">
        <f>"8:00 AM"</f>
        <v>8:00 AM</v>
      </c>
      <c r="BR1396" t="str">
        <f>"5:00 PM"</f>
        <v>5:00 PM</v>
      </c>
      <c r="BS1396" t="s">
        <v>133</v>
      </c>
      <c r="BT1396">
        <v>0</v>
      </c>
      <c r="BU1396">
        <v>0</v>
      </c>
      <c r="BV1396" t="s">
        <v>134</v>
      </c>
      <c r="BX1396" t="s">
        <v>133</v>
      </c>
      <c r="BY1396" t="s">
        <v>9316</v>
      </c>
      <c r="CA1396" t="s">
        <v>4297</v>
      </c>
      <c r="CB1396" t="s">
        <v>1593</v>
      </c>
      <c r="CC1396" s="4" t="str">
        <f>"03902"</f>
        <v>03902</v>
      </c>
      <c r="CD1396" t="s">
        <v>1718</v>
      </c>
      <c r="CE1396" t="s">
        <v>1719</v>
      </c>
      <c r="CF1396" s="6">
        <v>17.5</v>
      </c>
      <c r="CG1396" s="6">
        <v>22</v>
      </c>
      <c r="CH1396" s="6">
        <v>26.25</v>
      </c>
      <c r="CI1396" s="6">
        <v>33</v>
      </c>
      <c r="CJ1396" t="s">
        <v>137</v>
      </c>
      <c r="CL1396" t="s">
        <v>9318</v>
      </c>
      <c r="CO1396" t="s">
        <v>138</v>
      </c>
      <c r="CP1396" t="s">
        <v>114</v>
      </c>
      <c r="CQ1396" t="s">
        <v>114</v>
      </c>
      <c r="CR1396" t="s">
        <v>114</v>
      </c>
      <c r="CS1396" t="s">
        <v>134</v>
      </c>
      <c r="CT1396" t="s">
        <v>114</v>
      </c>
      <c r="CU1396" t="s">
        <v>114</v>
      </c>
      <c r="CV1396" t="s">
        <v>9319</v>
      </c>
      <c r="CW1396" s="5" t="str">
        <f>"+12073588007"</f>
        <v>+12073588007</v>
      </c>
      <c r="CX1396" t="s">
        <v>9320</v>
      </c>
      <c r="CY1396" t="s">
        <v>138</v>
      </c>
      <c r="CZ1396" t="s">
        <v>139</v>
      </c>
      <c r="DA1396" t="s">
        <v>134</v>
      </c>
      <c r="DB1396" t="s">
        <v>134</v>
      </c>
      <c r="DC1396" t="s">
        <v>114</v>
      </c>
      <c r="DD1396" t="s">
        <v>134</v>
      </c>
    </row>
    <row r="1397" spans="1:113" ht="15" customHeight="1" x14ac:dyDescent="0.25">
      <c r="A1397" t="s">
        <v>11129</v>
      </c>
      <c r="B1397" t="s">
        <v>141</v>
      </c>
      <c r="C1397" s="1">
        <v>44896.02759513889</v>
      </c>
      <c r="D1397" s="1">
        <v>44909</v>
      </c>
      <c r="E1397" t="s">
        <v>134</v>
      </c>
      <c r="F1397" t="s">
        <v>1848</v>
      </c>
      <c r="G1397" t="str">
        <f>"53-7062.00"</f>
        <v>53-7062.00</v>
      </c>
      <c r="H1397" t="s">
        <v>245</v>
      </c>
      <c r="I1397">
        <v>45</v>
      </c>
      <c r="K1397" s="1">
        <v>44986</v>
      </c>
      <c r="L1397" s="1">
        <v>45275</v>
      </c>
      <c r="O1397" t="s">
        <v>199</v>
      </c>
      <c r="P1397" t="s">
        <v>11130</v>
      </c>
      <c r="R1397" t="s">
        <v>11131</v>
      </c>
      <c r="T1397" t="s">
        <v>11132</v>
      </c>
      <c r="U1397" t="s">
        <v>697</v>
      </c>
      <c r="V1397" s="4" t="str">
        <f>"64081"</f>
        <v>64081</v>
      </c>
      <c r="W1397" t="s">
        <v>120</v>
      </c>
      <c r="Y1397" s="5">
        <v>18165240010</v>
      </c>
      <c r="AA1397">
        <v>56173</v>
      </c>
      <c r="AB1397" t="s">
        <v>2587</v>
      </c>
      <c r="AC1397" t="s">
        <v>8986</v>
      </c>
      <c r="AE1397" t="s">
        <v>700</v>
      </c>
      <c r="AF1397" t="s">
        <v>11131</v>
      </c>
      <c r="AH1397" t="s">
        <v>11132</v>
      </c>
      <c r="AI1397" t="s">
        <v>697</v>
      </c>
      <c r="AJ1397" s="4" t="str">
        <f>"64081"</f>
        <v>64081</v>
      </c>
      <c r="AK1397" t="s">
        <v>120</v>
      </c>
      <c r="AM1397" s="5">
        <v>18165240010</v>
      </c>
      <c r="AO1397" t="s">
        <v>138</v>
      </c>
      <c r="AP1397" t="s">
        <v>256</v>
      </c>
      <c r="AQ1397" t="s">
        <v>1220</v>
      </c>
      <c r="AR1397" t="s">
        <v>1221</v>
      </c>
      <c r="AT1397" t="s">
        <v>1222</v>
      </c>
      <c r="AV1397" t="s">
        <v>1223</v>
      </c>
      <c r="AW1397" t="s">
        <v>848</v>
      </c>
      <c r="AX1397" s="4" t="str">
        <f>"11590"</f>
        <v>11590</v>
      </c>
      <c r="AY1397" t="s">
        <v>120</v>
      </c>
      <c r="BA1397" s="5">
        <v>15163307168</v>
      </c>
      <c r="BC1397" t="s">
        <v>1224</v>
      </c>
      <c r="BD1397" t="s">
        <v>1225</v>
      </c>
      <c r="BG1397" t="s">
        <v>697</v>
      </c>
      <c r="BH1397" s="1">
        <v>44879.791666666664</v>
      </c>
      <c r="BI1397">
        <v>40</v>
      </c>
      <c r="BJ1397">
        <v>0</v>
      </c>
      <c r="BK1397">
        <v>8</v>
      </c>
      <c r="BL1397">
        <v>8</v>
      </c>
      <c r="BM1397">
        <v>8</v>
      </c>
      <c r="BN1397">
        <v>8</v>
      </c>
      <c r="BO1397">
        <v>8</v>
      </c>
      <c r="BP1397">
        <v>0</v>
      </c>
      <c r="BQ1397" t="str">
        <f>"8:00 AM"</f>
        <v>8:00 AM</v>
      </c>
      <c r="BR1397" t="str">
        <f>"5:00 PM"</f>
        <v>5:00 PM</v>
      </c>
      <c r="BS1397" t="s">
        <v>133</v>
      </c>
      <c r="BT1397">
        <v>0</v>
      </c>
      <c r="BU1397">
        <v>0</v>
      </c>
      <c r="BV1397" t="s">
        <v>134</v>
      </c>
      <c r="BX1397" t="s">
        <v>133</v>
      </c>
      <c r="BY1397" t="s">
        <v>11131</v>
      </c>
      <c r="CA1397" t="s">
        <v>11132</v>
      </c>
      <c r="CB1397" t="s">
        <v>697</v>
      </c>
      <c r="CC1397" s="4" t="str">
        <f>"64081"</f>
        <v>64081</v>
      </c>
      <c r="CD1397" t="s">
        <v>1116</v>
      </c>
      <c r="CE1397" t="s">
        <v>1290</v>
      </c>
      <c r="CF1397" s="6">
        <v>17</v>
      </c>
      <c r="CG1397" s="6">
        <v>24</v>
      </c>
      <c r="CH1397" s="6">
        <v>25.5</v>
      </c>
      <c r="CI1397" s="6">
        <v>36</v>
      </c>
      <c r="CJ1397" t="s">
        <v>137</v>
      </c>
      <c r="CL1397" t="s">
        <v>11133</v>
      </c>
      <c r="CO1397" t="s">
        <v>138</v>
      </c>
      <c r="CP1397" t="s">
        <v>114</v>
      </c>
      <c r="CQ1397" t="s">
        <v>114</v>
      </c>
      <c r="CR1397" t="s">
        <v>114</v>
      </c>
      <c r="CS1397" t="s">
        <v>134</v>
      </c>
      <c r="CT1397" t="s">
        <v>114</v>
      </c>
      <c r="CU1397" t="s">
        <v>134</v>
      </c>
      <c r="CV1397" t="s">
        <v>133</v>
      </c>
      <c r="CW1397" s="5" t="str">
        <f>"+18165240010"</f>
        <v>+18165240010</v>
      </c>
      <c r="CX1397" t="s">
        <v>11134</v>
      </c>
      <c r="CY1397" t="s">
        <v>138</v>
      </c>
      <c r="CZ1397" t="s">
        <v>139</v>
      </c>
      <c r="DA1397" t="s">
        <v>134</v>
      </c>
      <c r="DB1397" t="s">
        <v>134</v>
      </c>
      <c r="DC1397" t="s">
        <v>114</v>
      </c>
      <c r="DD1397" t="s">
        <v>134</v>
      </c>
    </row>
    <row r="1398" spans="1:113" ht="15" customHeight="1" x14ac:dyDescent="0.25">
      <c r="A1398" t="s">
        <v>4747</v>
      </c>
      <c r="B1398" t="s">
        <v>141</v>
      </c>
      <c r="C1398" s="1">
        <v>44894.61300208333</v>
      </c>
      <c r="D1398" s="1">
        <v>44909</v>
      </c>
      <c r="E1398" t="s">
        <v>134</v>
      </c>
      <c r="F1398" t="s">
        <v>4748</v>
      </c>
      <c r="G1398" t="str">
        <f>"53-7064.00"</f>
        <v>53-7064.00</v>
      </c>
      <c r="H1398" t="s">
        <v>4749</v>
      </c>
      <c r="I1398">
        <v>25</v>
      </c>
      <c r="K1398" s="1">
        <v>44984</v>
      </c>
      <c r="L1398" s="1">
        <v>45254</v>
      </c>
      <c r="O1398" t="s">
        <v>117</v>
      </c>
      <c r="P1398" t="s">
        <v>4750</v>
      </c>
      <c r="Q1398" t="s">
        <v>4751</v>
      </c>
      <c r="R1398" t="s">
        <v>4752</v>
      </c>
      <c r="T1398" t="s">
        <v>1461</v>
      </c>
      <c r="U1398" t="s">
        <v>1147</v>
      </c>
      <c r="V1398" s="4" t="str">
        <f>"53718"</f>
        <v>53718</v>
      </c>
      <c r="W1398" t="s">
        <v>120</v>
      </c>
      <c r="Y1398" s="5">
        <v>16082239809</v>
      </c>
      <c r="AA1398">
        <v>3118</v>
      </c>
      <c r="AB1398" t="s">
        <v>4753</v>
      </c>
      <c r="AC1398" t="s">
        <v>4632</v>
      </c>
      <c r="AE1398" t="s">
        <v>700</v>
      </c>
      <c r="AF1398" t="s">
        <v>4754</v>
      </c>
      <c r="AH1398" t="s">
        <v>2258</v>
      </c>
      <c r="AI1398" t="s">
        <v>1147</v>
      </c>
      <c r="AJ1398" s="4" t="str">
        <f>"53718"</f>
        <v>53718</v>
      </c>
      <c r="AK1398" t="s">
        <v>120</v>
      </c>
      <c r="AM1398" s="5">
        <v>16082239808</v>
      </c>
      <c r="AN1398">
        <v>24</v>
      </c>
      <c r="AO1398" t="s">
        <v>4755</v>
      </c>
      <c r="AP1398" t="s">
        <v>256</v>
      </c>
      <c r="AQ1398" t="s">
        <v>2495</v>
      </c>
      <c r="AR1398" t="s">
        <v>2496</v>
      </c>
      <c r="AS1398" t="s">
        <v>1723</v>
      </c>
      <c r="AT1398" t="s">
        <v>2497</v>
      </c>
      <c r="AU1398" t="s">
        <v>2498</v>
      </c>
      <c r="AV1398" t="s">
        <v>2499</v>
      </c>
      <c r="AW1398" t="s">
        <v>1411</v>
      </c>
      <c r="AX1398" s="4" t="str">
        <f>"44053"</f>
        <v>44053</v>
      </c>
      <c r="AY1398" t="s">
        <v>120</v>
      </c>
      <c r="BA1398" s="5">
        <v>14409874000</v>
      </c>
      <c r="BC1398" t="s">
        <v>2500</v>
      </c>
      <c r="BD1398" t="s">
        <v>2501</v>
      </c>
      <c r="BG1398" t="s">
        <v>1147</v>
      </c>
      <c r="BH1398" s="1">
        <v>44893.791666666664</v>
      </c>
      <c r="BI1398">
        <v>40</v>
      </c>
      <c r="BJ1398">
        <v>0</v>
      </c>
      <c r="BK1398">
        <v>8</v>
      </c>
      <c r="BL1398">
        <v>8</v>
      </c>
      <c r="BM1398">
        <v>8</v>
      </c>
      <c r="BN1398">
        <v>8</v>
      </c>
      <c r="BO1398">
        <v>8</v>
      </c>
      <c r="BP1398">
        <v>0</v>
      </c>
      <c r="BQ1398" t="str">
        <f>"2:00 PM"</f>
        <v>2:00 PM</v>
      </c>
      <c r="BR1398" t="str">
        <f>"11:00 PM"</f>
        <v>11:00 PM</v>
      </c>
      <c r="BS1398" t="s">
        <v>133</v>
      </c>
      <c r="BT1398">
        <v>0</v>
      </c>
      <c r="BU1398">
        <v>0</v>
      </c>
      <c r="BV1398" t="s">
        <v>134</v>
      </c>
      <c r="BX1398" s="2" t="s">
        <v>4756</v>
      </c>
      <c r="BY1398" t="s">
        <v>4754</v>
      </c>
      <c r="CA1398" t="s">
        <v>2258</v>
      </c>
      <c r="CB1398" t="s">
        <v>1147</v>
      </c>
      <c r="CC1398" s="4" t="str">
        <f>"53718"</f>
        <v>53718</v>
      </c>
      <c r="CD1398" t="s">
        <v>4757</v>
      </c>
      <c r="CE1398" t="s">
        <v>4758</v>
      </c>
      <c r="CF1398" s="6">
        <v>15.42</v>
      </c>
      <c r="CG1398" s="6">
        <v>15.42</v>
      </c>
      <c r="CH1398" s="6">
        <v>23.13</v>
      </c>
      <c r="CI1398" s="6">
        <v>23.13</v>
      </c>
      <c r="CJ1398" t="s">
        <v>137</v>
      </c>
      <c r="CK1398" t="s">
        <v>4759</v>
      </c>
      <c r="CL1398" t="s">
        <v>4760</v>
      </c>
      <c r="CO1398" t="s">
        <v>138</v>
      </c>
      <c r="CP1398" t="s">
        <v>134</v>
      </c>
      <c r="CQ1398" t="s">
        <v>114</v>
      </c>
      <c r="CR1398" t="s">
        <v>114</v>
      </c>
      <c r="CS1398" t="s">
        <v>114</v>
      </c>
      <c r="CT1398" t="s">
        <v>114</v>
      </c>
      <c r="CU1398" t="s">
        <v>114</v>
      </c>
      <c r="CV1398" t="s">
        <v>4761</v>
      </c>
      <c r="CW1398" s="5" t="str">
        <f>"+16082239808"</f>
        <v>+16082239808</v>
      </c>
      <c r="CX1398" t="s">
        <v>4762</v>
      </c>
      <c r="CY1398" t="s">
        <v>138</v>
      </c>
      <c r="CZ1398" t="s">
        <v>139</v>
      </c>
      <c r="DA1398" t="s">
        <v>134</v>
      </c>
      <c r="DB1398" t="s">
        <v>114</v>
      </c>
      <c r="DC1398" t="s">
        <v>114</v>
      </c>
      <c r="DD1398" t="s">
        <v>134</v>
      </c>
    </row>
    <row r="1399" spans="1:113" ht="15" customHeight="1" x14ac:dyDescent="0.25">
      <c r="A1399" t="s">
        <v>11305</v>
      </c>
      <c r="B1399" t="s">
        <v>141</v>
      </c>
      <c r="C1399" s="1">
        <v>44882.434200347219</v>
      </c>
      <c r="D1399" s="1">
        <v>44909</v>
      </c>
      <c r="E1399" t="s">
        <v>134</v>
      </c>
      <c r="F1399" t="s">
        <v>1296</v>
      </c>
      <c r="G1399" t="str">
        <f>"37-3011.00"</f>
        <v>37-3011.00</v>
      </c>
      <c r="H1399" t="s">
        <v>335</v>
      </c>
      <c r="I1399">
        <v>4</v>
      </c>
      <c r="K1399" s="1">
        <v>44972</v>
      </c>
      <c r="L1399" s="1">
        <v>45275</v>
      </c>
      <c r="O1399" t="s">
        <v>117</v>
      </c>
      <c r="P1399" t="s">
        <v>11306</v>
      </c>
      <c r="R1399" t="s">
        <v>11307</v>
      </c>
      <c r="S1399" t="s">
        <v>11308</v>
      </c>
      <c r="T1399" t="s">
        <v>2140</v>
      </c>
      <c r="U1399" t="s">
        <v>232</v>
      </c>
      <c r="V1399" s="4" t="str">
        <f>"77904"</f>
        <v>77904</v>
      </c>
      <c r="W1399" t="s">
        <v>120</v>
      </c>
      <c r="Y1399" s="5">
        <v>13619358871</v>
      </c>
      <c r="AA1399">
        <v>56173</v>
      </c>
      <c r="AB1399" t="s">
        <v>11309</v>
      </c>
      <c r="AC1399" t="s">
        <v>8159</v>
      </c>
      <c r="AD1399" t="s">
        <v>1685</v>
      </c>
      <c r="AE1399" t="s">
        <v>342</v>
      </c>
      <c r="AF1399" t="s">
        <v>11307</v>
      </c>
      <c r="AG1399" t="s">
        <v>11310</v>
      </c>
      <c r="AH1399" t="s">
        <v>2140</v>
      </c>
      <c r="AI1399" t="s">
        <v>232</v>
      </c>
      <c r="AJ1399" s="4" t="str">
        <f>"77904"</f>
        <v>77904</v>
      </c>
      <c r="AK1399" t="s">
        <v>120</v>
      </c>
      <c r="AM1399" s="5">
        <v>13619358871</v>
      </c>
      <c r="AO1399" t="s">
        <v>11311</v>
      </c>
      <c r="AP1399" t="s">
        <v>256</v>
      </c>
      <c r="AQ1399" t="s">
        <v>1731</v>
      </c>
      <c r="AR1399" t="s">
        <v>1732</v>
      </c>
      <c r="AS1399" t="s">
        <v>1733</v>
      </c>
      <c r="AT1399" t="s">
        <v>1734</v>
      </c>
      <c r="AU1399" t="s">
        <v>1735</v>
      </c>
      <c r="AV1399" t="s">
        <v>1736</v>
      </c>
      <c r="AW1399" t="s">
        <v>479</v>
      </c>
      <c r="AX1399" s="4" t="str">
        <f>"24521"</f>
        <v>24521</v>
      </c>
      <c r="AY1399" t="s">
        <v>120</v>
      </c>
      <c r="AZ1399" t="s">
        <v>2965</v>
      </c>
      <c r="BA1399" s="5">
        <v>14349460035</v>
      </c>
      <c r="BB1399">
        <v>11</v>
      </c>
      <c r="BC1399" t="s">
        <v>1737</v>
      </c>
      <c r="BD1399" t="s">
        <v>1738</v>
      </c>
      <c r="BG1399" t="s">
        <v>232</v>
      </c>
      <c r="BH1399" s="1">
        <v>44881.791666666664</v>
      </c>
      <c r="BI1399">
        <v>40</v>
      </c>
      <c r="BJ1399">
        <v>0</v>
      </c>
      <c r="BK1399">
        <v>8</v>
      </c>
      <c r="BL1399">
        <v>8</v>
      </c>
      <c r="BM1399">
        <v>8</v>
      </c>
      <c r="BN1399">
        <v>8</v>
      </c>
      <c r="BO1399">
        <v>8</v>
      </c>
      <c r="BP1399">
        <v>0</v>
      </c>
      <c r="BQ1399" t="str">
        <f>"8:30 AM"</f>
        <v>8:30 AM</v>
      </c>
      <c r="BR1399" t="str">
        <f>"5:30 PM"</f>
        <v>5:30 PM</v>
      </c>
      <c r="BS1399" t="s">
        <v>133</v>
      </c>
      <c r="BT1399">
        <v>0</v>
      </c>
      <c r="BU1399">
        <v>0</v>
      </c>
      <c r="BV1399" t="s">
        <v>134</v>
      </c>
      <c r="BX1399" s="2" t="s">
        <v>2966</v>
      </c>
      <c r="BY1399" t="s">
        <v>11307</v>
      </c>
      <c r="CA1399" t="s">
        <v>2140</v>
      </c>
      <c r="CB1399" t="s">
        <v>232</v>
      </c>
      <c r="CC1399" s="4" t="str">
        <f>"77904"</f>
        <v>77904</v>
      </c>
      <c r="CD1399" t="s">
        <v>3917</v>
      </c>
      <c r="CE1399" t="s">
        <v>4348</v>
      </c>
      <c r="CF1399" s="6">
        <v>13.95</v>
      </c>
      <c r="CG1399" s="6">
        <v>13.95</v>
      </c>
      <c r="CH1399" s="6">
        <v>20.93</v>
      </c>
      <c r="CI1399" s="6">
        <v>20.93</v>
      </c>
      <c r="CJ1399" t="s">
        <v>137</v>
      </c>
      <c r="CK1399" t="s">
        <v>2162</v>
      </c>
      <c r="CL1399" t="s">
        <v>11312</v>
      </c>
      <c r="CO1399" t="s">
        <v>138</v>
      </c>
      <c r="CP1399" t="s">
        <v>114</v>
      </c>
      <c r="CQ1399" t="s">
        <v>114</v>
      </c>
      <c r="CR1399" t="s">
        <v>114</v>
      </c>
      <c r="CS1399" t="s">
        <v>134</v>
      </c>
      <c r="CT1399" t="s">
        <v>114</v>
      </c>
      <c r="CU1399" t="s">
        <v>134</v>
      </c>
      <c r="CV1399" t="s">
        <v>11313</v>
      </c>
      <c r="CW1399" s="5" t="str">
        <f>"+18323122202"</f>
        <v>+18323122202</v>
      </c>
      <c r="CX1399" t="s">
        <v>11311</v>
      </c>
      <c r="CY1399" t="s">
        <v>138</v>
      </c>
      <c r="CZ1399" t="s">
        <v>139</v>
      </c>
      <c r="DA1399" t="s">
        <v>134</v>
      </c>
      <c r="DB1399" t="s">
        <v>114</v>
      </c>
      <c r="DC1399" t="s">
        <v>114</v>
      </c>
      <c r="DD1399" t="s">
        <v>134</v>
      </c>
    </row>
    <row r="1400" spans="1:113" ht="15" customHeight="1" x14ac:dyDescent="0.25">
      <c r="A1400" t="s">
        <v>16246</v>
      </c>
      <c r="B1400" t="s">
        <v>141</v>
      </c>
      <c r="C1400" s="1">
        <v>44901.790431944442</v>
      </c>
      <c r="D1400" s="1">
        <v>44908</v>
      </c>
      <c r="E1400" t="s">
        <v>134</v>
      </c>
      <c r="F1400" t="s">
        <v>1662</v>
      </c>
      <c r="G1400" t="str">
        <f>"37-3011.00"</f>
        <v>37-3011.00</v>
      </c>
      <c r="H1400" t="s">
        <v>335</v>
      </c>
      <c r="I1400">
        <v>63</v>
      </c>
      <c r="K1400" s="1">
        <v>44986</v>
      </c>
      <c r="L1400" s="1">
        <v>45234</v>
      </c>
      <c r="O1400" t="s">
        <v>117</v>
      </c>
      <c r="P1400" t="s">
        <v>12614</v>
      </c>
      <c r="R1400" t="s">
        <v>12615</v>
      </c>
      <c r="S1400" t="s">
        <v>3937</v>
      </c>
      <c r="T1400" t="s">
        <v>684</v>
      </c>
      <c r="U1400" t="s">
        <v>232</v>
      </c>
      <c r="V1400" s="4" t="str">
        <f>"78754"</f>
        <v>78754</v>
      </c>
      <c r="W1400" t="s">
        <v>120</v>
      </c>
      <c r="Y1400" s="5">
        <v>15124588873</v>
      </c>
      <c r="AA1400">
        <v>56173</v>
      </c>
      <c r="AB1400" t="s">
        <v>3938</v>
      </c>
      <c r="AC1400" t="s">
        <v>2010</v>
      </c>
      <c r="AE1400" t="s">
        <v>3939</v>
      </c>
      <c r="AF1400" t="s">
        <v>3940</v>
      </c>
      <c r="AH1400" t="s">
        <v>338</v>
      </c>
      <c r="AI1400" t="s">
        <v>339</v>
      </c>
      <c r="AJ1400" s="4" t="str">
        <f>"21703"</f>
        <v>21703</v>
      </c>
      <c r="AK1400" t="s">
        <v>120</v>
      </c>
      <c r="AM1400" s="5">
        <v>12158524610</v>
      </c>
      <c r="AO1400" t="s">
        <v>3941</v>
      </c>
      <c r="AP1400" t="s">
        <v>256</v>
      </c>
      <c r="AQ1400" t="s">
        <v>475</v>
      </c>
      <c r="AR1400" t="s">
        <v>476</v>
      </c>
      <c r="AT1400" t="s">
        <v>1471</v>
      </c>
      <c r="AU1400" t="s">
        <v>1472</v>
      </c>
      <c r="AV1400" t="s">
        <v>1473</v>
      </c>
      <c r="AW1400" t="s">
        <v>479</v>
      </c>
      <c r="AX1400" s="4" t="str">
        <f>"22949"</f>
        <v>22949</v>
      </c>
      <c r="AY1400" t="s">
        <v>120</v>
      </c>
      <c r="BA1400" s="5">
        <v>14342634300</v>
      </c>
      <c r="BC1400" t="s">
        <v>1664</v>
      </c>
      <c r="BD1400" t="s">
        <v>481</v>
      </c>
      <c r="BG1400" t="s">
        <v>232</v>
      </c>
      <c r="BH1400" s="1">
        <v>44900.791666666664</v>
      </c>
      <c r="BI1400">
        <v>35</v>
      </c>
      <c r="BJ1400">
        <v>0</v>
      </c>
      <c r="BK1400">
        <v>8.75</v>
      </c>
      <c r="BL1400">
        <v>8.75</v>
      </c>
      <c r="BM1400">
        <v>8.75</v>
      </c>
      <c r="BN1400">
        <v>8.75</v>
      </c>
      <c r="BO1400">
        <v>0</v>
      </c>
      <c r="BP1400">
        <v>0</v>
      </c>
      <c r="BQ1400" t="str">
        <f>"6:30 AM"</f>
        <v>6:30 AM</v>
      </c>
      <c r="BR1400" t="str">
        <f>"3:45 PM"</f>
        <v>3:45 PM</v>
      </c>
      <c r="BS1400" t="s">
        <v>133</v>
      </c>
      <c r="BT1400">
        <v>0</v>
      </c>
      <c r="BU1400">
        <v>3</v>
      </c>
      <c r="BV1400" t="s">
        <v>134</v>
      </c>
      <c r="BX1400" s="2" t="s">
        <v>11097</v>
      </c>
      <c r="BY1400" t="s">
        <v>12615</v>
      </c>
      <c r="CA1400" t="s">
        <v>684</v>
      </c>
      <c r="CB1400" t="s">
        <v>232</v>
      </c>
      <c r="CC1400" s="4" t="str">
        <f>"78754"</f>
        <v>78754</v>
      </c>
      <c r="CD1400" t="s">
        <v>948</v>
      </c>
      <c r="CE1400" t="s">
        <v>949</v>
      </c>
      <c r="CF1400" s="6">
        <v>16.079999999999998</v>
      </c>
      <c r="CH1400" s="6">
        <v>24.12</v>
      </c>
      <c r="CJ1400" t="s">
        <v>137</v>
      </c>
      <c r="CK1400" t="s">
        <v>487</v>
      </c>
      <c r="CL1400" t="s">
        <v>12616</v>
      </c>
      <c r="CO1400" t="s">
        <v>138</v>
      </c>
      <c r="CP1400" t="s">
        <v>114</v>
      </c>
      <c r="CQ1400" t="s">
        <v>134</v>
      </c>
      <c r="CR1400" t="s">
        <v>114</v>
      </c>
      <c r="CS1400" t="s">
        <v>134</v>
      </c>
      <c r="CT1400" t="s">
        <v>114</v>
      </c>
      <c r="CU1400" t="s">
        <v>114</v>
      </c>
      <c r="CV1400" t="s">
        <v>16247</v>
      </c>
      <c r="CW1400" s="5" t="str">
        <f>"N/A"</f>
        <v>N/A</v>
      </c>
      <c r="CX1400" t="s">
        <v>3941</v>
      </c>
      <c r="CY1400" t="s">
        <v>953</v>
      </c>
      <c r="CZ1400" t="s">
        <v>139</v>
      </c>
      <c r="DA1400" t="s">
        <v>134</v>
      </c>
      <c r="DB1400" t="s">
        <v>114</v>
      </c>
      <c r="DC1400" t="s">
        <v>114</v>
      </c>
      <c r="DD1400" t="s">
        <v>134</v>
      </c>
      <c r="DE1400" t="s">
        <v>1669</v>
      </c>
      <c r="DF1400" t="s">
        <v>1670</v>
      </c>
      <c r="DH1400" t="s">
        <v>481</v>
      </c>
      <c r="DI1400" t="s">
        <v>1664</v>
      </c>
    </row>
    <row r="1401" spans="1:113" ht="15" customHeight="1" x14ac:dyDescent="0.25">
      <c r="A1401" t="s">
        <v>9355</v>
      </c>
      <c r="B1401" t="s">
        <v>141</v>
      </c>
      <c r="C1401" s="1">
        <v>44901.775506365739</v>
      </c>
      <c r="D1401" s="1">
        <v>44908</v>
      </c>
      <c r="E1401" t="s">
        <v>134</v>
      </c>
      <c r="F1401" t="s">
        <v>1662</v>
      </c>
      <c r="G1401" t="str">
        <f>"37-3011.00"</f>
        <v>37-3011.00</v>
      </c>
      <c r="H1401" t="s">
        <v>335</v>
      </c>
      <c r="I1401">
        <v>39</v>
      </c>
      <c r="K1401" s="1">
        <v>44986</v>
      </c>
      <c r="L1401" s="1">
        <v>45234</v>
      </c>
      <c r="O1401" t="s">
        <v>117</v>
      </c>
      <c r="P1401" t="s">
        <v>9356</v>
      </c>
      <c r="R1401" t="s">
        <v>9357</v>
      </c>
      <c r="S1401" t="s">
        <v>3937</v>
      </c>
      <c r="T1401" t="s">
        <v>2108</v>
      </c>
      <c r="U1401" t="s">
        <v>232</v>
      </c>
      <c r="V1401" s="4" t="str">
        <f>"78233"</f>
        <v>78233</v>
      </c>
      <c r="W1401" t="s">
        <v>120</v>
      </c>
      <c r="Y1401" s="5">
        <v>15124588873</v>
      </c>
      <c r="AA1401">
        <v>56173</v>
      </c>
      <c r="AB1401" t="s">
        <v>3938</v>
      </c>
      <c r="AC1401" t="s">
        <v>2010</v>
      </c>
      <c r="AE1401" t="s">
        <v>3939</v>
      </c>
      <c r="AF1401" t="s">
        <v>3940</v>
      </c>
      <c r="AH1401" t="s">
        <v>338</v>
      </c>
      <c r="AI1401" t="s">
        <v>339</v>
      </c>
      <c r="AJ1401" s="4" t="str">
        <f>"21703"</f>
        <v>21703</v>
      </c>
      <c r="AK1401" t="s">
        <v>120</v>
      </c>
      <c r="AM1401" s="5">
        <v>12158524610</v>
      </c>
      <c r="AO1401" t="s">
        <v>3941</v>
      </c>
      <c r="AP1401" t="s">
        <v>256</v>
      </c>
      <c r="AQ1401" t="s">
        <v>475</v>
      </c>
      <c r="AR1401" t="s">
        <v>476</v>
      </c>
      <c r="AT1401" t="s">
        <v>1471</v>
      </c>
      <c r="AU1401" t="s">
        <v>1472</v>
      </c>
      <c r="AV1401" t="s">
        <v>1473</v>
      </c>
      <c r="AW1401" t="s">
        <v>479</v>
      </c>
      <c r="AX1401" s="4" t="str">
        <f>"22949"</f>
        <v>22949</v>
      </c>
      <c r="AY1401" t="s">
        <v>120</v>
      </c>
      <c r="BA1401" s="5">
        <v>14342634300</v>
      </c>
      <c r="BC1401" t="s">
        <v>1664</v>
      </c>
      <c r="BD1401" t="s">
        <v>481</v>
      </c>
      <c r="BG1401" t="s">
        <v>232</v>
      </c>
      <c r="BH1401" s="1">
        <v>44900.791666666664</v>
      </c>
      <c r="BI1401">
        <v>35</v>
      </c>
      <c r="BJ1401">
        <v>0</v>
      </c>
      <c r="BK1401">
        <v>8.75</v>
      </c>
      <c r="BL1401">
        <v>8.75</v>
      </c>
      <c r="BM1401">
        <v>8.75</v>
      </c>
      <c r="BN1401">
        <v>8.75</v>
      </c>
      <c r="BO1401">
        <v>0</v>
      </c>
      <c r="BP1401">
        <v>0</v>
      </c>
      <c r="BQ1401" t="str">
        <f>"6:30 AM"</f>
        <v>6:30 AM</v>
      </c>
      <c r="BR1401" t="str">
        <f>"3:45 PM"</f>
        <v>3:45 PM</v>
      </c>
      <c r="BS1401" t="s">
        <v>133</v>
      </c>
      <c r="BT1401">
        <v>0</v>
      </c>
      <c r="BU1401">
        <v>3</v>
      </c>
      <c r="BV1401" t="s">
        <v>134</v>
      </c>
      <c r="BX1401" s="2" t="s">
        <v>9358</v>
      </c>
      <c r="BY1401" t="s">
        <v>9357</v>
      </c>
      <c r="CA1401" t="s">
        <v>2108</v>
      </c>
      <c r="CB1401" t="s">
        <v>232</v>
      </c>
      <c r="CC1401" s="4" t="str">
        <f>"78233"</f>
        <v>78233</v>
      </c>
      <c r="CD1401" t="s">
        <v>2112</v>
      </c>
      <c r="CE1401" t="s">
        <v>1342</v>
      </c>
      <c r="CF1401" s="6">
        <v>15.05</v>
      </c>
      <c r="CH1401" s="6">
        <v>22.58</v>
      </c>
      <c r="CJ1401" t="s">
        <v>137</v>
      </c>
      <c r="CK1401" t="s">
        <v>487</v>
      </c>
      <c r="CL1401" t="s">
        <v>9359</v>
      </c>
      <c r="CO1401" t="s">
        <v>138</v>
      </c>
      <c r="CP1401" t="s">
        <v>114</v>
      </c>
      <c r="CQ1401" t="s">
        <v>134</v>
      </c>
      <c r="CR1401" t="s">
        <v>114</v>
      </c>
      <c r="CS1401" t="s">
        <v>134</v>
      </c>
      <c r="CT1401" t="s">
        <v>114</v>
      </c>
      <c r="CU1401" t="s">
        <v>114</v>
      </c>
      <c r="CV1401" t="s">
        <v>9360</v>
      </c>
      <c r="CW1401" s="5" t="str">
        <f>"N/A"</f>
        <v>N/A</v>
      </c>
      <c r="CX1401" t="s">
        <v>3941</v>
      </c>
      <c r="CY1401" t="s">
        <v>953</v>
      </c>
      <c r="CZ1401" t="s">
        <v>139</v>
      </c>
      <c r="DA1401" t="s">
        <v>134</v>
      </c>
      <c r="DB1401" t="s">
        <v>114</v>
      </c>
      <c r="DC1401" t="s">
        <v>114</v>
      </c>
      <c r="DD1401" t="s">
        <v>134</v>
      </c>
      <c r="DE1401" t="s">
        <v>1669</v>
      </c>
      <c r="DF1401" t="s">
        <v>1670</v>
      </c>
      <c r="DH1401" t="s">
        <v>481</v>
      </c>
      <c r="DI1401" t="s">
        <v>1664</v>
      </c>
    </row>
    <row r="1402" spans="1:113" ht="15" customHeight="1" x14ac:dyDescent="0.25">
      <c r="A1402" t="s">
        <v>14262</v>
      </c>
      <c r="B1402" t="s">
        <v>141</v>
      </c>
      <c r="C1402" s="1">
        <v>44901.750075231481</v>
      </c>
      <c r="D1402" s="1">
        <v>44908</v>
      </c>
      <c r="E1402" t="s">
        <v>134</v>
      </c>
      <c r="F1402" t="s">
        <v>1662</v>
      </c>
      <c r="G1402" t="str">
        <f>"37-3011.00"</f>
        <v>37-3011.00</v>
      </c>
      <c r="H1402" t="s">
        <v>335</v>
      </c>
      <c r="I1402">
        <v>60</v>
      </c>
      <c r="K1402" s="1">
        <v>44986</v>
      </c>
      <c r="L1402" s="1">
        <v>45227</v>
      </c>
      <c r="O1402" t="s">
        <v>117</v>
      </c>
      <c r="P1402" t="s">
        <v>14263</v>
      </c>
      <c r="R1402" t="s">
        <v>14264</v>
      </c>
      <c r="S1402" t="s">
        <v>3937</v>
      </c>
      <c r="T1402" t="s">
        <v>1545</v>
      </c>
      <c r="U1402" t="s">
        <v>232</v>
      </c>
      <c r="V1402" s="4" t="str">
        <f>"77073"</f>
        <v>77073</v>
      </c>
      <c r="W1402" t="s">
        <v>120</v>
      </c>
      <c r="Y1402" s="5">
        <v>12819877678</v>
      </c>
      <c r="AA1402">
        <v>56173</v>
      </c>
      <c r="AB1402" t="s">
        <v>3938</v>
      </c>
      <c r="AC1402" t="s">
        <v>2010</v>
      </c>
      <c r="AE1402" t="s">
        <v>3939</v>
      </c>
      <c r="AF1402" t="s">
        <v>3940</v>
      </c>
      <c r="AH1402" t="s">
        <v>338</v>
      </c>
      <c r="AI1402" t="s">
        <v>339</v>
      </c>
      <c r="AJ1402" s="4" t="str">
        <f>"21703"</f>
        <v>21703</v>
      </c>
      <c r="AK1402" t="s">
        <v>120</v>
      </c>
      <c r="AM1402" s="5">
        <v>12158524610</v>
      </c>
      <c r="AO1402" t="s">
        <v>3941</v>
      </c>
      <c r="AP1402" t="s">
        <v>256</v>
      </c>
      <c r="AQ1402" t="s">
        <v>475</v>
      </c>
      <c r="AR1402" t="s">
        <v>476</v>
      </c>
      <c r="AT1402" t="s">
        <v>1471</v>
      </c>
      <c r="AU1402" t="s">
        <v>1472</v>
      </c>
      <c r="AV1402" t="s">
        <v>1473</v>
      </c>
      <c r="AW1402" t="s">
        <v>479</v>
      </c>
      <c r="AX1402" s="4" t="str">
        <f>"22949"</f>
        <v>22949</v>
      </c>
      <c r="AY1402" t="s">
        <v>120</v>
      </c>
      <c r="BA1402" s="5">
        <v>14342634300</v>
      </c>
      <c r="BC1402" t="s">
        <v>1664</v>
      </c>
      <c r="BD1402" t="s">
        <v>481</v>
      </c>
      <c r="BG1402" t="s">
        <v>232</v>
      </c>
      <c r="BH1402" s="1">
        <v>44900.791666666664</v>
      </c>
      <c r="BI1402">
        <v>35</v>
      </c>
      <c r="BJ1402">
        <v>0</v>
      </c>
      <c r="BK1402">
        <v>8.75</v>
      </c>
      <c r="BL1402">
        <v>8.75</v>
      </c>
      <c r="BM1402">
        <v>8.75</v>
      </c>
      <c r="BN1402">
        <v>8.75</v>
      </c>
      <c r="BO1402">
        <v>0</v>
      </c>
      <c r="BP1402">
        <v>0</v>
      </c>
      <c r="BQ1402" t="str">
        <f>"6:00 AM"</f>
        <v>6:00 AM</v>
      </c>
      <c r="BR1402" t="str">
        <f>"3:15 PM"</f>
        <v>3:15 PM</v>
      </c>
      <c r="BS1402" t="s">
        <v>133</v>
      </c>
      <c r="BT1402">
        <v>0</v>
      </c>
      <c r="BU1402">
        <v>3</v>
      </c>
      <c r="BV1402" t="s">
        <v>134</v>
      </c>
      <c r="BX1402" s="2" t="s">
        <v>9358</v>
      </c>
      <c r="BY1402" t="s">
        <v>14264</v>
      </c>
      <c r="CA1402" t="s">
        <v>1545</v>
      </c>
      <c r="CB1402" t="s">
        <v>232</v>
      </c>
      <c r="CC1402" s="4" t="str">
        <f>"77073"</f>
        <v>77073</v>
      </c>
      <c r="CD1402" t="s">
        <v>3290</v>
      </c>
      <c r="CE1402" t="s">
        <v>873</v>
      </c>
      <c r="CF1402" s="6">
        <v>15.56</v>
      </c>
      <c r="CH1402" s="6">
        <v>23.34</v>
      </c>
      <c r="CJ1402" t="s">
        <v>137</v>
      </c>
      <c r="CK1402" t="s">
        <v>487</v>
      </c>
      <c r="CL1402" t="s">
        <v>14265</v>
      </c>
      <c r="CO1402" t="s">
        <v>138</v>
      </c>
      <c r="CP1402" t="s">
        <v>114</v>
      </c>
      <c r="CQ1402" t="s">
        <v>134</v>
      </c>
      <c r="CR1402" t="s">
        <v>114</v>
      </c>
      <c r="CS1402" t="s">
        <v>134</v>
      </c>
      <c r="CT1402" t="s">
        <v>114</v>
      </c>
      <c r="CU1402" t="s">
        <v>114</v>
      </c>
      <c r="CV1402" t="s">
        <v>14266</v>
      </c>
      <c r="CW1402" s="5" t="str">
        <f>"N/A"</f>
        <v>N/A</v>
      </c>
      <c r="CX1402" t="s">
        <v>3941</v>
      </c>
      <c r="CY1402" t="s">
        <v>953</v>
      </c>
      <c r="CZ1402" t="s">
        <v>139</v>
      </c>
      <c r="DA1402" t="s">
        <v>134</v>
      </c>
      <c r="DB1402" t="s">
        <v>114</v>
      </c>
      <c r="DC1402" t="s">
        <v>114</v>
      </c>
      <c r="DD1402" t="s">
        <v>134</v>
      </c>
      <c r="DE1402" t="s">
        <v>1669</v>
      </c>
      <c r="DF1402" t="s">
        <v>1670</v>
      </c>
      <c r="DH1402" t="s">
        <v>481</v>
      </c>
      <c r="DI1402" t="s">
        <v>1664</v>
      </c>
    </row>
    <row r="1403" spans="1:113" ht="15" customHeight="1" x14ac:dyDescent="0.25">
      <c r="A1403" t="s">
        <v>7288</v>
      </c>
      <c r="B1403" t="s">
        <v>141</v>
      </c>
      <c r="C1403" s="1">
        <v>44896.028986458332</v>
      </c>
      <c r="D1403" s="1">
        <v>44908</v>
      </c>
      <c r="E1403" t="s">
        <v>134</v>
      </c>
      <c r="F1403" t="s">
        <v>1848</v>
      </c>
      <c r="G1403" t="str">
        <f>"53-7062.00"</f>
        <v>53-7062.00</v>
      </c>
      <c r="H1403" t="s">
        <v>245</v>
      </c>
      <c r="I1403">
        <v>13</v>
      </c>
      <c r="K1403" s="1">
        <v>44986</v>
      </c>
      <c r="L1403" s="1">
        <v>45275</v>
      </c>
      <c r="O1403" t="s">
        <v>199</v>
      </c>
      <c r="P1403" t="s">
        <v>3026</v>
      </c>
      <c r="R1403" t="s">
        <v>3027</v>
      </c>
      <c r="T1403" t="s">
        <v>1686</v>
      </c>
      <c r="U1403" t="s">
        <v>1593</v>
      </c>
      <c r="V1403" s="4" t="str">
        <f>"03909"</f>
        <v>03909</v>
      </c>
      <c r="W1403" t="s">
        <v>120</v>
      </c>
      <c r="Y1403" s="5">
        <v>12074510156</v>
      </c>
      <c r="AA1403">
        <v>56173</v>
      </c>
      <c r="AB1403" t="s">
        <v>3028</v>
      </c>
      <c r="AC1403" t="s">
        <v>3029</v>
      </c>
      <c r="AE1403" t="s">
        <v>700</v>
      </c>
      <c r="AF1403" t="s">
        <v>3027</v>
      </c>
      <c r="AH1403" t="s">
        <v>1686</v>
      </c>
      <c r="AI1403" t="s">
        <v>1593</v>
      </c>
      <c r="AJ1403" s="4" t="str">
        <f>"03909"</f>
        <v>03909</v>
      </c>
      <c r="AK1403" t="s">
        <v>120</v>
      </c>
      <c r="AM1403" s="5">
        <v>12074510156</v>
      </c>
      <c r="AO1403" t="s">
        <v>138</v>
      </c>
      <c r="AP1403" t="s">
        <v>256</v>
      </c>
      <c r="AQ1403" t="s">
        <v>1220</v>
      </c>
      <c r="AR1403" t="s">
        <v>1221</v>
      </c>
      <c r="AT1403" t="s">
        <v>1222</v>
      </c>
      <c r="AV1403" t="s">
        <v>1223</v>
      </c>
      <c r="AW1403" t="s">
        <v>848</v>
      </c>
      <c r="AX1403" s="4" t="str">
        <f>"11590"</f>
        <v>11590</v>
      </c>
      <c r="AY1403" t="s">
        <v>120</v>
      </c>
      <c r="BA1403" s="5">
        <v>15163307168</v>
      </c>
      <c r="BC1403" t="s">
        <v>1224</v>
      </c>
      <c r="BD1403" t="s">
        <v>1225</v>
      </c>
      <c r="BG1403" t="s">
        <v>1593</v>
      </c>
      <c r="BH1403" s="1">
        <v>44876.791666666664</v>
      </c>
      <c r="BI1403">
        <v>40</v>
      </c>
      <c r="BJ1403">
        <v>0</v>
      </c>
      <c r="BK1403">
        <v>8</v>
      </c>
      <c r="BL1403">
        <v>8</v>
      </c>
      <c r="BM1403">
        <v>8</v>
      </c>
      <c r="BN1403">
        <v>8</v>
      </c>
      <c r="BO1403">
        <v>8</v>
      </c>
      <c r="BP1403">
        <v>0</v>
      </c>
      <c r="BQ1403" t="str">
        <f>"8:00 AM"</f>
        <v>8:00 AM</v>
      </c>
      <c r="BR1403" t="str">
        <f>"5:00 PM"</f>
        <v>5:00 PM</v>
      </c>
      <c r="BS1403" t="s">
        <v>133</v>
      </c>
      <c r="BT1403">
        <v>0</v>
      </c>
      <c r="BU1403">
        <v>0</v>
      </c>
      <c r="BV1403" t="s">
        <v>134</v>
      </c>
      <c r="BX1403" t="s">
        <v>133</v>
      </c>
      <c r="BY1403" t="s">
        <v>3027</v>
      </c>
      <c r="CA1403" t="s">
        <v>1686</v>
      </c>
      <c r="CB1403" t="s">
        <v>1593</v>
      </c>
      <c r="CC1403" s="4" t="str">
        <f>"03909"</f>
        <v>03909</v>
      </c>
      <c r="CD1403" t="s">
        <v>1718</v>
      </c>
      <c r="CE1403" t="s">
        <v>1719</v>
      </c>
      <c r="CF1403" s="6">
        <v>17.5</v>
      </c>
      <c r="CG1403" s="6">
        <v>20</v>
      </c>
      <c r="CH1403" s="6">
        <v>26.25</v>
      </c>
      <c r="CI1403" s="6">
        <v>30</v>
      </c>
      <c r="CJ1403" t="s">
        <v>137</v>
      </c>
      <c r="CL1403" t="s">
        <v>7289</v>
      </c>
      <c r="CO1403" t="s">
        <v>138</v>
      </c>
      <c r="CP1403" t="s">
        <v>114</v>
      </c>
      <c r="CQ1403" t="s">
        <v>114</v>
      </c>
      <c r="CR1403" t="s">
        <v>114</v>
      </c>
      <c r="CS1403" t="s">
        <v>134</v>
      </c>
      <c r="CT1403" t="s">
        <v>114</v>
      </c>
      <c r="CU1403" t="s">
        <v>114</v>
      </c>
      <c r="CV1403" t="s">
        <v>7290</v>
      </c>
      <c r="CW1403" s="5" t="str">
        <f>"+12074510156"</f>
        <v>+12074510156</v>
      </c>
      <c r="CX1403" t="s">
        <v>3030</v>
      </c>
      <c r="CY1403" t="s">
        <v>138</v>
      </c>
      <c r="CZ1403" t="s">
        <v>139</v>
      </c>
      <c r="DA1403" t="s">
        <v>134</v>
      </c>
      <c r="DB1403" t="s">
        <v>134</v>
      </c>
      <c r="DC1403" t="s">
        <v>114</v>
      </c>
      <c r="DD1403" t="s">
        <v>134</v>
      </c>
    </row>
    <row r="1404" spans="1:113" ht="15" customHeight="1" x14ac:dyDescent="0.25">
      <c r="A1404" t="s">
        <v>16230</v>
      </c>
      <c r="B1404" t="s">
        <v>141</v>
      </c>
      <c r="C1404" s="1">
        <v>44896.013678819443</v>
      </c>
      <c r="D1404" s="1">
        <v>44908</v>
      </c>
      <c r="E1404" t="s">
        <v>134</v>
      </c>
      <c r="F1404" t="s">
        <v>1219</v>
      </c>
      <c r="G1404" t="str">
        <f>"37-3011.00"</f>
        <v>37-3011.00</v>
      </c>
      <c r="H1404" t="s">
        <v>335</v>
      </c>
      <c r="I1404">
        <v>3</v>
      </c>
      <c r="K1404" s="1">
        <v>44986</v>
      </c>
      <c r="L1404" s="1">
        <v>45280</v>
      </c>
      <c r="O1404" t="s">
        <v>199</v>
      </c>
      <c r="P1404" t="s">
        <v>12713</v>
      </c>
      <c r="R1404" t="s">
        <v>12714</v>
      </c>
      <c r="T1404" t="s">
        <v>6134</v>
      </c>
      <c r="U1404" t="s">
        <v>848</v>
      </c>
      <c r="V1404" s="4" t="str">
        <f>"11954"</f>
        <v>11954</v>
      </c>
      <c r="W1404" t="s">
        <v>120</v>
      </c>
      <c r="Y1404" s="5">
        <v>16316684224</v>
      </c>
      <c r="AA1404">
        <v>56173</v>
      </c>
      <c r="AB1404" t="s">
        <v>12715</v>
      </c>
      <c r="AC1404" t="s">
        <v>2298</v>
      </c>
      <c r="AE1404" t="s">
        <v>700</v>
      </c>
      <c r="AF1404" t="s">
        <v>12714</v>
      </c>
      <c r="AH1404" t="s">
        <v>6134</v>
      </c>
      <c r="AI1404" t="s">
        <v>848</v>
      </c>
      <c r="AJ1404" s="4" t="str">
        <f>"11954"</f>
        <v>11954</v>
      </c>
      <c r="AK1404" t="s">
        <v>120</v>
      </c>
      <c r="AM1404" s="5">
        <v>16316684224</v>
      </c>
      <c r="AO1404" t="s">
        <v>138</v>
      </c>
      <c r="AP1404" t="s">
        <v>256</v>
      </c>
      <c r="AQ1404" t="s">
        <v>1220</v>
      </c>
      <c r="AR1404" t="s">
        <v>1221</v>
      </c>
      <c r="AT1404" t="s">
        <v>1222</v>
      </c>
      <c r="AV1404" t="s">
        <v>1223</v>
      </c>
      <c r="AW1404" t="s">
        <v>848</v>
      </c>
      <c r="AX1404" s="4" t="str">
        <f>"11590"</f>
        <v>11590</v>
      </c>
      <c r="AY1404" t="s">
        <v>120</v>
      </c>
      <c r="BA1404" s="5">
        <v>15163307168</v>
      </c>
      <c r="BC1404" t="s">
        <v>1224</v>
      </c>
      <c r="BD1404" t="s">
        <v>1225</v>
      </c>
      <c r="BG1404" t="s">
        <v>848</v>
      </c>
      <c r="BH1404" s="1">
        <v>44894.791666666664</v>
      </c>
      <c r="BI1404">
        <v>40</v>
      </c>
      <c r="BJ1404">
        <v>0</v>
      </c>
      <c r="BK1404">
        <v>8</v>
      </c>
      <c r="BL1404">
        <v>8</v>
      </c>
      <c r="BM1404">
        <v>8</v>
      </c>
      <c r="BN1404">
        <v>8</v>
      </c>
      <c r="BO1404">
        <v>8</v>
      </c>
      <c r="BP1404">
        <v>0</v>
      </c>
      <c r="BQ1404" t="str">
        <f>"8:00 AM"</f>
        <v>8:00 AM</v>
      </c>
      <c r="BR1404" t="str">
        <f>"4:00 PM"</f>
        <v>4:00 PM</v>
      </c>
      <c r="BS1404" t="s">
        <v>133</v>
      </c>
      <c r="BT1404">
        <v>0</v>
      </c>
      <c r="BU1404">
        <v>0</v>
      </c>
      <c r="BV1404" t="s">
        <v>134</v>
      </c>
      <c r="BX1404" t="s">
        <v>138</v>
      </c>
      <c r="BY1404" t="s">
        <v>12714</v>
      </c>
      <c r="CA1404" t="s">
        <v>6134</v>
      </c>
      <c r="CB1404" t="s">
        <v>848</v>
      </c>
      <c r="CC1404" s="4" t="str">
        <f>"11954"</f>
        <v>11954</v>
      </c>
      <c r="CD1404" t="s">
        <v>1227</v>
      </c>
      <c r="CE1404" t="s">
        <v>1009</v>
      </c>
      <c r="CF1404" s="6">
        <v>19.940000000000001</v>
      </c>
      <c r="CG1404" s="6">
        <v>19.940000000000001</v>
      </c>
      <c r="CH1404" s="6">
        <v>29.91</v>
      </c>
      <c r="CI1404" s="6">
        <v>29.91</v>
      </c>
      <c r="CJ1404" t="s">
        <v>137</v>
      </c>
      <c r="CK1404" t="s">
        <v>138</v>
      </c>
      <c r="CL1404" t="s">
        <v>12716</v>
      </c>
      <c r="CO1404" t="s">
        <v>138</v>
      </c>
      <c r="CP1404" t="s">
        <v>114</v>
      </c>
      <c r="CQ1404" t="s">
        <v>114</v>
      </c>
      <c r="CR1404" t="s">
        <v>114</v>
      </c>
      <c r="CS1404" t="s">
        <v>134</v>
      </c>
      <c r="CT1404" t="s">
        <v>114</v>
      </c>
      <c r="CU1404" t="s">
        <v>134</v>
      </c>
      <c r="CV1404" t="s">
        <v>219</v>
      </c>
      <c r="CW1404" s="5" t="str">
        <f>"+16316684224"</f>
        <v>+16316684224</v>
      </c>
      <c r="CX1404" t="s">
        <v>12717</v>
      </c>
      <c r="CY1404" t="s">
        <v>138</v>
      </c>
      <c r="CZ1404" t="s">
        <v>139</v>
      </c>
      <c r="DA1404" t="s">
        <v>134</v>
      </c>
      <c r="DB1404" t="s">
        <v>134</v>
      </c>
      <c r="DC1404" t="s">
        <v>114</v>
      </c>
      <c r="DD1404" t="s">
        <v>134</v>
      </c>
    </row>
    <row r="1405" spans="1:113" ht="15" customHeight="1" x14ac:dyDescent="0.25">
      <c r="A1405" t="s">
        <v>11889</v>
      </c>
      <c r="B1405" t="s">
        <v>141</v>
      </c>
      <c r="C1405" s="1">
        <v>44896.009163541668</v>
      </c>
      <c r="D1405" s="1">
        <v>44908</v>
      </c>
      <c r="E1405" t="s">
        <v>134</v>
      </c>
      <c r="F1405" t="s">
        <v>1848</v>
      </c>
      <c r="G1405" t="str">
        <f>"53-7062.00"</f>
        <v>53-7062.00</v>
      </c>
      <c r="H1405" t="s">
        <v>245</v>
      </c>
      <c r="I1405">
        <v>3</v>
      </c>
      <c r="K1405" s="1">
        <v>44986</v>
      </c>
      <c r="L1405" s="1">
        <v>45280</v>
      </c>
      <c r="O1405" t="s">
        <v>199</v>
      </c>
      <c r="P1405" t="s">
        <v>7979</v>
      </c>
      <c r="R1405" t="s">
        <v>7980</v>
      </c>
      <c r="T1405" t="s">
        <v>2742</v>
      </c>
      <c r="U1405" t="s">
        <v>848</v>
      </c>
      <c r="V1405" s="4" t="str">
        <f>"11801"</f>
        <v>11801</v>
      </c>
      <c r="W1405" t="s">
        <v>120</v>
      </c>
      <c r="Y1405" s="5">
        <v>15163388757</v>
      </c>
      <c r="AA1405">
        <v>56173</v>
      </c>
      <c r="AB1405" t="s">
        <v>7981</v>
      </c>
      <c r="AC1405" t="s">
        <v>7982</v>
      </c>
      <c r="AE1405" t="s">
        <v>700</v>
      </c>
      <c r="AF1405" t="s">
        <v>7983</v>
      </c>
      <c r="AH1405" t="s">
        <v>2742</v>
      </c>
      <c r="AI1405" t="s">
        <v>848</v>
      </c>
      <c r="AJ1405" s="4" t="str">
        <f>"11801"</f>
        <v>11801</v>
      </c>
      <c r="AK1405" t="s">
        <v>120</v>
      </c>
      <c r="AM1405" s="5">
        <v>15163388757</v>
      </c>
      <c r="AO1405" t="s">
        <v>138</v>
      </c>
      <c r="AP1405" t="s">
        <v>256</v>
      </c>
      <c r="AQ1405" t="s">
        <v>1220</v>
      </c>
      <c r="AR1405" t="s">
        <v>1221</v>
      </c>
      <c r="AT1405" t="s">
        <v>1222</v>
      </c>
      <c r="AV1405" t="s">
        <v>1223</v>
      </c>
      <c r="AW1405" t="s">
        <v>848</v>
      </c>
      <c r="AX1405" s="4" t="str">
        <f>"11590"</f>
        <v>11590</v>
      </c>
      <c r="AY1405" t="s">
        <v>120</v>
      </c>
      <c r="BA1405" s="5">
        <v>15163307168</v>
      </c>
      <c r="BC1405" t="s">
        <v>1224</v>
      </c>
      <c r="BD1405" t="s">
        <v>1225</v>
      </c>
      <c r="BG1405" t="s">
        <v>848</v>
      </c>
      <c r="BH1405" s="1">
        <v>44893.791666666664</v>
      </c>
      <c r="BI1405">
        <v>40</v>
      </c>
      <c r="BJ1405">
        <v>0</v>
      </c>
      <c r="BK1405">
        <v>8</v>
      </c>
      <c r="BL1405">
        <v>8</v>
      </c>
      <c r="BM1405">
        <v>8</v>
      </c>
      <c r="BN1405">
        <v>8</v>
      </c>
      <c r="BO1405">
        <v>8</v>
      </c>
      <c r="BP1405">
        <v>0</v>
      </c>
      <c r="BQ1405" t="str">
        <f>"8:00 AM"</f>
        <v>8:00 AM</v>
      </c>
      <c r="BR1405" t="str">
        <f>"4:00 PM"</f>
        <v>4:00 PM</v>
      </c>
      <c r="BS1405" t="s">
        <v>133</v>
      </c>
      <c r="BT1405">
        <v>0</v>
      </c>
      <c r="BU1405">
        <v>0</v>
      </c>
      <c r="BV1405" t="s">
        <v>134</v>
      </c>
      <c r="BX1405" t="s">
        <v>138</v>
      </c>
      <c r="BY1405" t="s">
        <v>7983</v>
      </c>
      <c r="CA1405" t="s">
        <v>2742</v>
      </c>
      <c r="CB1405" t="s">
        <v>848</v>
      </c>
      <c r="CC1405" s="4" t="str">
        <f>"11801"</f>
        <v>11801</v>
      </c>
      <c r="CD1405" t="s">
        <v>2194</v>
      </c>
      <c r="CE1405" t="s">
        <v>1009</v>
      </c>
      <c r="CF1405" s="6">
        <v>18.579999999999998</v>
      </c>
      <c r="CG1405" s="6">
        <v>18.579999999999998</v>
      </c>
      <c r="CH1405" s="6">
        <v>27.87</v>
      </c>
      <c r="CI1405" s="6">
        <v>27.87</v>
      </c>
      <c r="CJ1405" t="s">
        <v>137</v>
      </c>
      <c r="CK1405" t="s">
        <v>138</v>
      </c>
      <c r="CL1405" t="s">
        <v>11711</v>
      </c>
      <c r="CO1405" t="s">
        <v>138</v>
      </c>
      <c r="CP1405" t="s">
        <v>114</v>
      </c>
      <c r="CQ1405" t="s">
        <v>114</v>
      </c>
      <c r="CR1405" t="s">
        <v>114</v>
      </c>
      <c r="CS1405" t="s">
        <v>134</v>
      </c>
      <c r="CT1405" t="s">
        <v>114</v>
      </c>
      <c r="CU1405" t="s">
        <v>134</v>
      </c>
      <c r="CV1405" t="s">
        <v>219</v>
      </c>
      <c r="CW1405" s="5" t="str">
        <f>"+15163388757"</f>
        <v>+15163388757</v>
      </c>
      <c r="CX1405" t="s">
        <v>7984</v>
      </c>
      <c r="CY1405" t="s">
        <v>138</v>
      </c>
      <c r="CZ1405" t="s">
        <v>139</v>
      </c>
      <c r="DA1405" t="s">
        <v>134</v>
      </c>
      <c r="DB1405" t="s">
        <v>134</v>
      </c>
      <c r="DC1405" t="s">
        <v>114</v>
      </c>
      <c r="DD1405" t="s">
        <v>134</v>
      </c>
    </row>
    <row r="1406" spans="1:113" ht="15" customHeight="1" x14ac:dyDescent="0.25">
      <c r="A1406" t="s">
        <v>10189</v>
      </c>
      <c r="B1406" t="s">
        <v>141</v>
      </c>
      <c r="C1406" s="1">
        <v>44882.431318287039</v>
      </c>
      <c r="D1406" s="1">
        <v>44908</v>
      </c>
      <c r="E1406" t="s">
        <v>134</v>
      </c>
      <c r="F1406" t="s">
        <v>4469</v>
      </c>
      <c r="G1406" t="str">
        <f>"47-4051.00"</f>
        <v>47-4051.00</v>
      </c>
      <c r="H1406" t="s">
        <v>4349</v>
      </c>
      <c r="I1406">
        <v>20</v>
      </c>
      <c r="K1406" s="1">
        <v>44972</v>
      </c>
      <c r="L1406" s="1">
        <v>45260</v>
      </c>
      <c r="O1406" t="s">
        <v>117</v>
      </c>
      <c r="P1406" t="s">
        <v>5708</v>
      </c>
      <c r="R1406" t="s">
        <v>5709</v>
      </c>
      <c r="S1406" t="s">
        <v>5710</v>
      </c>
      <c r="T1406" t="s">
        <v>5711</v>
      </c>
      <c r="U1406" t="s">
        <v>232</v>
      </c>
      <c r="V1406" s="4" t="str">
        <f>"78010"</f>
        <v>78010</v>
      </c>
      <c r="W1406" t="s">
        <v>120</v>
      </c>
      <c r="Y1406" s="5">
        <v>18306343003</v>
      </c>
      <c r="AA1406">
        <v>2373</v>
      </c>
      <c r="AB1406" t="s">
        <v>843</v>
      </c>
      <c r="AC1406" t="s">
        <v>3548</v>
      </c>
      <c r="AD1406" t="s">
        <v>3020</v>
      </c>
      <c r="AE1406" t="s">
        <v>5712</v>
      </c>
      <c r="AF1406" t="s">
        <v>5709</v>
      </c>
      <c r="AG1406" t="s">
        <v>5710</v>
      </c>
      <c r="AH1406" t="s">
        <v>5711</v>
      </c>
      <c r="AI1406" t="s">
        <v>232</v>
      </c>
      <c r="AJ1406" s="4" t="str">
        <f>"78010"</f>
        <v>78010</v>
      </c>
      <c r="AK1406" t="s">
        <v>120</v>
      </c>
      <c r="AM1406" s="5">
        <v>18306343003</v>
      </c>
      <c r="AO1406" t="s">
        <v>5713</v>
      </c>
      <c r="AP1406" t="s">
        <v>256</v>
      </c>
      <c r="AQ1406" t="s">
        <v>1731</v>
      </c>
      <c r="AR1406" t="s">
        <v>1732</v>
      </c>
      <c r="AS1406" t="s">
        <v>1733</v>
      </c>
      <c r="AT1406" t="s">
        <v>1734</v>
      </c>
      <c r="AU1406" t="s">
        <v>1735</v>
      </c>
      <c r="AV1406" t="s">
        <v>1736</v>
      </c>
      <c r="AW1406" t="s">
        <v>479</v>
      </c>
      <c r="AX1406" s="4" t="str">
        <f>"24521"</f>
        <v>24521</v>
      </c>
      <c r="AY1406" t="s">
        <v>120</v>
      </c>
      <c r="AZ1406" t="s">
        <v>2983</v>
      </c>
      <c r="BA1406" s="5">
        <v>14349460035</v>
      </c>
      <c r="BB1406">
        <v>11</v>
      </c>
      <c r="BC1406" t="s">
        <v>1737</v>
      </c>
      <c r="BD1406" t="s">
        <v>1738</v>
      </c>
      <c r="BG1406" t="s">
        <v>232</v>
      </c>
      <c r="BH1406" s="1">
        <v>44881.791666666664</v>
      </c>
      <c r="BI1406">
        <v>45</v>
      </c>
      <c r="BJ1406">
        <v>0</v>
      </c>
      <c r="BK1406">
        <v>9</v>
      </c>
      <c r="BL1406">
        <v>9</v>
      </c>
      <c r="BM1406">
        <v>9</v>
      </c>
      <c r="BN1406">
        <v>9</v>
      </c>
      <c r="BO1406">
        <v>9</v>
      </c>
      <c r="BP1406">
        <v>0</v>
      </c>
      <c r="BQ1406" t="str">
        <f>"7:00 AM"</f>
        <v>7:00 AM</v>
      </c>
      <c r="BR1406" t="str">
        <f>"5:00 PM"</f>
        <v>5:00 PM</v>
      </c>
      <c r="BS1406" t="s">
        <v>133</v>
      </c>
      <c r="BT1406">
        <v>0</v>
      </c>
      <c r="BU1406">
        <v>0</v>
      </c>
      <c r="BV1406" t="s">
        <v>134</v>
      </c>
      <c r="BX1406" s="2" t="s">
        <v>10190</v>
      </c>
      <c r="BY1406" t="s">
        <v>5709</v>
      </c>
      <c r="CA1406" t="s">
        <v>5711</v>
      </c>
      <c r="CB1406" t="s">
        <v>232</v>
      </c>
      <c r="CC1406" s="4" t="str">
        <f>"78010"</f>
        <v>78010</v>
      </c>
      <c r="CD1406" t="s">
        <v>5714</v>
      </c>
      <c r="CE1406" t="s">
        <v>1550</v>
      </c>
      <c r="CF1406" s="6">
        <v>20.190000000000001</v>
      </c>
      <c r="CG1406" s="6">
        <v>20.190000000000001</v>
      </c>
      <c r="CH1406" s="6">
        <v>30.29</v>
      </c>
      <c r="CI1406" s="6">
        <v>30.29</v>
      </c>
      <c r="CJ1406" t="s">
        <v>137</v>
      </c>
      <c r="CK1406" t="s">
        <v>2162</v>
      </c>
      <c r="CL1406" t="s">
        <v>5715</v>
      </c>
      <c r="CO1406" t="s">
        <v>138</v>
      </c>
      <c r="CP1406" t="s">
        <v>114</v>
      </c>
      <c r="CQ1406" t="s">
        <v>114</v>
      </c>
      <c r="CR1406" t="s">
        <v>114</v>
      </c>
      <c r="CS1406" t="s">
        <v>134</v>
      </c>
      <c r="CT1406" t="s">
        <v>114</v>
      </c>
      <c r="CU1406" t="s">
        <v>114</v>
      </c>
      <c r="CV1406" t="s">
        <v>10191</v>
      </c>
      <c r="CW1406" s="5" t="str">
        <f>"+18306343003"</f>
        <v>+18306343003</v>
      </c>
      <c r="CX1406" t="s">
        <v>5713</v>
      </c>
      <c r="CY1406" t="s">
        <v>138</v>
      </c>
      <c r="CZ1406" t="s">
        <v>139</v>
      </c>
      <c r="DA1406" t="s">
        <v>134</v>
      </c>
      <c r="DB1406" t="s">
        <v>114</v>
      </c>
      <c r="DC1406" t="s">
        <v>114</v>
      </c>
      <c r="DD1406" t="s">
        <v>134</v>
      </c>
    </row>
    <row r="1407" spans="1:113" ht="15" customHeight="1" x14ac:dyDescent="0.25">
      <c r="A1407" t="s">
        <v>11912</v>
      </c>
      <c r="B1407" t="s">
        <v>141</v>
      </c>
      <c r="C1407" s="1">
        <v>44907.686054282407</v>
      </c>
      <c r="D1407" s="1">
        <v>44907</v>
      </c>
      <c r="E1407" t="s">
        <v>134</v>
      </c>
      <c r="F1407" t="s">
        <v>1229</v>
      </c>
      <c r="G1407" t="str">
        <f>"35-9031.00"</f>
        <v>35-9031.00</v>
      </c>
      <c r="H1407" t="s">
        <v>1230</v>
      </c>
      <c r="I1407">
        <v>12</v>
      </c>
      <c r="K1407" s="1">
        <v>44990</v>
      </c>
      <c r="L1407" s="1">
        <v>45260</v>
      </c>
      <c r="O1407" t="s">
        <v>117</v>
      </c>
      <c r="P1407" t="s">
        <v>6228</v>
      </c>
      <c r="R1407" t="s">
        <v>6229</v>
      </c>
      <c r="T1407" t="s">
        <v>6230</v>
      </c>
      <c r="U1407" t="s">
        <v>394</v>
      </c>
      <c r="V1407" s="4" t="str">
        <f>"29928"</f>
        <v>29928</v>
      </c>
      <c r="W1407" t="s">
        <v>120</v>
      </c>
      <c r="Y1407" s="5">
        <v>18438421896</v>
      </c>
      <c r="AA1407">
        <v>72111</v>
      </c>
      <c r="AB1407" t="s">
        <v>6231</v>
      </c>
      <c r="AC1407" t="s">
        <v>6232</v>
      </c>
      <c r="AE1407" t="s">
        <v>845</v>
      </c>
      <c r="AF1407" t="s">
        <v>6233</v>
      </c>
      <c r="AH1407" t="s">
        <v>408</v>
      </c>
      <c r="AI1407" t="s">
        <v>394</v>
      </c>
      <c r="AJ1407" s="4" t="str">
        <f>"29928"</f>
        <v>29928</v>
      </c>
      <c r="AK1407" t="s">
        <v>120</v>
      </c>
      <c r="AM1407" s="5">
        <v>18438421882</v>
      </c>
      <c r="AO1407" t="s">
        <v>6234</v>
      </c>
      <c r="AP1407" t="s">
        <v>256</v>
      </c>
      <c r="AQ1407" t="s">
        <v>400</v>
      </c>
      <c r="AR1407" t="s">
        <v>401</v>
      </c>
      <c r="AS1407" t="s">
        <v>397</v>
      </c>
      <c r="AT1407" t="s">
        <v>402</v>
      </c>
      <c r="AU1407" t="s">
        <v>152</v>
      </c>
      <c r="AV1407" t="s">
        <v>403</v>
      </c>
      <c r="AW1407" t="s">
        <v>232</v>
      </c>
      <c r="AX1407" s="4" t="str">
        <f>"75033"</f>
        <v>75033</v>
      </c>
      <c r="AY1407" t="s">
        <v>120</v>
      </c>
      <c r="BA1407" s="5">
        <v>19727789690</v>
      </c>
      <c r="BC1407" t="s">
        <v>905</v>
      </c>
      <c r="BD1407" t="s">
        <v>405</v>
      </c>
      <c r="BG1407" t="s">
        <v>394</v>
      </c>
      <c r="BH1407" s="1">
        <v>44906.791666666664</v>
      </c>
      <c r="BI1407">
        <v>40</v>
      </c>
      <c r="BJ1407">
        <v>8</v>
      </c>
      <c r="BK1407">
        <v>0</v>
      </c>
      <c r="BL1407">
        <v>0</v>
      </c>
      <c r="BM1407">
        <v>8</v>
      </c>
      <c r="BN1407">
        <v>8</v>
      </c>
      <c r="BO1407">
        <v>8</v>
      </c>
      <c r="BP1407">
        <v>8</v>
      </c>
      <c r="BQ1407" t="str">
        <f>"7:00 AM"</f>
        <v>7:00 AM</v>
      </c>
      <c r="BR1407" t="str">
        <f>"3:00 PM"</f>
        <v>3:00 PM</v>
      </c>
      <c r="BS1407" t="s">
        <v>133</v>
      </c>
      <c r="BT1407">
        <v>0</v>
      </c>
      <c r="BU1407">
        <v>0</v>
      </c>
      <c r="BV1407" t="s">
        <v>134</v>
      </c>
      <c r="BX1407" s="2" t="s">
        <v>11913</v>
      </c>
      <c r="BY1407" t="s">
        <v>6229</v>
      </c>
      <c r="CA1407" t="s">
        <v>408</v>
      </c>
      <c r="CB1407" t="s">
        <v>394</v>
      </c>
      <c r="CC1407" s="4" t="str">
        <f>"29928"</f>
        <v>29928</v>
      </c>
      <c r="CD1407" t="s">
        <v>409</v>
      </c>
      <c r="CE1407" t="s">
        <v>410</v>
      </c>
      <c r="CF1407" s="6">
        <v>11.08</v>
      </c>
      <c r="CH1407" s="6">
        <v>16.62</v>
      </c>
      <c r="CJ1407" t="s">
        <v>137</v>
      </c>
      <c r="CK1407" t="s">
        <v>2095</v>
      </c>
      <c r="CL1407" t="s">
        <v>9887</v>
      </c>
      <c r="CO1407" t="s">
        <v>138</v>
      </c>
      <c r="CP1407" t="s">
        <v>134</v>
      </c>
      <c r="CQ1407" t="s">
        <v>114</v>
      </c>
      <c r="CR1407" t="s">
        <v>114</v>
      </c>
      <c r="CS1407" t="s">
        <v>114</v>
      </c>
      <c r="CT1407" t="s">
        <v>114</v>
      </c>
      <c r="CU1407" t="s">
        <v>114</v>
      </c>
      <c r="CV1407" s="2" t="s">
        <v>6238</v>
      </c>
      <c r="CW1407" s="5" t="str">
        <f>"+18438421896"</f>
        <v>+18438421896</v>
      </c>
      <c r="CX1407" t="s">
        <v>138</v>
      </c>
      <c r="CY1407" t="s">
        <v>6239</v>
      </c>
      <c r="CZ1407" t="s">
        <v>139</v>
      </c>
      <c r="DA1407" t="s">
        <v>134</v>
      </c>
      <c r="DB1407" t="s">
        <v>114</v>
      </c>
      <c r="DC1407" t="s">
        <v>114</v>
      </c>
      <c r="DD1407" t="s">
        <v>134</v>
      </c>
    </row>
    <row r="1408" spans="1:113" ht="15" customHeight="1" x14ac:dyDescent="0.25">
      <c r="A1408" t="s">
        <v>6227</v>
      </c>
      <c r="B1408" t="s">
        <v>141</v>
      </c>
      <c r="C1408" s="1">
        <v>44907.680718634256</v>
      </c>
      <c r="D1408" s="1">
        <v>44907</v>
      </c>
      <c r="E1408" t="s">
        <v>134</v>
      </c>
      <c r="F1408" t="s">
        <v>742</v>
      </c>
      <c r="G1408" t="str">
        <f>"35-9011.00"</f>
        <v>35-9011.00</v>
      </c>
      <c r="H1408" t="s">
        <v>743</v>
      </c>
      <c r="I1408">
        <v>8</v>
      </c>
      <c r="K1408" s="1">
        <v>44990</v>
      </c>
      <c r="L1408" s="1">
        <v>45260</v>
      </c>
      <c r="O1408" t="s">
        <v>117</v>
      </c>
      <c r="P1408" t="s">
        <v>6228</v>
      </c>
      <c r="R1408" t="s">
        <v>6229</v>
      </c>
      <c r="T1408" t="s">
        <v>6230</v>
      </c>
      <c r="U1408" t="s">
        <v>394</v>
      </c>
      <c r="V1408" s="4" t="str">
        <f>"29928"</f>
        <v>29928</v>
      </c>
      <c r="W1408" t="s">
        <v>120</v>
      </c>
      <c r="Y1408" s="5">
        <v>18438421896</v>
      </c>
      <c r="AA1408">
        <v>72111</v>
      </c>
      <c r="AB1408" t="s">
        <v>6231</v>
      </c>
      <c r="AC1408" t="s">
        <v>6232</v>
      </c>
      <c r="AE1408" t="s">
        <v>845</v>
      </c>
      <c r="AF1408" t="s">
        <v>6233</v>
      </c>
      <c r="AH1408" t="s">
        <v>408</v>
      </c>
      <c r="AI1408" t="s">
        <v>394</v>
      </c>
      <c r="AJ1408" s="4" t="str">
        <f>"29928"</f>
        <v>29928</v>
      </c>
      <c r="AK1408" t="s">
        <v>120</v>
      </c>
      <c r="AM1408" s="5">
        <v>18438421882</v>
      </c>
      <c r="AO1408" t="s">
        <v>6234</v>
      </c>
      <c r="AP1408" t="s">
        <v>256</v>
      </c>
      <c r="AQ1408" t="s">
        <v>400</v>
      </c>
      <c r="AR1408" t="s">
        <v>401</v>
      </c>
      <c r="AS1408" t="s">
        <v>397</v>
      </c>
      <c r="AT1408" t="s">
        <v>402</v>
      </c>
      <c r="AU1408" t="s">
        <v>152</v>
      </c>
      <c r="AV1408" t="s">
        <v>403</v>
      </c>
      <c r="AW1408" t="s">
        <v>232</v>
      </c>
      <c r="AX1408" s="4" t="str">
        <f>"75033"</f>
        <v>75033</v>
      </c>
      <c r="AY1408" t="s">
        <v>120</v>
      </c>
      <c r="BA1408" s="5">
        <v>19727789690</v>
      </c>
      <c r="BC1408" t="s">
        <v>905</v>
      </c>
      <c r="BD1408" t="s">
        <v>405</v>
      </c>
      <c r="BG1408" t="s">
        <v>394</v>
      </c>
      <c r="BH1408" s="1">
        <v>44906.791666666664</v>
      </c>
      <c r="BI1408">
        <v>40</v>
      </c>
      <c r="BJ1408">
        <v>7</v>
      </c>
      <c r="BK1408">
        <v>0</v>
      </c>
      <c r="BL1408">
        <v>7</v>
      </c>
      <c r="BM1408">
        <v>7</v>
      </c>
      <c r="BN1408">
        <v>7</v>
      </c>
      <c r="BO1408">
        <v>7</v>
      </c>
      <c r="BP1408">
        <v>5</v>
      </c>
      <c r="BQ1408" t="str">
        <f>"6:30 AM"</f>
        <v>6:30 AM</v>
      </c>
      <c r="BR1408" t="str">
        <f>"3:30 PM"</f>
        <v>3:30 PM</v>
      </c>
      <c r="BS1408" t="s">
        <v>133</v>
      </c>
      <c r="BT1408">
        <v>0</v>
      </c>
      <c r="BU1408">
        <v>0</v>
      </c>
      <c r="BV1408" t="s">
        <v>134</v>
      </c>
      <c r="BX1408" s="2" t="s">
        <v>6235</v>
      </c>
      <c r="BY1408" t="s">
        <v>6229</v>
      </c>
      <c r="CA1408" t="s">
        <v>408</v>
      </c>
      <c r="CB1408" t="s">
        <v>394</v>
      </c>
      <c r="CC1408" s="4" t="str">
        <f>"29928"</f>
        <v>29928</v>
      </c>
      <c r="CD1408" t="s">
        <v>409</v>
      </c>
      <c r="CE1408" t="s">
        <v>410</v>
      </c>
      <c r="CF1408" s="6">
        <v>11.5</v>
      </c>
      <c r="CH1408" s="6">
        <v>17.25</v>
      </c>
      <c r="CJ1408" t="s">
        <v>137</v>
      </c>
      <c r="CK1408" t="s">
        <v>6236</v>
      </c>
      <c r="CL1408" t="s">
        <v>6237</v>
      </c>
      <c r="CO1408" t="s">
        <v>138</v>
      </c>
      <c r="CP1408" t="s">
        <v>134</v>
      </c>
      <c r="CQ1408" t="s">
        <v>114</v>
      </c>
      <c r="CR1408" t="s">
        <v>114</v>
      </c>
      <c r="CS1408" t="s">
        <v>114</v>
      </c>
      <c r="CT1408" t="s">
        <v>114</v>
      </c>
      <c r="CU1408" t="s">
        <v>114</v>
      </c>
      <c r="CV1408" s="2" t="s">
        <v>6238</v>
      </c>
      <c r="CW1408" s="5" t="str">
        <f>"+18438421896"</f>
        <v>+18438421896</v>
      </c>
      <c r="CX1408" t="s">
        <v>138</v>
      </c>
      <c r="CY1408" t="s">
        <v>6239</v>
      </c>
      <c r="CZ1408" t="s">
        <v>139</v>
      </c>
      <c r="DA1408" t="s">
        <v>134</v>
      </c>
      <c r="DB1408" t="s">
        <v>114</v>
      </c>
      <c r="DC1408" t="s">
        <v>114</v>
      </c>
      <c r="DD1408" t="s">
        <v>134</v>
      </c>
    </row>
    <row r="1409" spans="1:113" ht="15" customHeight="1" x14ac:dyDescent="0.25">
      <c r="A1409" t="s">
        <v>11094</v>
      </c>
      <c r="B1409" t="s">
        <v>141</v>
      </c>
      <c r="C1409" s="1">
        <v>44901.724506134262</v>
      </c>
      <c r="D1409" s="1">
        <v>44907</v>
      </c>
      <c r="E1409" t="s">
        <v>134</v>
      </c>
      <c r="F1409" t="s">
        <v>1662</v>
      </c>
      <c r="G1409" t="str">
        <f>"37-3011.00"</f>
        <v>37-3011.00</v>
      </c>
      <c r="H1409" t="s">
        <v>335</v>
      </c>
      <c r="I1409">
        <v>114</v>
      </c>
      <c r="K1409" s="1">
        <v>44986</v>
      </c>
      <c r="L1409" s="1">
        <v>45240</v>
      </c>
      <c r="O1409" t="s">
        <v>117</v>
      </c>
      <c r="P1409" t="s">
        <v>11095</v>
      </c>
      <c r="R1409" t="s">
        <v>11096</v>
      </c>
      <c r="S1409" t="s">
        <v>3937</v>
      </c>
      <c r="T1409" t="s">
        <v>4581</v>
      </c>
      <c r="U1409" t="s">
        <v>232</v>
      </c>
      <c r="V1409" s="4" t="str">
        <f>"75050"</f>
        <v>75050</v>
      </c>
      <c r="W1409" t="s">
        <v>120</v>
      </c>
      <c r="Y1409" s="5">
        <v>12143174360</v>
      </c>
      <c r="AA1409">
        <v>56173</v>
      </c>
      <c r="AB1409" t="s">
        <v>3938</v>
      </c>
      <c r="AC1409" t="s">
        <v>2010</v>
      </c>
      <c r="AE1409" t="s">
        <v>3939</v>
      </c>
      <c r="AF1409" t="s">
        <v>7931</v>
      </c>
      <c r="AH1409" t="s">
        <v>338</v>
      </c>
      <c r="AI1409" t="s">
        <v>339</v>
      </c>
      <c r="AJ1409" s="4" t="str">
        <f>"21703"</f>
        <v>21703</v>
      </c>
      <c r="AK1409" t="s">
        <v>120</v>
      </c>
      <c r="AM1409" s="5">
        <v>12158524610</v>
      </c>
      <c r="AO1409" t="s">
        <v>3941</v>
      </c>
      <c r="AP1409" t="s">
        <v>256</v>
      </c>
      <c r="AQ1409" t="s">
        <v>475</v>
      </c>
      <c r="AR1409" t="s">
        <v>476</v>
      </c>
      <c r="AT1409" t="s">
        <v>1471</v>
      </c>
      <c r="AU1409" t="s">
        <v>1472</v>
      </c>
      <c r="AV1409" t="s">
        <v>1473</v>
      </c>
      <c r="AW1409" t="s">
        <v>479</v>
      </c>
      <c r="AX1409" s="4" t="str">
        <f>"22949"</f>
        <v>22949</v>
      </c>
      <c r="AY1409" t="s">
        <v>120</v>
      </c>
      <c r="BA1409" s="5">
        <v>14342634300</v>
      </c>
      <c r="BC1409" t="s">
        <v>1664</v>
      </c>
      <c r="BD1409" t="s">
        <v>481</v>
      </c>
      <c r="BG1409" t="s">
        <v>232</v>
      </c>
      <c r="BH1409" s="1">
        <v>44900.791666666664</v>
      </c>
      <c r="BI1409">
        <v>35</v>
      </c>
      <c r="BJ1409">
        <v>0</v>
      </c>
      <c r="BK1409">
        <v>8.75</v>
      </c>
      <c r="BL1409">
        <v>8.75</v>
      </c>
      <c r="BM1409">
        <v>8.75</v>
      </c>
      <c r="BN1409">
        <v>8.75</v>
      </c>
      <c r="BO1409">
        <v>0</v>
      </c>
      <c r="BP1409">
        <v>0</v>
      </c>
      <c r="BQ1409" t="str">
        <f>"6:30 AM"</f>
        <v>6:30 AM</v>
      </c>
      <c r="BR1409" t="str">
        <f>"3:45 PM"</f>
        <v>3:45 PM</v>
      </c>
      <c r="BS1409" t="s">
        <v>133</v>
      </c>
      <c r="BT1409">
        <v>0</v>
      </c>
      <c r="BU1409">
        <v>3</v>
      </c>
      <c r="BV1409" t="s">
        <v>134</v>
      </c>
      <c r="BX1409" s="2" t="s">
        <v>11097</v>
      </c>
      <c r="BY1409" t="s">
        <v>11096</v>
      </c>
      <c r="CA1409" t="s">
        <v>4581</v>
      </c>
      <c r="CB1409" t="s">
        <v>232</v>
      </c>
      <c r="CC1409" s="4" t="str">
        <f>"75050"</f>
        <v>75050</v>
      </c>
      <c r="CD1409" t="s">
        <v>2054</v>
      </c>
      <c r="CE1409" t="s">
        <v>1528</v>
      </c>
      <c r="CF1409" s="6">
        <v>16.3</v>
      </c>
      <c r="CH1409" s="6">
        <v>24.45</v>
      </c>
      <c r="CJ1409" t="s">
        <v>137</v>
      </c>
      <c r="CK1409" t="s">
        <v>487</v>
      </c>
      <c r="CL1409" t="s">
        <v>11098</v>
      </c>
      <c r="CO1409" t="s">
        <v>138</v>
      </c>
      <c r="CP1409" t="s">
        <v>114</v>
      </c>
      <c r="CQ1409" t="s">
        <v>134</v>
      </c>
      <c r="CR1409" t="s">
        <v>114</v>
      </c>
      <c r="CS1409" t="s">
        <v>134</v>
      </c>
      <c r="CT1409" t="s">
        <v>114</v>
      </c>
      <c r="CU1409" t="s">
        <v>114</v>
      </c>
      <c r="CV1409" t="s">
        <v>11099</v>
      </c>
      <c r="CW1409" s="5" t="str">
        <f>"N/A"</f>
        <v>N/A</v>
      </c>
      <c r="CX1409" t="s">
        <v>3941</v>
      </c>
      <c r="CY1409" t="s">
        <v>953</v>
      </c>
      <c r="CZ1409" t="s">
        <v>139</v>
      </c>
      <c r="DA1409" t="s">
        <v>134</v>
      </c>
      <c r="DB1409" t="s">
        <v>114</v>
      </c>
      <c r="DC1409" t="s">
        <v>114</v>
      </c>
      <c r="DD1409" t="s">
        <v>134</v>
      </c>
      <c r="DE1409" t="s">
        <v>1669</v>
      </c>
      <c r="DF1409" t="s">
        <v>1670</v>
      </c>
      <c r="DH1409" t="s">
        <v>481</v>
      </c>
      <c r="DI1409" t="s">
        <v>1664</v>
      </c>
    </row>
    <row r="1410" spans="1:113" ht="15" customHeight="1" x14ac:dyDescent="0.25">
      <c r="A1410" t="s">
        <v>7305</v>
      </c>
      <c r="B1410" t="s">
        <v>141</v>
      </c>
      <c r="C1410" s="1">
        <v>44896.062103587959</v>
      </c>
      <c r="D1410" s="1">
        <v>44907</v>
      </c>
      <c r="E1410" t="s">
        <v>134</v>
      </c>
      <c r="F1410" t="s">
        <v>1219</v>
      </c>
      <c r="G1410" t="str">
        <f>"37-3011.00"</f>
        <v>37-3011.00</v>
      </c>
      <c r="H1410" t="s">
        <v>335</v>
      </c>
      <c r="I1410">
        <v>2</v>
      </c>
      <c r="K1410" s="1">
        <v>44986</v>
      </c>
      <c r="L1410" s="1">
        <v>45275</v>
      </c>
      <c r="O1410" t="s">
        <v>199</v>
      </c>
      <c r="P1410" t="s">
        <v>7306</v>
      </c>
      <c r="R1410" t="s">
        <v>7307</v>
      </c>
      <c r="S1410" t="s">
        <v>7308</v>
      </c>
      <c r="T1410" t="s">
        <v>1223</v>
      </c>
      <c r="U1410" t="s">
        <v>848</v>
      </c>
      <c r="V1410" s="4" t="str">
        <f>"11590"</f>
        <v>11590</v>
      </c>
      <c r="W1410" t="s">
        <v>120</v>
      </c>
      <c r="Y1410" s="5">
        <v>15168768544</v>
      </c>
      <c r="AA1410">
        <v>56173</v>
      </c>
      <c r="AB1410" t="s">
        <v>7309</v>
      </c>
      <c r="AC1410" t="s">
        <v>7310</v>
      </c>
      <c r="AE1410" t="s">
        <v>700</v>
      </c>
      <c r="AF1410" t="s">
        <v>7307</v>
      </c>
      <c r="AG1410" t="s">
        <v>7311</v>
      </c>
      <c r="AH1410" t="s">
        <v>1223</v>
      </c>
      <c r="AI1410" t="s">
        <v>848</v>
      </c>
      <c r="AJ1410" s="4" t="str">
        <f>"11590"</f>
        <v>11590</v>
      </c>
      <c r="AK1410" t="s">
        <v>120</v>
      </c>
      <c r="AM1410" s="5">
        <v>15168768544</v>
      </c>
      <c r="AO1410" t="s">
        <v>138</v>
      </c>
      <c r="AP1410" t="s">
        <v>256</v>
      </c>
      <c r="AQ1410" t="s">
        <v>1220</v>
      </c>
      <c r="AR1410" t="s">
        <v>1221</v>
      </c>
      <c r="AT1410" t="s">
        <v>1222</v>
      </c>
      <c r="AV1410" t="s">
        <v>1223</v>
      </c>
      <c r="AW1410" t="s">
        <v>848</v>
      </c>
      <c r="AX1410" s="4" t="str">
        <f t="shared" ref="AX1410:AX1418" si="58">"11590"</f>
        <v>11590</v>
      </c>
      <c r="AY1410" t="s">
        <v>120</v>
      </c>
      <c r="BA1410" s="5">
        <v>15163307168</v>
      </c>
      <c r="BC1410" t="s">
        <v>1224</v>
      </c>
      <c r="BD1410" t="s">
        <v>1225</v>
      </c>
      <c r="BG1410" t="s">
        <v>848</v>
      </c>
      <c r="BH1410" s="1">
        <v>44837.833333333336</v>
      </c>
      <c r="BI1410">
        <v>40</v>
      </c>
      <c r="BJ1410">
        <v>0</v>
      </c>
      <c r="BK1410">
        <v>8</v>
      </c>
      <c r="BL1410">
        <v>8</v>
      </c>
      <c r="BM1410">
        <v>8</v>
      </c>
      <c r="BN1410">
        <v>8</v>
      </c>
      <c r="BO1410">
        <v>8</v>
      </c>
      <c r="BP1410">
        <v>0</v>
      </c>
      <c r="BQ1410" t="str">
        <f t="shared" ref="BQ1410:BQ1418" si="59">"8:00 AM"</f>
        <v>8:00 AM</v>
      </c>
      <c r="BR1410" t="str">
        <f>"4:00 PM"</f>
        <v>4:00 PM</v>
      </c>
      <c r="BS1410" t="s">
        <v>133</v>
      </c>
      <c r="BT1410">
        <v>0</v>
      </c>
      <c r="BU1410">
        <v>0</v>
      </c>
      <c r="BV1410" t="s">
        <v>134</v>
      </c>
      <c r="BX1410" t="s">
        <v>138</v>
      </c>
      <c r="BY1410" t="s">
        <v>7307</v>
      </c>
      <c r="CA1410" t="s">
        <v>1223</v>
      </c>
      <c r="CB1410" t="s">
        <v>848</v>
      </c>
      <c r="CC1410" s="4" t="str">
        <f>"11590"</f>
        <v>11590</v>
      </c>
      <c r="CD1410" t="s">
        <v>2194</v>
      </c>
      <c r="CE1410" t="s">
        <v>1009</v>
      </c>
      <c r="CF1410" s="6">
        <v>19.940000000000001</v>
      </c>
      <c r="CG1410" s="6">
        <v>19.940000000000001</v>
      </c>
      <c r="CH1410" s="6">
        <v>29.91</v>
      </c>
      <c r="CI1410" s="6">
        <v>29.91</v>
      </c>
      <c r="CJ1410" t="s">
        <v>137</v>
      </c>
      <c r="CK1410" t="s">
        <v>138</v>
      </c>
      <c r="CL1410" t="s">
        <v>7312</v>
      </c>
      <c r="CO1410" t="s">
        <v>138</v>
      </c>
      <c r="CP1410" t="s">
        <v>114</v>
      </c>
      <c r="CQ1410" t="s">
        <v>114</v>
      </c>
      <c r="CR1410" t="s">
        <v>114</v>
      </c>
      <c r="CS1410" t="s">
        <v>134</v>
      </c>
      <c r="CT1410" t="s">
        <v>114</v>
      </c>
      <c r="CU1410" t="s">
        <v>134</v>
      </c>
      <c r="CV1410" t="s">
        <v>219</v>
      </c>
      <c r="CW1410" s="5" t="str">
        <f>"+15168768544"</f>
        <v>+15168768544</v>
      </c>
      <c r="CX1410" t="s">
        <v>7313</v>
      </c>
      <c r="CY1410" t="s">
        <v>138</v>
      </c>
      <c r="CZ1410" t="s">
        <v>139</v>
      </c>
      <c r="DA1410" t="s">
        <v>134</v>
      </c>
      <c r="DB1410" t="s">
        <v>134</v>
      </c>
      <c r="DC1410" t="s">
        <v>114</v>
      </c>
      <c r="DD1410" t="s">
        <v>134</v>
      </c>
    </row>
    <row r="1411" spans="1:113" ht="15" customHeight="1" x14ac:dyDescent="0.25">
      <c r="A1411" t="s">
        <v>11136</v>
      </c>
      <c r="B1411" t="s">
        <v>141</v>
      </c>
      <c r="C1411" s="1">
        <v>44896.027414467593</v>
      </c>
      <c r="D1411" s="1">
        <v>44907</v>
      </c>
      <c r="E1411" t="s">
        <v>134</v>
      </c>
      <c r="F1411" t="s">
        <v>1219</v>
      </c>
      <c r="G1411" t="str">
        <f>"37-3011.00"</f>
        <v>37-3011.00</v>
      </c>
      <c r="H1411" t="s">
        <v>335</v>
      </c>
      <c r="I1411">
        <v>50</v>
      </c>
      <c r="K1411" s="1">
        <v>44986</v>
      </c>
      <c r="L1411" s="1">
        <v>45275</v>
      </c>
      <c r="O1411" t="s">
        <v>199</v>
      </c>
      <c r="P1411" t="s">
        <v>11130</v>
      </c>
      <c r="R1411" t="s">
        <v>11131</v>
      </c>
      <c r="T1411" t="s">
        <v>11132</v>
      </c>
      <c r="U1411" t="s">
        <v>697</v>
      </c>
      <c r="V1411" s="4" t="str">
        <f>"64081"</f>
        <v>64081</v>
      </c>
      <c r="W1411" t="s">
        <v>120</v>
      </c>
      <c r="Y1411" s="5">
        <v>18165240010</v>
      </c>
      <c r="AA1411">
        <v>56173</v>
      </c>
      <c r="AB1411" t="s">
        <v>2587</v>
      </c>
      <c r="AC1411" t="s">
        <v>8986</v>
      </c>
      <c r="AE1411" t="s">
        <v>700</v>
      </c>
      <c r="AF1411" t="s">
        <v>11131</v>
      </c>
      <c r="AH1411" t="s">
        <v>11132</v>
      </c>
      <c r="AI1411" t="s">
        <v>697</v>
      </c>
      <c r="AJ1411" s="4" t="str">
        <f>"64081"</f>
        <v>64081</v>
      </c>
      <c r="AK1411" t="s">
        <v>120</v>
      </c>
      <c r="AM1411" s="5">
        <v>18165240010</v>
      </c>
      <c r="AO1411" t="s">
        <v>138</v>
      </c>
      <c r="AP1411" t="s">
        <v>256</v>
      </c>
      <c r="AQ1411" t="s">
        <v>1220</v>
      </c>
      <c r="AR1411" t="s">
        <v>1221</v>
      </c>
      <c r="AT1411" t="s">
        <v>1222</v>
      </c>
      <c r="AV1411" t="s">
        <v>1223</v>
      </c>
      <c r="AW1411" t="s">
        <v>848</v>
      </c>
      <c r="AX1411" s="4" t="str">
        <f t="shared" si="58"/>
        <v>11590</v>
      </c>
      <c r="AY1411" t="s">
        <v>120</v>
      </c>
      <c r="BA1411" s="5">
        <v>15163307168</v>
      </c>
      <c r="BC1411" t="s">
        <v>1224</v>
      </c>
      <c r="BD1411" t="s">
        <v>1225</v>
      </c>
      <c r="BG1411" t="s">
        <v>697</v>
      </c>
      <c r="BH1411" s="1">
        <v>44879.791666666664</v>
      </c>
      <c r="BI1411">
        <v>40</v>
      </c>
      <c r="BJ1411">
        <v>0</v>
      </c>
      <c r="BK1411">
        <v>8</v>
      </c>
      <c r="BL1411">
        <v>8</v>
      </c>
      <c r="BM1411">
        <v>8</v>
      </c>
      <c r="BN1411">
        <v>8</v>
      </c>
      <c r="BO1411">
        <v>8</v>
      </c>
      <c r="BP1411">
        <v>0</v>
      </c>
      <c r="BQ1411" t="str">
        <f t="shared" si="59"/>
        <v>8:00 AM</v>
      </c>
      <c r="BR1411" t="str">
        <f>"5:00 PM"</f>
        <v>5:00 PM</v>
      </c>
      <c r="BS1411" t="s">
        <v>133</v>
      </c>
      <c r="BT1411">
        <v>0</v>
      </c>
      <c r="BU1411">
        <v>0</v>
      </c>
      <c r="BV1411" t="s">
        <v>134</v>
      </c>
      <c r="BX1411" t="s">
        <v>133</v>
      </c>
      <c r="BY1411" t="s">
        <v>11131</v>
      </c>
      <c r="CA1411" t="s">
        <v>11132</v>
      </c>
      <c r="CB1411" t="s">
        <v>697</v>
      </c>
      <c r="CC1411" s="4" t="str">
        <f>"64081"</f>
        <v>64081</v>
      </c>
      <c r="CD1411" t="s">
        <v>1116</v>
      </c>
      <c r="CE1411" t="s">
        <v>1290</v>
      </c>
      <c r="CF1411" s="6">
        <v>17</v>
      </c>
      <c r="CG1411" s="6">
        <v>24</v>
      </c>
      <c r="CH1411" s="6">
        <v>25.5</v>
      </c>
      <c r="CI1411" s="6">
        <v>36</v>
      </c>
      <c r="CJ1411" t="s">
        <v>137</v>
      </c>
      <c r="CL1411" t="s">
        <v>11137</v>
      </c>
      <c r="CO1411" t="s">
        <v>138</v>
      </c>
      <c r="CP1411" t="s">
        <v>114</v>
      </c>
      <c r="CQ1411" t="s">
        <v>114</v>
      </c>
      <c r="CR1411" t="s">
        <v>114</v>
      </c>
      <c r="CS1411" t="s">
        <v>134</v>
      </c>
      <c r="CT1411" t="s">
        <v>114</v>
      </c>
      <c r="CU1411" t="s">
        <v>134</v>
      </c>
      <c r="CV1411" t="s">
        <v>133</v>
      </c>
      <c r="CW1411" s="5" t="str">
        <f>"+18165240010"</f>
        <v>+18165240010</v>
      </c>
      <c r="CX1411" t="s">
        <v>11138</v>
      </c>
      <c r="CY1411" t="s">
        <v>138</v>
      </c>
      <c r="CZ1411" t="s">
        <v>139</v>
      </c>
      <c r="DA1411" t="s">
        <v>134</v>
      </c>
      <c r="DB1411" t="s">
        <v>134</v>
      </c>
      <c r="DC1411" t="s">
        <v>114</v>
      </c>
      <c r="DD1411" t="s">
        <v>134</v>
      </c>
    </row>
    <row r="1412" spans="1:113" ht="15" customHeight="1" x14ac:dyDescent="0.25">
      <c r="A1412" t="s">
        <v>4812</v>
      </c>
      <c r="B1412" t="s">
        <v>141</v>
      </c>
      <c r="C1412" s="1">
        <v>44896.024511226853</v>
      </c>
      <c r="D1412" s="1">
        <v>44907</v>
      </c>
      <c r="E1412" t="s">
        <v>134</v>
      </c>
      <c r="F1412" t="s">
        <v>1219</v>
      </c>
      <c r="G1412" t="str">
        <f>"37-3011.00"</f>
        <v>37-3011.00</v>
      </c>
      <c r="H1412" t="s">
        <v>335</v>
      </c>
      <c r="I1412">
        <v>13</v>
      </c>
      <c r="K1412" s="1">
        <v>44986</v>
      </c>
      <c r="L1412" s="1">
        <v>45280</v>
      </c>
      <c r="O1412" t="s">
        <v>199</v>
      </c>
      <c r="P1412" t="s">
        <v>4813</v>
      </c>
      <c r="R1412" t="s">
        <v>4814</v>
      </c>
      <c r="S1412" t="s">
        <v>4815</v>
      </c>
      <c r="T1412" t="s">
        <v>1368</v>
      </c>
      <c r="U1412" t="s">
        <v>848</v>
      </c>
      <c r="V1412" s="4" t="str">
        <f>"11968"</f>
        <v>11968</v>
      </c>
      <c r="W1412" t="s">
        <v>120</v>
      </c>
      <c r="Y1412" s="5">
        <v>16312877333</v>
      </c>
      <c r="AA1412">
        <v>56173</v>
      </c>
      <c r="AB1412" t="s">
        <v>4816</v>
      </c>
      <c r="AC1412" t="s">
        <v>4817</v>
      </c>
      <c r="AE1412" t="s">
        <v>700</v>
      </c>
      <c r="AF1412" t="s">
        <v>4814</v>
      </c>
      <c r="AG1412" t="s">
        <v>4815</v>
      </c>
      <c r="AH1412" t="s">
        <v>1368</v>
      </c>
      <c r="AI1412" t="s">
        <v>848</v>
      </c>
      <c r="AJ1412" s="4" t="str">
        <f>"11968"</f>
        <v>11968</v>
      </c>
      <c r="AK1412" t="s">
        <v>120</v>
      </c>
      <c r="AM1412" s="5">
        <v>16312877666</v>
      </c>
      <c r="AO1412" t="s">
        <v>138</v>
      </c>
      <c r="AP1412" t="s">
        <v>256</v>
      </c>
      <c r="AQ1412" t="s">
        <v>1220</v>
      </c>
      <c r="AR1412" t="s">
        <v>1221</v>
      </c>
      <c r="AT1412" t="s">
        <v>1222</v>
      </c>
      <c r="AV1412" t="s">
        <v>1223</v>
      </c>
      <c r="AW1412" t="s">
        <v>848</v>
      </c>
      <c r="AX1412" s="4" t="str">
        <f t="shared" si="58"/>
        <v>11590</v>
      </c>
      <c r="AY1412" t="s">
        <v>120</v>
      </c>
      <c r="BA1412" s="5">
        <v>15163307168</v>
      </c>
      <c r="BC1412" t="s">
        <v>1224</v>
      </c>
      <c r="BD1412" t="s">
        <v>1225</v>
      </c>
      <c r="BG1412" t="s">
        <v>848</v>
      </c>
      <c r="BH1412" s="1">
        <v>44894.791666666664</v>
      </c>
      <c r="BI1412">
        <v>40</v>
      </c>
      <c r="BJ1412">
        <v>0</v>
      </c>
      <c r="BK1412">
        <v>8</v>
      </c>
      <c r="BL1412">
        <v>8</v>
      </c>
      <c r="BM1412">
        <v>8</v>
      </c>
      <c r="BN1412">
        <v>8</v>
      </c>
      <c r="BO1412">
        <v>8</v>
      </c>
      <c r="BP1412">
        <v>0</v>
      </c>
      <c r="BQ1412" t="str">
        <f t="shared" si="59"/>
        <v>8:00 AM</v>
      </c>
      <c r="BR1412" t="str">
        <f>"4:00 PM"</f>
        <v>4:00 PM</v>
      </c>
      <c r="BS1412" t="s">
        <v>133</v>
      </c>
      <c r="BT1412">
        <v>0</v>
      </c>
      <c r="BU1412">
        <v>0</v>
      </c>
      <c r="BV1412" t="s">
        <v>134</v>
      </c>
      <c r="BX1412" t="s">
        <v>138</v>
      </c>
      <c r="BY1412" t="s">
        <v>4814</v>
      </c>
      <c r="CA1412" t="s">
        <v>1368</v>
      </c>
      <c r="CB1412" t="s">
        <v>848</v>
      </c>
      <c r="CC1412" s="4" t="str">
        <f>"11968"</f>
        <v>11968</v>
      </c>
      <c r="CD1412" t="s">
        <v>1227</v>
      </c>
      <c r="CE1412" t="s">
        <v>1009</v>
      </c>
      <c r="CF1412" s="6">
        <v>19.940000000000001</v>
      </c>
      <c r="CG1412" s="6">
        <v>19.940000000000001</v>
      </c>
      <c r="CH1412" s="6">
        <v>29.91</v>
      </c>
      <c r="CI1412" s="6">
        <v>29.91</v>
      </c>
      <c r="CJ1412" t="s">
        <v>137</v>
      </c>
      <c r="CK1412" t="s">
        <v>138</v>
      </c>
      <c r="CL1412" t="s">
        <v>4818</v>
      </c>
      <c r="CO1412" t="s">
        <v>138</v>
      </c>
      <c r="CP1412" t="s">
        <v>114</v>
      </c>
      <c r="CQ1412" t="s">
        <v>114</v>
      </c>
      <c r="CR1412" t="s">
        <v>114</v>
      </c>
      <c r="CS1412" t="s">
        <v>134</v>
      </c>
      <c r="CT1412" t="s">
        <v>114</v>
      </c>
      <c r="CU1412" t="s">
        <v>134</v>
      </c>
      <c r="CV1412" t="s">
        <v>219</v>
      </c>
      <c r="CW1412" s="5" t="str">
        <f>"+16312877666"</f>
        <v>+16312877666</v>
      </c>
      <c r="CX1412" t="s">
        <v>4819</v>
      </c>
      <c r="CY1412" t="s">
        <v>138</v>
      </c>
      <c r="CZ1412" t="s">
        <v>139</v>
      </c>
      <c r="DA1412" t="s">
        <v>134</v>
      </c>
      <c r="DB1412" t="s">
        <v>134</v>
      </c>
      <c r="DC1412" t="s">
        <v>114</v>
      </c>
      <c r="DD1412" t="s">
        <v>134</v>
      </c>
    </row>
    <row r="1413" spans="1:113" ht="15" customHeight="1" x14ac:dyDescent="0.25">
      <c r="A1413" t="s">
        <v>7303</v>
      </c>
      <c r="B1413" t="s">
        <v>141</v>
      </c>
      <c r="C1413" s="1">
        <v>44896.020066087964</v>
      </c>
      <c r="D1413" s="1">
        <v>44907</v>
      </c>
      <c r="E1413" t="s">
        <v>134</v>
      </c>
      <c r="F1413" t="s">
        <v>1848</v>
      </c>
      <c r="G1413" t="str">
        <f>"53-7062.00"</f>
        <v>53-7062.00</v>
      </c>
      <c r="H1413" t="s">
        <v>245</v>
      </c>
      <c r="I1413">
        <v>13</v>
      </c>
      <c r="K1413" s="1">
        <v>44986</v>
      </c>
      <c r="L1413" s="1">
        <v>45280</v>
      </c>
      <c r="O1413" t="s">
        <v>199</v>
      </c>
      <c r="P1413" t="s">
        <v>4813</v>
      </c>
      <c r="R1413" t="s">
        <v>4814</v>
      </c>
      <c r="S1413" t="s">
        <v>4815</v>
      </c>
      <c r="T1413" t="s">
        <v>1368</v>
      </c>
      <c r="U1413" t="s">
        <v>848</v>
      </c>
      <c r="V1413" s="4" t="str">
        <f>"11968"</f>
        <v>11968</v>
      </c>
      <c r="W1413" t="s">
        <v>120</v>
      </c>
      <c r="Y1413" s="5">
        <v>16312877333</v>
      </c>
      <c r="AA1413">
        <v>56173</v>
      </c>
      <c r="AB1413" t="s">
        <v>4816</v>
      </c>
      <c r="AC1413" t="s">
        <v>4817</v>
      </c>
      <c r="AE1413" t="s">
        <v>700</v>
      </c>
      <c r="AF1413" t="s">
        <v>4814</v>
      </c>
      <c r="AG1413" t="s">
        <v>4815</v>
      </c>
      <c r="AH1413" t="s">
        <v>1368</v>
      </c>
      <c r="AI1413" t="s">
        <v>848</v>
      </c>
      <c r="AJ1413" s="4" t="str">
        <f>"11968"</f>
        <v>11968</v>
      </c>
      <c r="AK1413" t="s">
        <v>120</v>
      </c>
      <c r="AM1413" s="5">
        <v>16312877666</v>
      </c>
      <c r="AO1413" t="s">
        <v>138</v>
      </c>
      <c r="AP1413" t="s">
        <v>256</v>
      </c>
      <c r="AQ1413" t="s">
        <v>1220</v>
      </c>
      <c r="AR1413" t="s">
        <v>1221</v>
      </c>
      <c r="AT1413" t="s">
        <v>1222</v>
      </c>
      <c r="AV1413" t="s">
        <v>1223</v>
      </c>
      <c r="AW1413" t="s">
        <v>848</v>
      </c>
      <c r="AX1413" s="4" t="str">
        <f t="shared" si="58"/>
        <v>11590</v>
      </c>
      <c r="AY1413" t="s">
        <v>120</v>
      </c>
      <c r="BA1413" s="5">
        <v>15163307168</v>
      </c>
      <c r="BC1413" t="s">
        <v>1224</v>
      </c>
      <c r="BD1413" t="s">
        <v>1225</v>
      </c>
      <c r="BG1413" t="s">
        <v>848</v>
      </c>
      <c r="BH1413" s="1">
        <v>44894.791666666664</v>
      </c>
      <c r="BI1413">
        <v>40</v>
      </c>
      <c r="BJ1413">
        <v>0</v>
      </c>
      <c r="BK1413">
        <v>8</v>
      </c>
      <c r="BL1413">
        <v>8</v>
      </c>
      <c r="BM1413">
        <v>8</v>
      </c>
      <c r="BN1413">
        <v>8</v>
      </c>
      <c r="BO1413">
        <v>8</v>
      </c>
      <c r="BP1413">
        <v>0</v>
      </c>
      <c r="BQ1413" t="str">
        <f t="shared" si="59"/>
        <v>8:00 AM</v>
      </c>
      <c r="BR1413" t="str">
        <f>"4:00 PM"</f>
        <v>4:00 PM</v>
      </c>
      <c r="BS1413" t="s">
        <v>133</v>
      </c>
      <c r="BT1413">
        <v>0</v>
      </c>
      <c r="BU1413">
        <v>0</v>
      </c>
      <c r="BV1413" t="s">
        <v>134</v>
      </c>
      <c r="BX1413" t="s">
        <v>138</v>
      </c>
      <c r="BY1413" t="s">
        <v>4814</v>
      </c>
      <c r="CA1413" t="s">
        <v>1368</v>
      </c>
      <c r="CB1413" t="s">
        <v>848</v>
      </c>
      <c r="CC1413" s="4" t="str">
        <f>"11968"</f>
        <v>11968</v>
      </c>
      <c r="CD1413" t="s">
        <v>1227</v>
      </c>
      <c r="CE1413" t="s">
        <v>1009</v>
      </c>
      <c r="CF1413" s="6">
        <v>18.579999999999998</v>
      </c>
      <c r="CG1413" s="6">
        <v>18.579999999999998</v>
      </c>
      <c r="CH1413" s="6">
        <v>27.87</v>
      </c>
      <c r="CI1413" s="6">
        <v>27.87</v>
      </c>
      <c r="CJ1413" t="s">
        <v>137</v>
      </c>
      <c r="CK1413" t="s">
        <v>138</v>
      </c>
      <c r="CL1413" t="s">
        <v>7304</v>
      </c>
      <c r="CO1413" t="s">
        <v>138</v>
      </c>
      <c r="CP1413" t="s">
        <v>114</v>
      </c>
      <c r="CQ1413" t="s">
        <v>114</v>
      </c>
      <c r="CR1413" t="s">
        <v>114</v>
      </c>
      <c r="CS1413" t="s">
        <v>134</v>
      </c>
      <c r="CT1413" t="s">
        <v>114</v>
      </c>
      <c r="CU1413" t="s">
        <v>134</v>
      </c>
      <c r="CV1413" t="s">
        <v>219</v>
      </c>
      <c r="CW1413" s="5" t="str">
        <f>"+16312877666"</f>
        <v>+16312877666</v>
      </c>
      <c r="CX1413" t="s">
        <v>4819</v>
      </c>
      <c r="CY1413" t="s">
        <v>138</v>
      </c>
      <c r="CZ1413" t="s">
        <v>139</v>
      </c>
      <c r="DA1413" t="s">
        <v>134</v>
      </c>
      <c r="DB1413" t="s">
        <v>134</v>
      </c>
      <c r="DC1413" t="s">
        <v>114</v>
      </c>
      <c r="DD1413" t="s">
        <v>134</v>
      </c>
    </row>
    <row r="1414" spans="1:113" ht="15" customHeight="1" x14ac:dyDescent="0.25">
      <c r="A1414" t="s">
        <v>8341</v>
      </c>
      <c r="B1414" t="s">
        <v>141</v>
      </c>
      <c r="C1414" s="1">
        <v>44896.014278240742</v>
      </c>
      <c r="D1414" s="1">
        <v>44907</v>
      </c>
      <c r="E1414" t="s">
        <v>134</v>
      </c>
      <c r="F1414" t="s">
        <v>1219</v>
      </c>
      <c r="G1414" t="str">
        <f>"37-3011.00"</f>
        <v>37-3011.00</v>
      </c>
      <c r="H1414" t="s">
        <v>335</v>
      </c>
      <c r="I1414">
        <v>1</v>
      </c>
      <c r="K1414" s="1">
        <v>44986</v>
      </c>
      <c r="L1414" s="1">
        <v>45230</v>
      </c>
      <c r="O1414" t="s">
        <v>199</v>
      </c>
      <c r="P1414" t="s">
        <v>8342</v>
      </c>
      <c r="R1414" t="s">
        <v>8343</v>
      </c>
      <c r="T1414" t="s">
        <v>8344</v>
      </c>
      <c r="U1414" t="s">
        <v>848</v>
      </c>
      <c r="V1414" s="4" t="str">
        <f>"13775"</f>
        <v>13775</v>
      </c>
      <c r="W1414" t="s">
        <v>120</v>
      </c>
      <c r="Y1414" s="5">
        <v>16078295665</v>
      </c>
      <c r="AA1414">
        <v>56173</v>
      </c>
      <c r="AB1414" t="s">
        <v>2988</v>
      </c>
      <c r="AC1414" t="s">
        <v>8345</v>
      </c>
      <c r="AE1414" t="s">
        <v>700</v>
      </c>
      <c r="AF1414" t="s">
        <v>8343</v>
      </c>
      <c r="AH1414" t="s">
        <v>1679</v>
      </c>
      <c r="AI1414" t="s">
        <v>848</v>
      </c>
      <c r="AJ1414" s="4" t="str">
        <f>"13775"</f>
        <v>13775</v>
      </c>
      <c r="AK1414" t="s">
        <v>120</v>
      </c>
      <c r="AM1414" s="5">
        <v>16078295665</v>
      </c>
      <c r="AO1414" t="s">
        <v>138</v>
      </c>
      <c r="AP1414" t="s">
        <v>256</v>
      </c>
      <c r="AQ1414" t="s">
        <v>1220</v>
      </c>
      <c r="AR1414" t="s">
        <v>1221</v>
      </c>
      <c r="AT1414" t="s">
        <v>1222</v>
      </c>
      <c r="AV1414" t="s">
        <v>1223</v>
      </c>
      <c r="AW1414" t="s">
        <v>848</v>
      </c>
      <c r="AX1414" s="4" t="str">
        <f t="shared" si="58"/>
        <v>11590</v>
      </c>
      <c r="AY1414" t="s">
        <v>120</v>
      </c>
      <c r="BA1414" s="5">
        <v>15163307168</v>
      </c>
      <c r="BC1414" t="s">
        <v>1224</v>
      </c>
      <c r="BD1414" t="s">
        <v>1225</v>
      </c>
      <c r="BG1414" t="s">
        <v>848</v>
      </c>
      <c r="BH1414" s="1">
        <v>44894.791666666664</v>
      </c>
      <c r="BI1414">
        <v>40</v>
      </c>
      <c r="BJ1414">
        <v>0</v>
      </c>
      <c r="BK1414">
        <v>8</v>
      </c>
      <c r="BL1414">
        <v>8</v>
      </c>
      <c r="BM1414">
        <v>8</v>
      </c>
      <c r="BN1414">
        <v>8</v>
      </c>
      <c r="BO1414">
        <v>8</v>
      </c>
      <c r="BP1414">
        <v>0</v>
      </c>
      <c r="BQ1414" t="str">
        <f t="shared" si="59"/>
        <v>8:00 AM</v>
      </c>
      <c r="BR1414" t="str">
        <f>"4:00 PM"</f>
        <v>4:00 PM</v>
      </c>
      <c r="BS1414" t="s">
        <v>133</v>
      </c>
      <c r="BT1414">
        <v>0</v>
      </c>
      <c r="BU1414">
        <v>0</v>
      </c>
      <c r="BV1414" t="s">
        <v>134</v>
      </c>
      <c r="BX1414" t="s">
        <v>138</v>
      </c>
      <c r="BY1414" t="s">
        <v>8346</v>
      </c>
      <c r="CA1414" t="s">
        <v>1679</v>
      </c>
      <c r="CB1414" t="s">
        <v>848</v>
      </c>
      <c r="CC1414" s="4" t="str">
        <f>"13775"</f>
        <v>13775</v>
      </c>
      <c r="CD1414" t="s">
        <v>1311</v>
      </c>
      <c r="CE1414" t="s">
        <v>3931</v>
      </c>
      <c r="CF1414" s="6">
        <v>17.12</v>
      </c>
      <c r="CG1414" s="6">
        <v>17.12</v>
      </c>
      <c r="CH1414" s="6">
        <v>25.68</v>
      </c>
      <c r="CI1414" s="6">
        <v>25.68</v>
      </c>
      <c r="CJ1414" t="s">
        <v>137</v>
      </c>
      <c r="CK1414" t="s">
        <v>138</v>
      </c>
      <c r="CL1414" t="s">
        <v>8347</v>
      </c>
      <c r="CO1414" t="s">
        <v>138</v>
      </c>
      <c r="CP1414" t="s">
        <v>114</v>
      </c>
      <c r="CQ1414" t="s">
        <v>114</v>
      </c>
      <c r="CR1414" t="s">
        <v>114</v>
      </c>
      <c r="CS1414" t="s">
        <v>134</v>
      </c>
      <c r="CT1414" t="s">
        <v>114</v>
      </c>
      <c r="CU1414" t="s">
        <v>134</v>
      </c>
      <c r="CV1414" t="s">
        <v>219</v>
      </c>
      <c r="CW1414" s="5" t="str">
        <f>"+16078295665"</f>
        <v>+16078295665</v>
      </c>
      <c r="CX1414" t="s">
        <v>8348</v>
      </c>
      <c r="CY1414" t="s">
        <v>138</v>
      </c>
      <c r="CZ1414" t="s">
        <v>139</v>
      </c>
      <c r="DA1414" t="s">
        <v>134</v>
      </c>
      <c r="DB1414" t="s">
        <v>134</v>
      </c>
      <c r="DC1414" t="s">
        <v>114</v>
      </c>
      <c r="DD1414" t="s">
        <v>134</v>
      </c>
    </row>
    <row r="1415" spans="1:113" ht="15" customHeight="1" x14ac:dyDescent="0.25">
      <c r="A1415" t="s">
        <v>16793</v>
      </c>
      <c r="B1415" t="s">
        <v>141</v>
      </c>
      <c r="C1415" s="1">
        <v>44896.009987384263</v>
      </c>
      <c r="D1415" s="1">
        <v>44907</v>
      </c>
      <c r="E1415" t="s">
        <v>134</v>
      </c>
      <c r="F1415" t="s">
        <v>1848</v>
      </c>
      <c r="G1415" t="str">
        <f>"53-7062.00"</f>
        <v>53-7062.00</v>
      </c>
      <c r="H1415" t="s">
        <v>245</v>
      </c>
      <c r="I1415">
        <v>20</v>
      </c>
      <c r="K1415" s="1">
        <v>44986</v>
      </c>
      <c r="L1415" s="1">
        <v>45280</v>
      </c>
      <c r="O1415" t="s">
        <v>199</v>
      </c>
      <c r="P1415" t="s">
        <v>4272</v>
      </c>
      <c r="R1415" t="s">
        <v>4273</v>
      </c>
      <c r="T1415" t="s">
        <v>2556</v>
      </c>
      <c r="U1415" t="s">
        <v>1003</v>
      </c>
      <c r="V1415" s="4" t="str">
        <f>"08535"</f>
        <v>08535</v>
      </c>
      <c r="W1415" t="s">
        <v>120</v>
      </c>
      <c r="Y1415" s="5">
        <v>17326853430</v>
      </c>
      <c r="AA1415">
        <v>56173</v>
      </c>
      <c r="AB1415" t="s">
        <v>2557</v>
      </c>
      <c r="AC1415" t="s">
        <v>1716</v>
      </c>
      <c r="AE1415" t="s">
        <v>700</v>
      </c>
      <c r="AF1415" t="s">
        <v>4273</v>
      </c>
      <c r="AH1415" t="s">
        <v>2556</v>
      </c>
      <c r="AI1415" t="s">
        <v>1003</v>
      </c>
      <c r="AJ1415" s="4" t="str">
        <f>"08535"</f>
        <v>08535</v>
      </c>
      <c r="AK1415" t="s">
        <v>120</v>
      </c>
      <c r="AM1415" s="5">
        <v>17326853430</v>
      </c>
      <c r="AO1415" t="s">
        <v>138</v>
      </c>
      <c r="AP1415" t="s">
        <v>256</v>
      </c>
      <c r="AQ1415" t="s">
        <v>1220</v>
      </c>
      <c r="AR1415" t="s">
        <v>1221</v>
      </c>
      <c r="AT1415" t="s">
        <v>1222</v>
      </c>
      <c r="AV1415" t="s">
        <v>1223</v>
      </c>
      <c r="AW1415" t="s">
        <v>848</v>
      </c>
      <c r="AX1415" s="4" t="str">
        <f t="shared" si="58"/>
        <v>11590</v>
      </c>
      <c r="AY1415" t="s">
        <v>120</v>
      </c>
      <c r="BA1415" s="5">
        <v>15163307168</v>
      </c>
      <c r="BC1415" t="s">
        <v>1224</v>
      </c>
      <c r="BD1415" t="s">
        <v>1225</v>
      </c>
      <c r="BG1415" t="s">
        <v>1003</v>
      </c>
      <c r="BH1415" s="1">
        <v>44868.833333333336</v>
      </c>
      <c r="BI1415">
        <v>40</v>
      </c>
      <c r="BJ1415">
        <v>0</v>
      </c>
      <c r="BK1415">
        <v>8</v>
      </c>
      <c r="BL1415">
        <v>8</v>
      </c>
      <c r="BM1415">
        <v>8</v>
      </c>
      <c r="BN1415">
        <v>8</v>
      </c>
      <c r="BO1415">
        <v>8</v>
      </c>
      <c r="BP1415">
        <v>0</v>
      </c>
      <c r="BQ1415" t="str">
        <f t="shared" si="59"/>
        <v>8:00 AM</v>
      </c>
      <c r="BR1415" t="str">
        <f>"5:00 PM"</f>
        <v>5:00 PM</v>
      </c>
      <c r="BS1415" t="s">
        <v>133</v>
      </c>
      <c r="BT1415">
        <v>0</v>
      </c>
      <c r="BU1415">
        <v>0</v>
      </c>
      <c r="BV1415" t="s">
        <v>134</v>
      </c>
      <c r="BX1415" t="s">
        <v>219</v>
      </c>
      <c r="BY1415" t="s">
        <v>4273</v>
      </c>
      <c r="CA1415" t="s">
        <v>2556</v>
      </c>
      <c r="CB1415" t="s">
        <v>1003</v>
      </c>
      <c r="CC1415" s="4" t="str">
        <f>"08535"</f>
        <v>08535</v>
      </c>
      <c r="CD1415" t="s">
        <v>2558</v>
      </c>
      <c r="CE1415" t="s">
        <v>1266</v>
      </c>
      <c r="CF1415" s="6">
        <v>17.39</v>
      </c>
      <c r="CG1415" s="6">
        <v>17.39</v>
      </c>
      <c r="CH1415" s="6">
        <v>26.09</v>
      </c>
      <c r="CI1415" s="6">
        <v>26.09</v>
      </c>
      <c r="CJ1415" t="s">
        <v>137</v>
      </c>
      <c r="CL1415" t="s">
        <v>5505</v>
      </c>
      <c r="CO1415" t="s">
        <v>138</v>
      </c>
      <c r="CP1415" t="s">
        <v>114</v>
      </c>
      <c r="CQ1415" t="s">
        <v>114</v>
      </c>
      <c r="CR1415" t="s">
        <v>114</v>
      </c>
      <c r="CS1415" t="s">
        <v>134</v>
      </c>
      <c r="CT1415" t="s">
        <v>114</v>
      </c>
      <c r="CU1415" t="s">
        <v>134</v>
      </c>
      <c r="CV1415" t="s">
        <v>219</v>
      </c>
      <c r="CW1415" s="5" t="str">
        <f>"+17326853430"</f>
        <v>+17326853430</v>
      </c>
      <c r="CX1415" t="s">
        <v>4275</v>
      </c>
      <c r="CY1415" t="s">
        <v>138</v>
      </c>
      <c r="CZ1415" t="s">
        <v>139</v>
      </c>
      <c r="DA1415" t="s">
        <v>134</v>
      </c>
      <c r="DB1415" t="s">
        <v>134</v>
      </c>
      <c r="DC1415" t="s">
        <v>114</v>
      </c>
      <c r="DD1415" t="s">
        <v>134</v>
      </c>
    </row>
    <row r="1416" spans="1:113" ht="15" customHeight="1" x14ac:dyDescent="0.25">
      <c r="A1416" t="s">
        <v>11135</v>
      </c>
      <c r="B1416" t="s">
        <v>141</v>
      </c>
      <c r="C1416" s="1">
        <v>44896.008066203707</v>
      </c>
      <c r="D1416" s="1">
        <v>44907</v>
      </c>
      <c r="E1416" t="s">
        <v>134</v>
      </c>
      <c r="F1416" t="s">
        <v>4526</v>
      </c>
      <c r="G1416" t="str">
        <f>"37-3011.00"</f>
        <v>37-3011.00</v>
      </c>
      <c r="H1416" t="s">
        <v>335</v>
      </c>
      <c r="I1416">
        <v>2</v>
      </c>
      <c r="K1416" s="1">
        <v>44986</v>
      </c>
      <c r="L1416" s="1">
        <v>45275</v>
      </c>
      <c r="O1416" t="s">
        <v>199</v>
      </c>
      <c r="P1416" t="s">
        <v>4527</v>
      </c>
      <c r="R1416" t="s">
        <v>4528</v>
      </c>
      <c r="T1416" t="s">
        <v>4529</v>
      </c>
      <c r="U1416" t="s">
        <v>848</v>
      </c>
      <c r="V1416" s="4" t="str">
        <f>"11514"</f>
        <v>11514</v>
      </c>
      <c r="W1416" t="s">
        <v>120</v>
      </c>
      <c r="Y1416" s="5">
        <v>15162501661</v>
      </c>
      <c r="AA1416">
        <v>56173</v>
      </c>
      <c r="AB1416" t="s">
        <v>4530</v>
      </c>
      <c r="AC1416" t="s">
        <v>4531</v>
      </c>
      <c r="AE1416" t="s">
        <v>700</v>
      </c>
      <c r="AF1416" t="s">
        <v>4528</v>
      </c>
      <c r="AH1416" t="s">
        <v>4529</v>
      </c>
      <c r="AI1416" t="s">
        <v>848</v>
      </c>
      <c r="AJ1416" s="4" t="str">
        <f>"11514"</f>
        <v>11514</v>
      </c>
      <c r="AK1416" t="s">
        <v>120</v>
      </c>
      <c r="AM1416" s="5">
        <v>15162501661</v>
      </c>
      <c r="AO1416" t="s">
        <v>138</v>
      </c>
      <c r="AP1416" t="s">
        <v>256</v>
      </c>
      <c r="AQ1416" t="s">
        <v>1220</v>
      </c>
      <c r="AR1416" t="s">
        <v>1221</v>
      </c>
      <c r="AT1416" t="s">
        <v>1222</v>
      </c>
      <c r="AV1416" t="s">
        <v>1223</v>
      </c>
      <c r="AW1416" t="s">
        <v>848</v>
      </c>
      <c r="AX1416" s="4" t="str">
        <f t="shared" si="58"/>
        <v>11590</v>
      </c>
      <c r="AY1416" t="s">
        <v>120</v>
      </c>
      <c r="BA1416" s="5">
        <v>15163307168</v>
      </c>
      <c r="BC1416" t="s">
        <v>1224</v>
      </c>
      <c r="BD1416" t="s">
        <v>1225</v>
      </c>
      <c r="BG1416" t="s">
        <v>848</v>
      </c>
      <c r="BH1416" s="1">
        <v>44893.791666666664</v>
      </c>
      <c r="BI1416">
        <v>40</v>
      </c>
      <c r="BJ1416">
        <v>0</v>
      </c>
      <c r="BK1416">
        <v>8</v>
      </c>
      <c r="BL1416">
        <v>8</v>
      </c>
      <c r="BM1416">
        <v>8</v>
      </c>
      <c r="BN1416">
        <v>8</v>
      </c>
      <c r="BO1416">
        <v>8</v>
      </c>
      <c r="BP1416">
        <v>0</v>
      </c>
      <c r="BQ1416" t="str">
        <f t="shared" si="59"/>
        <v>8:00 AM</v>
      </c>
      <c r="BR1416" t="str">
        <f>"4:00 PM"</f>
        <v>4:00 PM</v>
      </c>
      <c r="BS1416" t="s">
        <v>133</v>
      </c>
      <c r="BT1416">
        <v>0</v>
      </c>
      <c r="BU1416">
        <v>0</v>
      </c>
      <c r="BV1416" t="s">
        <v>134</v>
      </c>
      <c r="BX1416" t="s">
        <v>138</v>
      </c>
      <c r="BY1416" t="s">
        <v>4528</v>
      </c>
      <c r="CA1416" t="s">
        <v>4529</v>
      </c>
      <c r="CB1416" t="s">
        <v>848</v>
      </c>
      <c r="CC1416" s="4" t="str">
        <f>"11514"</f>
        <v>11514</v>
      </c>
      <c r="CD1416" t="s">
        <v>2194</v>
      </c>
      <c r="CE1416" t="s">
        <v>1009</v>
      </c>
      <c r="CF1416" s="6">
        <v>19.940000000000001</v>
      </c>
      <c r="CG1416" s="6">
        <v>19.940000000000001</v>
      </c>
      <c r="CH1416" s="6">
        <v>29.91</v>
      </c>
      <c r="CI1416" s="6">
        <v>29.91</v>
      </c>
      <c r="CJ1416" t="s">
        <v>137</v>
      </c>
      <c r="CK1416" t="s">
        <v>138</v>
      </c>
      <c r="CL1416" t="s">
        <v>4532</v>
      </c>
      <c r="CO1416" t="s">
        <v>138</v>
      </c>
      <c r="CP1416" t="s">
        <v>114</v>
      </c>
      <c r="CQ1416" t="s">
        <v>114</v>
      </c>
      <c r="CR1416" t="s">
        <v>114</v>
      </c>
      <c r="CS1416" t="s">
        <v>134</v>
      </c>
      <c r="CT1416" t="s">
        <v>114</v>
      </c>
      <c r="CU1416" t="s">
        <v>134</v>
      </c>
      <c r="CV1416" t="s">
        <v>219</v>
      </c>
      <c r="CW1416" s="5" t="str">
        <f>"+15162501661"</f>
        <v>+15162501661</v>
      </c>
      <c r="CX1416" t="s">
        <v>4533</v>
      </c>
      <c r="CY1416" t="s">
        <v>138</v>
      </c>
      <c r="CZ1416" t="s">
        <v>139</v>
      </c>
      <c r="DA1416" t="s">
        <v>134</v>
      </c>
      <c r="DB1416" t="s">
        <v>134</v>
      </c>
      <c r="DC1416" t="s">
        <v>114</v>
      </c>
      <c r="DD1416" t="s">
        <v>134</v>
      </c>
    </row>
    <row r="1417" spans="1:113" ht="15" customHeight="1" x14ac:dyDescent="0.25">
      <c r="A1417" t="s">
        <v>3131</v>
      </c>
      <c r="B1417" t="s">
        <v>141</v>
      </c>
      <c r="C1417" s="1">
        <v>44896.006405208333</v>
      </c>
      <c r="D1417" s="1">
        <v>44907</v>
      </c>
      <c r="E1417" t="s">
        <v>134</v>
      </c>
      <c r="F1417" t="s">
        <v>2739</v>
      </c>
      <c r="G1417" t="str">
        <f>"37-2011.00"</f>
        <v>37-2011.00</v>
      </c>
      <c r="H1417" t="s">
        <v>672</v>
      </c>
      <c r="I1417">
        <v>10</v>
      </c>
      <c r="K1417" s="1">
        <v>44986</v>
      </c>
      <c r="L1417" s="1">
        <v>45261</v>
      </c>
      <c r="O1417" t="s">
        <v>199</v>
      </c>
      <c r="P1417" t="s">
        <v>3132</v>
      </c>
      <c r="R1417" t="s">
        <v>3133</v>
      </c>
      <c r="S1417" t="s">
        <v>3134</v>
      </c>
      <c r="T1417" t="s">
        <v>3135</v>
      </c>
      <c r="U1417" t="s">
        <v>848</v>
      </c>
      <c r="V1417" s="4" t="str">
        <f>"11964"</f>
        <v>11964</v>
      </c>
      <c r="W1417" t="s">
        <v>120</v>
      </c>
      <c r="Y1417" s="5">
        <v>16317492110</v>
      </c>
      <c r="AA1417">
        <v>561790</v>
      </c>
      <c r="AB1417" t="s">
        <v>3136</v>
      </c>
      <c r="AC1417" t="s">
        <v>3137</v>
      </c>
      <c r="AE1417" t="s">
        <v>1150</v>
      </c>
      <c r="AF1417" t="s">
        <v>3133</v>
      </c>
      <c r="AG1417" t="s">
        <v>3134</v>
      </c>
      <c r="AH1417" t="s">
        <v>3135</v>
      </c>
      <c r="AI1417" t="s">
        <v>848</v>
      </c>
      <c r="AJ1417" s="4" t="str">
        <f>"11964"</f>
        <v>11964</v>
      </c>
      <c r="AK1417" t="s">
        <v>120</v>
      </c>
      <c r="AM1417" s="5">
        <v>16317492110</v>
      </c>
      <c r="AO1417" t="s">
        <v>138</v>
      </c>
      <c r="AP1417" t="s">
        <v>256</v>
      </c>
      <c r="AQ1417" t="s">
        <v>1220</v>
      </c>
      <c r="AR1417" t="s">
        <v>1221</v>
      </c>
      <c r="AT1417" t="s">
        <v>1222</v>
      </c>
      <c r="AV1417" t="s">
        <v>1223</v>
      </c>
      <c r="AW1417" t="s">
        <v>848</v>
      </c>
      <c r="AX1417" s="4" t="str">
        <f t="shared" si="58"/>
        <v>11590</v>
      </c>
      <c r="AY1417" t="s">
        <v>120</v>
      </c>
      <c r="BA1417" s="5">
        <v>15163307168</v>
      </c>
      <c r="BC1417" t="s">
        <v>1224</v>
      </c>
      <c r="BD1417" t="s">
        <v>1225</v>
      </c>
      <c r="BG1417" t="s">
        <v>848</v>
      </c>
      <c r="BH1417" s="1">
        <v>44893.791666666664</v>
      </c>
      <c r="BI1417">
        <v>40</v>
      </c>
      <c r="BJ1417">
        <v>0</v>
      </c>
      <c r="BK1417">
        <v>8</v>
      </c>
      <c r="BL1417">
        <v>8</v>
      </c>
      <c r="BM1417">
        <v>8</v>
      </c>
      <c r="BN1417">
        <v>8</v>
      </c>
      <c r="BO1417">
        <v>8</v>
      </c>
      <c r="BP1417">
        <v>0</v>
      </c>
      <c r="BQ1417" t="str">
        <f t="shared" si="59"/>
        <v>8:00 AM</v>
      </c>
      <c r="BR1417" t="str">
        <f>"4:00 PM"</f>
        <v>4:00 PM</v>
      </c>
      <c r="BS1417" t="s">
        <v>133</v>
      </c>
      <c r="BT1417">
        <v>0</v>
      </c>
      <c r="BU1417">
        <v>0</v>
      </c>
      <c r="BV1417" t="s">
        <v>134</v>
      </c>
      <c r="BX1417" t="s">
        <v>138</v>
      </c>
      <c r="BY1417" t="s">
        <v>3138</v>
      </c>
      <c r="CA1417" t="s">
        <v>3135</v>
      </c>
      <c r="CB1417" t="s">
        <v>848</v>
      </c>
      <c r="CC1417" s="4" t="str">
        <f>"11964"</f>
        <v>11964</v>
      </c>
      <c r="CD1417" t="s">
        <v>1227</v>
      </c>
      <c r="CE1417" t="s">
        <v>1009</v>
      </c>
      <c r="CF1417" s="6">
        <v>19.22</v>
      </c>
      <c r="CG1417" s="6">
        <v>19.22</v>
      </c>
      <c r="CH1417" s="6">
        <v>28.83</v>
      </c>
      <c r="CI1417" s="6">
        <v>28.83</v>
      </c>
      <c r="CJ1417" t="s">
        <v>137</v>
      </c>
      <c r="CK1417" t="s">
        <v>219</v>
      </c>
      <c r="CL1417" t="s">
        <v>3139</v>
      </c>
      <c r="CO1417" t="s">
        <v>138</v>
      </c>
      <c r="CP1417" t="s">
        <v>114</v>
      </c>
      <c r="CQ1417" t="s">
        <v>114</v>
      </c>
      <c r="CR1417" t="s">
        <v>114</v>
      </c>
      <c r="CS1417" t="s">
        <v>134</v>
      </c>
      <c r="CT1417" t="s">
        <v>114</v>
      </c>
      <c r="CU1417" t="s">
        <v>134</v>
      </c>
      <c r="CV1417" t="s">
        <v>219</v>
      </c>
      <c r="CW1417" s="5" t="str">
        <f>"+16317492110"</f>
        <v>+16317492110</v>
      </c>
      <c r="CX1417" t="s">
        <v>3140</v>
      </c>
      <c r="CY1417" t="s">
        <v>138</v>
      </c>
      <c r="CZ1417" t="s">
        <v>139</v>
      </c>
      <c r="DA1417" t="s">
        <v>134</v>
      </c>
      <c r="DB1417" t="s">
        <v>134</v>
      </c>
      <c r="DC1417" t="s">
        <v>114</v>
      </c>
      <c r="DD1417" t="s">
        <v>134</v>
      </c>
    </row>
    <row r="1418" spans="1:113" ht="15" customHeight="1" x14ac:dyDescent="0.25">
      <c r="A1418" t="s">
        <v>12836</v>
      </c>
      <c r="B1418" t="s">
        <v>141</v>
      </c>
      <c r="C1418" s="1">
        <v>44896.001317708331</v>
      </c>
      <c r="D1418" s="1">
        <v>44907</v>
      </c>
      <c r="E1418" t="s">
        <v>134</v>
      </c>
      <c r="F1418" t="s">
        <v>1848</v>
      </c>
      <c r="G1418" t="str">
        <f>"53-7062.00"</f>
        <v>53-7062.00</v>
      </c>
      <c r="H1418" t="s">
        <v>245</v>
      </c>
      <c r="I1418">
        <v>7</v>
      </c>
      <c r="K1418" s="1">
        <v>44986</v>
      </c>
      <c r="L1418" s="1">
        <v>45280</v>
      </c>
      <c r="O1418" t="s">
        <v>199</v>
      </c>
      <c r="P1418" t="s">
        <v>7194</v>
      </c>
      <c r="R1418" t="s">
        <v>1222</v>
      </c>
      <c r="T1418" t="s">
        <v>1223</v>
      </c>
      <c r="U1418" t="s">
        <v>848</v>
      </c>
      <c r="V1418" s="4" t="str">
        <f>"11590"</f>
        <v>11590</v>
      </c>
      <c r="W1418" t="s">
        <v>120</v>
      </c>
      <c r="Y1418" s="5">
        <v>15169975617</v>
      </c>
      <c r="AA1418">
        <v>56173</v>
      </c>
      <c r="AB1418" t="s">
        <v>7195</v>
      </c>
      <c r="AC1418" t="s">
        <v>6069</v>
      </c>
      <c r="AE1418" t="s">
        <v>700</v>
      </c>
      <c r="AF1418" t="s">
        <v>1222</v>
      </c>
      <c r="AH1418" t="s">
        <v>1223</v>
      </c>
      <c r="AI1418" t="s">
        <v>848</v>
      </c>
      <c r="AJ1418" s="4" t="str">
        <f>"11590"</f>
        <v>11590</v>
      </c>
      <c r="AK1418" t="s">
        <v>120</v>
      </c>
      <c r="AM1418" s="5">
        <v>15169975617</v>
      </c>
      <c r="AO1418" t="s">
        <v>1224</v>
      </c>
      <c r="AP1418" t="s">
        <v>256</v>
      </c>
      <c r="AQ1418" t="s">
        <v>1220</v>
      </c>
      <c r="AR1418" t="s">
        <v>1221</v>
      </c>
      <c r="AT1418" t="s">
        <v>1222</v>
      </c>
      <c r="AV1418" t="s">
        <v>1223</v>
      </c>
      <c r="AW1418" t="s">
        <v>848</v>
      </c>
      <c r="AX1418" s="4" t="str">
        <f t="shared" si="58"/>
        <v>11590</v>
      </c>
      <c r="AY1418" t="s">
        <v>120</v>
      </c>
      <c r="BA1418" s="5">
        <v>15163307168</v>
      </c>
      <c r="BC1418" t="s">
        <v>1224</v>
      </c>
      <c r="BD1418" t="s">
        <v>1225</v>
      </c>
      <c r="BG1418" t="s">
        <v>848</v>
      </c>
      <c r="BH1418" s="1">
        <v>44832.833333333336</v>
      </c>
      <c r="BI1418">
        <v>40</v>
      </c>
      <c r="BJ1418">
        <v>0</v>
      </c>
      <c r="BK1418">
        <v>8</v>
      </c>
      <c r="BL1418">
        <v>8</v>
      </c>
      <c r="BM1418">
        <v>8</v>
      </c>
      <c r="BN1418">
        <v>8</v>
      </c>
      <c r="BO1418">
        <v>8</v>
      </c>
      <c r="BP1418">
        <v>0</v>
      </c>
      <c r="BQ1418" t="str">
        <f t="shared" si="59"/>
        <v>8:00 AM</v>
      </c>
      <c r="BR1418" t="str">
        <f>"4:00 PM"</f>
        <v>4:00 PM</v>
      </c>
      <c r="BS1418" t="s">
        <v>133</v>
      </c>
      <c r="BT1418">
        <v>0</v>
      </c>
      <c r="BU1418">
        <v>0</v>
      </c>
      <c r="BV1418" t="s">
        <v>134</v>
      </c>
      <c r="BX1418" t="s">
        <v>138</v>
      </c>
      <c r="BY1418" t="s">
        <v>1222</v>
      </c>
      <c r="CA1418" t="s">
        <v>1223</v>
      </c>
      <c r="CB1418" t="s">
        <v>848</v>
      </c>
      <c r="CC1418" s="4" t="str">
        <f>"11590"</f>
        <v>11590</v>
      </c>
      <c r="CD1418" t="s">
        <v>2194</v>
      </c>
      <c r="CE1418" t="s">
        <v>1009</v>
      </c>
      <c r="CF1418" s="6">
        <v>18.579999999999998</v>
      </c>
      <c r="CG1418" s="6">
        <v>18.579999999999998</v>
      </c>
      <c r="CH1418" s="6">
        <v>27.87</v>
      </c>
      <c r="CI1418" s="6">
        <v>27.87</v>
      </c>
      <c r="CJ1418" t="s">
        <v>137</v>
      </c>
      <c r="CK1418" t="s">
        <v>138</v>
      </c>
      <c r="CL1418" t="s">
        <v>11771</v>
      </c>
      <c r="CO1418" t="s">
        <v>138</v>
      </c>
      <c r="CP1418" t="s">
        <v>114</v>
      </c>
      <c r="CQ1418" t="s">
        <v>114</v>
      </c>
      <c r="CR1418" t="s">
        <v>114</v>
      </c>
      <c r="CS1418" t="s">
        <v>134</v>
      </c>
      <c r="CT1418" t="s">
        <v>114</v>
      </c>
      <c r="CU1418" t="s">
        <v>134</v>
      </c>
      <c r="CV1418" t="s">
        <v>219</v>
      </c>
      <c r="CW1418" s="5" t="str">
        <f>"+15169975617"</f>
        <v>+15169975617</v>
      </c>
      <c r="CX1418" t="s">
        <v>7196</v>
      </c>
      <c r="CY1418" t="s">
        <v>138</v>
      </c>
      <c r="CZ1418" t="s">
        <v>139</v>
      </c>
      <c r="DA1418" t="s">
        <v>134</v>
      </c>
      <c r="DB1418" t="s">
        <v>134</v>
      </c>
      <c r="DC1418" t="s">
        <v>114</v>
      </c>
      <c r="DD1418" t="s">
        <v>134</v>
      </c>
    </row>
    <row r="1419" spans="1:113" ht="15" customHeight="1" x14ac:dyDescent="0.25">
      <c r="A1419" t="s">
        <v>11117</v>
      </c>
      <c r="B1419" t="s">
        <v>141</v>
      </c>
      <c r="C1419" s="1">
        <v>44866.685016782409</v>
      </c>
      <c r="D1419" s="1">
        <v>44907</v>
      </c>
      <c r="E1419" t="s">
        <v>114</v>
      </c>
      <c r="F1419" t="s">
        <v>6076</v>
      </c>
      <c r="G1419" t="str">
        <f>"39-9011.01"</f>
        <v>39-9011.01</v>
      </c>
      <c r="H1419" t="s">
        <v>2677</v>
      </c>
      <c r="I1419">
        <v>1</v>
      </c>
      <c r="K1419" s="1">
        <v>44942</v>
      </c>
      <c r="L1419" s="1">
        <v>46022</v>
      </c>
      <c r="O1419" t="s">
        <v>168</v>
      </c>
      <c r="P1419" t="s">
        <v>11118</v>
      </c>
      <c r="R1419" t="s">
        <v>11119</v>
      </c>
      <c r="S1419" t="s">
        <v>11120</v>
      </c>
      <c r="T1419" t="s">
        <v>1778</v>
      </c>
      <c r="U1419" t="s">
        <v>1779</v>
      </c>
      <c r="V1419" s="4" t="str">
        <f>"00907"</f>
        <v>00907</v>
      </c>
      <c r="W1419" t="s">
        <v>120</v>
      </c>
      <c r="Y1419" s="5">
        <v>17862007233</v>
      </c>
      <c r="AA1419">
        <v>814110</v>
      </c>
      <c r="AB1419" t="s">
        <v>11121</v>
      </c>
      <c r="AC1419" t="s">
        <v>234</v>
      </c>
      <c r="AE1419" t="s">
        <v>11122</v>
      </c>
      <c r="AF1419" t="s">
        <v>11119</v>
      </c>
      <c r="AG1419" t="s">
        <v>11120</v>
      </c>
      <c r="AH1419" t="s">
        <v>1778</v>
      </c>
      <c r="AI1419" t="s">
        <v>1779</v>
      </c>
      <c r="AJ1419" s="4" t="str">
        <f>"00907"</f>
        <v>00907</v>
      </c>
      <c r="AK1419" t="s">
        <v>120</v>
      </c>
      <c r="AM1419" s="5">
        <v>17862007233</v>
      </c>
      <c r="AO1419" t="s">
        <v>11123</v>
      </c>
      <c r="AP1419" t="s">
        <v>122</v>
      </c>
      <c r="AQ1419" t="s">
        <v>2836</v>
      </c>
      <c r="AR1419" t="s">
        <v>2837</v>
      </c>
      <c r="AS1419" t="s">
        <v>2838</v>
      </c>
      <c r="AT1419" t="s">
        <v>2839</v>
      </c>
      <c r="AU1419" t="s">
        <v>2840</v>
      </c>
      <c r="AV1419" t="s">
        <v>2841</v>
      </c>
      <c r="AW1419" t="s">
        <v>2842</v>
      </c>
      <c r="AX1419" s="4" t="str">
        <f>"06510"</f>
        <v>06510</v>
      </c>
      <c r="AY1419" t="s">
        <v>120</v>
      </c>
      <c r="BA1419" s="5">
        <v>19198270660</v>
      </c>
      <c r="BC1419" t="s">
        <v>2843</v>
      </c>
      <c r="BD1419" t="s">
        <v>2844</v>
      </c>
      <c r="BE1419" t="s">
        <v>119</v>
      </c>
      <c r="BF1419" t="s">
        <v>2845</v>
      </c>
      <c r="BG1419" t="s">
        <v>1779</v>
      </c>
      <c r="BH1419" s="1">
        <v>44865.833333333336</v>
      </c>
      <c r="BI1419">
        <v>40</v>
      </c>
      <c r="BJ1419">
        <v>8</v>
      </c>
      <c r="BK1419">
        <v>8</v>
      </c>
      <c r="BL1419">
        <v>8</v>
      </c>
      <c r="BM1419">
        <v>8</v>
      </c>
      <c r="BN1419">
        <v>8</v>
      </c>
      <c r="BO1419">
        <v>8</v>
      </c>
      <c r="BP1419">
        <v>0</v>
      </c>
      <c r="BQ1419" t="str">
        <f>"9:00 AM"</f>
        <v>9:00 AM</v>
      </c>
      <c r="BR1419" t="str">
        <f>"5:00 PM"</f>
        <v>5:00 PM</v>
      </c>
      <c r="BS1419" t="s">
        <v>295</v>
      </c>
      <c r="BT1419">
        <v>0</v>
      </c>
      <c r="BU1419">
        <v>12</v>
      </c>
      <c r="BV1419" t="s">
        <v>134</v>
      </c>
      <c r="BX1419" s="2" t="s">
        <v>11124</v>
      </c>
      <c r="BY1419" t="s">
        <v>11119</v>
      </c>
      <c r="BZ1419" t="s">
        <v>11120</v>
      </c>
      <c r="CA1419" t="s">
        <v>1778</v>
      </c>
      <c r="CB1419" t="s">
        <v>1779</v>
      </c>
      <c r="CC1419" s="4" t="str">
        <f>"00907"</f>
        <v>00907</v>
      </c>
      <c r="CD1419" t="s">
        <v>1784</v>
      </c>
      <c r="CE1419" t="s">
        <v>1785</v>
      </c>
      <c r="CF1419" s="6">
        <v>9.5</v>
      </c>
      <c r="CG1419" s="6">
        <v>9.5</v>
      </c>
      <c r="CH1419" s="6">
        <v>14.25</v>
      </c>
      <c r="CI1419" s="6">
        <v>14.25</v>
      </c>
      <c r="CJ1419" t="s">
        <v>137</v>
      </c>
      <c r="CK1419" t="s">
        <v>11125</v>
      </c>
      <c r="CL1419" t="s">
        <v>11126</v>
      </c>
      <c r="CO1419" t="s">
        <v>138</v>
      </c>
      <c r="CP1419" t="s">
        <v>134</v>
      </c>
      <c r="CQ1419" t="s">
        <v>134</v>
      </c>
      <c r="CR1419" t="s">
        <v>114</v>
      </c>
      <c r="CS1419" t="s">
        <v>134</v>
      </c>
      <c r="CT1419" t="s">
        <v>114</v>
      </c>
      <c r="CU1419" t="s">
        <v>114</v>
      </c>
      <c r="CV1419" t="s">
        <v>11127</v>
      </c>
      <c r="CW1419" s="5" t="str">
        <f>"+19195901798"</f>
        <v>+19195901798</v>
      </c>
      <c r="CX1419" t="s">
        <v>11123</v>
      </c>
      <c r="CY1419" t="s">
        <v>138</v>
      </c>
      <c r="CZ1419" t="s">
        <v>139</v>
      </c>
      <c r="DA1419" t="s">
        <v>134</v>
      </c>
      <c r="DB1419" t="s">
        <v>134</v>
      </c>
      <c r="DC1419" t="s">
        <v>114</v>
      </c>
      <c r="DD1419" t="s">
        <v>134</v>
      </c>
      <c r="DE1419" t="s">
        <v>2836</v>
      </c>
      <c r="DF1419" t="s">
        <v>2837</v>
      </c>
      <c r="DG1419" t="s">
        <v>2217</v>
      </c>
      <c r="DH1419" t="s">
        <v>2844</v>
      </c>
      <c r="DI1419" t="s">
        <v>2843</v>
      </c>
    </row>
    <row r="1420" spans="1:113" ht="15" customHeight="1" x14ac:dyDescent="0.25">
      <c r="A1420" t="s">
        <v>9304</v>
      </c>
      <c r="B1420" t="s">
        <v>141</v>
      </c>
      <c r="C1420" s="1">
        <v>44896.035963657407</v>
      </c>
      <c r="D1420" s="1">
        <v>44905</v>
      </c>
      <c r="E1420" t="s">
        <v>134</v>
      </c>
      <c r="F1420" t="s">
        <v>3088</v>
      </c>
      <c r="G1420" t="str">
        <f>"45-2092.00"</f>
        <v>45-2092.00</v>
      </c>
      <c r="H1420" t="s">
        <v>3089</v>
      </c>
      <c r="I1420">
        <v>3</v>
      </c>
      <c r="K1420" s="1">
        <v>44986</v>
      </c>
      <c r="L1420" s="1">
        <v>45270</v>
      </c>
      <c r="O1420" t="s">
        <v>199</v>
      </c>
      <c r="P1420" t="s">
        <v>8142</v>
      </c>
      <c r="R1420" t="s">
        <v>8143</v>
      </c>
      <c r="T1420" t="s">
        <v>2747</v>
      </c>
      <c r="U1420" t="s">
        <v>119</v>
      </c>
      <c r="V1420" s="4" t="str">
        <f>"28570"</f>
        <v>28570</v>
      </c>
      <c r="W1420" t="s">
        <v>120</v>
      </c>
      <c r="Y1420" s="5">
        <v>12523939004</v>
      </c>
      <c r="AA1420">
        <v>444220</v>
      </c>
      <c r="AB1420" t="s">
        <v>8144</v>
      </c>
      <c r="AC1420" t="s">
        <v>8145</v>
      </c>
      <c r="AE1420" t="s">
        <v>700</v>
      </c>
      <c r="AF1420" t="s">
        <v>8143</v>
      </c>
      <c r="AH1420" t="s">
        <v>2747</v>
      </c>
      <c r="AI1420" t="s">
        <v>119</v>
      </c>
      <c r="AJ1420" s="4" t="str">
        <f>"28570"</f>
        <v>28570</v>
      </c>
      <c r="AK1420" t="s">
        <v>120</v>
      </c>
      <c r="AM1420" s="5">
        <v>12523939004</v>
      </c>
      <c r="AO1420" t="s">
        <v>138</v>
      </c>
      <c r="AP1420" t="s">
        <v>256</v>
      </c>
      <c r="AQ1420" t="s">
        <v>1220</v>
      </c>
      <c r="AR1420" t="s">
        <v>1221</v>
      </c>
      <c r="AT1420" t="s">
        <v>1222</v>
      </c>
      <c r="AV1420" t="s">
        <v>1223</v>
      </c>
      <c r="AW1420" t="s">
        <v>848</v>
      </c>
      <c r="AX1420" s="4" t="str">
        <f t="shared" ref="AX1420:AX1459" si="60">"11590"</f>
        <v>11590</v>
      </c>
      <c r="AY1420" t="s">
        <v>120</v>
      </c>
      <c r="BA1420" s="5">
        <v>15163307168</v>
      </c>
      <c r="BC1420" t="s">
        <v>1224</v>
      </c>
      <c r="BD1420" t="s">
        <v>1225</v>
      </c>
      <c r="BG1420" t="s">
        <v>119</v>
      </c>
      <c r="BH1420" s="1">
        <v>44850.833333333336</v>
      </c>
      <c r="BI1420">
        <v>40</v>
      </c>
      <c r="BJ1420">
        <v>0</v>
      </c>
      <c r="BK1420">
        <v>8</v>
      </c>
      <c r="BL1420">
        <v>8</v>
      </c>
      <c r="BM1420">
        <v>8</v>
      </c>
      <c r="BN1420">
        <v>0</v>
      </c>
      <c r="BO1420">
        <v>8</v>
      </c>
      <c r="BP1420">
        <v>8</v>
      </c>
      <c r="BQ1420" t="str">
        <f>"8:00 AM"</f>
        <v>8:00 AM</v>
      </c>
      <c r="BR1420" t="str">
        <f>"5:00 PM"</f>
        <v>5:00 PM</v>
      </c>
      <c r="BS1420" t="s">
        <v>133</v>
      </c>
      <c r="BT1420">
        <v>0</v>
      </c>
      <c r="BU1420">
        <v>0</v>
      </c>
      <c r="BV1420" t="s">
        <v>134</v>
      </c>
      <c r="BX1420" t="s">
        <v>138</v>
      </c>
      <c r="BY1420" t="s">
        <v>8146</v>
      </c>
      <c r="CA1420" t="s">
        <v>2747</v>
      </c>
      <c r="CB1420" t="s">
        <v>119</v>
      </c>
      <c r="CC1420" s="4" t="str">
        <f>"28570"</f>
        <v>28570</v>
      </c>
      <c r="CD1420" t="s">
        <v>8147</v>
      </c>
      <c r="CE1420" t="s">
        <v>161</v>
      </c>
      <c r="CF1420" s="6">
        <v>15</v>
      </c>
      <c r="CG1420" s="6">
        <v>16</v>
      </c>
      <c r="CH1420" s="6">
        <v>22.5</v>
      </c>
      <c r="CI1420" s="6">
        <v>24</v>
      </c>
      <c r="CJ1420" t="s">
        <v>137</v>
      </c>
      <c r="CK1420" t="s">
        <v>138</v>
      </c>
      <c r="CL1420" t="s">
        <v>8148</v>
      </c>
      <c r="CO1420" t="s">
        <v>138</v>
      </c>
      <c r="CP1420" t="s">
        <v>134</v>
      </c>
      <c r="CQ1420" t="s">
        <v>134</v>
      </c>
      <c r="CR1420" t="s">
        <v>114</v>
      </c>
      <c r="CS1420" t="s">
        <v>134</v>
      </c>
      <c r="CT1420" t="s">
        <v>114</v>
      </c>
      <c r="CU1420" t="s">
        <v>134</v>
      </c>
      <c r="CV1420" t="s">
        <v>219</v>
      </c>
      <c r="CW1420" s="5" t="str">
        <f>"+12523939004"</f>
        <v>+12523939004</v>
      </c>
      <c r="CX1420" t="s">
        <v>9305</v>
      </c>
      <c r="CY1420" t="s">
        <v>138</v>
      </c>
      <c r="CZ1420" t="s">
        <v>139</v>
      </c>
      <c r="DA1420" t="s">
        <v>134</v>
      </c>
      <c r="DB1420" t="s">
        <v>134</v>
      </c>
      <c r="DC1420" t="s">
        <v>114</v>
      </c>
      <c r="DD1420" t="s">
        <v>134</v>
      </c>
    </row>
    <row r="1421" spans="1:113" ht="15" customHeight="1" x14ac:dyDescent="0.25">
      <c r="A1421" t="s">
        <v>8266</v>
      </c>
      <c r="B1421" t="s">
        <v>141</v>
      </c>
      <c r="C1421" s="1">
        <v>44896.012492708331</v>
      </c>
      <c r="D1421" s="1">
        <v>44905</v>
      </c>
      <c r="E1421" t="s">
        <v>134</v>
      </c>
      <c r="F1421" t="s">
        <v>8267</v>
      </c>
      <c r="G1421" t="str">
        <f>"47-3014.00"</f>
        <v>47-3014.00</v>
      </c>
      <c r="H1421" t="s">
        <v>1988</v>
      </c>
      <c r="I1421">
        <v>4</v>
      </c>
      <c r="K1421" s="1">
        <v>44986</v>
      </c>
      <c r="L1421" s="1">
        <v>45260</v>
      </c>
      <c r="O1421" t="s">
        <v>199</v>
      </c>
      <c r="P1421" t="s">
        <v>8268</v>
      </c>
      <c r="R1421" t="s">
        <v>8269</v>
      </c>
      <c r="T1421" t="s">
        <v>6244</v>
      </c>
      <c r="U1421" t="s">
        <v>848</v>
      </c>
      <c r="V1421" s="4" t="str">
        <f>"11937"</f>
        <v>11937</v>
      </c>
      <c r="W1421" t="s">
        <v>120</v>
      </c>
      <c r="Y1421" s="5">
        <v>16313244399</v>
      </c>
      <c r="AA1421">
        <v>23832</v>
      </c>
      <c r="AB1421" t="s">
        <v>8270</v>
      </c>
      <c r="AC1421" t="s">
        <v>2867</v>
      </c>
      <c r="AE1421" t="s">
        <v>700</v>
      </c>
      <c r="AF1421" t="s">
        <v>8271</v>
      </c>
      <c r="AH1421" t="s">
        <v>6246</v>
      </c>
      <c r="AI1421" t="s">
        <v>848</v>
      </c>
      <c r="AJ1421" s="4" t="str">
        <f>"11937"</f>
        <v>11937</v>
      </c>
      <c r="AK1421" t="s">
        <v>120</v>
      </c>
      <c r="AM1421" s="5">
        <v>16313244399</v>
      </c>
      <c r="AO1421" t="s">
        <v>138</v>
      </c>
      <c r="AP1421" t="s">
        <v>256</v>
      </c>
      <c r="AQ1421" t="s">
        <v>1220</v>
      </c>
      <c r="AR1421" t="s">
        <v>1221</v>
      </c>
      <c r="AT1421" t="s">
        <v>1222</v>
      </c>
      <c r="AV1421" t="s">
        <v>1223</v>
      </c>
      <c r="AW1421" t="s">
        <v>848</v>
      </c>
      <c r="AX1421" s="4" t="str">
        <f t="shared" si="60"/>
        <v>11590</v>
      </c>
      <c r="AY1421" t="s">
        <v>120</v>
      </c>
      <c r="BA1421" s="5">
        <v>15163307168</v>
      </c>
      <c r="BC1421" t="s">
        <v>1224</v>
      </c>
      <c r="BD1421" t="s">
        <v>1225</v>
      </c>
      <c r="BG1421" t="s">
        <v>848</v>
      </c>
      <c r="BH1421" s="1">
        <v>44894.791666666664</v>
      </c>
      <c r="BI1421">
        <v>40</v>
      </c>
      <c r="BJ1421">
        <v>0</v>
      </c>
      <c r="BK1421">
        <v>8</v>
      </c>
      <c r="BL1421">
        <v>8</v>
      </c>
      <c r="BM1421">
        <v>8</v>
      </c>
      <c r="BN1421">
        <v>8</v>
      </c>
      <c r="BO1421">
        <v>8</v>
      </c>
      <c r="BP1421">
        <v>0</v>
      </c>
      <c r="BQ1421" t="str">
        <f>"8:00 AM"</f>
        <v>8:00 AM</v>
      </c>
      <c r="BR1421" t="str">
        <f>"4:00 PM"</f>
        <v>4:00 PM</v>
      </c>
      <c r="BS1421" t="s">
        <v>133</v>
      </c>
      <c r="BT1421">
        <v>0</v>
      </c>
      <c r="BU1421">
        <v>1</v>
      </c>
      <c r="BV1421" t="s">
        <v>134</v>
      </c>
      <c r="BX1421" t="s">
        <v>8272</v>
      </c>
      <c r="BY1421" t="s">
        <v>8271</v>
      </c>
      <c r="CA1421" t="s">
        <v>6244</v>
      </c>
      <c r="CB1421" t="s">
        <v>848</v>
      </c>
      <c r="CC1421" s="4" t="str">
        <f>"11937"</f>
        <v>11937</v>
      </c>
      <c r="CD1421" t="s">
        <v>1227</v>
      </c>
      <c r="CE1421" t="s">
        <v>1009</v>
      </c>
      <c r="CF1421" s="6">
        <v>16.55</v>
      </c>
      <c r="CG1421" s="6">
        <v>16.55</v>
      </c>
      <c r="CH1421" s="6">
        <v>24.83</v>
      </c>
      <c r="CI1421" s="6">
        <v>24.83</v>
      </c>
      <c r="CJ1421" t="s">
        <v>137</v>
      </c>
      <c r="CK1421" t="s">
        <v>138</v>
      </c>
      <c r="CL1421" t="s">
        <v>8273</v>
      </c>
      <c r="CO1421" t="s">
        <v>138</v>
      </c>
      <c r="CP1421" t="s">
        <v>114</v>
      </c>
      <c r="CQ1421" t="s">
        <v>114</v>
      </c>
      <c r="CR1421" t="s">
        <v>114</v>
      </c>
      <c r="CS1421" t="s">
        <v>134</v>
      </c>
      <c r="CT1421" t="s">
        <v>114</v>
      </c>
      <c r="CU1421" t="s">
        <v>134</v>
      </c>
      <c r="CV1421" t="s">
        <v>219</v>
      </c>
      <c r="CW1421" s="5" t="str">
        <f>"+16313244399"</f>
        <v>+16313244399</v>
      </c>
      <c r="CX1421" t="s">
        <v>8274</v>
      </c>
      <c r="CY1421" t="s">
        <v>138</v>
      </c>
      <c r="CZ1421" t="s">
        <v>139</v>
      </c>
      <c r="DA1421" t="s">
        <v>134</v>
      </c>
      <c r="DB1421" t="s">
        <v>134</v>
      </c>
      <c r="DC1421" t="s">
        <v>114</v>
      </c>
      <c r="DD1421" t="s">
        <v>134</v>
      </c>
    </row>
    <row r="1422" spans="1:113" ht="15" customHeight="1" x14ac:dyDescent="0.25">
      <c r="A1422" t="s">
        <v>3079</v>
      </c>
      <c r="B1422" t="s">
        <v>141</v>
      </c>
      <c r="C1422" s="1">
        <v>44896.00059502315</v>
      </c>
      <c r="D1422" s="1">
        <v>44905</v>
      </c>
      <c r="E1422" t="s">
        <v>134</v>
      </c>
      <c r="F1422" t="s">
        <v>1848</v>
      </c>
      <c r="G1422" t="str">
        <f>"53-7062.00"</f>
        <v>53-7062.00</v>
      </c>
      <c r="H1422" t="s">
        <v>245</v>
      </c>
      <c r="I1422">
        <v>12</v>
      </c>
      <c r="K1422" s="1">
        <v>44986</v>
      </c>
      <c r="L1422" s="1">
        <v>45280</v>
      </c>
      <c r="O1422" t="s">
        <v>199</v>
      </c>
      <c r="P1422" t="s">
        <v>3080</v>
      </c>
      <c r="R1422" t="s">
        <v>3081</v>
      </c>
      <c r="T1422" t="s">
        <v>3082</v>
      </c>
      <c r="U1422" t="s">
        <v>848</v>
      </c>
      <c r="V1422" s="4" t="str">
        <f>"11596"</f>
        <v>11596</v>
      </c>
      <c r="W1422" t="s">
        <v>120</v>
      </c>
      <c r="Y1422" s="5">
        <v>15169976943</v>
      </c>
      <c r="AA1422">
        <v>56173</v>
      </c>
      <c r="AB1422" t="s">
        <v>1220</v>
      </c>
      <c r="AC1422" t="s">
        <v>3083</v>
      </c>
      <c r="AE1422" t="s">
        <v>700</v>
      </c>
      <c r="AF1422" t="s">
        <v>3084</v>
      </c>
      <c r="AH1422" t="s">
        <v>3082</v>
      </c>
      <c r="AI1422" t="s">
        <v>848</v>
      </c>
      <c r="AJ1422" s="4" t="str">
        <f>"11596"</f>
        <v>11596</v>
      </c>
      <c r="AK1422" t="s">
        <v>120</v>
      </c>
      <c r="AM1422" s="5">
        <v>15169976943</v>
      </c>
      <c r="AO1422" t="s">
        <v>138</v>
      </c>
      <c r="AP1422" t="s">
        <v>256</v>
      </c>
      <c r="AQ1422" t="s">
        <v>1220</v>
      </c>
      <c r="AR1422" t="s">
        <v>1221</v>
      </c>
      <c r="AT1422" t="s">
        <v>1222</v>
      </c>
      <c r="AV1422" t="s">
        <v>1223</v>
      </c>
      <c r="AW1422" t="s">
        <v>848</v>
      </c>
      <c r="AX1422" s="4" t="str">
        <f t="shared" si="60"/>
        <v>11590</v>
      </c>
      <c r="AY1422" t="s">
        <v>120</v>
      </c>
      <c r="BA1422" s="5">
        <v>15163307168</v>
      </c>
      <c r="BC1422" t="s">
        <v>1224</v>
      </c>
      <c r="BD1422" t="s">
        <v>1225</v>
      </c>
      <c r="BG1422" t="s">
        <v>848</v>
      </c>
      <c r="BH1422" s="1">
        <v>44893.791666666664</v>
      </c>
      <c r="BI1422">
        <v>40</v>
      </c>
      <c r="BJ1422">
        <v>0</v>
      </c>
      <c r="BK1422">
        <v>8</v>
      </c>
      <c r="BL1422">
        <v>8</v>
      </c>
      <c r="BM1422">
        <v>8</v>
      </c>
      <c r="BN1422">
        <v>8</v>
      </c>
      <c r="BO1422">
        <v>8</v>
      </c>
      <c r="BP1422">
        <v>0</v>
      </c>
      <c r="BQ1422" t="str">
        <f>"8:00 AM"</f>
        <v>8:00 AM</v>
      </c>
      <c r="BR1422" t="str">
        <f>"4:00 PM"</f>
        <v>4:00 PM</v>
      </c>
      <c r="BS1422" t="s">
        <v>133</v>
      </c>
      <c r="BT1422">
        <v>0</v>
      </c>
      <c r="BU1422">
        <v>0</v>
      </c>
      <c r="BV1422" t="s">
        <v>134</v>
      </c>
      <c r="BX1422" t="s">
        <v>138</v>
      </c>
      <c r="BY1422" t="s">
        <v>3084</v>
      </c>
      <c r="CA1422" t="s">
        <v>3082</v>
      </c>
      <c r="CB1422" t="s">
        <v>848</v>
      </c>
      <c r="CC1422" s="4" t="str">
        <f>"11596"</f>
        <v>11596</v>
      </c>
      <c r="CD1422" t="s">
        <v>2194</v>
      </c>
      <c r="CE1422" t="s">
        <v>1009</v>
      </c>
      <c r="CF1422" s="6">
        <v>18.579999999999998</v>
      </c>
      <c r="CG1422" s="6">
        <v>18.579999999999998</v>
      </c>
      <c r="CH1422" s="6">
        <v>27.87</v>
      </c>
      <c r="CI1422" s="6">
        <v>27.87</v>
      </c>
      <c r="CJ1422" t="s">
        <v>137</v>
      </c>
      <c r="CK1422" t="s">
        <v>138</v>
      </c>
      <c r="CL1422" t="s">
        <v>3085</v>
      </c>
      <c r="CO1422" t="s">
        <v>138</v>
      </c>
      <c r="CP1422" t="s">
        <v>114</v>
      </c>
      <c r="CQ1422" t="s">
        <v>114</v>
      </c>
      <c r="CR1422" t="s">
        <v>114</v>
      </c>
      <c r="CS1422" t="s">
        <v>134</v>
      </c>
      <c r="CT1422" t="s">
        <v>114</v>
      </c>
      <c r="CU1422" t="s">
        <v>134</v>
      </c>
      <c r="CV1422" t="s">
        <v>219</v>
      </c>
      <c r="CW1422" s="5" t="str">
        <f>"+15169976943"</f>
        <v>+15169976943</v>
      </c>
      <c r="CX1422" t="s">
        <v>3086</v>
      </c>
      <c r="CY1422" t="s">
        <v>138</v>
      </c>
      <c r="CZ1422" t="s">
        <v>139</v>
      </c>
      <c r="DA1422" t="s">
        <v>134</v>
      </c>
      <c r="DB1422" t="s">
        <v>134</v>
      </c>
      <c r="DC1422" t="s">
        <v>114</v>
      </c>
      <c r="DD1422" t="s">
        <v>134</v>
      </c>
    </row>
    <row r="1423" spans="1:113" ht="15" customHeight="1" x14ac:dyDescent="0.25">
      <c r="A1423" t="s">
        <v>4864</v>
      </c>
      <c r="B1423" t="s">
        <v>141</v>
      </c>
      <c r="C1423" s="1">
        <v>44896.064933217589</v>
      </c>
      <c r="D1423" s="1">
        <v>44904</v>
      </c>
      <c r="E1423" t="s">
        <v>134</v>
      </c>
      <c r="F1423" t="s">
        <v>1219</v>
      </c>
      <c r="G1423" t="str">
        <f>"37-3011.00"</f>
        <v>37-3011.00</v>
      </c>
      <c r="H1423" t="s">
        <v>335</v>
      </c>
      <c r="I1423">
        <v>2</v>
      </c>
      <c r="K1423" s="1">
        <v>44986</v>
      </c>
      <c r="L1423" s="1">
        <v>45245</v>
      </c>
      <c r="O1423" t="s">
        <v>199</v>
      </c>
      <c r="P1423" t="s">
        <v>4865</v>
      </c>
      <c r="R1423" t="s">
        <v>4866</v>
      </c>
      <c r="S1423" t="s">
        <v>4867</v>
      </c>
      <c r="T1423" t="s">
        <v>4868</v>
      </c>
      <c r="U1423" t="s">
        <v>848</v>
      </c>
      <c r="V1423" s="4" t="str">
        <f>"11930"</f>
        <v>11930</v>
      </c>
      <c r="W1423" t="s">
        <v>120</v>
      </c>
      <c r="Y1423" s="5">
        <v>16312676559</v>
      </c>
      <c r="AA1423">
        <v>56173</v>
      </c>
      <c r="AB1423" t="s">
        <v>4869</v>
      </c>
      <c r="AC1423" t="s">
        <v>2147</v>
      </c>
      <c r="AE1423" t="s">
        <v>700</v>
      </c>
      <c r="AF1423" t="s">
        <v>4866</v>
      </c>
      <c r="AG1423" t="s">
        <v>4867</v>
      </c>
      <c r="AH1423" t="s">
        <v>4868</v>
      </c>
      <c r="AI1423" t="s">
        <v>848</v>
      </c>
      <c r="AJ1423" s="4" t="str">
        <f>"11930"</f>
        <v>11930</v>
      </c>
      <c r="AK1423" t="s">
        <v>120</v>
      </c>
      <c r="AM1423" s="5">
        <v>16312676559</v>
      </c>
      <c r="AO1423" t="s">
        <v>138</v>
      </c>
      <c r="AP1423" t="s">
        <v>256</v>
      </c>
      <c r="AQ1423" t="s">
        <v>1220</v>
      </c>
      <c r="AR1423" t="s">
        <v>1221</v>
      </c>
      <c r="AT1423" t="s">
        <v>1222</v>
      </c>
      <c r="AV1423" t="s">
        <v>1223</v>
      </c>
      <c r="AW1423" t="s">
        <v>848</v>
      </c>
      <c r="AX1423" s="4" t="str">
        <f t="shared" si="60"/>
        <v>11590</v>
      </c>
      <c r="AY1423" t="s">
        <v>120</v>
      </c>
      <c r="BA1423" s="5">
        <v>15163307168</v>
      </c>
      <c r="BC1423" t="s">
        <v>1224</v>
      </c>
      <c r="BD1423" t="s">
        <v>1225</v>
      </c>
      <c r="BG1423" t="s">
        <v>848</v>
      </c>
      <c r="BH1423" s="1">
        <v>44894.791666666664</v>
      </c>
      <c r="BI1423">
        <v>40</v>
      </c>
      <c r="BJ1423">
        <v>0</v>
      </c>
      <c r="BK1423">
        <v>8</v>
      </c>
      <c r="BL1423">
        <v>8</v>
      </c>
      <c r="BM1423">
        <v>8</v>
      </c>
      <c r="BN1423">
        <v>8</v>
      </c>
      <c r="BO1423">
        <v>8</v>
      </c>
      <c r="BP1423">
        <v>0</v>
      </c>
      <c r="BQ1423" t="str">
        <f>"8:00 AM"</f>
        <v>8:00 AM</v>
      </c>
      <c r="BR1423" t="str">
        <f>"4:00 PM"</f>
        <v>4:00 PM</v>
      </c>
      <c r="BS1423" t="s">
        <v>133</v>
      </c>
      <c r="BT1423">
        <v>0</v>
      </c>
      <c r="BU1423">
        <v>0</v>
      </c>
      <c r="BV1423" t="s">
        <v>134</v>
      </c>
      <c r="BX1423" t="s">
        <v>138</v>
      </c>
      <c r="BY1423" t="s">
        <v>4866</v>
      </c>
      <c r="CA1423" t="s">
        <v>4868</v>
      </c>
      <c r="CB1423" t="s">
        <v>848</v>
      </c>
      <c r="CC1423" s="4" t="str">
        <f>"11930"</f>
        <v>11930</v>
      </c>
      <c r="CD1423" t="s">
        <v>1227</v>
      </c>
      <c r="CE1423" t="s">
        <v>1009</v>
      </c>
      <c r="CF1423" s="6">
        <v>19.940000000000001</v>
      </c>
      <c r="CG1423" s="6">
        <v>19.940000000000001</v>
      </c>
      <c r="CH1423" s="6">
        <v>29.91</v>
      </c>
      <c r="CI1423" s="6">
        <v>29.91</v>
      </c>
      <c r="CJ1423" t="s">
        <v>137</v>
      </c>
      <c r="CK1423" t="s">
        <v>138</v>
      </c>
      <c r="CL1423" t="s">
        <v>4870</v>
      </c>
      <c r="CO1423" t="s">
        <v>138</v>
      </c>
      <c r="CP1423" t="s">
        <v>114</v>
      </c>
      <c r="CQ1423" t="s">
        <v>114</v>
      </c>
      <c r="CR1423" t="s">
        <v>114</v>
      </c>
      <c r="CS1423" t="s">
        <v>134</v>
      </c>
      <c r="CT1423" t="s">
        <v>114</v>
      </c>
      <c r="CU1423" t="s">
        <v>134</v>
      </c>
      <c r="CV1423" t="s">
        <v>219</v>
      </c>
      <c r="CW1423" s="5" t="str">
        <f>"+16312676559"</f>
        <v>+16312676559</v>
      </c>
      <c r="CX1423" t="s">
        <v>4871</v>
      </c>
      <c r="CY1423" t="s">
        <v>138</v>
      </c>
      <c r="CZ1423" t="s">
        <v>139</v>
      </c>
      <c r="DA1423" t="s">
        <v>134</v>
      </c>
      <c r="DB1423" t="s">
        <v>134</v>
      </c>
      <c r="DC1423" t="s">
        <v>114</v>
      </c>
      <c r="DD1423" t="s">
        <v>134</v>
      </c>
    </row>
    <row r="1424" spans="1:113" ht="15" customHeight="1" x14ac:dyDescent="0.25">
      <c r="A1424" t="s">
        <v>11128</v>
      </c>
      <c r="B1424" t="s">
        <v>141</v>
      </c>
      <c r="C1424" s="1">
        <v>44896.06029814815</v>
      </c>
      <c r="D1424" s="1">
        <v>44904</v>
      </c>
      <c r="E1424" t="s">
        <v>134</v>
      </c>
      <c r="F1424" t="s">
        <v>1612</v>
      </c>
      <c r="G1424" t="str">
        <f>"37-3011.00"</f>
        <v>37-3011.00</v>
      </c>
      <c r="H1424" t="s">
        <v>335</v>
      </c>
      <c r="I1424">
        <v>11</v>
      </c>
      <c r="K1424" s="1">
        <v>44986</v>
      </c>
      <c r="L1424" s="1">
        <v>45260</v>
      </c>
      <c r="O1424" t="s">
        <v>199</v>
      </c>
      <c r="P1424" t="s">
        <v>2021</v>
      </c>
      <c r="R1424" t="s">
        <v>2022</v>
      </c>
      <c r="T1424" t="s">
        <v>2023</v>
      </c>
      <c r="U1424" t="s">
        <v>848</v>
      </c>
      <c r="V1424" s="4" t="str">
        <f>"10994"</f>
        <v>10994</v>
      </c>
      <c r="W1424" t="s">
        <v>120</v>
      </c>
      <c r="Y1424" s="5">
        <v>18456272222</v>
      </c>
      <c r="AA1424">
        <v>713910</v>
      </c>
      <c r="AB1424" t="s">
        <v>2024</v>
      </c>
      <c r="AC1424" t="s">
        <v>2025</v>
      </c>
      <c r="AD1424" t="s">
        <v>2026</v>
      </c>
      <c r="AE1424" t="s">
        <v>1849</v>
      </c>
      <c r="AF1424" t="s">
        <v>2022</v>
      </c>
      <c r="AH1424" t="s">
        <v>2023</v>
      </c>
      <c r="AI1424" t="s">
        <v>848</v>
      </c>
      <c r="AJ1424" s="4" t="str">
        <f>"10994"</f>
        <v>10994</v>
      </c>
      <c r="AK1424" t="s">
        <v>120</v>
      </c>
      <c r="AM1424" s="5">
        <v>18456272222</v>
      </c>
      <c r="AO1424" t="s">
        <v>138</v>
      </c>
      <c r="AP1424" t="s">
        <v>256</v>
      </c>
      <c r="AQ1424" t="s">
        <v>1220</v>
      </c>
      <c r="AR1424" t="s">
        <v>1221</v>
      </c>
      <c r="AT1424" t="s">
        <v>1222</v>
      </c>
      <c r="AV1424" t="s">
        <v>1223</v>
      </c>
      <c r="AW1424" t="s">
        <v>848</v>
      </c>
      <c r="AX1424" s="4" t="str">
        <f t="shared" si="60"/>
        <v>11590</v>
      </c>
      <c r="AY1424" t="s">
        <v>120</v>
      </c>
      <c r="BA1424" s="5">
        <v>15163307168</v>
      </c>
      <c r="BC1424" t="s">
        <v>1224</v>
      </c>
      <c r="BD1424" t="s">
        <v>1225</v>
      </c>
      <c r="BG1424" t="s">
        <v>848</v>
      </c>
      <c r="BH1424" s="1">
        <v>44850.833333333336</v>
      </c>
      <c r="BI1424">
        <v>40</v>
      </c>
      <c r="BJ1424">
        <v>0</v>
      </c>
      <c r="BK1424">
        <v>8</v>
      </c>
      <c r="BL1424">
        <v>0</v>
      </c>
      <c r="BM1424">
        <v>8</v>
      </c>
      <c r="BN1424">
        <v>8</v>
      </c>
      <c r="BO1424">
        <v>8</v>
      </c>
      <c r="BP1424">
        <v>8</v>
      </c>
      <c r="BQ1424" t="str">
        <f>"6:00 AM"</f>
        <v>6:00 AM</v>
      </c>
      <c r="BR1424" t="str">
        <f>"2:30 PM"</f>
        <v>2:30 PM</v>
      </c>
      <c r="BS1424" t="s">
        <v>133</v>
      </c>
      <c r="BT1424">
        <v>0</v>
      </c>
      <c r="BU1424">
        <v>0</v>
      </c>
      <c r="BV1424" t="s">
        <v>134</v>
      </c>
      <c r="BX1424" t="s">
        <v>138</v>
      </c>
      <c r="BY1424" t="s">
        <v>2022</v>
      </c>
      <c r="CA1424" t="s">
        <v>2023</v>
      </c>
      <c r="CB1424" t="s">
        <v>848</v>
      </c>
      <c r="CC1424" s="4" t="str">
        <f>"10994"</f>
        <v>10994</v>
      </c>
      <c r="CD1424" t="s">
        <v>2027</v>
      </c>
      <c r="CE1424" t="s">
        <v>1009</v>
      </c>
      <c r="CF1424" s="6">
        <v>19.940000000000001</v>
      </c>
      <c r="CG1424" s="6">
        <v>19.940000000000001</v>
      </c>
      <c r="CH1424" s="6">
        <v>29.91</v>
      </c>
      <c r="CI1424" s="6">
        <v>29.91</v>
      </c>
      <c r="CJ1424" t="s">
        <v>137</v>
      </c>
      <c r="CK1424" t="s">
        <v>138</v>
      </c>
      <c r="CL1424" t="s">
        <v>2028</v>
      </c>
      <c r="CO1424" t="s">
        <v>138</v>
      </c>
      <c r="CP1424" t="s">
        <v>134</v>
      </c>
      <c r="CQ1424" t="s">
        <v>134</v>
      </c>
      <c r="CR1424" t="s">
        <v>114</v>
      </c>
      <c r="CS1424" t="s">
        <v>134</v>
      </c>
      <c r="CT1424" t="s">
        <v>114</v>
      </c>
      <c r="CU1424" t="s">
        <v>134</v>
      </c>
      <c r="CV1424" t="s">
        <v>219</v>
      </c>
      <c r="CW1424" s="5" t="str">
        <f>"+18456272222"</f>
        <v>+18456272222</v>
      </c>
      <c r="CX1424" t="s">
        <v>2029</v>
      </c>
      <c r="CY1424" t="s">
        <v>138</v>
      </c>
      <c r="CZ1424" t="s">
        <v>139</v>
      </c>
      <c r="DA1424" t="s">
        <v>134</v>
      </c>
      <c r="DB1424" t="s">
        <v>134</v>
      </c>
      <c r="DC1424" t="s">
        <v>114</v>
      </c>
      <c r="DD1424" t="s">
        <v>134</v>
      </c>
    </row>
    <row r="1425" spans="1:108" ht="15" customHeight="1" x14ac:dyDescent="0.25">
      <c r="A1425" t="s">
        <v>4771</v>
      </c>
      <c r="B1425" t="s">
        <v>141</v>
      </c>
      <c r="C1425" s="1">
        <v>44896.053134837966</v>
      </c>
      <c r="D1425" s="1">
        <v>44904</v>
      </c>
      <c r="E1425" t="s">
        <v>134</v>
      </c>
      <c r="F1425" t="s">
        <v>2739</v>
      </c>
      <c r="G1425" t="str">
        <f>"37-2011.00"</f>
        <v>37-2011.00</v>
      </c>
      <c r="H1425" t="s">
        <v>672</v>
      </c>
      <c r="I1425">
        <v>2</v>
      </c>
      <c r="K1425" s="1">
        <v>44986</v>
      </c>
      <c r="L1425" s="1">
        <v>45241</v>
      </c>
      <c r="O1425" t="s">
        <v>199</v>
      </c>
      <c r="P1425" t="s">
        <v>4772</v>
      </c>
      <c r="R1425" t="s">
        <v>4773</v>
      </c>
      <c r="S1425" t="s">
        <v>4774</v>
      </c>
      <c r="T1425" t="s">
        <v>4775</v>
      </c>
      <c r="U1425" t="s">
        <v>848</v>
      </c>
      <c r="V1425" s="4" t="str">
        <f>"11733"</f>
        <v>11733</v>
      </c>
      <c r="W1425" t="s">
        <v>120</v>
      </c>
      <c r="Y1425" s="5">
        <v>16315037665</v>
      </c>
      <c r="AA1425">
        <v>561790</v>
      </c>
      <c r="AB1425" t="s">
        <v>4776</v>
      </c>
      <c r="AC1425" t="s">
        <v>4210</v>
      </c>
      <c r="AE1425" t="s">
        <v>700</v>
      </c>
      <c r="AF1425" t="s">
        <v>4777</v>
      </c>
      <c r="AG1425" t="s">
        <v>4778</v>
      </c>
      <c r="AH1425" t="s">
        <v>4775</v>
      </c>
      <c r="AI1425" t="s">
        <v>848</v>
      </c>
      <c r="AJ1425" s="4" t="str">
        <f>"11733"</f>
        <v>11733</v>
      </c>
      <c r="AK1425" t="s">
        <v>120</v>
      </c>
      <c r="AM1425" s="5">
        <v>16315037665</v>
      </c>
      <c r="AO1425" t="s">
        <v>138</v>
      </c>
      <c r="AP1425" t="s">
        <v>256</v>
      </c>
      <c r="AQ1425" t="s">
        <v>1220</v>
      </c>
      <c r="AR1425" t="s">
        <v>1221</v>
      </c>
      <c r="AT1425" t="s">
        <v>1222</v>
      </c>
      <c r="AV1425" t="s">
        <v>1223</v>
      </c>
      <c r="AW1425" t="s">
        <v>848</v>
      </c>
      <c r="AX1425" s="4" t="str">
        <f t="shared" si="60"/>
        <v>11590</v>
      </c>
      <c r="AY1425" t="s">
        <v>120</v>
      </c>
      <c r="BA1425" s="5">
        <v>15163307168</v>
      </c>
      <c r="BC1425" t="s">
        <v>1224</v>
      </c>
      <c r="BD1425" t="s">
        <v>1225</v>
      </c>
      <c r="BG1425" t="s">
        <v>848</v>
      </c>
      <c r="BH1425" s="1">
        <v>44894.791666666664</v>
      </c>
      <c r="BI1425">
        <v>40</v>
      </c>
      <c r="BJ1425">
        <v>0</v>
      </c>
      <c r="BK1425">
        <v>8</v>
      </c>
      <c r="BL1425">
        <v>8</v>
      </c>
      <c r="BM1425">
        <v>8</v>
      </c>
      <c r="BN1425">
        <v>8</v>
      </c>
      <c r="BO1425">
        <v>8</v>
      </c>
      <c r="BP1425">
        <v>0</v>
      </c>
      <c r="BQ1425" t="str">
        <f>"7:00 AM"</f>
        <v>7:00 AM</v>
      </c>
      <c r="BR1425" t="str">
        <f>"4:00 PM"</f>
        <v>4:00 PM</v>
      </c>
      <c r="BS1425" t="s">
        <v>133</v>
      </c>
      <c r="BT1425">
        <v>0</v>
      </c>
      <c r="BU1425">
        <v>0</v>
      </c>
      <c r="BV1425" t="s">
        <v>134</v>
      </c>
      <c r="BX1425" t="s">
        <v>138</v>
      </c>
      <c r="BY1425" t="s">
        <v>4779</v>
      </c>
      <c r="CA1425" t="s">
        <v>4780</v>
      </c>
      <c r="CB1425" t="s">
        <v>848</v>
      </c>
      <c r="CC1425" s="4" t="str">
        <f>"11720"</f>
        <v>11720</v>
      </c>
      <c r="CD1425" t="s">
        <v>1227</v>
      </c>
      <c r="CE1425" t="s">
        <v>1009</v>
      </c>
      <c r="CF1425" s="6">
        <v>19.22</v>
      </c>
      <c r="CG1425" s="6">
        <v>19.22</v>
      </c>
      <c r="CH1425" s="6">
        <v>28.83</v>
      </c>
      <c r="CI1425" s="6">
        <v>28.83</v>
      </c>
      <c r="CJ1425" t="s">
        <v>137</v>
      </c>
      <c r="CK1425" t="s">
        <v>138</v>
      </c>
      <c r="CL1425" t="s">
        <v>4781</v>
      </c>
      <c r="CO1425" t="s">
        <v>138</v>
      </c>
      <c r="CP1425" t="s">
        <v>114</v>
      </c>
      <c r="CQ1425" t="s">
        <v>114</v>
      </c>
      <c r="CR1425" t="s">
        <v>114</v>
      </c>
      <c r="CS1425" t="s">
        <v>134</v>
      </c>
      <c r="CT1425" t="s">
        <v>114</v>
      </c>
      <c r="CU1425" t="s">
        <v>134</v>
      </c>
      <c r="CV1425" t="s">
        <v>219</v>
      </c>
      <c r="CW1425" s="5" t="str">
        <f>"+16315037665"</f>
        <v>+16315037665</v>
      </c>
      <c r="CX1425" t="s">
        <v>4782</v>
      </c>
      <c r="CY1425" t="s">
        <v>138</v>
      </c>
      <c r="CZ1425" t="s">
        <v>139</v>
      </c>
      <c r="DA1425" t="s">
        <v>134</v>
      </c>
      <c r="DB1425" t="s">
        <v>134</v>
      </c>
      <c r="DC1425" t="s">
        <v>114</v>
      </c>
      <c r="DD1425" t="s">
        <v>134</v>
      </c>
    </row>
    <row r="1426" spans="1:108" ht="15" customHeight="1" x14ac:dyDescent="0.25">
      <c r="A1426" t="s">
        <v>3087</v>
      </c>
      <c r="B1426" t="s">
        <v>141</v>
      </c>
      <c r="C1426" s="1">
        <v>44896.040218518516</v>
      </c>
      <c r="D1426" s="1">
        <v>44904</v>
      </c>
      <c r="E1426" t="s">
        <v>134</v>
      </c>
      <c r="F1426" t="s">
        <v>3088</v>
      </c>
      <c r="G1426" t="str">
        <f>"45-2092.00"</f>
        <v>45-2092.00</v>
      </c>
      <c r="H1426" t="s">
        <v>3089</v>
      </c>
      <c r="I1426">
        <v>20</v>
      </c>
      <c r="K1426" s="1">
        <v>44986</v>
      </c>
      <c r="L1426" s="1">
        <v>45260</v>
      </c>
      <c r="O1426" t="s">
        <v>199</v>
      </c>
      <c r="P1426" t="s">
        <v>3090</v>
      </c>
      <c r="R1426" t="s">
        <v>3091</v>
      </c>
      <c r="T1426" t="s">
        <v>1772</v>
      </c>
      <c r="U1426" t="s">
        <v>848</v>
      </c>
      <c r="V1426" s="4" t="str">
        <f>"11976"</f>
        <v>11976</v>
      </c>
      <c r="W1426" t="s">
        <v>120</v>
      </c>
      <c r="Y1426" s="5">
        <v>16317264767</v>
      </c>
      <c r="AA1426">
        <v>444220</v>
      </c>
      <c r="AB1426" t="s">
        <v>3092</v>
      </c>
      <c r="AC1426" t="s">
        <v>1154</v>
      </c>
      <c r="AE1426" t="s">
        <v>700</v>
      </c>
      <c r="AF1426" t="s">
        <v>3091</v>
      </c>
      <c r="AH1426" t="s">
        <v>1772</v>
      </c>
      <c r="AI1426" t="s">
        <v>848</v>
      </c>
      <c r="AJ1426" s="4" t="str">
        <f>"11976"</f>
        <v>11976</v>
      </c>
      <c r="AK1426" t="s">
        <v>120</v>
      </c>
      <c r="AM1426" s="5">
        <v>16317264767</v>
      </c>
      <c r="AO1426" t="s">
        <v>138</v>
      </c>
      <c r="AP1426" t="s">
        <v>256</v>
      </c>
      <c r="AQ1426" t="s">
        <v>1220</v>
      </c>
      <c r="AR1426" t="s">
        <v>1221</v>
      </c>
      <c r="AT1426" t="s">
        <v>1222</v>
      </c>
      <c r="AV1426" t="s">
        <v>1223</v>
      </c>
      <c r="AW1426" t="s">
        <v>848</v>
      </c>
      <c r="AX1426" s="4" t="str">
        <f t="shared" si="60"/>
        <v>11590</v>
      </c>
      <c r="AY1426" t="s">
        <v>120</v>
      </c>
      <c r="BA1426" s="5">
        <v>15163307168</v>
      </c>
      <c r="BC1426" t="s">
        <v>1224</v>
      </c>
      <c r="BD1426" t="s">
        <v>1225</v>
      </c>
      <c r="BG1426" t="s">
        <v>848</v>
      </c>
      <c r="BH1426" s="1">
        <v>44894.791666666664</v>
      </c>
      <c r="BI1426">
        <v>40</v>
      </c>
      <c r="BJ1426">
        <v>0</v>
      </c>
      <c r="BK1426">
        <v>8</v>
      </c>
      <c r="BL1426">
        <v>8</v>
      </c>
      <c r="BM1426">
        <v>8</v>
      </c>
      <c r="BN1426">
        <v>8</v>
      </c>
      <c r="BO1426">
        <v>8</v>
      </c>
      <c r="BP1426">
        <v>0</v>
      </c>
      <c r="BQ1426" t="str">
        <f>"8:00 AM"</f>
        <v>8:00 AM</v>
      </c>
      <c r="BR1426" t="str">
        <f>"4:00 PM"</f>
        <v>4:00 PM</v>
      </c>
      <c r="BS1426" t="s">
        <v>133</v>
      </c>
      <c r="BT1426">
        <v>0</v>
      </c>
      <c r="BU1426">
        <v>0</v>
      </c>
      <c r="BV1426" t="s">
        <v>134</v>
      </c>
      <c r="BX1426" t="s">
        <v>138</v>
      </c>
      <c r="BY1426" t="s">
        <v>3091</v>
      </c>
      <c r="CA1426" t="s">
        <v>1772</v>
      </c>
      <c r="CB1426" t="s">
        <v>848</v>
      </c>
      <c r="CC1426" s="4" t="str">
        <f>"11976"</f>
        <v>11976</v>
      </c>
      <c r="CD1426" t="s">
        <v>1227</v>
      </c>
      <c r="CE1426" t="s">
        <v>1009</v>
      </c>
      <c r="CF1426" s="6">
        <v>16.48</v>
      </c>
      <c r="CG1426" s="6">
        <v>16.48</v>
      </c>
      <c r="CH1426" s="6">
        <v>24.72</v>
      </c>
      <c r="CI1426" s="6">
        <v>24.72</v>
      </c>
      <c r="CJ1426" t="s">
        <v>137</v>
      </c>
      <c r="CK1426" t="s">
        <v>138</v>
      </c>
      <c r="CL1426" t="s">
        <v>3093</v>
      </c>
      <c r="CO1426" t="s">
        <v>138</v>
      </c>
      <c r="CP1426" t="s">
        <v>134</v>
      </c>
      <c r="CQ1426" t="s">
        <v>114</v>
      </c>
      <c r="CR1426" t="s">
        <v>114</v>
      </c>
      <c r="CS1426" t="s">
        <v>134</v>
      </c>
      <c r="CT1426" t="s">
        <v>114</v>
      </c>
      <c r="CU1426" t="s">
        <v>134</v>
      </c>
      <c r="CV1426" t="s">
        <v>219</v>
      </c>
      <c r="CW1426" s="5" t="str">
        <f>"+16317264767"</f>
        <v>+16317264767</v>
      </c>
      <c r="CX1426" t="s">
        <v>3094</v>
      </c>
      <c r="CY1426" t="s">
        <v>138</v>
      </c>
      <c r="CZ1426" t="s">
        <v>139</v>
      </c>
      <c r="DA1426" t="s">
        <v>134</v>
      </c>
      <c r="DB1426" t="s">
        <v>134</v>
      </c>
      <c r="DC1426" t="s">
        <v>114</v>
      </c>
      <c r="DD1426" t="s">
        <v>134</v>
      </c>
    </row>
    <row r="1427" spans="1:108" ht="15" customHeight="1" x14ac:dyDescent="0.25">
      <c r="A1427" t="s">
        <v>8299</v>
      </c>
      <c r="B1427" t="s">
        <v>141</v>
      </c>
      <c r="C1427" s="1">
        <v>44896.035165393521</v>
      </c>
      <c r="D1427" s="1">
        <v>44904</v>
      </c>
      <c r="E1427" t="s">
        <v>134</v>
      </c>
      <c r="F1427" t="s">
        <v>4603</v>
      </c>
      <c r="G1427" t="str">
        <f>"37-3011.00"</f>
        <v>37-3011.00</v>
      </c>
      <c r="H1427" t="s">
        <v>335</v>
      </c>
      <c r="I1427">
        <v>4</v>
      </c>
      <c r="K1427" s="1">
        <v>44986</v>
      </c>
      <c r="L1427" s="1">
        <v>45231</v>
      </c>
      <c r="O1427" t="s">
        <v>199</v>
      </c>
      <c r="P1427" t="s">
        <v>8300</v>
      </c>
      <c r="R1427" t="s">
        <v>8301</v>
      </c>
      <c r="T1427" t="s">
        <v>1368</v>
      </c>
      <c r="U1427" t="s">
        <v>848</v>
      </c>
      <c r="V1427" s="4" t="str">
        <f>"11969"</f>
        <v>11969</v>
      </c>
      <c r="W1427" t="s">
        <v>120</v>
      </c>
      <c r="Y1427" s="5">
        <v>16312041420</v>
      </c>
      <c r="AA1427">
        <v>22131</v>
      </c>
      <c r="AB1427" t="s">
        <v>8302</v>
      </c>
      <c r="AC1427" t="s">
        <v>8303</v>
      </c>
      <c r="AE1427" t="s">
        <v>1212</v>
      </c>
      <c r="AF1427" t="s">
        <v>8301</v>
      </c>
      <c r="AH1427" t="s">
        <v>1368</v>
      </c>
      <c r="AI1427" t="s">
        <v>848</v>
      </c>
      <c r="AJ1427" s="4" t="str">
        <f>"11969"</f>
        <v>11969</v>
      </c>
      <c r="AK1427" t="s">
        <v>120</v>
      </c>
      <c r="AM1427" s="5">
        <v>16312041420</v>
      </c>
      <c r="AO1427" t="s">
        <v>138</v>
      </c>
      <c r="AP1427" t="s">
        <v>256</v>
      </c>
      <c r="AQ1427" t="s">
        <v>1220</v>
      </c>
      <c r="AR1427" t="s">
        <v>1221</v>
      </c>
      <c r="AT1427" t="s">
        <v>1222</v>
      </c>
      <c r="AV1427" t="s">
        <v>1223</v>
      </c>
      <c r="AW1427" t="s">
        <v>848</v>
      </c>
      <c r="AX1427" s="4" t="str">
        <f t="shared" si="60"/>
        <v>11590</v>
      </c>
      <c r="AY1427" t="s">
        <v>120</v>
      </c>
      <c r="BA1427" s="5">
        <v>17577613231</v>
      </c>
      <c r="BC1427" t="s">
        <v>1224</v>
      </c>
      <c r="BD1427" t="s">
        <v>1225</v>
      </c>
      <c r="BG1427" t="s">
        <v>848</v>
      </c>
      <c r="BH1427" s="1">
        <v>44872.791666666664</v>
      </c>
      <c r="BI1427">
        <v>48</v>
      </c>
      <c r="BJ1427">
        <v>0</v>
      </c>
      <c r="BK1427">
        <v>8</v>
      </c>
      <c r="BL1427">
        <v>8</v>
      </c>
      <c r="BM1427">
        <v>8</v>
      </c>
      <c r="BN1427">
        <v>8</v>
      </c>
      <c r="BO1427">
        <v>8</v>
      </c>
      <c r="BP1427">
        <v>8</v>
      </c>
      <c r="BQ1427" t="str">
        <f>"7:00 AM"</f>
        <v>7:00 AM</v>
      </c>
      <c r="BR1427" t="str">
        <f>"5:00 PM"</f>
        <v>5:00 PM</v>
      </c>
      <c r="BS1427" t="s">
        <v>133</v>
      </c>
      <c r="BT1427">
        <v>0</v>
      </c>
      <c r="BU1427">
        <v>1</v>
      </c>
      <c r="BV1427" t="s">
        <v>134</v>
      </c>
      <c r="BX1427" s="2" t="s">
        <v>8304</v>
      </c>
      <c r="BY1427" t="s">
        <v>8301</v>
      </c>
      <c r="CA1427" t="s">
        <v>1368</v>
      </c>
      <c r="CB1427" t="s">
        <v>848</v>
      </c>
      <c r="CC1427" s="4" t="str">
        <f>"11969"</f>
        <v>11969</v>
      </c>
      <c r="CD1427" t="s">
        <v>1227</v>
      </c>
      <c r="CE1427" t="s">
        <v>1009</v>
      </c>
      <c r="CF1427" s="6">
        <v>19.940000000000001</v>
      </c>
      <c r="CG1427" s="6">
        <v>19.940000000000001</v>
      </c>
      <c r="CH1427" s="6">
        <v>29.91</v>
      </c>
      <c r="CI1427" s="6">
        <v>29.91</v>
      </c>
      <c r="CJ1427" t="s">
        <v>137</v>
      </c>
      <c r="CK1427" t="s">
        <v>8305</v>
      </c>
      <c r="CL1427" t="s">
        <v>8306</v>
      </c>
      <c r="CO1427" t="s">
        <v>138</v>
      </c>
      <c r="CP1427" t="s">
        <v>114</v>
      </c>
      <c r="CQ1427" t="s">
        <v>114</v>
      </c>
      <c r="CR1427" t="s">
        <v>114</v>
      </c>
      <c r="CS1427" t="s">
        <v>134</v>
      </c>
      <c r="CT1427" t="s">
        <v>114</v>
      </c>
      <c r="CU1427" t="s">
        <v>134</v>
      </c>
      <c r="CV1427" t="s">
        <v>219</v>
      </c>
      <c r="CW1427" s="5" t="str">
        <f>"+16312041420"</f>
        <v>+16312041420</v>
      </c>
      <c r="CX1427" t="s">
        <v>8307</v>
      </c>
      <c r="CY1427" t="s">
        <v>138</v>
      </c>
      <c r="CZ1427" t="s">
        <v>139</v>
      </c>
      <c r="DA1427" t="s">
        <v>134</v>
      </c>
      <c r="DB1427" t="s">
        <v>134</v>
      </c>
      <c r="DC1427" t="s">
        <v>114</v>
      </c>
      <c r="DD1427" t="s">
        <v>134</v>
      </c>
    </row>
    <row r="1428" spans="1:108" ht="15" customHeight="1" x14ac:dyDescent="0.25">
      <c r="A1428" t="s">
        <v>9340</v>
      </c>
      <c r="B1428" t="s">
        <v>141</v>
      </c>
      <c r="C1428" s="1">
        <v>44896.03282951389</v>
      </c>
      <c r="D1428" s="1">
        <v>44904</v>
      </c>
      <c r="E1428" t="s">
        <v>134</v>
      </c>
      <c r="F1428" t="s">
        <v>1219</v>
      </c>
      <c r="G1428" t="str">
        <f>"37-3011.00"</f>
        <v>37-3011.00</v>
      </c>
      <c r="H1428" t="s">
        <v>335</v>
      </c>
      <c r="I1428">
        <v>6</v>
      </c>
      <c r="K1428" s="1">
        <v>44986</v>
      </c>
      <c r="L1428" s="1">
        <v>45275</v>
      </c>
      <c r="O1428" t="s">
        <v>199</v>
      </c>
      <c r="P1428" t="s">
        <v>6065</v>
      </c>
      <c r="R1428" t="s">
        <v>6066</v>
      </c>
      <c r="S1428" t="s">
        <v>6067</v>
      </c>
      <c r="T1428" t="s">
        <v>2160</v>
      </c>
      <c r="U1428" t="s">
        <v>848</v>
      </c>
      <c r="V1428" s="4" t="str">
        <f>"11975"</f>
        <v>11975</v>
      </c>
      <c r="W1428" t="s">
        <v>120</v>
      </c>
      <c r="Y1428" s="5">
        <v>16315371440</v>
      </c>
      <c r="AA1428">
        <v>56173</v>
      </c>
      <c r="AB1428" t="s">
        <v>6068</v>
      </c>
      <c r="AC1428" t="s">
        <v>6069</v>
      </c>
      <c r="AE1428" t="s">
        <v>700</v>
      </c>
      <c r="AF1428" t="s">
        <v>6066</v>
      </c>
      <c r="AG1428" t="s">
        <v>4605</v>
      </c>
      <c r="AH1428" t="s">
        <v>2160</v>
      </c>
      <c r="AI1428" t="s">
        <v>848</v>
      </c>
      <c r="AJ1428" s="4" t="str">
        <f>"11975"</f>
        <v>11975</v>
      </c>
      <c r="AK1428" t="s">
        <v>120</v>
      </c>
      <c r="AM1428" s="5">
        <v>16315371440</v>
      </c>
      <c r="AO1428" t="s">
        <v>138</v>
      </c>
      <c r="AP1428" t="s">
        <v>256</v>
      </c>
      <c r="AQ1428" t="s">
        <v>1220</v>
      </c>
      <c r="AR1428" t="s">
        <v>1221</v>
      </c>
      <c r="AT1428" t="s">
        <v>1222</v>
      </c>
      <c r="AV1428" t="s">
        <v>1223</v>
      </c>
      <c r="AW1428" t="s">
        <v>848</v>
      </c>
      <c r="AX1428" s="4" t="str">
        <f t="shared" si="60"/>
        <v>11590</v>
      </c>
      <c r="AY1428" t="s">
        <v>120</v>
      </c>
      <c r="BA1428" s="5">
        <v>15163307168</v>
      </c>
      <c r="BC1428" t="s">
        <v>1224</v>
      </c>
      <c r="BD1428" t="s">
        <v>2035</v>
      </c>
      <c r="BG1428" t="s">
        <v>848</v>
      </c>
      <c r="BH1428" s="1">
        <v>44894.791666666664</v>
      </c>
      <c r="BI1428">
        <v>40</v>
      </c>
      <c r="BJ1428">
        <v>0</v>
      </c>
      <c r="BK1428">
        <v>8</v>
      </c>
      <c r="BL1428">
        <v>8</v>
      </c>
      <c r="BM1428">
        <v>8</v>
      </c>
      <c r="BN1428">
        <v>8</v>
      </c>
      <c r="BO1428">
        <v>8</v>
      </c>
      <c r="BP1428">
        <v>0</v>
      </c>
      <c r="BQ1428" t="str">
        <f>"8:00 AM"</f>
        <v>8:00 AM</v>
      </c>
      <c r="BR1428" t="str">
        <f>"4:00 PM"</f>
        <v>4:00 PM</v>
      </c>
      <c r="BS1428" t="s">
        <v>133</v>
      </c>
      <c r="BT1428">
        <v>0</v>
      </c>
      <c r="BU1428">
        <v>0</v>
      </c>
      <c r="BV1428" t="s">
        <v>134</v>
      </c>
      <c r="BX1428" t="s">
        <v>138</v>
      </c>
      <c r="BY1428" t="s">
        <v>6066</v>
      </c>
      <c r="CA1428" t="s">
        <v>2160</v>
      </c>
      <c r="CB1428" t="s">
        <v>848</v>
      </c>
      <c r="CC1428" s="4" t="str">
        <f>"11975"</f>
        <v>11975</v>
      </c>
      <c r="CD1428" t="s">
        <v>1227</v>
      </c>
      <c r="CE1428" t="s">
        <v>1009</v>
      </c>
      <c r="CF1428" s="6">
        <v>19.940000000000001</v>
      </c>
      <c r="CG1428" s="6">
        <v>19.940000000000001</v>
      </c>
      <c r="CH1428" s="6">
        <v>29.91</v>
      </c>
      <c r="CI1428" s="6">
        <v>29.91</v>
      </c>
      <c r="CJ1428" t="s">
        <v>137</v>
      </c>
      <c r="CK1428" t="s">
        <v>138</v>
      </c>
      <c r="CL1428" t="s">
        <v>6070</v>
      </c>
      <c r="CO1428" t="s">
        <v>138</v>
      </c>
      <c r="CP1428" t="s">
        <v>114</v>
      </c>
      <c r="CQ1428" t="s">
        <v>114</v>
      </c>
      <c r="CR1428" t="s">
        <v>114</v>
      </c>
      <c r="CS1428" t="s">
        <v>134</v>
      </c>
      <c r="CT1428" t="s">
        <v>114</v>
      </c>
      <c r="CU1428" t="s">
        <v>134</v>
      </c>
      <c r="CV1428" t="s">
        <v>219</v>
      </c>
      <c r="CW1428" s="5" t="str">
        <f>"+16315371440"</f>
        <v>+16315371440</v>
      </c>
      <c r="CX1428" t="s">
        <v>6071</v>
      </c>
      <c r="CY1428" t="s">
        <v>138</v>
      </c>
      <c r="CZ1428" t="s">
        <v>139</v>
      </c>
      <c r="DA1428" t="s">
        <v>134</v>
      </c>
      <c r="DB1428" t="s">
        <v>134</v>
      </c>
      <c r="DC1428" t="s">
        <v>114</v>
      </c>
      <c r="DD1428" t="s">
        <v>134</v>
      </c>
    </row>
    <row r="1429" spans="1:108" ht="15" customHeight="1" x14ac:dyDescent="0.25">
      <c r="A1429" t="s">
        <v>10175</v>
      </c>
      <c r="B1429" t="s">
        <v>141</v>
      </c>
      <c r="C1429" s="1">
        <v>44896.027959606479</v>
      </c>
      <c r="D1429" s="1">
        <v>44904</v>
      </c>
      <c r="E1429" t="s">
        <v>134</v>
      </c>
      <c r="F1429" t="s">
        <v>2766</v>
      </c>
      <c r="G1429" t="str">
        <f>"43-4081.00"</f>
        <v>43-4081.00</v>
      </c>
      <c r="H1429" t="s">
        <v>2463</v>
      </c>
      <c r="I1429">
        <v>4</v>
      </c>
      <c r="K1429" s="1">
        <v>44986</v>
      </c>
      <c r="L1429" s="1">
        <v>45261</v>
      </c>
      <c r="O1429" t="s">
        <v>117</v>
      </c>
      <c r="P1429" t="s">
        <v>7160</v>
      </c>
      <c r="Q1429" t="s">
        <v>7161</v>
      </c>
      <c r="R1429" t="s">
        <v>7162</v>
      </c>
      <c r="T1429" t="s">
        <v>6134</v>
      </c>
      <c r="U1429" t="s">
        <v>848</v>
      </c>
      <c r="V1429" s="4" t="str">
        <f>"11954"</f>
        <v>11954</v>
      </c>
      <c r="W1429" t="s">
        <v>120</v>
      </c>
      <c r="Y1429" s="5">
        <v>16316681710</v>
      </c>
      <c r="AA1429">
        <v>72111</v>
      </c>
      <c r="AB1429" t="s">
        <v>7163</v>
      </c>
      <c r="AC1429" t="s">
        <v>4518</v>
      </c>
      <c r="AE1429" t="s">
        <v>1212</v>
      </c>
      <c r="AF1429" t="s">
        <v>7162</v>
      </c>
      <c r="AH1429" t="s">
        <v>6134</v>
      </c>
      <c r="AI1429" t="s">
        <v>848</v>
      </c>
      <c r="AJ1429" s="4" t="str">
        <f>"11954"</f>
        <v>11954</v>
      </c>
      <c r="AK1429" t="s">
        <v>120</v>
      </c>
      <c r="AM1429" s="5">
        <v>16316681710</v>
      </c>
      <c r="AO1429" t="s">
        <v>138</v>
      </c>
      <c r="AP1429" t="s">
        <v>256</v>
      </c>
      <c r="AQ1429" t="s">
        <v>1220</v>
      </c>
      <c r="AR1429" t="s">
        <v>1221</v>
      </c>
      <c r="AT1429" t="s">
        <v>1222</v>
      </c>
      <c r="AV1429" t="s">
        <v>1223</v>
      </c>
      <c r="AW1429" t="s">
        <v>848</v>
      </c>
      <c r="AX1429" s="4" t="str">
        <f t="shared" si="60"/>
        <v>11590</v>
      </c>
      <c r="AY1429" t="s">
        <v>120</v>
      </c>
      <c r="BA1429" s="5">
        <v>15163307168</v>
      </c>
      <c r="BC1429" t="s">
        <v>1224</v>
      </c>
      <c r="BD1429" t="s">
        <v>1225</v>
      </c>
      <c r="BG1429" t="s">
        <v>848</v>
      </c>
      <c r="BH1429" s="1">
        <v>44885.791666666664</v>
      </c>
      <c r="BI1429">
        <v>40</v>
      </c>
      <c r="BJ1429">
        <v>0</v>
      </c>
      <c r="BK1429">
        <v>8</v>
      </c>
      <c r="BL1429">
        <v>8</v>
      </c>
      <c r="BM1429">
        <v>8</v>
      </c>
      <c r="BN1429">
        <v>0</v>
      </c>
      <c r="BO1429">
        <v>8</v>
      </c>
      <c r="BP1429">
        <v>8</v>
      </c>
      <c r="BQ1429" t="str">
        <f>"7:00 AM"</f>
        <v>7:00 AM</v>
      </c>
      <c r="BR1429" t="str">
        <f>"11:00 PM"</f>
        <v>11:00 PM</v>
      </c>
      <c r="BS1429" t="s">
        <v>133</v>
      </c>
      <c r="BT1429">
        <v>0</v>
      </c>
      <c r="BU1429">
        <v>3</v>
      </c>
      <c r="BV1429" t="s">
        <v>134</v>
      </c>
      <c r="BX1429" t="s">
        <v>10176</v>
      </c>
      <c r="BY1429" t="s">
        <v>7282</v>
      </c>
      <c r="CA1429" t="s">
        <v>6134</v>
      </c>
      <c r="CB1429" t="s">
        <v>848</v>
      </c>
      <c r="CC1429" s="4" t="str">
        <f>"11954"</f>
        <v>11954</v>
      </c>
      <c r="CD1429" t="s">
        <v>1227</v>
      </c>
      <c r="CE1429" t="s">
        <v>1009</v>
      </c>
      <c r="CF1429" s="6">
        <v>19.170000000000002</v>
      </c>
      <c r="CG1429" s="6">
        <v>19.170000000000002</v>
      </c>
      <c r="CH1429" s="6">
        <v>28.76</v>
      </c>
      <c r="CI1429" s="6">
        <v>28.76</v>
      </c>
      <c r="CJ1429" t="s">
        <v>137</v>
      </c>
      <c r="CK1429" t="s">
        <v>138</v>
      </c>
      <c r="CL1429" t="s">
        <v>10177</v>
      </c>
      <c r="CO1429" t="s">
        <v>138</v>
      </c>
      <c r="CP1429" t="s">
        <v>114</v>
      </c>
      <c r="CQ1429" t="s">
        <v>134</v>
      </c>
      <c r="CR1429" t="s">
        <v>114</v>
      </c>
      <c r="CS1429" t="s">
        <v>134</v>
      </c>
      <c r="CT1429" t="s">
        <v>114</v>
      </c>
      <c r="CU1429" t="s">
        <v>114</v>
      </c>
      <c r="CV1429" t="s">
        <v>7166</v>
      </c>
      <c r="CW1429" s="5" t="str">
        <f>"+16316681710"</f>
        <v>+16316681710</v>
      </c>
      <c r="CX1429" t="s">
        <v>7167</v>
      </c>
      <c r="CY1429" t="s">
        <v>138</v>
      </c>
      <c r="CZ1429" t="s">
        <v>139</v>
      </c>
      <c r="DA1429" t="s">
        <v>134</v>
      </c>
      <c r="DB1429" t="s">
        <v>134</v>
      </c>
      <c r="DC1429" t="s">
        <v>114</v>
      </c>
      <c r="DD1429" t="s">
        <v>134</v>
      </c>
    </row>
    <row r="1430" spans="1:108" ht="15" customHeight="1" x14ac:dyDescent="0.25">
      <c r="A1430" t="s">
        <v>9306</v>
      </c>
      <c r="B1430" t="s">
        <v>141</v>
      </c>
      <c r="C1430" s="1">
        <v>44896.021849652781</v>
      </c>
      <c r="D1430" s="1">
        <v>44904</v>
      </c>
      <c r="E1430" t="s">
        <v>134</v>
      </c>
      <c r="F1430" t="s">
        <v>9307</v>
      </c>
      <c r="G1430" t="str">
        <f>"39-3093.00"</f>
        <v>39-3093.00</v>
      </c>
      <c r="H1430" t="s">
        <v>9308</v>
      </c>
      <c r="I1430">
        <v>6</v>
      </c>
      <c r="K1430" s="1">
        <v>44986</v>
      </c>
      <c r="L1430" s="1">
        <v>45261</v>
      </c>
      <c r="O1430" t="s">
        <v>117</v>
      </c>
      <c r="P1430" t="s">
        <v>7160</v>
      </c>
      <c r="Q1430" t="s">
        <v>7161</v>
      </c>
      <c r="R1430" t="s">
        <v>7162</v>
      </c>
      <c r="T1430" t="s">
        <v>6134</v>
      </c>
      <c r="U1430" t="s">
        <v>848</v>
      </c>
      <c r="V1430" s="4" t="str">
        <f>"11954"</f>
        <v>11954</v>
      </c>
      <c r="W1430" t="s">
        <v>120</v>
      </c>
      <c r="Y1430" s="5">
        <v>16316681710</v>
      </c>
      <c r="AA1430">
        <v>72111</v>
      </c>
      <c r="AB1430" t="s">
        <v>7163</v>
      </c>
      <c r="AC1430" t="s">
        <v>4518</v>
      </c>
      <c r="AE1430" t="s">
        <v>1212</v>
      </c>
      <c r="AF1430" t="s">
        <v>7162</v>
      </c>
      <c r="AH1430" t="s">
        <v>6134</v>
      </c>
      <c r="AI1430" t="s">
        <v>848</v>
      </c>
      <c r="AJ1430" s="4" t="str">
        <f>"11954"</f>
        <v>11954</v>
      </c>
      <c r="AK1430" t="s">
        <v>120</v>
      </c>
      <c r="AM1430" s="5">
        <v>16316681710</v>
      </c>
      <c r="AO1430" t="s">
        <v>138</v>
      </c>
      <c r="AP1430" t="s">
        <v>256</v>
      </c>
      <c r="AQ1430" t="s">
        <v>1220</v>
      </c>
      <c r="AR1430" t="s">
        <v>1221</v>
      </c>
      <c r="AT1430" t="s">
        <v>1222</v>
      </c>
      <c r="AV1430" t="s">
        <v>1223</v>
      </c>
      <c r="AW1430" t="s">
        <v>848</v>
      </c>
      <c r="AX1430" s="4" t="str">
        <f t="shared" si="60"/>
        <v>11590</v>
      </c>
      <c r="AY1430" t="s">
        <v>120</v>
      </c>
      <c r="BA1430" s="5">
        <v>15163307168</v>
      </c>
      <c r="BC1430" t="s">
        <v>1224</v>
      </c>
      <c r="BD1430" t="s">
        <v>1225</v>
      </c>
      <c r="BG1430" t="s">
        <v>848</v>
      </c>
      <c r="BH1430" s="1">
        <v>44837.833333333336</v>
      </c>
      <c r="BI1430">
        <v>40</v>
      </c>
      <c r="BJ1430">
        <v>0</v>
      </c>
      <c r="BK1430">
        <v>8</v>
      </c>
      <c r="BL1430">
        <v>8</v>
      </c>
      <c r="BM1430">
        <v>8</v>
      </c>
      <c r="BN1430">
        <v>0</v>
      </c>
      <c r="BO1430">
        <v>8</v>
      </c>
      <c r="BP1430">
        <v>8</v>
      </c>
      <c r="BQ1430" t="str">
        <f>"8:00 AM"</f>
        <v>8:00 AM</v>
      </c>
      <c r="BR1430" t="str">
        <f>"8:00 PM"</f>
        <v>8:00 PM</v>
      </c>
      <c r="BS1430" t="s">
        <v>133</v>
      </c>
      <c r="BT1430">
        <v>0</v>
      </c>
      <c r="BU1430">
        <v>0</v>
      </c>
      <c r="BV1430" t="s">
        <v>134</v>
      </c>
      <c r="BX1430" t="s">
        <v>9309</v>
      </c>
      <c r="BY1430" t="s">
        <v>7164</v>
      </c>
      <c r="BZ1430" t="s">
        <v>9310</v>
      </c>
      <c r="CA1430" t="s">
        <v>6134</v>
      </c>
      <c r="CB1430" t="s">
        <v>848</v>
      </c>
      <c r="CC1430" s="4" t="str">
        <f>"11954"</f>
        <v>11954</v>
      </c>
      <c r="CD1430" t="s">
        <v>1227</v>
      </c>
      <c r="CE1430" t="s">
        <v>1009</v>
      </c>
      <c r="CF1430" s="6">
        <v>16</v>
      </c>
      <c r="CG1430" s="6">
        <v>19.440000000000001</v>
      </c>
      <c r="CH1430" s="6">
        <v>24</v>
      </c>
      <c r="CI1430" s="6">
        <v>29.16</v>
      </c>
      <c r="CJ1430" t="s">
        <v>137</v>
      </c>
      <c r="CK1430" t="s">
        <v>9311</v>
      </c>
      <c r="CL1430" t="s">
        <v>9312</v>
      </c>
      <c r="CO1430" t="s">
        <v>138</v>
      </c>
      <c r="CP1430" t="s">
        <v>114</v>
      </c>
      <c r="CQ1430" t="s">
        <v>134</v>
      </c>
      <c r="CR1430" t="s">
        <v>114</v>
      </c>
      <c r="CS1430" t="s">
        <v>134</v>
      </c>
      <c r="CT1430" t="s">
        <v>114</v>
      </c>
      <c r="CU1430" t="s">
        <v>114</v>
      </c>
      <c r="CV1430" s="2" t="s">
        <v>9313</v>
      </c>
      <c r="CW1430" s="5" t="str">
        <f>"+16316681710"</f>
        <v>+16316681710</v>
      </c>
      <c r="CX1430" t="s">
        <v>7167</v>
      </c>
      <c r="CY1430" t="s">
        <v>138</v>
      </c>
      <c r="CZ1430" t="s">
        <v>139</v>
      </c>
      <c r="DA1430" t="s">
        <v>134</v>
      </c>
      <c r="DB1430" t="s">
        <v>134</v>
      </c>
      <c r="DC1430" t="s">
        <v>114</v>
      </c>
      <c r="DD1430" t="s">
        <v>134</v>
      </c>
    </row>
    <row r="1431" spans="1:108" ht="15" customHeight="1" x14ac:dyDescent="0.25">
      <c r="A1431" t="s">
        <v>14267</v>
      </c>
      <c r="B1431" t="s">
        <v>141</v>
      </c>
      <c r="C1431" s="1">
        <v>44896.017874305559</v>
      </c>
      <c r="D1431" s="1">
        <v>44904</v>
      </c>
      <c r="E1431" t="s">
        <v>134</v>
      </c>
      <c r="F1431" t="s">
        <v>2739</v>
      </c>
      <c r="G1431" t="str">
        <f>"37-2011.00"</f>
        <v>37-2011.00</v>
      </c>
      <c r="H1431" t="s">
        <v>672</v>
      </c>
      <c r="I1431">
        <v>7</v>
      </c>
      <c r="K1431" s="1">
        <v>44986</v>
      </c>
      <c r="L1431" s="1">
        <v>45229</v>
      </c>
      <c r="O1431" t="s">
        <v>199</v>
      </c>
      <c r="P1431" t="s">
        <v>10941</v>
      </c>
      <c r="R1431" t="s">
        <v>10942</v>
      </c>
      <c r="T1431" t="s">
        <v>1368</v>
      </c>
      <c r="U1431" t="s">
        <v>848</v>
      </c>
      <c r="V1431" s="4" t="str">
        <f>"11968"</f>
        <v>11968</v>
      </c>
      <c r="W1431" t="s">
        <v>120</v>
      </c>
      <c r="Y1431" s="5">
        <v>16312830820</v>
      </c>
      <c r="AA1431">
        <v>561790</v>
      </c>
      <c r="AB1431" t="s">
        <v>4195</v>
      </c>
      <c r="AC1431" t="s">
        <v>975</v>
      </c>
      <c r="AE1431" t="s">
        <v>700</v>
      </c>
      <c r="AF1431" t="s">
        <v>10942</v>
      </c>
      <c r="AH1431" t="s">
        <v>1368</v>
      </c>
      <c r="AI1431" t="s">
        <v>848</v>
      </c>
      <c r="AJ1431" s="4" t="str">
        <f>"11968"</f>
        <v>11968</v>
      </c>
      <c r="AK1431" t="s">
        <v>120</v>
      </c>
      <c r="AM1431" s="5">
        <v>16312830820</v>
      </c>
      <c r="AO1431" t="s">
        <v>138</v>
      </c>
      <c r="AP1431" t="s">
        <v>256</v>
      </c>
      <c r="AQ1431" t="s">
        <v>1220</v>
      </c>
      <c r="AR1431" t="s">
        <v>1221</v>
      </c>
      <c r="AT1431" t="s">
        <v>1222</v>
      </c>
      <c r="AV1431" t="s">
        <v>1223</v>
      </c>
      <c r="AW1431" t="s">
        <v>848</v>
      </c>
      <c r="AX1431" s="4" t="str">
        <f t="shared" si="60"/>
        <v>11590</v>
      </c>
      <c r="AY1431" t="s">
        <v>120</v>
      </c>
      <c r="BA1431" s="5">
        <v>15163307168</v>
      </c>
      <c r="BC1431" t="s">
        <v>1224</v>
      </c>
      <c r="BD1431" t="s">
        <v>1225</v>
      </c>
      <c r="BG1431" t="s">
        <v>848</v>
      </c>
      <c r="BH1431" s="1">
        <v>44894.791666666664</v>
      </c>
      <c r="BI1431">
        <v>40</v>
      </c>
      <c r="BJ1431">
        <v>0</v>
      </c>
      <c r="BK1431">
        <v>8</v>
      </c>
      <c r="BL1431">
        <v>8</v>
      </c>
      <c r="BM1431">
        <v>8</v>
      </c>
      <c r="BN1431">
        <v>8</v>
      </c>
      <c r="BO1431">
        <v>8</v>
      </c>
      <c r="BP1431">
        <v>0</v>
      </c>
      <c r="BQ1431" t="str">
        <f>"8:00 AM"</f>
        <v>8:00 AM</v>
      </c>
      <c r="BR1431" t="str">
        <f>"4:00 PM"</f>
        <v>4:00 PM</v>
      </c>
      <c r="BS1431" t="s">
        <v>133</v>
      </c>
      <c r="BT1431">
        <v>0</v>
      </c>
      <c r="BU1431">
        <v>0</v>
      </c>
      <c r="BV1431" t="s">
        <v>134</v>
      </c>
      <c r="BX1431" t="s">
        <v>138</v>
      </c>
      <c r="BY1431" t="s">
        <v>10943</v>
      </c>
      <c r="CA1431" t="s">
        <v>4100</v>
      </c>
      <c r="CB1431" t="s">
        <v>848</v>
      </c>
      <c r="CC1431" s="4" t="str">
        <f>"11968"</f>
        <v>11968</v>
      </c>
      <c r="CD1431" t="s">
        <v>1227</v>
      </c>
      <c r="CE1431" t="s">
        <v>1009</v>
      </c>
      <c r="CF1431" s="6">
        <v>19.22</v>
      </c>
      <c r="CG1431" s="6">
        <v>19.22</v>
      </c>
      <c r="CH1431" s="6">
        <v>28.83</v>
      </c>
      <c r="CI1431" s="6">
        <v>28.83</v>
      </c>
      <c r="CJ1431" t="s">
        <v>137</v>
      </c>
      <c r="CK1431" t="s">
        <v>138</v>
      </c>
      <c r="CL1431" t="s">
        <v>10944</v>
      </c>
      <c r="CO1431" t="s">
        <v>138</v>
      </c>
      <c r="CP1431" t="s">
        <v>114</v>
      </c>
      <c r="CQ1431" t="s">
        <v>114</v>
      </c>
      <c r="CR1431" t="s">
        <v>114</v>
      </c>
      <c r="CS1431" t="s">
        <v>134</v>
      </c>
      <c r="CT1431" t="s">
        <v>114</v>
      </c>
      <c r="CU1431" t="s">
        <v>134</v>
      </c>
      <c r="CV1431" t="s">
        <v>219</v>
      </c>
      <c r="CW1431" s="5" t="str">
        <f>"+16312830820"</f>
        <v>+16312830820</v>
      </c>
      <c r="CX1431" t="s">
        <v>10945</v>
      </c>
      <c r="CY1431" t="s">
        <v>138</v>
      </c>
      <c r="CZ1431" t="s">
        <v>139</v>
      </c>
      <c r="DA1431" t="s">
        <v>134</v>
      </c>
      <c r="DB1431" t="s">
        <v>134</v>
      </c>
      <c r="DC1431" t="s">
        <v>114</v>
      </c>
      <c r="DD1431" t="s">
        <v>134</v>
      </c>
    </row>
    <row r="1432" spans="1:108" ht="15" customHeight="1" x14ac:dyDescent="0.25">
      <c r="A1432" t="s">
        <v>15671</v>
      </c>
      <c r="B1432" t="s">
        <v>141</v>
      </c>
      <c r="C1432" s="1">
        <v>44896.01679710648</v>
      </c>
      <c r="D1432" s="1">
        <v>44904</v>
      </c>
      <c r="E1432" t="s">
        <v>134</v>
      </c>
      <c r="F1432" t="s">
        <v>1219</v>
      </c>
      <c r="G1432" t="str">
        <f>"37-3011.00"</f>
        <v>37-3011.00</v>
      </c>
      <c r="H1432" t="s">
        <v>335</v>
      </c>
      <c r="I1432">
        <v>10</v>
      </c>
      <c r="K1432" s="1">
        <v>44986</v>
      </c>
      <c r="L1432" s="1">
        <v>45260</v>
      </c>
      <c r="O1432" t="s">
        <v>199</v>
      </c>
      <c r="P1432" t="s">
        <v>2030</v>
      </c>
      <c r="R1432" t="s">
        <v>2031</v>
      </c>
      <c r="T1432" t="s">
        <v>1368</v>
      </c>
      <c r="U1432" t="s">
        <v>848</v>
      </c>
      <c r="V1432" s="4" t="str">
        <f>"11968"</f>
        <v>11968</v>
      </c>
      <c r="W1432" t="s">
        <v>120</v>
      </c>
      <c r="Y1432" s="5">
        <v>16312830623</v>
      </c>
      <c r="AA1432">
        <v>71391</v>
      </c>
      <c r="AB1432" t="s">
        <v>2032</v>
      </c>
      <c r="AC1432" t="s">
        <v>2033</v>
      </c>
      <c r="AE1432" t="s">
        <v>1212</v>
      </c>
      <c r="AF1432" t="s">
        <v>2034</v>
      </c>
      <c r="AH1432" t="s">
        <v>1373</v>
      </c>
      <c r="AI1432" t="s">
        <v>848</v>
      </c>
      <c r="AJ1432" s="4" t="str">
        <f>"11968"</f>
        <v>11968</v>
      </c>
      <c r="AK1432" t="s">
        <v>120</v>
      </c>
      <c r="AM1432" s="5">
        <v>16312830623</v>
      </c>
      <c r="AO1432" t="s">
        <v>138</v>
      </c>
      <c r="AP1432" t="s">
        <v>256</v>
      </c>
      <c r="AQ1432" t="s">
        <v>1220</v>
      </c>
      <c r="AR1432" t="s">
        <v>1221</v>
      </c>
      <c r="AT1432" t="s">
        <v>1222</v>
      </c>
      <c r="AV1432" t="s">
        <v>1223</v>
      </c>
      <c r="AW1432" t="s">
        <v>848</v>
      </c>
      <c r="AX1432" s="4" t="str">
        <f t="shared" si="60"/>
        <v>11590</v>
      </c>
      <c r="AY1432" t="s">
        <v>120</v>
      </c>
      <c r="BA1432" s="5">
        <v>15163307168</v>
      </c>
      <c r="BC1432" t="s">
        <v>1224</v>
      </c>
      <c r="BD1432" t="s">
        <v>2035</v>
      </c>
      <c r="BG1432" t="s">
        <v>848</v>
      </c>
      <c r="BH1432" s="1">
        <v>44894.791666666664</v>
      </c>
      <c r="BI1432">
        <v>40</v>
      </c>
      <c r="BJ1432">
        <v>0</v>
      </c>
      <c r="BK1432">
        <v>8</v>
      </c>
      <c r="BL1432">
        <v>8</v>
      </c>
      <c r="BM1432">
        <v>8</v>
      </c>
      <c r="BN1432">
        <v>0</v>
      </c>
      <c r="BO1432">
        <v>8</v>
      </c>
      <c r="BP1432">
        <v>8</v>
      </c>
      <c r="BQ1432" t="str">
        <f>"6:00 AM"</f>
        <v>6:00 AM</v>
      </c>
      <c r="BR1432" t="str">
        <f>"3:00 PM"</f>
        <v>3:00 PM</v>
      </c>
      <c r="BS1432" t="s">
        <v>133</v>
      </c>
      <c r="BT1432">
        <v>0</v>
      </c>
      <c r="BU1432">
        <v>0</v>
      </c>
      <c r="BV1432" t="s">
        <v>134</v>
      </c>
      <c r="BX1432" t="s">
        <v>138</v>
      </c>
      <c r="BY1432" t="s">
        <v>2034</v>
      </c>
      <c r="CA1432" t="s">
        <v>1368</v>
      </c>
      <c r="CB1432" t="s">
        <v>848</v>
      </c>
      <c r="CC1432" s="4" t="str">
        <f>"11968"</f>
        <v>11968</v>
      </c>
      <c r="CD1432" t="s">
        <v>1227</v>
      </c>
      <c r="CE1432" t="s">
        <v>1009</v>
      </c>
      <c r="CF1432" s="6">
        <v>19.940000000000001</v>
      </c>
      <c r="CG1432" s="6">
        <v>19.940000000000001</v>
      </c>
      <c r="CH1432" s="6">
        <v>29.91</v>
      </c>
      <c r="CI1432" s="6">
        <v>29.91</v>
      </c>
      <c r="CJ1432" t="s">
        <v>137</v>
      </c>
      <c r="CK1432" t="s">
        <v>138</v>
      </c>
      <c r="CL1432" t="s">
        <v>2036</v>
      </c>
      <c r="CO1432" t="s">
        <v>138</v>
      </c>
      <c r="CP1432" t="s">
        <v>134</v>
      </c>
      <c r="CQ1432" t="s">
        <v>134</v>
      </c>
      <c r="CR1432" t="s">
        <v>114</v>
      </c>
      <c r="CS1432" t="s">
        <v>134</v>
      </c>
      <c r="CT1432" t="s">
        <v>114</v>
      </c>
      <c r="CU1432" t="s">
        <v>134</v>
      </c>
      <c r="CV1432" t="s">
        <v>219</v>
      </c>
      <c r="CW1432" s="5" t="str">
        <f>"+16312830623"</f>
        <v>+16312830623</v>
      </c>
      <c r="CX1432" t="s">
        <v>2037</v>
      </c>
      <c r="CY1432" t="s">
        <v>138</v>
      </c>
      <c r="CZ1432" t="s">
        <v>139</v>
      </c>
      <c r="DA1432" t="s">
        <v>134</v>
      </c>
      <c r="DB1432" t="s">
        <v>134</v>
      </c>
      <c r="DC1432" t="s">
        <v>114</v>
      </c>
      <c r="DD1432" t="s">
        <v>134</v>
      </c>
    </row>
    <row r="1433" spans="1:108" ht="15" customHeight="1" x14ac:dyDescent="0.25">
      <c r="A1433" t="s">
        <v>4806</v>
      </c>
      <c r="B1433" t="s">
        <v>141</v>
      </c>
      <c r="C1433" s="1">
        <v>44896.016599537033</v>
      </c>
      <c r="D1433" s="1">
        <v>44904</v>
      </c>
      <c r="E1433" t="s">
        <v>134</v>
      </c>
      <c r="F1433" t="s">
        <v>1219</v>
      </c>
      <c r="G1433" t="str">
        <f>"37-3011.00"</f>
        <v>37-3011.00</v>
      </c>
      <c r="H1433" t="s">
        <v>335</v>
      </c>
      <c r="I1433">
        <v>7</v>
      </c>
      <c r="K1433" s="1">
        <v>44986</v>
      </c>
      <c r="L1433" s="1">
        <v>45280</v>
      </c>
      <c r="O1433" t="s">
        <v>199</v>
      </c>
      <c r="P1433" t="s">
        <v>4807</v>
      </c>
      <c r="R1433" t="s">
        <v>4808</v>
      </c>
      <c r="T1433" t="s">
        <v>1368</v>
      </c>
      <c r="U1433" t="s">
        <v>848</v>
      </c>
      <c r="V1433" s="4" t="str">
        <f>"11968"</f>
        <v>11968</v>
      </c>
      <c r="W1433" t="s">
        <v>120</v>
      </c>
      <c r="Y1433" s="5">
        <v>16313008034</v>
      </c>
      <c r="AA1433">
        <v>56173</v>
      </c>
      <c r="AB1433" t="s">
        <v>4809</v>
      </c>
      <c r="AC1433" t="s">
        <v>703</v>
      </c>
      <c r="AE1433" t="s">
        <v>700</v>
      </c>
      <c r="AF1433" t="s">
        <v>4808</v>
      </c>
      <c r="AH1433" t="s">
        <v>1368</v>
      </c>
      <c r="AI1433" t="s">
        <v>848</v>
      </c>
      <c r="AJ1433" s="4" t="str">
        <f>"11968"</f>
        <v>11968</v>
      </c>
      <c r="AK1433" t="s">
        <v>120</v>
      </c>
      <c r="AM1433" s="5">
        <v>16313008034</v>
      </c>
      <c r="AO1433" t="s">
        <v>138</v>
      </c>
      <c r="AP1433" t="s">
        <v>256</v>
      </c>
      <c r="AQ1433" t="s">
        <v>1220</v>
      </c>
      <c r="AR1433" t="s">
        <v>1221</v>
      </c>
      <c r="AT1433" t="s">
        <v>1222</v>
      </c>
      <c r="AV1433" t="s">
        <v>1223</v>
      </c>
      <c r="AW1433" t="s">
        <v>848</v>
      </c>
      <c r="AX1433" s="4" t="str">
        <f t="shared" si="60"/>
        <v>11590</v>
      </c>
      <c r="AY1433" t="s">
        <v>120</v>
      </c>
      <c r="BA1433" s="5">
        <v>15163307168</v>
      </c>
      <c r="BC1433" t="s">
        <v>1224</v>
      </c>
      <c r="BD1433" t="s">
        <v>1225</v>
      </c>
      <c r="BG1433" t="s">
        <v>848</v>
      </c>
      <c r="BH1433" s="1">
        <v>44894.791666666664</v>
      </c>
      <c r="BI1433">
        <v>40</v>
      </c>
      <c r="BJ1433">
        <v>0</v>
      </c>
      <c r="BK1433">
        <v>8</v>
      </c>
      <c r="BL1433">
        <v>8</v>
      </c>
      <c r="BM1433">
        <v>8</v>
      </c>
      <c r="BN1433">
        <v>8</v>
      </c>
      <c r="BO1433">
        <v>8</v>
      </c>
      <c r="BP1433">
        <v>0</v>
      </c>
      <c r="BQ1433" t="str">
        <f t="shared" ref="BQ1433:BQ1448" si="61">"8:00 AM"</f>
        <v>8:00 AM</v>
      </c>
      <c r="BR1433" t="str">
        <f t="shared" ref="BR1433:BR1448" si="62">"4:00 PM"</f>
        <v>4:00 PM</v>
      </c>
      <c r="BS1433" t="s">
        <v>133</v>
      </c>
      <c r="BT1433">
        <v>0</v>
      </c>
      <c r="BU1433">
        <v>0</v>
      </c>
      <c r="BV1433" t="s">
        <v>134</v>
      </c>
      <c r="BX1433" t="s">
        <v>138</v>
      </c>
      <c r="BY1433" t="s">
        <v>4808</v>
      </c>
      <c r="CA1433" t="s">
        <v>1368</v>
      </c>
      <c r="CB1433" t="s">
        <v>848</v>
      </c>
      <c r="CC1433" s="4" t="str">
        <f>"11968"</f>
        <v>11968</v>
      </c>
      <c r="CD1433" t="s">
        <v>1227</v>
      </c>
      <c r="CE1433" t="s">
        <v>1009</v>
      </c>
      <c r="CF1433" s="6">
        <v>19.940000000000001</v>
      </c>
      <c r="CG1433" s="6">
        <v>19.940000000000001</v>
      </c>
      <c r="CH1433" s="6">
        <v>29.91</v>
      </c>
      <c r="CI1433" s="6">
        <v>29.91</v>
      </c>
      <c r="CJ1433" t="s">
        <v>137</v>
      </c>
      <c r="CK1433" t="s">
        <v>138</v>
      </c>
      <c r="CL1433" t="s">
        <v>4810</v>
      </c>
      <c r="CO1433" t="s">
        <v>138</v>
      </c>
      <c r="CP1433" t="s">
        <v>114</v>
      </c>
      <c r="CQ1433" t="s">
        <v>114</v>
      </c>
      <c r="CR1433" t="s">
        <v>114</v>
      </c>
      <c r="CS1433" t="s">
        <v>134</v>
      </c>
      <c r="CT1433" t="s">
        <v>114</v>
      </c>
      <c r="CU1433" t="s">
        <v>134</v>
      </c>
      <c r="CV1433" t="s">
        <v>219</v>
      </c>
      <c r="CW1433" s="5" t="str">
        <f>"+16313008034"</f>
        <v>+16313008034</v>
      </c>
      <c r="CX1433" t="s">
        <v>4811</v>
      </c>
      <c r="CY1433" t="s">
        <v>138</v>
      </c>
      <c r="CZ1433" t="s">
        <v>139</v>
      </c>
      <c r="DA1433" t="s">
        <v>134</v>
      </c>
      <c r="DB1433" t="s">
        <v>134</v>
      </c>
      <c r="DC1433" t="s">
        <v>114</v>
      </c>
      <c r="DD1433" t="s">
        <v>134</v>
      </c>
    </row>
    <row r="1434" spans="1:108" ht="15" customHeight="1" x14ac:dyDescent="0.25">
      <c r="A1434" t="s">
        <v>8333</v>
      </c>
      <c r="B1434" t="s">
        <v>141</v>
      </c>
      <c r="C1434" s="1">
        <v>44896.01563923611</v>
      </c>
      <c r="D1434" s="1">
        <v>44904</v>
      </c>
      <c r="E1434" t="s">
        <v>134</v>
      </c>
      <c r="F1434" t="s">
        <v>1219</v>
      </c>
      <c r="G1434" t="str">
        <f>"37-3011.00"</f>
        <v>37-3011.00</v>
      </c>
      <c r="H1434" t="s">
        <v>335</v>
      </c>
      <c r="I1434">
        <v>6</v>
      </c>
      <c r="K1434" s="1">
        <v>44986</v>
      </c>
      <c r="L1434" s="1">
        <v>45280</v>
      </c>
      <c r="O1434" t="s">
        <v>199</v>
      </c>
      <c r="P1434" t="s">
        <v>8334</v>
      </c>
      <c r="R1434" t="s">
        <v>8335</v>
      </c>
      <c r="S1434" t="s">
        <v>8336</v>
      </c>
      <c r="T1434" t="s">
        <v>1368</v>
      </c>
      <c r="U1434" t="s">
        <v>848</v>
      </c>
      <c r="V1434" s="4" t="str">
        <f>"11969"</f>
        <v>11969</v>
      </c>
      <c r="W1434" t="s">
        <v>120</v>
      </c>
      <c r="Y1434" s="5">
        <v>16312970959</v>
      </c>
      <c r="AA1434">
        <v>56173</v>
      </c>
      <c r="AB1434" t="s">
        <v>2679</v>
      </c>
      <c r="AC1434" t="s">
        <v>8337</v>
      </c>
      <c r="AE1434" t="s">
        <v>700</v>
      </c>
      <c r="AF1434" t="s">
        <v>8335</v>
      </c>
      <c r="AG1434" t="s">
        <v>8336</v>
      </c>
      <c r="AH1434" t="s">
        <v>1368</v>
      </c>
      <c r="AI1434" t="s">
        <v>848</v>
      </c>
      <c r="AJ1434" s="4" t="str">
        <f>"11969"</f>
        <v>11969</v>
      </c>
      <c r="AK1434" t="s">
        <v>120</v>
      </c>
      <c r="AM1434" s="5">
        <v>16312970959</v>
      </c>
      <c r="AO1434" t="s">
        <v>138</v>
      </c>
      <c r="AP1434" t="s">
        <v>256</v>
      </c>
      <c r="AQ1434" t="s">
        <v>1220</v>
      </c>
      <c r="AR1434" t="s">
        <v>1221</v>
      </c>
      <c r="AT1434" t="s">
        <v>1222</v>
      </c>
      <c r="AV1434" t="s">
        <v>1223</v>
      </c>
      <c r="AW1434" t="s">
        <v>848</v>
      </c>
      <c r="AX1434" s="4" t="str">
        <f t="shared" si="60"/>
        <v>11590</v>
      </c>
      <c r="AY1434" t="s">
        <v>120</v>
      </c>
      <c r="BA1434" s="5">
        <v>15163307168</v>
      </c>
      <c r="BC1434" t="s">
        <v>1224</v>
      </c>
      <c r="BD1434" t="s">
        <v>1225</v>
      </c>
      <c r="BG1434" t="s">
        <v>848</v>
      </c>
      <c r="BH1434" s="1">
        <v>44893.791666666664</v>
      </c>
      <c r="BI1434">
        <v>40</v>
      </c>
      <c r="BJ1434">
        <v>0</v>
      </c>
      <c r="BK1434">
        <v>8</v>
      </c>
      <c r="BL1434">
        <v>8</v>
      </c>
      <c r="BM1434">
        <v>8</v>
      </c>
      <c r="BN1434">
        <v>8</v>
      </c>
      <c r="BO1434">
        <v>8</v>
      </c>
      <c r="BP1434">
        <v>0</v>
      </c>
      <c r="BQ1434" t="str">
        <f t="shared" si="61"/>
        <v>8:00 AM</v>
      </c>
      <c r="BR1434" t="str">
        <f t="shared" si="62"/>
        <v>4:00 PM</v>
      </c>
      <c r="BS1434" t="s">
        <v>133</v>
      </c>
      <c r="BT1434">
        <v>0</v>
      </c>
      <c r="BU1434">
        <v>1</v>
      </c>
      <c r="BV1434" t="s">
        <v>134</v>
      </c>
      <c r="BX1434" t="s">
        <v>8338</v>
      </c>
      <c r="BY1434" t="s">
        <v>8335</v>
      </c>
      <c r="CA1434" t="s">
        <v>1368</v>
      </c>
      <c r="CB1434" t="s">
        <v>848</v>
      </c>
      <c r="CC1434" s="4" t="str">
        <f>"11969"</f>
        <v>11969</v>
      </c>
      <c r="CD1434" t="s">
        <v>1227</v>
      </c>
      <c r="CE1434" t="s">
        <v>1009</v>
      </c>
      <c r="CF1434" s="6">
        <v>19.940000000000001</v>
      </c>
      <c r="CG1434" s="6">
        <v>19.940000000000001</v>
      </c>
      <c r="CH1434" s="6">
        <v>29.91</v>
      </c>
      <c r="CI1434" s="6">
        <v>29.91</v>
      </c>
      <c r="CJ1434" t="s">
        <v>137</v>
      </c>
      <c r="CK1434" t="s">
        <v>138</v>
      </c>
      <c r="CL1434" t="s">
        <v>8339</v>
      </c>
      <c r="CO1434" t="s">
        <v>138</v>
      </c>
      <c r="CP1434" t="s">
        <v>114</v>
      </c>
      <c r="CQ1434" t="s">
        <v>114</v>
      </c>
      <c r="CR1434" t="s">
        <v>114</v>
      </c>
      <c r="CS1434" t="s">
        <v>134</v>
      </c>
      <c r="CT1434" t="s">
        <v>114</v>
      </c>
      <c r="CU1434" t="s">
        <v>134</v>
      </c>
      <c r="CV1434" t="s">
        <v>219</v>
      </c>
      <c r="CW1434" s="5" t="str">
        <f>"+16312970959"</f>
        <v>+16312970959</v>
      </c>
      <c r="CX1434" t="s">
        <v>8340</v>
      </c>
      <c r="CY1434" t="s">
        <v>138</v>
      </c>
      <c r="CZ1434" t="s">
        <v>139</v>
      </c>
      <c r="DA1434" t="s">
        <v>134</v>
      </c>
      <c r="DB1434" t="s">
        <v>134</v>
      </c>
      <c r="DC1434" t="s">
        <v>114</v>
      </c>
      <c r="DD1434" t="s">
        <v>134</v>
      </c>
    </row>
    <row r="1435" spans="1:108" ht="15" customHeight="1" x14ac:dyDescent="0.25">
      <c r="A1435" t="s">
        <v>16817</v>
      </c>
      <c r="B1435" t="s">
        <v>141</v>
      </c>
      <c r="C1435" s="1">
        <v>44896.015565393522</v>
      </c>
      <c r="D1435" s="1">
        <v>44904</v>
      </c>
      <c r="E1435" t="s">
        <v>134</v>
      </c>
      <c r="F1435" t="s">
        <v>1848</v>
      </c>
      <c r="G1435" t="str">
        <f>"53-7062.00"</f>
        <v>53-7062.00</v>
      </c>
      <c r="H1435" t="s">
        <v>245</v>
      </c>
      <c r="I1435">
        <v>2</v>
      </c>
      <c r="K1435" s="1">
        <v>44986</v>
      </c>
      <c r="L1435" s="1">
        <v>45275</v>
      </c>
      <c r="O1435" t="s">
        <v>199</v>
      </c>
      <c r="P1435" t="s">
        <v>5700</v>
      </c>
      <c r="R1435" t="s">
        <v>5701</v>
      </c>
      <c r="T1435" t="s">
        <v>5702</v>
      </c>
      <c r="U1435" t="s">
        <v>848</v>
      </c>
      <c r="V1435" s="4" t="str">
        <f>"11757"</f>
        <v>11757</v>
      </c>
      <c r="W1435" t="s">
        <v>120</v>
      </c>
      <c r="Y1435" s="5">
        <v>16319571070</v>
      </c>
      <c r="AA1435">
        <v>236118</v>
      </c>
      <c r="AB1435" t="s">
        <v>5703</v>
      </c>
      <c r="AC1435" t="s">
        <v>5704</v>
      </c>
      <c r="AE1435" t="s">
        <v>1849</v>
      </c>
      <c r="AF1435" t="s">
        <v>5705</v>
      </c>
      <c r="AH1435" t="s">
        <v>5702</v>
      </c>
      <c r="AI1435" t="s">
        <v>848</v>
      </c>
      <c r="AJ1435" s="4" t="str">
        <f>"11757"</f>
        <v>11757</v>
      </c>
      <c r="AK1435" t="s">
        <v>120</v>
      </c>
      <c r="AM1435" s="5">
        <v>16319571070</v>
      </c>
      <c r="AO1435" t="s">
        <v>138</v>
      </c>
      <c r="AP1435" t="s">
        <v>256</v>
      </c>
      <c r="AQ1435" t="s">
        <v>1220</v>
      </c>
      <c r="AR1435" t="s">
        <v>1221</v>
      </c>
      <c r="AT1435" t="s">
        <v>1222</v>
      </c>
      <c r="AV1435" t="s">
        <v>1223</v>
      </c>
      <c r="AW1435" t="s">
        <v>848</v>
      </c>
      <c r="AX1435" s="4" t="str">
        <f t="shared" si="60"/>
        <v>11590</v>
      </c>
      <c r="AY1435" t="s">
        <v>120</v>
      </c>
      <c r="BA1435" s="5">
        <v>15163307168</v>
      </c>
      <c r="BC1435" t="s">
        <v>1224</v>
      </c>
      <c r="BD1435" t="s">
        <v>1225</v>
      </c>
      <c r="BG1435" t="s">
        <v>848</v>
      </c>
      <c r="BH1435" s="1">
        <v>44894.791666666664</v>
      </c>
      <c r="BI1435">
        <v>40</v>
      </c>
      <c r="BJ1435">
        <v>0</v>
      </c>
      <c r="BK1435">
        <v>8</v>
      </c>
      <c r="BL1435">
        <v>8</v>
      </c>
      <c r="BM1435">
        <v>8</v>
      </c>
      <c r="BN1435">
        <v>8</v>
      </c>
      <c r="BO1435">
        <v>8</v>
      </c>
      <c r="BP1435">
        <v>0</v>
      </c>
      <c r="BQ1435" t="str">
        <f t="shared" si="61"/>
        <v>8:00 AM</v>
      </c>
      <c r="BR1435" t="str">
        <f t="shared" si="62"/>
        <v>4:00 PM</v>
      </c>
      <c r="BS1435" t="s">
        <v>133</v>
      </c>
      <c r="BT1435">
        <v>0</v>
      </c>
      <c r="BU1435">
        <v>0</v>
      </c>
      <c r="BV1435" t="s">
        <v>134</v>
      </c>
      <c r="BX1435" t="s">
        <v>138</v>
      </c>
      <c r="BY1435" t="s">
        <v>5705</v>
      </c>
      <c r="CA1435" t="s">
        <v>5702</v>
      </c>
      <c r="CB1435" t="s">
        <v>848</v>
      </c>
      <c r="CC1435" s="4" t="str">
        <f>"11757"</f>
        <v>11757</v>
      </c>
      <c r="CD1435" t="s">
        <v>1227</v>
      </c>
      <c r="CE1435" t="s">
        <v>1009</v>
      </c>
      <c r="CF1435" s="6">
        <v>18.579999999999998</v>
      </c>
      <c r="CG1435" s="6">
        <v>18.579999999999998</v>
      </c>
      <c r="CH1435" s="6">
        <v>27.87</v>
      </c>
      <c r="CI1435" s="6">
        <v>27.87</v>
      </c>
      <c r="CJ1435" t="s">
        <v>137</v>
      </c>
      <c r="CK1435" t="s">
        <v>138</v>
      </c>
      <c r="CL1435" t="s">
        <v>5706</v>
      </c>
      <c r="CO1435" t="s">
        <v>138</v>
      </c>
      <c r="CP1435" t="s">
        <v>114</v>
      </c>
      <c r="CQ1435" t="s">
        <v>114</v>
      </c>
      <c r="CR1435" t="s">
        <v>114</v>
      </c>
      <c r="CS1435" t="s">
        <v>134</v>
      </c>
      <c r="CT1435" t="s">
        <v>114</v>
      </c>
      <c r="CU1435" t="s">
        <v>134</v>
      </c>
      <c r="CV1435" t="s">
        <v>219</v>
      </c>
      <c r="CW1435" s="5" t="str">
        <f>"+16319571070"</f>
        <v>+16319571070</v>
      </c>
      <c r="CX1435" t="s">
        <v>5707</v>
      </c>
      <c r="CY1435" t="s">
        <v>138</v>
      </c>
      <c r="CZ1435" t="s">
        <v>139</v>
      </c>
      <c r="DA1435" t="s">
        <v>134</v>
      </c>
      <c r="DB1435" t="s">
        <v>134</v>
      </c>
      <c r="DC1435" t="s">
        <v>114</v>
      </c>
      <c r="DD1435" t="s">
        <v>134</v>
      </c>
    </row>
    <row r="1436" spans="1:108" ht="15" customHeight="1" x14ac:dyDescent="0.25">
      <c r="A1436" t="s">
        <v>11902</v>
      </c>
      <c r="B1436" t="s">
        <v>141</v>
      </c>
      <c r="C1436" s="1">
        <v>44896.014227430554</v>
      </c>
      <c r="D1436" s="1">
        <v>44904</v>
      </c>
      <c r="E1436" t="s">
        <v>134</v>
      </c>
      <c r="F1436" t="s">
        <v>1219</v>
      </c>
      <c r="G1436" t="str">
        <f>"37-3011.00"</f>
        <v>37-3011.00</v>
      </c>
      <c r="H1436" t="s">
        <v>335</v>
      </c>
      <c r="I1436">
        <v>7</v>
      </c>
      <c r="K1436" s="1">
        <v>44986</v>
      </c>
      <c r="L1436" s="1">
        <v>45265</v>
      </c>
      <c r="O1436" t="s">
        <v>199</v>
      </c>
      <c r="P1436" t="s">
        <v>7802</v>
      </c>
      <c r="R1436" t="s">
        <v>7803</v>
      </c>
      <c r="T1436" t="s">
        <v>2160</v>
      </c>
      <c r="U1436" t="s">
        <v>848</v>
      </c>
      <c r="V1436" s="4" t="str">
        <f>"11975"</f>
        <v>11975</v>
      </c>
      <c r="W1436" t="s">
        <v>120</v>
      </c>
      <c r="Y1436" s="5">
        <v>16313295971</v>
      </c>
      <c r="AA1436">
        <v>56173</v>
      </c>
      <c r="AB1436" t="s">
        <v>7804</v>
      </c>
      <c r="AC1436" t="s">
        <v>1715</v>
      </c>
      <c r="AE1436" t="s">
        <v>700</v>
      </c>
      <c r="AF1436" t="s">
        <v>7803</v>
      </c>
      <c r="AH1436" t="s">
        <v>2160</v>
      </c>
      <c r="AI1436" t="s">
        <v>848</v>
      </c>
      <c r="AJ1436" s="4" t="str">
        <f>"11975"</f>
        <v>11975</v>
      </c>
      <c r="AK1436" t="s">
        <v>120</v>
      </c>
      <c r="AM1436" s="5">
        <v>16313295971</v>
      </c>
      <c r="AO1436" t="s">
        <v>138</v>
      </c>
      <c r="AP1436" t="s">
        <v>256</v>
      </c>
      <c r="AQ1436" t="s">
        <v>1220</v>
      </c>
      <c r="AR1436" t="s">
        <v>1221</v>
      </c>
      <c r="AT1436" t="s">
        <v>1222</v>
      </c>
      <c r="AV1436" t="s">
        <v>1223</v>
      </c>
      <c r="AW1436" t="s">
        <v>848</v>
      </c>
      <c r="AX1436" s="4" t="str">
        <f t="shared" si="60"/>
        <v>11590</v>
      </c>
      <c r="AY1436" t="s">
        <v>120</v>
      </c>
      <c r="BA1436" s="5">
        <v>15163307168</v>
      </c>
      <c r="BC1436" t="s">
        <v>1224</v>
      </c>
      <c r="BD1436" t="s">
        <v>1225</v>
      </c>
      <c r="BG1436" t="s">
        <v>848</v>
      </c>
      <c r="BH1436" s="1">
        <v>44894.791666666664</v>
      </c>
      <c r="BI1436">
        <v>40</v>
      </c>
      <c r="BJ1436">
        <v>0</v>
      </c>
      <c r="BK1436">
        <v>8</v>
      </c>
      <c r="BL1436">
        <v>8</v>
      </c>
      <c r="BM1436">
        <v>8</v>
      </c>
      <c r="BN1436">
        <v>8</v>
      </c>
      <c r="BO1436">
        <v>8</v>
      </c>
      <c r="BP1436">
        <v>0</v>
      </c>
      <c r="BQ1436" t="str">
        <f t="shared" si="61"/>
        <v>8:00 AM</v>
      </c>
      <c r="BR1436" t="str">
        <f t="shared" si="62"/>
        <v>4:00 PM</v>
      </c>
      <c r="BS1436" t="s">
        <v>133</v>
      </c>
      <c r="BT1436">
        <v>0</v>
      </c>
      <c r="BU1436">
        <v>0</v>
      </c>
      <c r="BV1436" t="s">
        <v>134</v>
      </c>
      <c r="BX1436" t="s">
        <v>138</v>
      </c>
      <c r="BY1436" t="s">
        <v>7803</v>
      </c>
      <c r="CA1436" t="s">
        <v>2160</v>
      </c>
      <c r="CB1436" t="s">
        <v>848</v>
      </c>
      <c r="CC1436" s="4" t="str">
        <f>"11975"</f>
        <v>11975</v>
      </c>
      <c r="CD1436" t="s">
        <v>1227</v>
      </c>
      <c r="CE1436" t="s">
        <v>1009</v>
      </c>
      <c r="CF1436" s="6">
        <v>19.940000000000001</v>
      </c>
      <c r="CG1436" s="6">
        <v>19.940000000000001</v>
      </c>
      <c r="CH1436" s="6">
        <v>29.91</v>
      </c>
      <c r="CI1436" s="6">
        <v>29.91</v>
      </c>
      <c r="CJ1436" t="s">
        <v>137</v>
      </c>
      <c r="CK1436" t="s">
        <v>138</v>
      </c>
      <c r="CL1436" t="s">
        <v>7805</v>
      </c>
      <c r="CO1436" t="s">
        <v>138</v>
      </c>
      <c r="CP1436" t="s">
        <v>114</v>
      </c>
      <c r="CQ1436" t="s">
        <v>114</v>
      </c>
      <c r="CR1436" t="s">
        <v>114</v>
      </c>
      <c r="CS1436" t="s">
        <v>134</v>
      </c>
      <c r="CT1436" t="s">
        <v>114</v>
      </c>
      <c r="CU1436" t="s">
        <v>134</v>
      </c>
      <c r="CV1436" t="s">
        <v>219</v>
      </c>
      <c r="CW1436" s="5" t="str">
        <f>"+16313295971"</f>
        <v>+16313295971</v>
      </c>
      <c r="CX1436" t="s">
        <v>7806</v>
      </c>
      <c r="CY1436" t="s">
        <v>138</v>
      </c>
      <c r="CZ1436" t="s">
        <v>139</v>
      </c>
      <c r="DA1436" t="s">
        <v>134</v>
      </c>
      <c r="DB1436" t="s">
        <v>134</v>
      </c>
      <c r="DC1436" t="s">
        <v>114</v>
      </c>
      <c r="DD1436" t="s">
        <v>134</v>
      </c>
    </row>
    <row r="1437" spans="1:108" ht="15" customHeight="1" x14ac:dyDescent="0.25">
      <c r="A1437" t="s">
        <v>14989</v>
      </c>
      <c r="B1437" t="s">
        <v>141</v>
      </c>
      <c r="C1437" s="1">
        <v>44896.013940046294</v>
      </c>
      <c r="D1437" s="1">
        <v>44904</v>
      </c>
      <c r="E1437" t="s">
        <v>134</v>
      </c>
      <c r="F1437" t="s">
        <v>4603</v>
      </c>
      <c r="G1437" t="str">
        <f>"37-3011.00"</f>
        <v>37-3011.00</v>
      </c>
      <c r="H1437" t="s">
        <v>335</v>
      </c>
      <c r="I1437">
        <v>3</v>
      </c>
      <c r="K1437" s="1">
        <v>44986</v>
      </c>
      <c r="L1437" s="1">
        <v>45245</v>
      </c>
      <c r="O1437" t="s">
        <v>199</v>
      </c>
      <c r="P1437" t="s">
        <v>4604</v>
      </c>
      <c r="R1437" t="s">
        <v>4607</v>
      </c>
      <c r="S1437" t="s">
        <v>14990</v>
      </c>
      <c r="T1437" t="s">
        <v>1226</v>
      </c>
      <c r="U1437" t="s">
        <v>848</v>
      </c>
      <c r="V1437" s="4" t="str">
        <f>"11934"</f>
        <v>11934</v>
      </c>
      <c r="W1437" t="s">
        <v>120</v>
      </c>
      <c r="Y1437" s="5">
        <v>16312095700</v>
      </c>
      <c r="AA1437">
        <v>56173</v>
      </c>
      <c r="AB1437" t="s">
        <v>4606</v>
      </c>
      <c r="AC1437" t="s">
        <v>2020</v>
      </c>
      <c r="AE1437" t="s">
        <v>700</v>
      </c>
      <c r="AF1437" t="s">
        <v>4607</v>
      </c>
      <c r="AG1437" t="s">
        <v>14991</v>
      </c>
      <c r="AH1437" t="s">
        <v>1226</v>
      </c>
      <c r="AI1437" t="s">
        <v>848</v>
      </c>
      <c r="AJ1437" s="4" t="str">
        <f>"11934"</f>
        <v>11934</v>
      </c>
      <c r="AK1437" t="s">
        <v>120</v>
      </c>
      <c r="AM1437" s="5">
        <v>16312095700</v>
      </c>
      <c r="AO1437" t="s">
        <v>138</v>
      </c>
      <c r="AP1437" t="s">
        <v>256</v>
      </c>
      <c r="AQ1437" t="s">
        <v>1220</v>
      </c>
      <c r="AR1437" t="s">
        <v>1221</v>
      </c>
      <c r="AT1437" t="s">
        <v>1222</v>
      </c>
      <c r="AV1437" t="s">
        <v>1223</v>
      </c>
      <c r="AW1437" t="s">
        <v>848</v>
      </c>
      <c r="AX1437" s="4" t="str">
        <f t="shared" si="60"/>
        <v>11590</v>
      </c>
      <c r="AY1437" t="s">
        <v>120</v>
      </c>
      <c r="BA1437" s="5">
        <v>15163307168</v>
      </c>
      <c r="BC1437" t="s">
        <v>1224</v>
      </c>
      <c r="BD1437" t="s">
        <v>1225</v>
      </c>
      <c r="BG1437" t="s">
        <v>848</v>
      </c>
      <c r="BH1437" s="1">
        <v>44893.791666666664</v>
      </c>
      <c r="BI1437">
        <v>40</v>
      </c>
      <c r="BJ1437">
        <v>0</v>
      </c>
      <c r="BK1437">
        <v>8</v>
      </c>
      <c r="BL1437">
        <v>8</v>
      </c>
      <c r="BM1437">
        <v>8</v>
      </c>
      <c r="BN1437">
        <v>8</v>
      </c>
      <c r="BO1437">
        <v>8</v>
      </c>
      <c r="BP1437">
        <v>0</v>
      </c>
      <c r="BQ1437" t="str">
        <f t="shared" si="61"/>
        <v>8:00 AM</v>
      </c>
      <c r="BR1437" t="str">
        <f t="shared" si="62"/>
        <v>4:00 PM</v>
      </c>
      <c r="BS1437" t="s">
        <v>133</v>
      </c>
      <c r="BT1437">
        <v>0</v>
      </c>
      <c r="BU1437">
        <v>0</v>
      </c>
      <c r="BV1437" t="s">
        <v>134</v>
      </c>
      <c r="BX1437" t="s">
        <v>138</v>
      </c>
      <c r="BY1437" t="s">
        <v>4607</v>
      </c>
      <c r="CA1437" t="s">
        <v>1226</v>
      </c>
      <c r="CB1437" t="s">
        <v>848</v>
      </c>
      <c r="CC1437" s="4" t="str">
        <f>"11934"</f>
        <v>11934</v>
      </c>
      <c r="CD1437" t="s">
        <v>1227</v>
      </c>
      <c r="CE1437" t="s">
        <v>1009</v>
      </c>
      <c r="CF1437" s="6">
        <v>19.940000000000001</v>
      </c>
      <c r="CG1437" s="6">
        <v>19.940000000000001</v>
      </c>
      <c r="CH1437" s="6">
        <v>29.91</v>
      </c>
      <c r="CI1437" s="6">
        <v>29.91</v>
      </c>
      <c r="CJ1437" t="s">
        <v>137</v>
      </c>
      <c r="CK1437" t="s">
        <v>138</v>
      </c>
      <c r="CL1437" t="s">
        <v>4608</v>
      </c>
      <c r="CO1437" t="s">
        <v>138</v>
      </c>
      <c r="CP1437" t="s">
        <v>114</v>
      </c>
      <c r="CQ1437" t="s">
        <v>114</v>
      </c>
      <c r="CR1437" t="s">
        <v>114</v>
      </c>
      <c r="CS1437" t="s">
        <v>134</v>
      </c>
      <c r="CT1437" t="s">
        <v>114</v>
      </c>
      <c r="CU1437" t="s">
        <v>134</v>
      </c>
      <c r="CV1437" t="s">
        <v>219</v>
      </c>
      <c r="CW1437" s="5" t="str">
        <f>"+16312095700"</f>
        <v>+16312095700</v>
      </c>
      <c r="CX1437" t="s">
        <v>4609</v>
      </c>
      <c r="CY1437" t="s">
        <v>138</v>
      </c>
      <c r="CZ1437" t="s">
        <v>139</v>
      </c>
      <c r="DA1437" t="s">
        <v>134</v>
      </c>
      <c r="DB1437" t="s">
        <v>134</v>
      </c>
      <c r="DC1437" t="s">
        <v>114</v>
      </c>
      <c r="DD1437" t="s">
        <v>134</v>
      </c>
    </row>
    <row r="1438" spans="1:108" ht="15" customHeight="1" x14ac:dyDescent="0.25">
      <c r="A1438" t="s">
        <v>8308</v>
      </c>
      <c r="B1438" t="s">
        <v>141</v>
      </c>
      <c r="C1438" s="1">
        <v>44896.013454513886</v>
      </c>
      <c r="D1438" s="1">
        <v>44904</v>
      </c>
      <c r="E1438" t="s">
        <v>134</v>
      </c>
      <c r="F1438" t="s">
        <v>1219</v>
      </c>
      <c r="G1438" t="str">
        <f>"37-3011.00"</f>
        <v>37-3011.00</v>
      </c>
      <c r="H1438" t="s">
        <v>335</v>
      </c>
      <c r="I1438">
        <v>3</v>
      </c>
      <c r="K1438" s="1">
        <v>44986</v>
      </c>
      <c r="L1438" s="1">
        <v>45270</v>
      </c>
      <c r="O1438" t="s">
        <v>199</v>
      </c>
      <c r="P1438" t="s">
        <v>8309</v>
      </c>
      <c r="R1438" t="s">
        <v>8310</v>
      </c>
      <c r="S1438" t="s">
        <v>8311</v>
      </c>
      <c r="T1438" t="s">
        <v>1368</v>
      </c>
      <c r="U1438" t="s">
        <v>848</v>
      </c>
      <c r="V1438" s="4" t="str">
        <f>"11969"</f>
        <v>11969</v>
      </c>
      <c r="W1438" t="s">
        <v>120</v>
      </c>
      <c r="Y1438" s="5">
        <v>16312870841</v>
      </c>
      <c r="AA1438">
        <v>56173</v>
      </c>
      <c r="AB1438" t="s">
        <v>8312</v>
      </c>
      <c r="AC1438" t="s">
        <v>6949</v>
      </c>
      <c r="AE1438" t="s">
        <v>700</v>
      </c>
      <c r="AF1438" t="s">
        <v>8311</v>
      </c>
      <c r="AG1438" t="s">
        <v>8310</v>
      </c>
      <c r="AH1438" t="s">
        <v>1368</v>
      </c>
      <c r="AI1438" t="s">
        <v>848</v>
      </c>
      <c r="AJ1438" s="4" t="str">
        <f>"11969"</f>
        <v>11969</v>
      </c>
      <c r="AK1438" t="s">
        <v>120</v>
      </c>
      <c r="AM1438" s="5">
        <v>16312870841</v>
      </c>
      <c r="AO1438" t="s">
        <v>138</v>
      </c>
      <c r="AP1438" t="s">
        <v>256</v>
      </c>
      <c r="AQ1438" t="s">
        <v>1220</v>
      </c>
      <c r="AR1438" t="s">
        <v>1221</v>
      </c>
      <c r="AT1438" t="s">
        <v>1222</v>
      </c>
      <c r="AV1438" t="s">
        <v>1223</v>
      </c>
      <c r="AW1438" t="s">
        <v>848</v>
      </c>
      <c r="AX1438" s="4" t="str">
        <f t="shared" si="60"/>
        <v>11590</v>
      </c>
      <c r="AY1438" t="s">
        <v>120</v>
      </c>
      <c r="BA1438" s="5">
        <v>15163307168</v>
      </c>
      <c r="BC1438" t="s">
        <v>1224</v>
      </c>
      <c r="BD1438" t="s">
        <v>1225</v>
      </c>
      <c r="BG1438" t="s">
        <v>848</v>
      </c>
      <c r="BH1438" s="1">
        <v>44894.791666666664</v>
      </c>
      <c r="BI1438">
        <v>40</v>
      </c>
      <c r="BJ1438">
        <v>0</v>
      </c>
      <c r="BK1438">
        <v>8</v>
      </c>
      <c r="BL1438">
        <v>8</v>
      </c>
      <c r="BM1438">
        <v>8</v>
      </c>
      <c r="BN1438">
        <v>8</v>
      </c>
      <c r="BO1438">
        <v>8</v>
      </c>
      <c r="BP1438">
        <v>0</v>
      </c>
      <c r="BQ1438" t="str">
        <f t="shared" si="61"/>
        <v>8:00 AM</v>
      </c>
      <c r="BR1438" t="str">
        <f t="shared" si="62"/>
        <v>4:00 PM</v>
      </c>
      <c r="BS1438" t="s">
        <v>133</v>
      </c>
      <c r="BT1438">
        <v>0</v>
      </c>
      <c r="BU1438">
        <v>0</v>
      </c>
      <c r="BV1438" t="s">
        <v>134</v>
      </c>
      <c r="BX1438" t="s">
        <v>138</v>
      </c>
      <c r="BY1438" t="s">
        <v>8310</v>
      </c>
      <c r="CA1438" t="s">
        <v>1368</v>
      </c>
      <c r="CB1438" t="s">
        <v>848</v>
      </c>
      <c r="CC1438" s="4" t="str">
        <f>"11968"</f>
        <v>11968</v>
      </c>
      <c r="CD1438" t="s">
        <v>1227</v>
      </c>
      <c r="CE1438" t="s">
        <v>1009</v>
      </c>
      <c r="CF1438" s="6">
        <v>19.940000000000001</v>
      </c>
      <c r="CG1438" s="6">
        <v>19.940000000000001</v>
      </c>
      <c r="CH1438" s="6">
        <v>29.91</v>
      </c>
      <c r="CI1438" s="6">
        <v>29.91</v>
      </c>
      <c r="CJ1438" t="s">
        <v>137</v>
      </c>
      <c r="CK1438" t="s">
        <v>138</v>
      </c>
      <c r="CL1438" t="s">
        <v>8313</v>
      </c>
      <c r="CO1438" t="s">
        <v>138</v>
      </c>
      <c r="CP1438" t="s">
        <v>114</v>
      </c>
      <c r="CQ1438" t="s">
        <v>114</v>
      </c>
      <c r="CR1438" t="s">
        <v>114</v>
      </c>
      <c r="CS1438" t="s">
        <v>134</v>
      </c>
      <c r="CT1438" t="s">
        <v>114</v>
      </c>
      <c r="CU1438" t="s">
        <v>134</v>
      </c>
      <c r="CV1438" t="s">
        <v>219</v>
      </c>
      <c r="CW1438" s="5" t="str">
        <f>"+16312870841"</f>
        <v>+16312870841</v>
      </c>
      <c r="CX1438" t="s">
        <v>8314</v>
      </c>
      <c r="CY1438" t="s">
        <v>138</v>
      </c>
      <c r="CZ1438" t="s">
        <v>139</v>
      </c>
      <c r="DA1438" t="s">
        <v>134</v>
      </c>
      <c r="DB1438" t="s">
        <v>134</v>
      </c>
      <c r="DC1438" t="s">
        <v>114</v>
      </c>
      <c r="DD1438" t="s">
        <v>134</v>
      </c>
    </row>
    <row r="1439" spans="1:108" ht="15" customHeight="1" x14ac:dyDescent="0.25">
      <c r="A1439" t="s">
        <v>10204</v>
      </c>
      <c r="B1439" t="s">
        <v>141</v>
      </c>
      <c r="C1439" s="1">
        <v>44896.013212384256</v>
      </c>
      <c r="D1439" s="1">
        <v>44904</v>
      </c>
      <c r="E1439" t="s">
        <v>134</v>
      </c>
      <c r="F1439" t="s">
        <v>1219</v>
      </c>
      <c r="G1439" t="str">
        <f>"37-3011.00"</f>
        <v>37-3011.00</v>
      </c>
      <c r="H1439" t="s">
        <v>335</v>
      </c>
      <c r="I1439">
        <v>3</v>
      </c>
      <c r="K1439" s="1">
        <v>44986</v>
      </c>
      <c r="L1439" s="1">
        <v>45280</v>
      </c>
      <c r="O1439" t="s">
        <v>199</v>
      </c>
      <c r="P1439" t="s">
        <v>10205</v>
      </c>
      <c r="R1439" t="s">
        <v>10206</v>
      </c>
      <c r="T1439" t="s">
        <v>10207</v>
      </c>
      <c r="U1439" t="s">
        <v>848</v>
      </c>
      <c r="V1439" s="4" t="str">
        <f>"11971"</f>
        <v>11971</v>
      </c>
      <c r="W1439" t="s">
        <v>120</v>
      </c>
      <c r="Y1439" s="5">
        <v>16317659377</v>
      </c>
      <c r="AA1439">
        <v>56173</v>
      </c>
      <c r="AB1439" t="s">
        <v>10208</v>
      </c>
      <c r="AC1439" t="s">
        <v>1715</v>
      </c>
      <c r="AE1439" t="s">
        <v>700</v>
      </c>
      <c r="AF1439" t="s">
        <v>10206</v>
      </c>
      <c r="AH1439" t="s">
        <v>10207</v>
      </c>
      <c r="AI1439" t="s">
        <v>848</v>
      </c>
      <c r="AJ1439" s="4" t="str">
        <f>"11971"</f>
        <v>11971</v>
      </c>
      <c r="AK1439" t="s">
        <v>120</v>
      </c>
      <c r="AM1439" s="5">
        <v>16317659377</v>
      </c>
      <c r="AO1439" t="s">
        <v>138</v>
      </c>
      <c r="AP1439" t="s">
        <v>256</v>
      </c>
      <c r="AQ1439" t="s">
        <v>1220</v>
      </c>
      <c r="AR1439" t="s">
        <v>1221</v>
      </c>
      <c r="AT1439" t="s">
        <v>1222</v>
      </c>
      <c r="AV1439" t="s">
        <v>1223</v>
      </c>
      <c r="AW1439" t="s">
        <v>848</v>
      </c>
      <c r="AX1439" s="4" t="str">
        <f t="shared" si="60"/>
        <v>11590</v>
      </c>
      <c r="AY1439" t="s">
        <v>120</v>
      </c>
      <c r="BA1439" s="5">
        <v>15163307168</v>
      </c>
      <c r="BC1439" t="s">
        <v>1224</v>
      </c>
      <c r="BD1439" t="s">
        <v>1225</v>
      </c>
      <c r="BG1439" t="s">
        <v>848</v>
      </c>
      <c r="BH1439" s="1">
        <v>44893.791666666664</v>
      </c>
      <c r="BI1439">
        <v>40</v>
      </c>
      <c r="BJ1439">
        <v>0</v>
      </c>
      <c r="BK1439">
        <v>8</v>
      </c>
      <c r="BL1439">
        <v>8</v>
      </c>
      <c r="BM1439">
        <v>8</v>
      </c>
      <c r="BN1439">
        <v>8</v>
      </c>
      <c r="BO1439">
        <v>8</v>
      </c>
      <c r="BP1439">
        <v>0</v>
      </c>
      <c r="BQ1439" t="str">
        <f t="shared" si="61"/>
        <v>8:00 AM</v>
      </c>
      <c r="BR1439" t="str">
        <f t="shared" si="62"/>
        <v>4:00 PM</v>
      </c>
      <c r="BS1439" t="s">
        <v>133</v>
      </c>
      <c r="BT1439">
        <v>0</v>
      </c>
      <c r="BU1439">
        <v>0</v>
      </c>
      <c r="BV1439" t="s">
        <v>134</v>
      </c>
      <c r="BX1439" t="s">
        <v>138</v>
      </c>
      <c r="BY1439" t="s">
        <v>10206</v>
      </c>
      <c r="CA1439" t="s">
        <v>10207</v>
      </c>
      <c r="CB1439" t="s">
        <v>848</v>
      </c>
      <c r="CC1439" s="4" t="str">
        <f>"11971"</f>
        <v>11971</v>
      </c>
      <c r="CD1439" t="s">
        <v>1227</v>
      </c>
      <c r="CE1439" t="s">
        <v>1009</v>
      </c>
      <c r="CF1439" s="6">
        <v>19.940000000000001</v>
      </c>
      <c r="CG1439" s="6">
        <v>19.940000000000001</v>
      </c>
      <c r="CH1439" s="6">
        <v>29.91</v>
      </c>
      <c r="CI1439" s="6">
        <v>29.91</v>
      </c>
      <c r="CJ1439" t="s">
        <v>137</v>
      </c>
      <c r="CK1439" t="s">
        <v>138</v>
      </c>
      <c r="CL1439" t="s">
        <v>10209</v>
      </c>
      <c r="CO1439" t="s">
        <v>138</v>
      </c>
      <c r="CP1439" t="s">
        <v>114</v>
      </c>
      <c r="CQ1439" t="s">
        <v>114</v>
      </c>
      <c r="CR1439" t="s">
        <v>114</v>
      </c>
      <c r="CS1439" t="s">
        <v>134</v>
      </c>
      <c r="CT1439" t="s">
        <v>114</v>
      </c>
      <c r="CU1439" t="s">
        <v>134</v>
      </c>
      <c r="CV1439" t="s">
        <v>219</v>
      </c>
      <c r="CW1439" s="5" t="str">
        <f>"+16317659377"</f>
        <v>+16317659377</v>
      </c>
      <c r="CX1439" t="s">
        <v>10210</v>
      </c>
      <c r="CY1439" t="s">
        <v>138</v>
      </c>
      <c r="CZ1439" t="s">
        <v>139</v>
      </c>
      <c r="DA1439" t="s">
        <v>134</v>
      </c>
      <c r="DB1439" t="s">
        <v>134</v>
      </c>
      <c r="DC1439" t="s">
        <v>114</v>
      </c>
      <c r="DD1439" t="s">
        <v>134</v>
      </c>
    </row>
    <row r="1440" spans="1:108" ht="15" customHeight="1" x14ac:dyDescent="0.25">
      <c r="A1440" t="s">
        <v>14230</v>
      </c>
      <c r="B1440" t="s">
        <v>141</v>
      </c>
      <c r="C1440" s="1">
        <v>44896.013160879629</v>
      </c>
      <c r="D1440" s="1">
        <v>44904</v>
      </c>
      <c r="E1440" t="s">
        <v>134</v>
      </c>
      <c r="F1440" t="s">
        <v>3088</v>
      </c>
      <c r="G1440" t="str">
        <f>"45-2092.00"</f>
        <v>45-2092.00</v>
      </c>
      <c r="H1440" t="s">
        <v>3089</v>
      </c>
      <c r="I1440">
        <v>15</v>
      </c>
      <c r="K1440" s="1">
        <v>44986</v>
      </c>
      <c r="L1440" s="1">
        <v>45275</v>
      </c>
      <c r="O1440" t="s">
        <v>199</v>
      </c>
      <c r="P1440" t="s">
        <v>9888</v>
      </c>
      <c r="R1440" t="s">
        <v>9889</v>
      </c>
      <c r="T1440" t="s">
        <v>9890</v>
      </c>
      <c r="U1440" t="s">
        <v>848</v>
      </c>
      <c r="V1440" s="4" t="str">
        <f>"10913"</f>
        <v>10913</v>
      </c>
      <c r="W1440" t="s">
        <v>120</v>
      </c>
      <c r="Y1440" s="5">
        <v>18453536500</v>
      </c>
      <c r="AA1440">
        <v>56173</v>
      </c>
      <c r="AB1440" t="s">
        <v>9891</v>
      </c>
      <c r="AC1440" t="s">
        <v>9892</v>
      </c>
      <c r="AE1440" t="s">
        <v>700</v>
      </c>
      <c r="AF1440" t="s">
        <v>9889</v>
      </c>
      <c r="AH1440" t="s">
        <v>9890</v>
      </c>
      <c r="AI1440" t="s">
        <v>848</v>
      </c>
      <c r="AJ1440" s="4" t="str">
        <f>"10913"</f>
        <v>10913</v>
      </c>
      <c r="AK1440" t="s">
        <v>120</v>
      </c>
      <c r="AM1440" s="5">
        <v>18453536500</v>
      </c>
      <c r="AO1440" t="s">
        <v>138</v>
      </c>
      <c r="AP1440" t="s">
        <v>256</v>
      </c>
      <c r="AQ1440" t="s">
        <v>1220</v>
      </c>
      <c r="AR1440" t="s">
        <v>1221</v>
      </c>
      <c r="AT1440" t="s">
        <v>1222</v>
      </c>
      <c r="AV1440" t="s">
        <v>1223</v>
      </c>
      <c r="AW1440" t="s">
        <v>848</v>
      </c>
      <c r="AX1440" s="4" t="str">
        <f t="shared" si="60"/>
        <v>11590</v>
      </c>
      <c r="AY1440" t="s">
        <v>120</v>
      </c>
      <c r="BA1440" s="5">
        <v>15163307168</v>
      </c>
      <c r="BC1440" t="s">
        <v>1224</v>
      </c>
      <c r="BD1440" t="s">
        <v>1225</v>
      </c>
      <c r="BG1440" t="s">
        <v>848</v>
      </c>
      <c r="BH1440" s="1">
        <v>44893.791666666664</v>
      </c>
      <c r="BI1440">
        <v>40</v>
      </c>
      <c r="BJ1440">
        <v>0</v>
      </c>
      <c r="BK1440">
        <v>8</v>
      </c>
      <c r="BL1440">
        <v>8</v>
      </c>
      <c r="BM1440">
        <v>8</v>
      </c>
      <c r="BN1440">
        <v>0</v>
      </c>
      <c r="BO1440">
        <v>8</v>
      </c>
      <c r="BP1440">
        <v>8</v>
      </c>
      <c r="BQ1440" t="str">
        <f t="shared" si="61"/>
        <v>8:00 AM</v>
      </c>
      <c r="BR1440" t="str">
        <f t="shared" si="62"/>
        <v>4:00 PM</v>
      </c>
      <c r="BS1440" t="s">
        <v>133</v>
      </c>
      <c r="BT1440">
        <v>0</v>
      </c>
      <c r="BU1440">
        <v>0</v>
      </c>
      <c r="BV1440" t="s">
        <v>134</v>
      </c>
      <c r="BX1440" t="s">
        <v>138</v>
      </c>
      <c r="BY1440" t="s">
        <v>9889</v>
      </c>
      <c r="CA1440" t="s">
        <v>9890</v>
      </c>
      <c r="CB1440" t="s">
        <v>848</v>
      </c>
      <c r="CC1440" s="4" t="str">
        <f>"10913"</f>
        <v>10913</v>
      </c>
      <c r="CD1440" t="s">
        <v>2027</v>
      </c>
      <c r="CE1440" t="s">
        <v>1009</v>
      </c>
      <c r="CF1440" s="6">
        <v>17</v>
      </c>
      <c r="CG1440" s="6">
        <v>17</v>
      </c>
      <c r="CH1440" s="6">
        <v>25.5</v>
      </c>
      <c r="CI1440" s="6">
        <v>25.5</v>
      </c>
      <c r="CJ1440" t="s">
        <v>137</v>
      </c>
      <c r="CK1440" t="s">
        <v>138</v>
      </c>
      <c r="CL1440" t="s">
        <v>12670</v>
      </c>
      <c r="CO1440" t="s">
        <v>138</v>
      </c>
      <c r="CP1440" t="s">
        <v>134</v>
      </c>
      <c r="CQ1440" t="s">
        <v>134</v>
      </c>
      <c r="CR1440" t="s">
        <v>114</v>
      </c>
      <c r="CS1440" t="s">
        <v>134</v>
      </c>
      <c r="CT1440" t="s">
        <v>114</v>
      </c>
      <c r="CU1440" t="s">
        <v>134</v>
      </c>
      <c r="CV1440" t="s">
        <v>14231</v>
      </c>
      <c r="CW1440" s="5" t="str">
        <f>"+18453536500"</f>
        <v>+18453536500</v>
      </c>
      <c r="CX1440" t="s">
        <v>9893</v>
      </c>
      <c r="CY1440" t="s">
        <v>138</v>
      </c>
      <c r="CZ1440" t="s">
        <v>139</v>
      </c>
      <c r="DA1440" t="s">
        <v>134</v>
      </c>
      <c r="DB1440" t="s">
        <v>134</v>
      </c>
      <c r="DC1440" t="s">
        <v>114</v>
      </c>
      <c r="DD1440" t="s">
        <v>134</v>
      </c>
    </row>
    <row r="1441" spans="1:108" ht="15" customHeight="1" x14ac:dyDescent="0.25">
      <c r="A1441" t="s">
        <v>16248</v>
      </c>
      <c r="B1441" t="s">
        <v>141</v>
      </c>
      <c r="C1441" s="1">
        <v>44896.012257060182</v>
      </c>
      <c r="D1441" s="1">
        <v>44904</v>
      </c>
      <c r="E1441" t="s">
        <v>134</v>
      </c>
      <c r="F1441" t="s">
        <v>1219</v>
      </c>
      <c r="G1441" t="str">
        <f>"37-3011.00"</f>
        <v>37-3011.00</v>
      </c>
      <c r="H1441" t="s">
        <v>335</v>
      </c>
      <c r="I1441">
        <v>4</v>
      </c>
      <c r="K1441" s="1">
        <v>44986</v>
      </c>
      <c r="L1441" s="1">
        <v>45275</v>
      </c>
      <c r="O1441" t="s">
        <v>199</v>
      </c>
      <c r="P1441" t="s">
        <v>8166</v>
      </c>
      <c r="R1441" t="s">
        <v>8167</v>
      </c>
      <c r="S1441" t="s">
        <v>16249</v>
      </c>
      <c r="T1441" t="s">
        <v>6246</v>
      </c>
      <c r="U1441" t="s">
        <v>848</v>
      </c>
      <c r="V1441" s="4" t="str">
        <f>"11937"</f>
        <v>11937</v>
      </c>
      <c r="W1441" t="s">
        <v>120</v>
      </c>
      <c r="Y1441" s="5">
        <v>15166503610</v>
      </c>
      <c r="AA1441">
        <v>56173</v>
      </c>
      <c r="AB1441" t="s">
        <v>7598</v>
      </c>
      <c r="AC1441" t="s">
        <v>4347</v>
      </c>
      <c r="AE1441" t="s">
        <v>700</v>
      </c>
      <c r="AF1441" t="s">
        <v>8167</v>
      </c>
      <c r="AG1441" t="s">
        <v>16249</v>
      </c>
      <c r="AH1441" t="s">
        <v>6246</v>
      </c>
      <c r="AI1441" t="s">
        <v>848</v>
      </c>
      <c r="AJ1441" s="4" t="str">
        <f>"11937"</f>
        <v>11937</v>
      </c>
      <c r="AK1441" t="s">
        <v>120</v>
      </c>
      <c r="AM1441" s="5">
        <v>15166503610</v>
      </c>
      <c r="AO1441" t="s">
        <v>138</v>
      </c>
      <c r="AP1441" t="s">
        <v>256</v>
      </c>
      <c r="AQ1441" t="s">
        <v>1220</v>
      </c>
      <c r="AR1441" t="s">
        <v>1221</v>
      </c>
      <c r="AT1441" t="s">
        <v>1222</v>
      </c>
      <c r="AV1441" t="s">
        <v>1223</v>
      </c>
      <c r="AW1441" t="s">
        <v>848</v>
      </c>
      <c r="AX1441" s="4" t="str">
        <f t="shared" si="60"/>
        <v>11590</v>
      </c>
      <c r="AY1441" t="s">
        <v>120</v>
      </c>
      <c r="BA1441" s="5">
        <v>15163307168</v>
      </c>
      <c r="BC1441" t="s">
        <v>1224</v>
      </c>
      <c r="BD1441" t="s">
        <v>1225</v>
      </c>
      <c r="BG1441" t="s">
        <v>848</v>
      </c>
      <c r="BH1441" s="1">
        <v>44893.791666666664</v>
      </c>
      <c r="BI1441">
        <v>40</v>
      </c>
      <c r="BJ1441">
        <v>0</v>
      </c>
      <c r="BK1441">
        <v>8</v>
      </c>
      <c r="BL1441">
        <v>8</v>
      </c>
      <c r="BM1441">
        <v>8</v>
      </c>
      <c r="BN1441">
        <v>8</v>
      </c>
      <c r="BO1441">
        <v>8</v>
      </c>
      <c r="BP1441">
        <v>0</v>
      </c>
      <c r="BQ1441" t="str">
        <f t="shared" si="61"/>
        <v>8:00 AM</v>
      </c>
      <c r="BR1441" t="str">
        <f t="shared" si="62"/>
        <v>4:00 PM</v>
      </c>
      <c r="BS1441" t="s">
        <v>133</v>
      </c>
      <c r="BT1441">
        <v>0</v>
      </c>
      <c r="BU1441">
        <v>0</v>
      </c>
      <c r="BV1441" t="s">
        <v>134</v>
      </c>
      <c r="BX1441" t="s">
        <v>138</v>
      </c>
      <c r="BY1441" t="s">
        <v>8167</v>
      </c>
      <c r="CA1441" t="s">
        <v>6246</v>
      </c>
      <c r="CB1441" t="s">
        <v>848</v>
      </c>
      <c r="CC1441" s="4" t="str">
        <f>"11937"</f>
        <v>11937</v>
      </c>
      <c r="CD1441" t="s">
        <v>1227</v>
      </c>
      <c r="CE1441" t="s">
        <v>1009</v>
      </c>
      <c r="CF1441" s="6">
        <v>19.940000000000001</v>
      </c>
      <c r="CG1441" s="6">
        <v>19.940000000000001</v>
      </c>
      <c r="CH1441" s="6">
        <v>29.91</v>
      </c>
      <c r="CI1441" s="6">
        <v>29.91</v>
      </c>
      <c r="CJ1441" t="s">
        <v>137</v>
      </c>
      <c r="CK1441" t="s">
        <v>138</v>
      </c>
      <c r="CL1441" t="s">
        <v>8168</v>
      </c>
      <c r="CO1441" t="s">
        <v>138</v>
      </c>
      <c r="CP1441" t="s">
        <v>114</v>
      </c>
      <c r="CQ1441" t="s">
        <v>114</v>
      </c>
      <c r="CR1441" t="s">
        <v>114</v>
      </c>
      <c r="CS1441" t="s">
        <v>134</v>
      </c>
      <c r="CT1441" t="s">
        <v>114</v>
      </c>
      <c r="CU1441" t="s">
        <v>134</v>
      </c>
      <c r="CV1441" t="s">
        <v>219</v>
      </c>
      <c r="CW1441" s="5" t="str">
        <f>"+15166503610"</f>
        <v>+15166503610</v>
      </c>
      <c r="CX1441" t="s">
        <v>8169</v>
      </c>
      <c r="CY1441" t="s">
        <v>138</v>
      </c>
      <c r="CZ1441" t="s">
        <v>139</v>
      </c>
      <c r="DA1441" t="s">
        <v>134</v>
      </c>
      <c r="DB1441" t="s">
        <v>134</v>
      </c>
      <c r="DC1441" t="s">
        <v>114</v>
      </c>
      <c r="DD1441" t="s">
        <v>134</v>
      </c>
    </row>
    <row r="1442" spans="1:108" ht="15" customHeight="1" x14ac:dyDescent="0.25">
      <c r="A1442" t="s">
        <v>11903</v>
      </c>
      <c r="B1442" t="s">
        <v>141</v>
      </c>
      <c r="C1442" s="1">
        <v>44896.011956134258</v>
      </c>
      <c r="D1442" s="1">
        <v>44904</v>
      </c>
      <c r="E1442" t="s">
        <v>134</v>
      </c>
      <c r="F1442" t="s">
        <v>2737</v>
      </c>
      <c r="G1442" t="str">
        <f>"53-7062.00"</f>
        <v>53-7062.00</v>
      </c>
      <c r="H1442" t="s">
        <v>245</v>
      </c>
      <c r="I1442">
        <v>2</v>
      </c>
      <c r="K1442" s="1">
        <v>44986</v>
      </c>
      <c r="L1442" s="1">
        <v>45275</v>
      </c>
      <c r="O1442" t="s">
        <v>199</v>
      </c>
      <c r="P1442" t="s">
        <v>4034</v>
      </c>
      <c r="R1442" t="s">
        <v>4035</v>
      </c>
      <c r="T1442" t="s">
        <v>1373</v>
      </c>
      <c r="U1442" t="s">
        <v>848</v>
      </c>
      <c r="V1442" s="4" t="str">
        <f>"11968"</f>
        <v>11968</v>
      </c>
      <c r="W1442" t="s">
        <v>120</v>
      </c>
      <c r="Y1442" s="5">
        <v>16318318359</v>
      </c>
      <c r="AA1442">
        <v>2362</v>
      </c>
      <c r="AB1442" t="s">
        <v>4036</v>
      </c>
      <c r="AC1442" t="s">
        <v>4037</v>
      </c>
      <c r="AE1442" t="s">
        <v>700</v>
      </c>
      <c r="AF1442" t="s">
        <v>4035</v>
      </c>
      <c r="AH1442" t="s">
        <v>1368</v>
      </c>
      <c r="AI1442" t="s">
        <v>848</v>
      </c>
      <c r="AJ1442" s="4" t="str">
        <f>"11968"</f>
        <v>11968</v>
      </c>
      <c r="AK1442" t="s">
        <v>120</v>
      </c>
      <c r="AM1442" s="5">
        <v>16318318359</v>
      </c>
      <c r="AO1442" t="s">
        <v>138</v>
      </c>
      <c r="AP1442" t="s">
        <v>256</v>
      </c>
      <c r="AQ1442" t="s">
        <v>1220</v>
      </c>
      <c r="AR1442" t="s">
        <v>1221</v>
      </c>
      <c r="AT1442" t="s">
        <v>1222</v>
      </c>
      <c r="AV1442" t="s">
        <v>1223</v>
      </c>
      <c r="AW1442" t="s">
        <v>848</v>
      </c>
      <c r="AX1442" s="4" t="str">
        <f t="shared" si="60"/>
        <v>11590</v>
      </c>
      <c r="AY1442" t="s">
        <v>120</v>
      </c>
      <c r="BA1442" s="5">
        <v>15163307168</v>
      </c>
      <c r="BC1442" t="s">
        <v>1224</v>
      </c>
      <c r="BD1442" t="s">
        <v>1225</v>
      </c>
      <c r="BG1442" t="s">
        <v>848</v>
      </c>
      <c r="BH1442" s="1">
        <v>44893.791666666664</v>
      </c>
      <c r="BI1442">
        <v>40</v>
      </c>
      <c r="BJ1442">
        <v>0</v>
      </c>
      <c r="BK1442">
        <v>8</v>
      </c>
      <c r="BL1442">
        <v>8</v>
      </c>
      <c r="BM1442">
        <v>8</v>
      </c>
      <c r="BN1442">
        <v>8</v>
      </c>
      <c r="BO1442">
        <v>8</v>
      </c>
      <c r="BP1442">
        <v>0</v>
      </c>
      <c r="BQ1442" t="str">
        <f t="shared" si="61"/>
        <v>8:00 AM</v>
      </c>
      <c r="BR1442" t="str">
        <f t="shared" si="62"/>
        <v>4:00 PM</v>
      </c>
      <c r="BS1442" t="s">
        <v>133</v>
      </c>
      <c r="BT1442">
        <v>0</v>
      </c>
      <c r="BU1442">
        <v>1</v>
      </c>
      <c r="BV1442" t="s">
        <v>134</v>
      </c>
      <c r="BX1442" t="s">
        <v>11904</v>
      </c>
      <c r="BY1442" t="s">
        <v>4035</v>
      </c>
      <c r="CA1442" t="s">
        <v>1368</v>
      </c>
      <c r="CB1442" t="s">
        <v>848</v>
      </c>
      <c r="CC1442" s="4" t="str">
        <f>"11968"</f>
        <v>11968</v>
      </c>
      <c r="CD1442" t="s">
        <v>1227</v>
      </c>
      <c r="CE1442" t="s">
        <v>1009</v>
      </c>
      <c r="CF1442" s="6">
        <v>18.579999999999998</v>
      </c>
      <c r="CG1442" s="6">
        <v>18.579999999999998</v>
      </c>
      <c r="CH1442" s="6">
        <v>27.87</v>
      </c>
      <c r="CI1442" s="6">
        <v>27.87</v>
      </c>
      <c r="CJ1442" t="s">
        <v>137</v>
      </c>
      <c r="CK1442" t="s">
        <v>138</v>
      </c>
      <c r="CL1442" t="s">
        <v>4038</v>
      </c>
      <c r="CO1442" t="s">
        <v>138</v>
      </c>
      <c r="CP1442" t="s">
        <v>114</v>
      </c>
      <c r="CQ1442" t="s">
        <v>114</v>
      </c>
      <c r="CR1442" t="s">
        <v>114</v>
      </c>
      <c r="CS1442" t="s">
        <v>134</v>
      </c>
      <c r="CT1442" t="s">
        <v>114</v>
      </c>
      <c r="CU1442" t="s">
        <v>134</v>
      </c>
      <c r="CV1442" t="s">
        <v>219</v>
      </c>
      <c r="CW1442" s="5" t="str">
        <f>"+16318318359"</f>
        <v>+16318318359</v>
      </c>
      <c r="CX1442" t="s">
        <v>4039</v>
      </c>
      <c r="CY1442" t="s">
        <v>138</v>
      </c>
      <c r="CZ1442" t="s">
        <v>139</v>
      </c>
      <c r="DA1442" t="s">
        <v>134</v>
      </c>
      <c r="DB1442" t="s">
        <v>134</v>
      </c>
      <c r="DC1442" t="s">
        <v>114</v>
      </c>
      <c r="DD1442" t="s">
        <v>134</v>
      </c>
    </row>
    <row r="1443" spans="1:108" ht="15" customHeight="1" x14ac:dyDescent="0.25">
      <c r="A1443" t="s">
        <v>7295</v>
      </c>
      <c r="B1443" t="s">
        <v>141</v>
      </c>
      <c r="C1443" s="1">
        <v>44896.011763310184</v>
      </c>
      <c r="D1443" s="1">
        <v>44904</v>
      </c>
      <c r="E1443" t="s">
        <v>134</v>
      </c>
      <c r="F1443" t="s">
        <v>1219</v>
      </c>
      <c r="G1443" t="str">
        <f>"37-3011.00"</f>
        <v>37-3011.00</v>
      </c>
      <c r="H1443" t="s">
        <v>335</v>
      </c>
      <c r="I1443">
        <v>2</v>
      </c>
      <c r="K1443" s="1">
        <v>44986</v>
      </c>
      <c r="L1443" s="1">
        <v>45275</v>
      </c>
      <c r="O1443" t="s">
        <v>199</v>
      </c>
      <c r="P1443" t="s">
        <v>7296</v>
      </c>
      <c r="R1443" t="s">
        <v>7297</v>
      </c>
      <c r="T1443" t="s">
        <v>4543</v>
      </c>
      <c r="U1443" t="s">
        <v>848</v>
      </c>
      <c r="V1443" s="4" t="str">
        <f>"11978"</f>
        <v>11978</v>
      </c>
      <c r="W1443" t="s">
        <v>120</v>
      </c>
      <c r="Y1443" s="5">
        <v>16318131315</v>
      </c>
      <c r="AA1443">
        <v>56173</v>
      </c>
      <c r="AB1443" t="s">
        <v>4466</v>
      </c>
      <c r="AC1443" t="s">
        <v>7298</v>
      </c>
      <c r="AE1443" t="s">
        <v>700</v>
      </c>
      <c r="AF1443" t="s">
        <v>7299</v>
      </c>
      <c r="AH1443" t="s">
        <v>7300</v>
      </c>
      <c r="AI1443" t="s">
        <v>848</v>
      </c>
      <c r="AJ1443" s="4" t="str">
        <f>"11978"</f>
        <v>11978</v>
      </c>
      <c r="AK1443" t="s">
        <v>120</v>
      </c>
      <c r="AM1443" s="5">
        <v>16318131315</v>
      </c>
      <c r="AO1443" t="s">
        <v>138</v>
      </c>
      <c r="AP1443" t="s">
        <v>256</v>
      </c>
      <c r="AQ1443" t="s">
        <v>1220</v>
      </c>
      <c r="AR1443" t="s">
        <v>1221</v>
      </c>
      <c r="AT1443" t="s">
        <v>1222</v>
      </c>
      <c r="AV1443" t="s">
        <v>1223</v>
      </c>
      <c r="AW1443" t="s">
        <v>848</v>
      </c>
      <c r="AX1443" s="4" t="str">
        <f t="shared" si="60"/>
        <v>11590</v>
      </c>
      <c r="AY1443" t="s">
        <v>120</v>
      </c>
      <c r="BA1443" s="5">
        <v>15163307168</v>
      </c>
      <c r="BC1443" t="s">
        <v>1224</v>
      </c>
      <c r="BD1443" t="s">
        <v>1225</v>
      </c>
      <c r="BG1443" t="s">
        <v>848</v>
      </c>
      <c r="BH1443" s="1">
        <v>44894.791666666664</v>
      </c>
      <c r="BI1443">
        <v>40</v>
      </c>
      <c r="BJ1443">
        <v>0</v>
      </c>
      <c r="BK1443">
        <v>8</v>
      </c>
      <c r="BL1443">
        <v>8</v>
      </c>
      <c r="BM1443">
        <v>8</v>
      </c>
      <c r="BN1443">
        <v>8</v>
      </c>
      <c r="BO1443">
        <v>8</v>
      </c>
      <c r="BP1443">
        <v>0</v>
      </c>
      <c r="BQ1443" t="str">
        <f t="shared" si="61"/>
        <v>8:00 AM</v>
      </c>
      <c r="BR1443" t="str">
        <f t="shared" si="62"/>
        <v>4:00 PM</v>
      </c>
      <c r="BS1443" t="s">
        <v>133</v>
      </c>
      <c r="BT1443">
        <v>0</v>
      </c>
      <c r="BU1443">
        <v>0</v>
      </c>
      <c r="BV1443" t="s">
        <v>134</v>
      </c>
      <c r="BX1443" t="s">
        <v>138</v>
      </c>
      <c r="BY1443" t="s">
        <v>7299</v>
      </c>
      <c r="CA1443" t="s">
        <v>4543</v>
      </c>
      <c r="CB1443" t="s">
        <v>848</v>
      </c>
      <c r="CC1443" s="4" t="str">
        <f>"11978"</f>
        <v>11978</v>
      </c>
      <c r="CD1443" t="s">
        <v>1227</v>
      </c>
      <c r="CE1443" t="s">
        <v>1009</v>
      </c>
      <c r="CF1443" s="6">
        <v>19.940000000000001</v>
      </c>
      <c r="CG1443" s="6">
        <v>19.940000000000001</v>
      </c>
      <c r="CH1443" s="6">
        <v>29.91</v>
      </c>
      <c r="CI1443" s="6">
        <v>29.91</v>
      </c>
      <c r="CJ1443" t="s">
        <v>137</v>
      </c>
      <c r="CK1443" t="s">
        <v>138</v>
      </c>
      <c r="CL1443" t="s">
        <v>7301</v>
      </c>
      <c r="CO1443" t="s">
        <v>138</v>
      </c>
      <c r="CP1443" t="s">
        <v>114</v>
      </c>
      <c r="CQ1443" t="s">
        <v>114</v>
      </c>
      <c r="CR1443" t="s">
        <v>114</v>
      </c>
      <c r="CS1443" t="s">
        <v>134</v>
      </c>
      <c r="CT1443" t="s">
        <v>114</v>
      </c>
      <c r="CU1443" t="s">
        <v>134</v>
      </c>
      <c r="CV1443" t="s">
        <v>219</v>
      </c>
      <c r="CW1443" s="5" t="str">
        <f>"+16318131315"</f>
        <v>+16318131315</v>
      </c>
      <c r="CX1443" t="s">
        <v>7302</v>
      </c>
      <c r="CY1443" t="s">
        <v>138</v>
      </c>
      <c r="CZ1443" t="s">
        <v>139</v>
      </c>
      <c r="DA1443" t="s">
        <v>134</v>
      </c>
      <c r="DB1443" t="s">
        <v>134</v>
      </c>
      <c r="DC1443" t="s">
        <v>114</v>
      </c>
      <c r="DD1443" t="s">
        <v>134</v>
      </c>
    </row>
    <row r="1444" spans="1:108" ht="15" customHeight="1" x14ac:dyDescent="0.25">
      <c r="A1444" t="s">
        <v>16228</v>
      </c>
      <c r="B1444" t="s">
        <v>141</v>
      </c>
      <c r="C1444" s="1">
        <v>44896.011450115744</v>
      </c>
      <c r="D1444" s="1">
        <v>44904</v>
      </c>
      <c r="E1444" t="s">
        <v>134</v>
      </c>
      <c r="F1444" t="s">
        <v>9205</v>
      </c>
      <c r="G1444" t="str">
        <f>"37-3011.00"</f>
        <v>37-3011.00</v>
      </c>
      <c r="H1444" t="s">
        <v>335</v>
      </c>
      <c r="I1444">
        <v>11</v>
      </c>
      <c r="K1444" s="1">
        <v>44986</v>
      </c>
      <c r="L1444" s="1">
        <v>45240</v>
      </c>
      <c r="O1444" t="s">
        <v>199</v>
      </c>
      <c r="P1444" t="s">
        <v>10138</v>
      </c>
      <c r="R1444" t="s">
        <v>2865</v>
      </c>
      <c r="T1444" t="s">
        <v>1373</v>
      </c>
      <c r="U1444" t="s">
        <v>848</v>
      </c>
      <c r="V1444" s="4" t="str">
        <f>"11968"</f>
        <v>11968</v>
      </c>
      <c r="W1444" t="s">
        <v>120</v>
      </c>
      <c r="Y1444" s="5">
        <v>16312830820</v>
      </c>
      <c r="AA1444">
        <v>221310</v>
      </c>
      <c r="AB1444" t="s">
        <v>2866</v>
      </c>
      <c r="AC1444" t="s">
        <v>2867</v>
      </c>
      <c r="AE1444" t="s">
        <v>700</v>
      </c>
      <c r="AF1444" t="s">
        <v>2865</v>
      </c>
      <c r="AH1444" t="s">
        <v>1368</v>
      </c>
      <c r="AI1444" t="s">
        <v>848</v>
      </c>
      <c r="AJ1444" s="4" t="str">
        <f>"11968"</f>
        <v>11968</v>
      </c>
      <c r="AK1444" t="s">
        <v>120</v>
      </c>
      <c r="AM1444" s="5">
        <v>16312830820</v>
      </c>
      <c r="AO1444" t="s">
        <v>138</v>
      </c>
      <c r="AP1444" t="s">
        <v>256</v>
      </c>
      <c r="AQ1444" t="s">
        <v>1220</v>
      </c>
      <c r="AR1444" t="s">
        <v>1221</v>
      </c>
      <c r="AT1444" t="s">
        <v>1222</v>
      </c>
      <c r="AV1444" t="s">
        <v>1223</v>
      </c>
      <c r="AW1444" t="s">
        <v>848</v>
      </c>
      <c r="AX1444" s="4" t="str">
        <f t="shared" si="60"/>
        <v>11590</v>
      </c>
      <c r="AY1444" t="s">
        <v>120</v>
      </c>
      <c r="BA1444" s="5">
        <v>15163307168</v>
      </c>
      <c r="BC1444" t="s">
        <v>1224</v>
      </c>
      <c r="BD1444" t="s">
        <v>1225</v>
      </c>
      <c r="BG1444" t="s">
        <v>848</v>
      </c>
      <c r="BH1444" s="1">
        <v>44893.791666666664</v>
      </c>
      <c r="BI1444">
        <v>40</v>
      </c>
      <c r="BJ1444">
        <v>0</v>
      </c>
      <c r="BK1444">
        <v>8</v>
      </c>
      <c r="BL1444">
        <v>8</v>
      </c>
      <c r="BM1444">
        <v>8</v>
      </c>
      <c r="BN1444">
        <v>8</v>
      </c>
      <c r="BO1444">
        <v>8</v>
      </c>
      <c r="BP1444">
        <v>0</v>
      </c>
      <c r="BQ1444" t="str">
        <f t="shared" si="61"/>
        <v>8:00 AM</v>
      </c>
      <c r="BR1444" t="str">
        <f t="shared" si="62"/>
        <v>4:00 PM</v>
      </c>
      <c r="BS1444" t="s">
        <v>133</v>
      </c>
      <c r="BT1444">
        <v>0</v>
      </c>
      <c r="BU1444">
        <v>1</v>
      </c>
      <c r="BV1444" t="s">
        <v>134</v>
      </c>
      <c r="BX1444" t="s">
        <v>16229</v>
      </c>
      <c r="BY1444" t="s">
        <v>2865</v>
      </c>
      <c r="CA1444" t="s">
        <v>1368</v>
      </c>
      <c r="CB1444" t="s">
        <v>848</v>
      </c>
      <c r="CC1444" s="4" t="str">
        <f>"11968"</f>
        <v>11968</v>
      </c>
      <c r="CD1444" t="s">
        <v>1227</v>
      </c>
      <c r="CE1444" t="s">
        <v>1009</v>
      </c>
      <c r="CF1444" s="6">
        <v>19.940000000000001</v>
      </c>
      <c r="CG1444" s="6">
        <v>19.940000000000001</v>
      </c>
      <c r="CH1444" s="6">
        <v>29.91</v>
      </c>
      <c r="CI1444" s="6">
        <v>29.91</v>
      </c>
      <c r="CJ1444" t="s">
        <v>137</v>
      </c>
      <c r="CK1444" t="s">
        <v>138</v>
      </c>
      <c r="CL1444" t="s">
        <v>10139</v>
      </c>
      <c r="CO1444" t="s">
        <v>138</v>
      </c>
      <c r="CP1444" t="s">
        <v>114</v>
      </c>
      <c r="CQ1444" t="s">
        <v>114</v>
      </c>
      <c r="CR1444" t="s">
        <v>114</v>
      </c>
      <c r="CS1444" t="s">
        <v>134</v>
      </c>
      <c r="CT1444" t="s">
        <v>114</v>
      </c>
      <c r="CU1444" t="s">
        <v>134</v>
      </c>
      <c r="CV1444" t="s">
        <v>219</v>
      </c>
      <c r="CW1444" s="5" t="str">
        <f>"+16312830820"</f>
        <v>+16312830820</v>
      </c>
      <c r="CX1444" t="s">
        <v>2868</v>
      </c>
      <c r="CY1444" t="s">
        <v>138</v>
      </c>
      <c r="CZ1444" t="s">
        <v>139</v>
      </c>
      <c r="DA1444" t="s">
        <v>134</v>
      </c>
      <c r="DB1444" t="s">
        <v>134</v>
      </c>
      <c r="DC1444" t="s">
        <v>114</v>
      </c>
      <c r="DD1444" t="s">
        <v>134</v>
      </c>
    </row>
    <row r="1445" spans="1:108" ht="15" customHeight="1" x14ac:dyDescent="0.25">
      <c r="A1445" t="s">
        <v>8324</v>
      </c>
      <c r="B1445" t="s">
        <v>141</v>
      </c>
      <c r="C1445" s="1">
        <v>44896.011154861109</v>
      </c>
      <c r="D1445" s="1">
        <v>44904</v>
      </c>
      <c r="E1445" t="s">
        <v>134</v>
      </c>
      <c r="F1445" t="s">
        <v>1219</v>
      </c>
      <c r="G1445" t="str">
        <f>"37-3011.00"</f>
        <v>37-3011.00</v>
      </c>
      <c r="H1445" t="s">
        <v>335</v>
      </c>
      <c r="I1445">
        <v>3</v>
      </c>
      <c r="K1445" s="1">
        <v>44986</v>
      </c>
      <c r="L1445" s="1">
        <v>45280</v>
      </c>
      <c r="O1445" t="s">
        <v>199</v>
      </c>
      <c r="P1445" t="s">
        <v>8325</v>
      </c>
      <c r="R1445" t="s">
        <v>8326</v>
      </c>
      <c r="T1445" t="s">
        <v>8327</v>
      </c>
      <c r="U1445" t="s">
        <v>848</v>
      </c>
      <c r="V1445" s="4" t="str">
        <f>"11590"</f>
        <v>11590</v>
      </c>
      <c r="W1445" t="s">
        <v>120</v>
      </c>
      <c r="Y1445" s="5">
        <v>15168768327</v>
      </c>
      <c r="AA1445">
        <v>56173</v>
      </c>
      <c r="AB1445" t="s">
        <v>8328</v>
      </c>
      <c r="AC1445" t="s">
        <v>8329</v>
      </c>
      <c r="AE1445" t="s">
        <v>700</v>
      </c>
      <c r="AF1445" t="s">
        <v>8326</v>
      </c>
      <c r="AH1445" t="s">
        <v>1223</v>
      </c>
      <c r="AI1445" t="s">
        <v>848</v>
      </c>
      <c r="AJ1445" s="4" t="str">
        <f>"11590"</f>
        <v>11590</v>
      </c>
      <c r="AK1445" t="s">
        <v>120</v>
      </c>
      <c r="AM1445" s="5">
        <v>15168768327</v>
      </c>
      <c r="AO1445" t="s">
        <v>138</v>
      </c>
      <c r="AP1445" t="s">
        <v>256</v>
      </c>
      <c r="AQ1445" t="s">
        <v>1220</v>
      </c>
      <c r="AR1445" t="s">
        <v>1221</v>
      </c>
      <c r="AT1445" t="s">
        <v>1222</v>
      </c>
      <c r="AV1445" t="s">
        <v>1223</v>
      </c>
      <c r="AW1445" t="s">
        <v>848</v>
      </c>
      <c r="AX1445" s="4" t="str">
        <f t="shared" si="60"/>
        <v>11590</v>
      </c>
      <c r="AY1445" t="s">
        <v>120</v>
      </c>
      <c r="BA1445" s="5">
        <v>15163307168</v>
      </c>
      <c r="BC1445" t="s">
        <v>1224</v>
      </c>
      <c r="BD1445" t="s">
        <v>1225</v>
      </c>
      <c r="BG1445" t="s">
        <v>848</v>
      </c>
      <c r="BH1445" s="1">
        <v>44893.791666666664</v>
      </c>
      <c r="BI1445">
        <v>40</v>
      </c>
      <c r="BJ1445">
        <v>0</v>
      </c>
      <c r="BK1445">
        <v>8</v>
      </c>
      <c r="BL1445">
        <v>8</v>
      </c>
      <c r="BM1445">
        <v>8</v>
      </c>
      <c r="BN1445">
        <v>8</v>
      </c>
      <c r="BO1445">
        <v>8</v>
      </c>
      <c r="BP1445">
        <v>0</v>
      </c>
      <c r="BQ1445" t="str">
        <f t="shared" si="61"/>
        <v>8:00 AM</v>
      </c>
      <c r="BR1445" t="str">
        <f t="shared" si="62"/>
        <v>4:00 PM</v>
      </c>
      <c r="BS1445" t="s">
        <v>133</v>
      </c>
      <c r="BT1445">
        <v>0</v>
      </c>
      <c r="BU1445">
        <v>0</v>
      </c>
      <c r="BV1445" t="s">
        <v>134</v>
      </c>
      <c r="BX1445" t="s">
        <v>138</v>
      </c>
      <c r="BY1445" t="s">
        <v>8330</v>
      </c>
      <c r="CA1445" t="s">
        <v>1223</v>
      </c>
      <c r="CB1445" t="s">
        <v>848</v>
      </c>
      <c r="CC1445" s="4" t="str">
        <f>"11590"</f>
        <v>11590</v>
      </c>
      <c r="CD1445" t="s">
        <v>2194</v>
      </c>
      <c r="CE1445" t="s">
        <v>1009</v>
      </c>
      <c r="CF1445" s="6">
        <v>19.940000000000001</v>
      </c>
      <c r="CG1445" s="6">
        <v>19.940000000000001</v>
      </c>
      <c r="CH1445" s="6">
        <v>29.91</v>
      </c>
      <c r="CI1445" s="6">
        <v>29.91</v>
      </c>
      <c r="CJ1445" t="s">
        <v>137</v>
      </c>
      <c r="CK1445" t="s">
        <v>138</v>
      </c>
      <c r="CL1445" t="s">
        <v>8331</v>
      </c>
      <c r="CO1445" t="s">
        <v>138</v>
      </c>
      <c r="CP1445" t="s">
        <v>114</v>
      </c>
      <c r="CQ1445" t="s">
        <v>114</v>
      </c>
      <c r="CR1445" t="s">
        <v>114</v>
      </c>
      <c r="CS1445" t="s">
        <v>134</v>
      </c>
      <c r="CT1445" t="s">
        <v>114</v>
      </c>
      <c r="CU1445" t="s">
        <v>134</v>
      </c>
      <c r="CV1445" t="s">
        <v>219</v>
      </c>
      <c r="CW1445" s="5" t="str">
        <f>"+15168768327"</f>
        <v>+15168768327</v>
      </c>
      <c r="CX1445" t="s">
        <v>8332</v>
      </c>
      <c r="CY1445" t="s">
        <v>138</v>
      </c>
      <c r="CZ1445" t="s">
        <v>139</v>
      </c>
      <c r="DA1445" t="s">
        <v>134</v>
      </c>
      <c r="DB1445" t="s">
        <v>134</v>
      </c>
      <c r="DC1445" t="s">
        <v>114</v>
      </c>
      <c r="DD1445" t="s">
        <v>134</v>
      </c>
    </row>
    <row r="1446" spans="1:108" ht="15" customHeight="1" x14ac:dyDescent="0.25">
      <c r="A1446" t="s">
        <v>12803</v>
      </c>
      <c r="B1446" t="s">
        <v>141</v>
      </c>
      <c r="C1446" s="1">
        <v>44896.011100694443</v>
      </c>
      <c r="D1446" s="1">
        <v>44904</v>
      </c>
      <c r="E1446" t="s">
        <v>134</v>
      </c>
      <c r="F1446" t="s">
        <v>4526</v>
      </c>
      <c r="G1446" t="str">
        <f>"37-3011.00"</f>
        <v>37-3011.00</v>
      </c>
      <c r="H1446" t="s">
        <v>335</v>
      </c>
      <c r="I1446">
        <v>2</v>
      </c>
      <c r="K1446" s="1">
        <v>44986</v>
      </c>
      <c r="L1446" s="1">
        <v>45280</v>
      </c>
      <c r="O1446" t="s">
        <v>199</v>
      </c>
      <c r="P1446" t="s">
        <v>12804</v>
      </c>
      <c r="R1446" t="s">
        <v>12805</v>
      </c>
      <c r="S1446" t="s">
        <v>12806</v>
      </c>
      <c r="T1446" t="s">
        <v>2742</v>
      </c>
      <c r="U1446" t="s">
        <v>848</v>
      </c>
      <c r="V1446" s="4" t="str">
        <f>"11801"</f>
        <v>11801</v>
      </c>
      <c r="W1446" t="s">
        <v>120</v>
      </c>
      <c r="Y1446" s="5">
        <v>15165236124</v>
      </c>
      <c r="AA1446">
        <v>56173</v>
      </c>
      <c r="AB1446" t="s">
        <v>12807</v>
      </c>
      <c r="AC1446" t="s">
        <v>12808</v>
      </c>
      <c r="AE1446" t="s">
        <v>700</v>
      </c>
      <c r="AF1446" t="s">
        <v>12805</v>
      </c>
      <c r="AG1446" t="s">
        <v>12806</v>
      </c>
      <c r="AH1446" t="s">
        <v>2742</v>
      </c>
      <c r="AI1446" t="s">
        <v>848</v>
      </c>
      <c r="AJ1446" s="4" t="str">
        <f>"11801"</f>
        <v>11801</v>
      </c>
      <c r="AK1446" t="s">
        <v>120</v>
      </c>
      <c r="AM1446" s="5">
        <v>15165236124</v>
      </c>
      <c r="AO1446" t="s">
        <v>138</v>
      </c>
      <c r="AP1446" t="s">
        <v>256</v>
      </c>
      <c r="AQ1446" t="s">
        <v>1220</v>
      </c>
      <c r="AR1446" t="s">
        <v>1221</v>
      </c>
      <c r="AT1446" t="s">
        <v>1222</v>
      </c>
      <c r="AV1446" t="s">
        <v>1223</v>
      </c>
      <c r="AW1446" t="s">
        <v>848</v>
      </c>
      <c r="AX1446" s="4" t="str">
        <f t="shared" si="60"/>
        <v>11590</v>
      </c>
      <c r="AY1446" t="s">
        <v>120</v>
      </c>
      <c r="BA1446" s="5">
        <v>15163307168</v>
      </c>
      <c r="BC1446" t="s">
        <v>1224</v>
      </c>
      <c r="BD1446" t="s">
        <v>1225</v>
      </c>
      <c r="BG1446" t="s">
        <v>848</v>
      </c>
      <c r="BH1446" s="1">
        <v>44893.791666666664</v>
      </c>
      <c r="BI1446">
        <v>40</v>
      </c>
      <c r="BJ1446">
        <v>0</v>
      </c>
      <c r="BK1446">
        <v>8</v>
      </c>
      <c r="BL1446">
        <v>8</v>
      </c>
      <c r="BM1446">
        <v>8</v>
      </c>
      <c r="BN1446">
        <v>8</v>
      </c>
      <c r="BO1446">
        <v>8</v>
      </c>
      <c r="BP1446">
        <v>0</v>
      </c>
      <c r="BQ1446" t="str">
        <f t="shared" si="61"/>
        <v>8:00 AM</v>
      </c>
      <c r="BR1446" t="str">
        <f t="shared" si="62"/>
        <v>4:00 PM</v>
      </c>
      <c r="BS1446" t="s">
        <v>133</v>
      </c>
      <c r="BT1446">
        <v>0</v>
      </c>
      <c r="BU1446">
        <v>0</v>
      </c>
      <c r="BV1446" t="s">
        <v>134</v>
      </c>
      <c r="BX1446" t="s">
        <v>138</v>
      </c>
      <c r="BY1446" t="s">
        <v>12805</v>
      </c>
      <c r="CA1446" t="s">
        <v>2742</v>
      </c>
      <c r="CB1446" t="s">
        <v>848</v>
      </c>
      <c r="CC1446" s="4" t="str">
        <f>"11801"</f>
        <v>11801</v>
      </c>
      <c r="CD1446" t="s">
        <v>2194</v>
      </c>
      <c r="CE1446" t="s">
        <v>1009</v>
      </c>
      <c r="CF1446" s="6">
        <v>19.940000000000001</v>
      </c>
      <c r="CG1446" s="6">
        <v>19.940000000000001</v>
      </c>
      <c r="CH1446" s="6">
        <v>29.91</v>
      </c>
      <c r="CI1446" s="6">
        <v>29.91</v>
      </c>
      <c r="CJ1446" t="s">
        <v>137</v>
      </c>
      <c r="CK1446" t="s">
        <v>138</v>
      </c>
      <c r="CL1446" t="s">
        <v>12809</v>
      </c>
      <c r="CO1446" t="s">
        <v>138</v>
      </c>
      <c r="CP1446" t="s">
        <v>114</v>
      </c>
      <c r="CQ1446" t="s">
        <v>114</v>
      </c>
      <c r="CR1446" t="s">
        <v>114</v>
      </c>
      <c r="CS1446" t="s">
        <v>134</v>
      </c>
      <c r="CT1446" t="s">
        <v>114</v>
      </c>
      <c r="CU1446" t="s">
        <v>134</v>
      </c>
      <c r="CV1446" t="s">
        <v>219</v>
      </c>
      <c r="CW1446" s="5" t="str">
        <f>"+15165236124"</f>
        <v>+15165236124</v>
      </c>
      <c r="CX1446" t="s">
        <v>12810</v>
      </c>
      <c r="CY1446" t="s">
        <v>138</v>
      </c>
      <c r="CZ1446" t="s">
        <v>139</v>
      </c>
      <c r="DA1446" t="s">
        <v>134</v>
      </c>
      <c r="DB1446" t="s">
        <v>134</v>
      </c>
      <c r="DC1446" t="s">
        <v>114</v>
      </c>
      <c r="DD1446" t="s">
        <v>134</v>
      </c>
    </row>
    <row r="1447" spans="1:108" ht="15" customHeight="1" x14ac:dyDescent="0.25">
      <c r="A1447" t="s">
        <v>10196</v>
      </c>
      <c r="B1447" t="s">
        <v>141</v>
      </c>
      <c r="C1447" s="1">
        <v>44896.010927083335</v>
      </c>
      <c r="D1447" s="1">
        <v>44904</v>
      </c>
      <c r="E1447" t="s">
        <v>134</v>
      </c>
      <c r="F1447" t="s">
        <v>2739</v>
      </c>
      <c r="G1447" t="str">
        <f>"37-2011.00"</f>
        <v>37-2011.00</v>
      </c>
      <c r="H1447" t="s">
        <v>672</v>
      </c>
      <c r="I1447">
        <v>6</v>
      </c>
      <c r="K1447" s="1">
        <v>44986</v>
      </c>
      <c r="L1447" s="1">
        <v>45260</v>
      </c>
      <c r="O1447" t="s">
        <v>199</v>
      </c>
      <c r="P1447" t="s">
        <v>10197</v>
      </c>
      <c r="R1447" t="s">
        <v>10198</v>
      </c>
      <c r="T1447" t="s">
        <v>1392</v>
      </c>
      <c r="U1447" t="s">
        <v>848</v>
      </c>
      <c r="V1447" s="4" t="str">
        <f>"11954"</f>
        <v>11954</v>
      </c>
      <c r="W1447" t="s">
        <v>120</v>
      </c>
      <c r="Y1447" s="5">
        <v>16316681083</v>
      </c>
      <c r="AA1447">
        <v>561790</v>
      </c>
      <c r="AB1447" t="s">
        <v>10199</v>
      </c>
      <c r="AC1447" t="s">
        <v>1841</v>
      </c>
      <c r="AE1447" t="s">
        <v>700</v>
      </c>
      <c r="AF1447" t="s">
        <v>10200</v>
      </c>
      <c r="AH1447" t="s">
        <v>1392</v>
      </c>
      <c r="AI1447" t="s">
        <v>848</v>
      </c>
      <c r="AJ1447" s="4" t="str">
        <f>"11954"</f>
        <v>11954</v>
      </c>
      <c r="AK1447" t="s">
        <v>120</v>
      </c>
      <c r="AM1447" s="5">
        <v>16316681083</v>
      </c>
      <c r="AO1447" t="s">
        <v>138</v>
      </c>
      <c r="AP1447" t="s">
        <v>256</v>
      </c>
      <c r="AQ1447" t="s">
        <v>1220</v>
      </c>
      <c r="AR1447" t="s">
        <v>1221</v>
      </c>
      <c r="AT1447" t="s">
        <v>1222</v>
      </c>
      <c r="AV1447" t="s">
        <v>1223</v>
      </c>
      <c r="AW1447" t="s">
        <v>848</v>
      </c>
      <c r="AX1447" s="4" t="str">
        <f t="shared" si="60"/>
        <v>11590</v>
      </c>
      <c r="AY1447" t="s">
        <v>120</v>
      </c>
      <c r="BA1447" s="5">
        <v>15163307168</v>
      </c>
      <c r="BC1447" t="s">
        <v>1224</v>
      </c>
      <c r="BD1447" t="s">
        <v>1225</v>
      </c>
      <c r="BG1447" t="s">
        <v>848</v>
      </c>
      <c r="BH1447" s="1">
        <v>44893.791666666664</v>
      </c>
      <c r="BI1447">
        <v>40</v>
      </c>
      <c r="BJ1447">
        <v>0</v>
      </c>
      <c r="BK1447">
        <v>8</v>
      </c>
      <c r="BL1447">
        <v>8</v>
      </c>
      <c r="BM1447">
        <v>8</v>
      </c>
      <c r="BN1447">
        <v>8</v>
      </c>
      <c r="BO1447">
        <v>8</v>
      </c>
      <c r="BP1447">
        <v>0</v>
      </c>
      <c r="BQ1447" t="str">
        <f t="shared" si="61"/>
        <v>8:00 AM</v>
      </c>
      <c r="BR1447" t="str">
        <f t="shared" si="62"/>
        <v>4:00 PM</v>
      </c>
      <c r="BS1447" t="s">
        <v>133</v>
      </c>
      <c r="BT1447">
        <v>0</v>
      </c>
      <c r="BU1447">
        <v>0</v>
      </c>
      <c r="BV1447" t="s">
        <v>134</v>
      </c>
      <c r="BX1447" t="s">
        <v>138</v>
      </c>
      <c r="BY1447" t="s">
        <v>10201</v>
      </c>
      <c r="CA1447" t="s">
        <v>6134</v>
      </c>
      <c r="CB1447" t="s">
        <v>848</v>
      </c>
      <c r="CC1447" s="4" t="str">
        <f>"11954"</f>
        <v>11954</v>
      </c>
      <c r="CD1447" t="s">
        <v>1227</v>
      </c>
      <c r="CE1447" t="s">
        <v>1009</v>
      </c>
      <c r="CF1447" s="6">
        <v>19.22</v>
      </c>
      <c r="CG1447" s="6">
        <v>19.22</v>
      </c>
      <c r="CH1447" s="6">
        <v>28.83</v>
      </c>
      <c r="CI1447" s="6">
        <v>28.83</v>
      </c>
      <c r="CJ1447" t="s">
        <v>137</v>
      </c>
      <c r="CK1447" t="s">
        <v>138</v>
      </c>
      <c r="CL1447" t="s">
        <v>10202</v>
      </c>
      <c r="CO1447" t="s">
        <v>138</v>
      </c>
      <c r="CP1447" t="s">
        <v>114</v>
      </c>
      <c r="CQ1447" t="s">
        <v>114</v>
      </c>
      <c r="CR1447" t="s">
        <v>114</v>
      </c>
      <c r="CS1447" t="s">
        <v>134</v>
      </c>
      <c r="CT1447" t="s">
        <v>114</v>
      </c>
      <c r="CU1447" t="s">
        <v>134</v>
      </c>
      <c r="CV1447" t="s">
        <v>219</v>
      </c>
      <c r="CW1447" s="5" t="str">
        <f>"+16316681083"</f>
        <v>+16316681083</v>
      </c>
      <c r="CX1447" t="s">
        <v>10203</v>
      </c>
      <c r="CY1447" t="s">
        <v>138</v>
      </c>
      <c r="CZ1447" t="s">
        <v>139</v>
      </c>
      <c r="DA1447" t="s">
        <v>134</v>
      </c>
      <c r="DB1447" t="s">
        <v>134</v>
      </c>
      <c r="DC1447" t="s">
        <v>114</v>
      </c>
      <c r="DD1447" t="s">
        <v>134</v>
      </c>
    </row>
    <row r="1448" spans="1:108" ht="15" customHeight="1" x14ac:dyDescent="0.25">
      <c r="A1448" t="s">
        <v>11108</v>
      </c>
      <c r="B1448" t="s">
        <v>141</v>
      </c>
      <c r="C1448" s="1">
        <v>44896.007749652781</v>
      </c>
      <c r="D1448" s="1">
        <v>44904</v>
      </c>
      <c r="E1448" t="s">
        <v>134</v>
      </c>
      <c r="F1448" t="s">
        <v>8267</v>
      </c>
      <c r="G1448" t="str">
        <f>"47-3014.00"</f>
        <v>47-3014.00</v>
      </c>
      <c r="H1448" t="s">
        <v>1988</v>
      </c>
      <c r="I1448">
        <v>2</v>
      </c>
      <c r="K1448" s="1">
        <v>44986</v>
      </c>
      <c r="L1448" s="1">
        <v>45280</v>
      </c>
      <c r="O1448" t="s">
        <v>199</v>
      </c>
      <c r="P1448" t="s">
        <v>11109</v>
      </c>
      <c r="R1448" t="s">
        <v>11110</v>
      </c>
      <c r="T1448" t="s">
        <v>11111</v>
      </c>
      <c r="U1448" t="s">
        <v>848</v>
      </c>
      <c r="V1448" s="4" t="str">
        <f>"11791"</f>
        <v>11791</v>
      </c>
      <c r="W1448" t="s">
        <v>120</v>
      </c>
      <c r="Y1448" s="5">
        <v>15163648377</v>
      </c>
      <c r="AA1448">
        <v>23832</v>
      </c>
      <c r="AB1448" t="s">
        <v>11112</v>
      </c>
      <c r="AC1448" t="s">
        <v>11113</v>
      </c>
      <c r="AE1448" t="s">
        <v>700</v>
      </c>
      <c r="AF1448" t="s">
        <v>11110</v>
      </c>
      <c r="AH1448" t="s">
        <v>11111</v>
      </c>
      <c r="AI1448" t="s">
        <v>848</v>
      </c>
      <c r="AJ1448" s="4" t="str">
        <f>"11791"</f>
        <v>11791</v>
      </c>
      <c r="AK1448" t="s">
        <v>120</v>
      </c>
      <c r="AM1448" s="5">
        <v>15163648377</v>
      </c>
      <c r="AO1448" t="s">
        <v>138</v>
      </c>
      <c r="AP1448" t="s">
        <v>256</v>
      </c>
      <c r="AQ1448" t="s">
        <v>1220</v>
      </c>
      <c r="AR1448" t="s">
        <v>1221</v>
      </c>
      <c r="AT1448" t="s">
        <v>1222</v>
      </c>
      <c r="AV1448" t="s">
        <v>1223</v>
      </c>
      <c r="AW1448" t="s">
        <v>848</v>
      </c>
      <c r="AX1448" s="4" t="str">
        <f t="shared" si="60"/>
        <v>11590</v>
      </c>
      <c r="AY1448" t="s">
        <v>120</v>
      </c>
      <c r="BA1448" s="5">
        <v>15163307168</v>
      </c>
      <c r="BC1448" t="s">
        <v>1224</v>
      </c>
      <c r="BD1448" t="s">
        <v>1225</v>
      </c>
      <c r="BG1448" t="s">
        <v>848</v>
      </c>
      <c r="BH1448" s="1">
        <v>44894.791666666664</v>
      </c>
      <c r="BI1448">
        <v>40</v>
      </c>
      <c r="BJ1448">
        <v>0</v>
      </c>
      <c r="BK1448">
        <v>8</v>
      </c>
      <c r="BL1448">
        <v>8</v>
      </c>
      <c r="BM1448">
        <v>8</v>
      </c>
      <c r="BN1448">
        <v>8</v>
      </c>
      <c r="BO1448">
        <v>8</v>
      </c>
      <c r="BP1448">
        <v>0</v>
      </c>
      <c r="BQ1448" t="str">
        <f t="shared" si="61"/>
        <v>8:00 AM</v>
      </c>
      <c r="BR1448" t="str">
        <f t="shared" si="62"/>
        <v>4:00 PM</v>
      </c>
      <c r="BS1448" t="s">
        <v>133</v>
      </c>
      <c r="BT1448">
        <v>0</v>
      </c>
      <c r="BU1448">
        <v>1</v>
      </c>
      <c r="BV1448" t="s">
        <v>134</v>
      </c>
      <c r="BX1448" t="s">
        <v>11114</v>
      </c>
      <c r="BY1448" t="s">
        <v>11110</v>
      </c>
      <c r="CA1448" t="s">
        <v>11111</v>
      </c>
      <c r="CB1448" t="s">
        <v>848</v>
      </c>
      <c r="CC1448" s="4" t="str">
        <f>"11791"</f>
        <v>11791</v>
      </c>
      <c r="CD1448" t="s">
        <v>2194</v>
      </c>
      <c r="CE1448" t="s">
        <v>1009</v>
      </c>
      <c r="CF1448" s="6">
        <v>20.350000000000001</v>
      </c>
      <c r="CG1448" s="6">
        <v>20.350000000000001</v>
      </c>
      <c r="CH1448" s="6">
        <v>30.53</v>
      </c>
      <c r="CI1448" s="6">
        <v>30.53</v>
      </c>
      <c r="CJ1448" t="s">
        <v>137</v>
      </c>
      <c r="CK1448" t="s">
        <v>138</v>
      </c>
      <c r="CL1448" t="s">
        <v>11115</v>
      </c>
      <c r="CO1448" t="s">
        <v>138</v>
      </c>
      <c r="CP1448" t="s">
        <v>114</v>
      </c>
      <c r="CQ1448" t="s">
        <v>114</v>
      </c>
      <c r="CR1448" t="s">
        <v>114</v>
      </c>
      <c r="CS1448" t="s">
        <v>134</v>
      </c>
      <c r="CT1448" t="s">
        <v>114</v>
      </c>
      <c r="CU1448" t="s">
        <v>134</v>
      </c>
      <c r="CV1448" t="s">
        <v>219</v>
      </c>
      <c r="CW1448" s="5" t="str">
        <f>"+15163648377"</f>
        <v>+15163648377</v>
      </c>
      <c r="CX1448" t="s">
        <v>11116</v>
      </c>
      <c r="CY1448" t="s">
        <v>138</v>
      </c>
      <c r="CZ1448" t="s">
        <v>139</v>
      </c>
      <c r="DA1448" t="s">
        <v>134</v>
      </c>
      <c r="DB1448" t="s">
        <v>134</v>
      </c>
      <c r="DC1448" t="s">
        <v>114</v>
      </c>
      <c r="DD1448" t="s">
        <v>134</v>
      </c>
    </row>
    <row r="1449" spans="1:108" ht="15" customHeight="1" x14ac:dyDescent="0.25">
      <c r="A1449" t="s">
        <v>11066</v>
      </c>
      <c r="B1449" t="s">
        <v>141</v>
      </c>
      <c r="C1449" s="1">
        <v>44896.007014120369</v>
      </c>
      <c r="D1449" s="1">
        <v>44904</v>
      </c>
      <c r="E1449" t="s">
        <v>134</v>
      </c>
      <c r="F1449" t="s">
        <v>1219</v>
      </c>
      <c r="G1449" t="str">
        <f>"37-3011.00"</f>
        <v>37-3011.00</v>
      </c>
      <c r="H1449" t="s">
        <v>335</v>
      </c>
      <c r="I1449">
        <v>8</v>
      </c>
      <c r="K1449" s="1">
        <v>44986</v>
      </c>
      <c r="L1449" s="1">
        <v>45260</v>
      </c>
      <c r="O1449" t="s">
        <v>199</v>
      </c>
      <c r="P1449" t="s">
        <v>2692</v>
      </c>
      <c r="R1449" t="s">
        <v>2693</v>
      </c>
      <c r="T1449" t="s">
        <v>2694</v>
      </c>
      <c r="U1449" t="s">
        <v>848</v>
      </c>
      <c r="V1449" s="4" t="str">
        <f>"11965"</f>
        <v>11965</v>
      </c>
      <c r="W1449" t="s">
        <v>120</v>
      </c>
      <c r="Y1449" s="5">
        <v>16317490625</v>
      </c>
      <c r="AA1449">
        <v>71391</v>
      </c>
      <c r="AB1449" t="s">
        <v>2270</v>
      </c>
      <c r="AC1449" t="s">
        <v>920</v>
      </c>
      <c r="AE1449" t="s">
        <v>1212</v>
      </c>
      <c r="AF1449" t="s">
        <v>2695</v>
      </c>
      <c r="AH1449" t="s">
        <v>2694</v>
      </c>
      <c r="AI1449" t="s">
        <v>848</v>
      </c>
      <c r="AJ1449" s="4" t="str">
        <f>"11965"</f>
        <v>11965</v>
      </c>
      <c r="AK1449" t="s">
        <v>120</v>
      </c>
      <c r="AM1449" s="5">
        <v>16317490625</v>
      </c>
      <c r="AO1449" t="s">
        <v>138</v>
      </c>
      <c r="AP1449" t="s">
        <v>256</v>
      </c>
      <c r="AQ1449" t="s">
        <v>1220</v>
      </c>
      <c r="AR1449" t="s">
        <v>1221</v>
      </c>
      <c r="AT1449" t="s">
        <v>1222</v>
      </c>
      <c r="AV1449" t="s">
        <v>1223</v>
      </c>
      <c r="AW1449" t="s">
        <v>848</v>
      </c>
      <c r="AX1449" s="4" t="str">
        <f t="shared" si="60"/>
        <v>11590</v>
      </c>
      <c r="AY1449" t="s">
        <v>120</v>
      </c>
      <c r="BA1449" s="5">
        <v>15163307168</v>
      </c>
      <c r="BC1449" t="s">
        <v>1224</v>
      </c>
      <c r="BD1449" t="s">
        <v>1225</v>
      </c>
      <c r="BG1449" t="s">
        <v>848</v>
      </c>
      <c r="BH1449" s="1">
        <v>44893.791666666664</v>
      </c>
      <c r="BI1449">
        <v>40</v>
      </c>
      <c r="BJ1449">
        <v>0</v>
      </c>
      <c r="BK1449">
        <v>8</v>
      </c>
      <c r="BL1449">
        <v>8</v>
      </c>
      <c r="BM1449">
        <v>8</v>
      </c>
      <c r="BN1449">
        <v>8</v>
      </c>
      <c r="BO1449">
        <v>8</v>
      </c>
      <c r="BP1449">
        <v>0</v>
      </c>
      <c r="BQ1449" t="str">
        <f>"6:00 AM"</f>
        <v>6:00 AM</v>
      </c>
      <c r="BR1449" t="str">
        <f>"2:00 PM"</f>
        <v>2:00 PM</v>
      </c>
      <c r="BS1449" t="s">
        <v>133</v>
      </c>
      <c r="BT1449">
        <v>0</v>
      </c>
      <c r="BU1449">
        <v>0</v>
      </c>
      <c r="BV1449" t="s">
        <v>134</v>
      </c>
      <c r="BX1449" t="s">
        <v>138</v>
      </c>
      <c r="BY1449" t="s">
        <v>2693</v>
      </c>
      <c r="CA1449" t="s">
        <v>2694</v>
      </c>
      <c r="CB1449" t="s">
        <v>848</v>
      </c>
      <c r="CC1449" s="4" t="str">
        <f>"11965"</f>
        <v>11965</v>
      </c>
      <c r="CD1449" t="s">
        <v>1227</v>
      </c>
      <c r="CE1449" t="s">
        <v>1009</v>
      </c>
      <c r="CF1449" s="6">
        <v>19.940000000000001</v>
      </c>
      <c r="CG1449" s="6">
        <v>19.940000000000001</v>
      </c>
      <c r="CH1449" s="6">
        <v>29.91</v>
      </c>
      <c r="CI1449" s="6">
        <v>29.91</v>
      </c>
      <c r="CJ1449" t="s">
        <v>137</v>
      </c>
      <c r="CK1449" t="s">
        <v>11067</v>
      </c>
      <c r="CL1449" t="s">
        <v>4520</v>
      </c>
      <c r="CO1449" t="s">
        <v>138</v>
      </c>
      <c r="CP1449" t="s">
        <v>134</v>
      </c>
      <c r="CQ1449" t="s">
        <v>134</v>
      </c>
      <c r="CR1449" t="s">
        <v>114</v>
      </c>
      <c r="CS1449" t="s">
        <v>134</v>
      </c>
      <c r="CT1449" t="s">
        <v>114</v>
      </c>
      <c r="CU1449" t="s">
        <v>114</v>
      </c>
      <c r="CV1449" t="s">
        <v>11068</v>
      </c>
      <c r="CW1449" s="5" t="str">
        <f>"+16317490625"</f>
        <v>+16317490625</v>
      </c>
      <c r="CX1449" t="s">
        <v>2696</v>
      </c>
      <c r="CY1449" t="s">
        <v>138</v>
      </c>
      <c r="CZ1449" t="s">
        <v>139</v>
      </c>
      <c r="DA1449" t="s">
        <v>134</v>
      </c>
      <c r="DB1449" t="s">
        <v>134</v>
      </c>
      <c r="DC1449" t="s">
        <v>114</v>
      </c>
      <c r="DD1449" t="s">
        <v>134</v>
      </c>
    </row>
    <row r="1450" spans="1:108" ht="15" customHeight="1" x14ac:dyDescent="0.25">
      <c r="A1450" t="s">
        <v>6250</v>
      </c>
      <c r="B1450" t="s">
        <v>141</v>
      </c>
      <c r="C1450" s="1">
        <v>44896.005546180553</v>
      </c>
      <c r="D1450" s="1">
        <v>44904</v>
      </c>
      <c r="E1450" t="s">
        <v>134</v>
      </c>
      <c r="F1450" t="s">
        <v>1219</v>
      </c>
      <c r="G1450" t="str">
        <f>"37-3011.00"</f>
        <v>37-3011.00</v>
      </c>
      <c r="H1450" t="s">
        <v>335</v>
      </c>
      <c r="I1450">
        <v>7</v>
      </c>
      <c r="K1450" s="1">
        <v>44986</v>
      </c>
      <c r="L1450" s="1">
        <v>45280</v>
      </c>
      <c r="O1450" t="s">
        <v>199</v>
      </c>
      <c r="P1450" t="s">
        <v>6251</v>
      </c>
      <c r="R1450" t="s">
        <v>6252</v>
      </c>
      <c r="T1450" t="s">
        <v>1368</v>
      </c>
      <c r="U1450" t="s">
        <v>848</v>
      </c>
      <c r="V1450" s="4" t="str">
        <f>"11968"</f>
        <v>11968</v>
      </c>
      <c r="W1450" t="s">
        <v>120</v>
      </c>
      <c r="Y1450" s="5">
        <v>16312832282</v>
      </c>
      <c r="AA1450">
        <v>56173</v>
      </c>
      <c r="AB1450" t="s">
        <v>6253</v>
      </c>
      <c r="AC1450" t="s">
        <v>6254</v>
      </c>
      <c r="AE1450" t="s">
        <v>700</v>
      </c>
      <c r="AF1450" t="s">
        <v>6255</v>
      </c>
      <c r="AH1450" t="s">
        <v>1368</v>
      </c>
      <c r="AI1450" t="s">
        <v>848</v>
      </c>
      <c r="AJ1450" s="4" t="str">
        <f>"11968"</f>
        <v>11968</v>
      </c>
      <c r="AK1450" t="s">
        <v>120</v>
      </c>
      <c r="AM1450" s="5">
        <v>16312832282</v>
      </c>
      <c r="AO1450" t="s">
        <v>138</v>
      </c>
      <c r="AP1450" t="s">
        <v>256</v>
      </c>
      <c r="AQ1450" t="s">
        <v>1220</v>
      </c>
      <c r="AR1450" t="s">
        <v>1221</v>
      </c>
      <c r="AT1450" t="s">
        <v>1222</v>
      </c>
      <c r="AV1450" t="s">
        <v>1223</v>
      </c>
      <c r="AW1450" t="s">
        <v>848</v>
      </c>
      <c r="AX1450" s="4" t="str">
        <f t="shared" si="60"/>
        <v>11590</v>
      </c>
      <c r="AY1450" t="s">
        <v>120</v>
      </c>
      <c r="BA1450" s="5">
        <v>15163307168</v>
      </c>
      <c r="BC1450" t="s">
        <v>1224</v>
      </c>
      <c r="BD1450" t="s">
        <v>1225</v>
      </c>
      <c r="BG1450" t="s">
        <v>848</v>
      </c>
      <c r="BH1450" s="1">
        <v>44893.791666666664</v>
      </c>
      <c r="BI1450">
        <v>40</v>
      </c>
      <c r="BJ1450">
        <v>0</v>
      </c>
      <c r="BK1450">
        <v>8</v>
      </c>
      <c r="BL1450">
        <v>8</v>
      </c>
      <c r="BM1450">
        <v>8</v>
      </c>
      <c r="BN1450">
        <v>8</v>
      </c>
      <c r="BO1450">
        <v>8</v>
      </c>
      <c r="BP1450">
        <v>0</v>
      </c>
      <c r="BQ1450" t="str">
        <f>"8:00 AM"</f>
        <v>8:00 AM</v>
      </c>
      <c r="BR1450" t="str">
        <f>"4:00 PM"</f>
        <v>4:00 PM</v>
      </c>
      <c r="BS1450" t="s">
        <v>133</v>
      </c>
      <c r="BT1450">
        <v>0</v>
      </c>
      <c r="BU1450">
        <v>0</v>
      </c>
      <c r="BV1450" t="s">
        <v>134</v>
      </c>
      <c r="BX1450" t="s">
        <v>138</v>
      </c>
      <c r="BY1450" t="s">
        <v>6252</v>
      </c>
      <c r="CA1450" t="s">
        <v>1368</v>
      </c>
      <c r="CB1450" t="s">
        <v>848</v>
      </c>
      <c r="CC1450" s="4" t="str">
        <f>"11968"</f>
        <v>11968</v>
      </c>
      <c r="CD1450" t="s">
        <v>1227</v>
      </c>
      <c r="CE1450" t="s">
        <v>1009</v>
      </c>
      <c r="CF1450" s="6">
        <v>19.940000000000001</v>
      </c>
      <c r="CG1450" s="6">
        <v>19.940000000000001</v>
      </c>
      <c r="CH1450" s="6">
        <v>29.91</v>
      </c>
      <c r="CI1450" s="6">
        <v>29.91</v>
      </c>
      <c r="CJ1450" t="s">
        <v>137</v>
      </c>
      <c r="CK1450" t="s">
        <v>138</v>
      </c>
      <c r="CL1450" t="s">
        <v>6256</v>
      </c>
      <c r="CO1450" t="s">
        <v>138</v>
      </c>
      <c r="CP1450" t="s">
        <v>114</v>
      </c>
      <c r="CQ1450" t="s">
        <v>114</v>
      </c>
      <c r="CR1450" t="s">
        <v>114</v>
      </c>
      <c r="CS1450" t="s">
        <v>134</v>
      </c>
      <c r="CT1450" t="s">
        <v>114</v>
      </c>
      <c r="CU1450" t="s">
        <v>134</v>
      </c>
      <c r="CV1450" t="s">
        <v>219</v>
      </c>
      <c r="CW1450" s="5" t="str">
        <f>"+16312832282"</f>
        <v>+16312832282</v>
      </c>
      <c r="CX1450" t="s">
        <v>6257</v>
      </c>
      <c r="CY1450" t="s">
        <v>138</v>
      </c>
      <c r="CZ1450" t="s">
        <v>139</v>
      </c>
      <c r="DA1450" t="s">
        <v>134</v>
      </c>
      <c r="DB1450" t="s">
        <v>134</v>
      </c>
      <c r="DC1450" t="s">
        <v>114</v>
      </c>
      <c r="DD1450" t="s">
        <v>134</v>
      </c>
    </row>
    <row r="1451" spans="1:108" ht="15" customHeight="1" x14ac:dyDescent="0.25">
      <c r="A1451" t="s">
        <v>14219</v>
      </c>
      <c r="B1451" t="s">
        <v>141</v>
      </c>
      <c r="C1451" s="1">
        <v>44896.004251851853</v>
      </c>
      <c r="D1451" s="1">
        <v>44904</v>
      </c>
      <c r="E1451" t="s">
        <v>134</v>
      </c>
      <c r="F1451" t="s">
        <v>8072</v>
      </c>
      <c r="G1451" t="str">
        <f>"37-2011.00"</f>
        <v>37-2011.00</v>
      </c>
      <c r="H1451" t="s">
        <v>672</v>
      </c>
      <c r="I1451">
        <v>4</v>
      </c>
      <c r="K1451" s="1">
        <v>44986</v>
      </c>
      <c r="L1451" s="1">
        <v>45261</v>
      </c>
      <c r="O1451" t="s">
        <v>117</v>
      </c>
      <c r="P1451" t="s">
        <v>7160</v>
      </c>
      <c r="Q1451" t="s">
        <v>7161</v>
      </c>
      <c r="R1451" t="s">
        <v>7162</v>
      </c>
      <c r="T1451" t="s">
        <v>6134</v>
      </c>
      <c r="U1451" t="s">
        <v>848</v>
      </c>
      <c r="V1451" s="4" t="str">
        <f>"11954"</f>
        <v>11954</v>
      </c>
      <c r="W1451" t="s">
        <v>120</v>
      </c>
      <c r="Y1451" s="5">
        <v>16316681710</v>
      </c>
      <c r="AA1451">
        <v>72111</v>
      </c>
      <c r="AB1451" t="s">
        <v>7163</v>
      </c>
      <c r="AC1451" t="s">
        <v>4518</v>
      </c>
      <c r="AE1451" t="s">
        <v>1212</v>
      </c>
      <c r="AF1451" t="s">
        <v>7162</v>
      </c>
      <c r="AH1451" t="s">
        <v>6134</v>
      </c>
      <c r="AI1451" t="s">
        <v>848</v>
      </c>
      <c r="AJ1451" s="4" t="str">
        <f>"11954"</f>
        <v>11954</v>
      </c>
      <c r="AK1451" t="s">
        <v>120</v>
      </c>
      <c r="AM1451" s="5">
        <v>16316681710</v>
      </c>
      <c r="AO1451" t="s">
        <v>138</v>
      </c>
      <c r="AP1451" t="s">
        <v>256</v>
      </c>
      <c r="AQ1451" t="s">
        <v>1220</v>
      </c>
      <c r="AR1451" t="s">
        <v>1221</v>
      </c>
      <c r="AT1451" t="s">
        <v>1222</v>
      </c>
      <c r="AV1451" t="s">
        <v>1223</v>
      </c>
      <c r="AW1451" t="s">
        <v>848</v>
      </c>
      <c r="AX1451" s="4" t="str">
        <f t="shared" si="60"/>
        <v>11590</v>
      </c>
      <c r="AY1451" t="s">
        <v>120</v>
      </c>
      <c r="BA1451" s="5">
        <v>15163307168</v>
      </c>
      <c r="BC1451" t="s">
        <v>1224</v>
      </c>
      <c r="BD1451" t="s">
        <v>1225</v>
      </c>
      <c r="BG1451" t="s">
        <v>848</v>
      </c>
      <c r="BH1451" s="1">
        <v>44885.791666666664</v>
      </c>
      <c r="BI1451">
        <v>40</v>
      </c>
      <c r="BJ1451">
        <v>0</v>
      </c>
      <c r="BK1451">
        <v>8</v>
      </c>
      <c r="BL1451">
        <v>8</v>
      </c>
      <c r="BM1451">
        <v>8</v>
      </c>
      <c r="BN1451">
        <v>0</v>
      </c>
      <c r="BO1451">
        <v>8</v>
      </c>
      <c r="BP1451">
        <v>8</v>
      </c>
      <c r="BQ1451" t="str">
        <f>"7:00 AM"</f>
        <v>7:00 AM</v>
      </c>
      <c r="BR1451" t="str">
        <f>"10:00 PM"</f>
        <v>10:00 PM</v>
      </c>
      <c r="BS1451" t="s">
        <v>133</v>
      </c>
      <c r="BT1451">
        <v>0</v>
      </c>
      <c r="BU1451">
        <v>6</v>
      </c>
      <c r="BV1451" t="s">
        <v>134</v>
      </c>
      <c r="BX1451" s="2" t="s">
        <v>14220</v>
      </c>
      <c r="BY1451" t="s">
        <v>7282</v>
      </c>
      <c r="CA1451" t="s">
        <v>6134</v>
      </c>
      <c r="CB1451" t="s">
        <v>848</v>
      </c>
      <c r="CC1451" s="4" t="str">
        <f>"11954"</f>
        <v>11954</v>
      </c>
      <c r="CD1451" t="s">
        <v>1227</v>
      </c>
      <c r="CE1451" t="s">
        <v>1009</v>
      </c>
      <c r="CF1451" s="6">
        <v>19.22</v>
      </c>
      <c r="CG1451" s="6">
        <v>19.940000000000001</v>
      </c>
      <c r="CH1451" s="6">
        <v>28.83</v>
      </c>
      <c r="CI1451" s="6">
        <v>29.91</v>
      </c>
      <c r="CJ1451" t="s">
        <v>137</v>
      </c>
      <c r="CK1451" t="s">
        <v>14221</v>
      </c>
      <c r="CL1451" t="s">
        <v>8155</v>
      </c>
      <c r="CO1451" t="s">
        <v>138</v>
      </c>
      <c r="CP1451" t="s">
        <v>114</v>
      </c>
      <c r="CQ1451" t="s">
        <v>134</v>
      </c>
      <c r="CR1451" t="s">
        <v>114</v>
      </c>
      <c r="CS1451" t="s">
        <v>134</v>
      </c>
      <c r="CT1451" t="s">
        <v>114</v>
      </c>
      <c r="CU1451" t="s">
        <v>114</v>
      </c>
      <c r="CV1451" t="s">
        <v>14222</v>
      </c>
      <c r="CW1451" s="5" t="str">
        <f>"+16316681710"</f>
        <v>+16316681710</v>
      </c>
      <c r="CX1451" t="s">
        <v>7167</v>
      </c>
      <c r="CY1451" t="s">
        <v>138</v>
      </c>
      <c r="CZ1451" t="s">
        <v>139</v>
      </c>
      <c r="DA1451" t="s">
        <v>134</v>
      </c>
      <c r="DB1451" t="s">
        <v>134</v>
      </c>
      <c r="DC1451" t="s">
        <v>114</v>
      </c>
      <c r="DD1451" t="s">
        <v>134</v>
      </c>
    </row>
    <row r="1452" spans="1:108" ht="15" customHeight="1" x14ac:dyDescent="0.25">
      <c r="A1452" t="s">
        <v>16250</v>
      </c>
      <c r="B1452" t="s">
        <v>141</v>
      </c>
      <c r="C1452" s="1">
        <v>44896.004030439814</v>
      </c>
      <c r="D1452" s="1">
        <v>44904</v>
      </c>
      <c r="E1452" t="s">
        <v>134</v>
      </c>
      <c r="F1452" t="s">
        <v>4603</v>
      </c>
      <c r="G1452" t="str">
        <f>"37-3011.00"</f>
        <v>37-3011.00</v>
      </c>
      <c r="H1452" t="s">
        <v>335</v>
      </c>
      <c r="I1452">
        <v>4</v>
      </c>
      <c r="K1452" s="1">
        <v>44986</v>
      </c>
      <c r="L1452" s="1">
        <v>45280</v>
      </c>
      <c r="O1452" t="s">
        <v>199</v>
      </c>
      <c r="P1452" t="s">
        <v>7897</v>
      </c>
      <c r="Q1452" t="s">
        <v>7898</v>
      </c>
      <c r="R1452" t="s">
        <v>7899</v>
      </c>
      <c r="T1452" t="s">
        <v>7900</v>
      </c>
      <c r="U1452" t="s">
        <v>848</v>
      </c>
      <c r="V1452" s="4" t="str">
        <f>"11704"</f>
        <v>11704</v>
      </c>
      <c r="W1452" t="s">
        <v>120</v>
      </c>
      <c r="Y1452" s="5">
        <v>15164200240</v>
      </c>
      <c r="AA1452">
        <v>56173</v>
      </c>
      <c r="AB1452" t="s">
        <v>7901</v>
      </c>
      <c r="AC1452" t="s">
        <v>3126</v>
      </c>
      <c r="AE1452" t="s">
        <v>700</v>
      </c>
      <c r="AF1452" t="s">
        <v>7899</v>
      </c>
      <c r="AH1452" t="s">
        <v>7900</v>
      </c>
      <c r="AI1452" t="s">
        <v>848</v>
      </c>
      <c r="AJ1452" s="4" t="str">
        <f>"11704"</f>
        <v>11704</v>
      </c>
      <c r="AK1452" t="s">
        <v>120</v>
      </c>
      <c r="AM1452" s="5">
        <v>15164200240</v>
      </c>
      <c r="AO1452" t="s">
        <v>138</v>
      </c>
      <c r="AP1452" t="s">
        <v>256</v>
      </c>
      <c r="AQ1452" t="s">
        <v>7195</v>
      </c>
      <c r="AR1452" t="s">
        <v>1221</v>
      </c>
      <c r="AT1452" t="s">
        <v>1222</v>
      </c>
      <c r="AV1452" t="s">
        <v>1223</v>
      </c>
      <c r="AW1452" t="s">
        <v>848</v>
      </c>
      <c r="AX1452" s="4" t="str">
        <f t="shared" si="60"/>
        <v>11590</v>
      </c>
      <c r="AY1452" t="s">
        <v>120</v>
      </c>
      <c r="BA1452" s="5">
        <v>15163307168</v>
      </c>
      <c r="BC1452" t="s">
        <v>1224</v>
      </c>
      <c r="BD1452" t="s">
        <v>1225</v>
      </c>
      <c r="BG1452" t="s">
        <v>848</v>
      </c>
      <c r="BH1452" s="1">
        <v>44894.791666666664</v>
      </c>
      <c r="BI1452">
        <v>40</v>
      </c>
      <c r="BJ1452">
        <v>0</v>
      </c>
      <c r="BK1452">
        <v>8</v>
      </c>
      <c r="BL1452">
        <v>8</v>
      </c>
      <c r="BM1452">
        <v>8</v>
      </c>
      <c r="BN1452">
        <v>8</v>
      </c>
      <c r="BO1452">
        <v>8</v>
      </c>
      <c r="BP1452">
        <v>0</v>
      </c>
      <c r="BQ1452" t="str">
        <f>"8:00 AM"</f>
        <v>8:00 AM</v>
      </c>
      <c r="BR1452" t="str">
        <f>"4:00 PM"</f>
        <v>4:00 PM</v>
      </c>
      <c r="BS1452" t="s">
        <v>133</v>
      </c>
      <c r="BT1452">
        <v>0</v>
      </c>
      <c r="BU1452">
        <v>1</v>
      </c>
      <c r="BV1452" t="s">
        <v>134</v>
      </c>
      <c r="BX1452" t="s">
        <v>16251</v>
      </c>
      <c r="BY1452" t="s">
        <v>7899</v>
      </c>
      <c r="CA1452" t="s">
        <v>7900</v>
      </c>
      <c r="CB1452" t="s">
        <v>848</v>
      </c>
      <c r="CC1452" s="4" t="str">
        <f>"11704"</f>
        <v>11704</v>
      </c>
      <c r="CD1452" t="s">
        <v>1227</v>
      </c>
      <c r="CE1452" t="s">
        <v>1009</v>
      </c>
      <c r="CF1452" s="6">
        <v>19.940000000000001</v>
      </c>
      <c r="CG1452" s="6">
        <v>19.940000000000001</v>
      </c>
      <c r="CH1452" s="6">
        <v>29.91</v>
      </c>
      <c r="CI1452" s="6">
        <v>29.91</v>
      </c>
      <c r="CJ1452" t="s">
        <v>137</v>
      </c>
      <c r="CK1452" t="s">
        <v>138</v>
      </c>
      <c r="CL1452" t="s">
        <v>7902</v>
      </c>
      <c r="CO1452" t="s">
        <v>138</v>
      </c>
      <c r="CP1452" t="s">
        <v>114</v>
      </c>
      <c r="CQ1452" t="s">
        <v>114</v>
      </c>
      <c r="CR1452" t="s">
        <v>114</v>
      </c>
      <c r="CS1452" t="s">
        <v>134</v>
      </c>
      <c r="CT1452" t="s">
        <v>114</v>
      </c>
      <c r="CU1452" t="s">
        <v>134</v>
      </c>
      <c r="CV1452" t="s">
        <v>219</v>
      </c>
      <c r="CW1452" s="5" t="str">
        <f>"+15164200240"</f>
        <v>+15164200240</v>
      </c>
      <c r="CX1452" t="s">
        <v>7903</v>
      </c>
      <c r="CY1452" t="s">
        <v>138</v>
      </c>
      <c r="CZ1452" t="s">
        <v>139</v>
      </c>
      <c r="DA1452" t="s">
        <v>134</v>
      </c>
      <c r="DB1452" t="s">
        <v>134</v>
      </c>
      <c r="DC1452" t="s">
        <v>114</v>
      </c>
      <c r="DD1452" t="s">
        <v>134</v>
      </c>
    </row>
    <row r="1453" spans="1:108" ht="15" customHeight="1" x14ac:dyDescent="0.25">
      <c r="A1453" t="s">
        <v>7280</v>
      </c>
      <c r="B1453" t="s">
        <v>141</v>
      </c>
      <c r="C1453" s="1">
        <v>44896.002975694442</v>
      </c>
      <c r="D1453" s="1">
        <v>44904</v>
      </c>
      <c r="E1453" t="s">
        <v>134</v>
      </c>
      <c r="F1453" t="s">
        <v>2159</v>
      </c>
      <c r="G1453" t="str">
        <f>"37-2012.00"</f>
        <v>37-2012.00</v>
      </c>
      <c r="H1453" t="s">
        <v>116</v>
      </c>
      <c r="I1453">
        <v>14</v>
      </c>
      <c r="K1453" s="1">
        <v>44986</v>
      </c>
      <c r="L1453" s="1">
        <v>45261</v>
      </c>
      <c r="O1453" t="s">
        <v>117</v>
      </c>
      <c r="P1453" t="s">
        <v>7160</v>
      </c>
      <c r="Q1453" t="s">
        <v>7161</v>
      </c>
      <c r="R1453" t="s">
        <v>7162</v>
      </c>
      <c r="T1453" t="s">
        <v>6134</v>
      </c>
      <c r="U1453" t="s">
        <v>848</v>
      </c>
      <c r="V1453" s="4" t="str">
        <f>"11954"</f>
        <v>11954</v>
      </c>
      <c r="W1453" t="s">
        <v>120</v>
      </c>
      <c r="Y1453" s="5">
        <v>16316681710</v>
      </c>
      <c r="AA1453">
        <v>72111</v>
      </c>
      <c r="AB1453" t="s">
        <v>7163</v>
      </c>
      <c r="AC1453" t="s">
        <v>4518</v>
      </c>
      <c r="AE1453" t="s">
        <v>1212</v>
      </c>
      <c r="AF1453" t="s">
        <v>7162</v>
      </c>
      <c r="AH1453" t="s">
        <v>6134</v>
      </c>
      <c r="AI1453" t="s">
        <v>848</v>
      </c>
      <c r="AJ1453" s="4" t="str">
        <f>"11954"</f>
        <v>11954</v>
      </c>
      <c r="AK1453" t="s">
        <v>120</v>
      </c>
      <c r="AM1453" s="5">
        <v>16316681710</v>
      </c>
      <c r="AO1453" t="s">
        <v>138</v>
      </c>
      <c r="AP1453" t="s">
        <v>256</v>
      </c>
      <c r="AQ1453" t="s">
        <v>1220</v>
      </c>
      <c r="AR1453" t="s">
        <v>1221</v>
      </c>
      <c r="AT1453" t="s">
        <v>1222</v>
      </c>
      <c r="AV1453" t="s">
        <v>1223</v>
      </c>
      <c r="AW1453" t="s">
        <v>848</v>
      </c>
      <c r="AX1453" s="4" t="str">
        <f t="shared" si="60"/>
        <v>11590</v>
      </c>
      <c r="AY1453" t="s">
        <v>120</v>
      </c>
      <c r="BA1453" s="5">
        <v>15163307168</v>
      </c>
      <c r="BC1453" t="s">
        <v>1224</v>
      </c>
      <c r="BD1453" t="s">
        <v>1225</v>
      </c>
      <c r="BG1453" t="s">
        <v>848</v>
      </c>
      <c r="BH1453" s="1">
        <v>44885.791666666664</v>
      </c>
      <c r="BI1453">
        <v>40</v>
      </c>
      <c r="BJ1453">
        <v>0</v>
      </c>
      <c r="BK1453">
        <v>8</v>
      </c>
      <c r="BL1453">
        <v>8</v>
      </c>
      <c r="BM1453">
        <v>8</v>
      </c>
      <c r="BN1453">
        <v>0</v>
      </c>
      <c r="BO1453">
        <v>8</v>
      </c>
      <c r="BP1453">
        <v>8</v>
      </c>
      <c r="BQ1453" t="str">
        <f>"8:00 AM"</f>
        <v>8:00 AM</v>
      </c>
      <c r="BR1453" t="str">
        <f>"11:00 PM"</f>
        <v>11:00 PM</v>
      </c>
      <c r="BS1453" t="s">
        <v>133</v>
      </c>
      <c r="BT1453">
        <v>0</v>
      </c>
      <c r="BU1453">
        <v>6</v>
      </c>
      <c r="BV1453" t="s">
        <v>134</v>
      </c>
      <c r="BX1453" s="2" t="s">
        <v>7281</v>
      </c>
      <c r="BY1453" t="s">
        <v>7282</v>
      </c>
      <c r="CA1453" t="s">
        <v>6134</v>
      </c>
      <c r="CB1453" t="s">
        <v>848</v>
      </c>
      <c r="CC1453" s="4" t="str">
        <f>"11954"</f>
        <v>11954</v>
      </c>
      <c r="CD1453" t="s">
        <v>1227</v>
      </c>
      <c r="CE1453" t="s">
        <v>1009</v>
      </c>
      <c r="CF1453" s="6">
        <v>19.440000000000001</v>
      </c>
      <c r="CG1453" s="6">
        <v>19.440000000000001</v>
      </c>
      <c r="CH1453" s="6">
        <v>29.16</v>
      </c>
      <c r="CI1453" s="6">
        <v>29.16</v>
      </c>
      <c r="CJ1453" t="s">
        <v>137</v>
      </c>
      <c r="CK1453" t="s">
        <v>7283</v>
      </c>
      <c r="CL1453" t="s">
        <v>7284</v>
      </c>
      <c r="CO1453" t="s">
        <v>138</v>
      </c>
      <c r="CP1453" t="s">
        <v>114</v>
      </c>
      <c r="CQ1453" t="s">
        <v>134</v>
      </c>
      <c r="CR1453" t="s">
        <v>114</v>
      </c>
      <c r="CS1453" t="s">
        <v>134</v>
      </c>
      <c r="CT1453" t="s">
        <v>114</v>
      </c>
      <c r="CU1453" t="s">
        <v>114</v>
      </c>
      <c r="CV1453" t="s">
        <v>7285</v>
      </c>
      <c r="CW1453" s="5" t="str">
        <f>"+16316681710"</f>
        <v>+16316681710</v>
      </c>
      <c r="CX1453" t="s">
        <v>7167</v>
      </c>
      <c r="CY1453" t="s">
        <v>138</v>
      </c>
      <c r="CZ1453" t="s">
        <v>139</v>
      </c>
      <c r="DA1453" t="s">
        <v>134</v>
      </c>
      <c r="DB1453" t="s">
        <v>134</v>
      </c>
      <c r="DC1453" t="s">
        <v>114</v>
      </c>
      <c r="DD1453" t="s">
        <v>134</v>
      </c>
    </row>
    <row r="1454" spans="1:108" ht="15" customHeight="1" x14ac:dyDescent="0.25">
      <c r="A1454" t="s">
        <v>8261</v>
      </c>
      <c r="B1454" t="s">
        <v>141</v>
      </c>
      <c r="C1454" s="1">
        <v>44896.002707870372</v>
      </c>
      <c r="D1454" s="1">
        <v>44904</v>
      </c>
      <c r="E1454" t="s">
        <v>134</v>
      </c>
      <c r="F1454" t="s">
        <v>1837</v>
      </c>
      <c r="G1454" t="str">
        <f>"35-2014.00"</f>
        <v>35-2014.00</v>
      </c>
      <c r="H1454" t="s">
        <v>915</v>
      </c>
      <c r="I1454">
        <v>6</v>
      </c>
      <c r="K1454" s="1">
        <v>44986</v>
      </c>
      <c r="L1454" s="1">
        <v>45270</v>
      </c>
      <c r="O1454" t="s">
        <v>117</v>
      </c>
      <c r="P1454" t="s">
        <v>7160</v>
      </c>
      <c r="Q1454" t="s">
        <v>7161</v>
      </c>
      <c r="R1454" t="s">
        <v>7162</v>
      </c>
      <c r="T1454" t="s">
        <v>6134</v>
      </c>
      <c r="U1454" t="s">
        <v>848</v>
      </c>
      <c r="V1454" s="4" t="str">
        <f>"11954"</f>
        <v>11954</v>
      </c>
      <c r="W1454" t="s">
        <v>120</v>
      </c>
      <c r="Y1454" s="5">
        <v>16316681710</v>
      </c>
      <c r="AA1454">
        <v>72111</v>
      </c>
      <c r="AB1454" t="s">
        <v>7163</v>
      </c>
      <c r="AC1454" t="s">
        <v>4518</v>
      </c>
      <c r="AE1454" t="s">
        <v>1212</v>
      </c>
      <c r="AF1454" t="s">
        <v>7162</v>
      </c>
      <c r="AH1454" t="s">
        <v>6134</v>
      </c>
      <c r="AI1454" t="s">
        <v>848</v>
      </c>
      <c r="AJ1454" s="4" t="str">
        <f>"11954"</f>
        <v>11954</v>
      </c>
      <c r="AK1454" t="s">
        <v>120</v>
      </c>
      <c r="AM1454" s="5">
        <v>16316681710</v>
      </c>
      <c r="AO1454" t="s">
        <v>138</v>
      </c>
      <c r="AP1454" t="s">
        <v>256</v>
      </c>
      <c r="AQ1454" t="s">
        <v>1220</v>
      </c>
      <c r="AR1454" t="s">
        <v>1221</v>
      </c>
      <c r="AT1454" t="s">
        <v>1222</v>
      </c>
      <c r="AV1454" t="s">
        <v>1223</v>
      </c>
      <c r="AW1454" t="s">
        <v>848</v>
      </c>
      <c r="AX1454" s="4" t="str">
        <f t="shared" si="60"/>
        <v>11590</v>
      </c>
      <c r="AY1454" t="s">
        <v>120</v>
      </c>
      <c r="BA1454" s="5">
        <v>15163307168</v>
      </c>
      <c r="BC1454" t="s">
        <v>1224</v>
      </c>
      <c r="BD1454" t="s">
        <v>1225</v>
      </c>
      <c r="BG1454" t="s">
        <v>848</v>
      </c>
      <c r="BH1454" s="1">
        <v>44885.791666666664</v>
      </c>
      <c r="BI1454">
        <v>40</v>
      </c>
      <c r="BJ1454">
        <v>8</v>
      </c>
      <c r="BK1454">
        <v>8</v>
      </c>
      <c r="BL1454">
        <v>8</v>
      </c>
      <c r="BM1454">
        <v>8</v>
      </c>
      <c r="BN1454">
        <v>0</v>
      </c>
      <c r="BO1454">
        <v>8</v>
      </c>
      <c r="BP1454">
        <v>0</v>
      </c>
      <c r="BQ1454" t="str">
        <f>"6:00 AM"</f>
        <v>6:00 AM</v>
      </c>
      <c r="BR1454" t="str">
        <f>"11:00 PM"</f>
        <v>11:00 PM</v>
      </c>
      <c r="BS1454" t="s">
        <v>133</v>
      </c>
      <c r="BT1454">
        <v>0</v>
      </c>
      <c r="BU1454">
        <v>12</v>
      </c>
      <c r="BV1454" t="s">
        <v>134</v>
      </c>
      <c r="BX1454" s="2" t="s">
        <v>8262</v>
      </c>
      <c r="BY1454" t="s">
        <v>7282</v>
      </c>
      <c r="CA1454" t="s">
        <v>6134</v>
      </c>
      <c r="CB1454" t="s">
        <v>848</v>
      </c>
      <c r="CC1454" s="4" t="str">
        <f>"11954"</f>
        <v>11954</v>
      </c>
      <c r="CD1454" t="s">
        <v>1227</v>
      </c>
      <c r="CE1454" t="s">
        <v>1009</v>
      </c>
      <c r="CF1454" s="6">
        <v>18.100000000000001</v>
      </c>
      <c r="CG1454" s="6">
        <v>18.100000000000001</v>
      </c>
      <c r="CH1454" s="6">
        <v>27.15</v>
      </c>
      <c r="CI1454" s="6">
        <v>27.15</v>
      </c>
      <c r="CJ1454" t="s">
        <v>137</v>
      </c>
      <c r="CK1454" t="s">
        <v>8263</v>
      </c>
      <c r="CL1454" t="s">
        <v>7173</v>
      </c>
      <c r="CO1454" t="s">
        <v>138</v>
      </c>
      <c r="CP1454" t="s">
        <v>114</v>
      </c>
      <c r="CQ1454" t="s">
        <v>134</v>
      </c>
      <c r="CR1454" t="s">
        <v>114</v>
      </c>
      <c r="CS1454" t="s">
        <v>134</v>
      </c>
      <c r="CT1454" t="s">
        <v>114</v>
      </c>
      <c r="CU1454" t="s">
        <v>114</v>
      </c>
      <c r="CV1454" t="s">
        <v>7166</v>
      </c>
      <c r="CW1454" s="5" t="str">
        <f>"+16316681710"</f>
        <v>+16316681710</v>
      </c>
      <c r="CX1454" t="s">
        <v>7167</v>
      </c>
      <c r="CY1454" t="s">
        <v>138</v>
      </c>
      <c r="CZ1454" t="s">
        <v>139</v>
      </c>
      <c r="DA1454" t="s">
        <v>134</v>
      </c>
      <c r="DB1454" t="s">
        <v>134</v>
      </c>
      <c r="DC1454" t="s">
        <v>114</v>
      </c>
      <c r="DD1454" t="s">
        <v>134</v>
      </c>
    </row>
    <row r="1455" spans="1:108" ht="15" customHeight="1" x14ac:dyDescent="0.25">
      <c r="A1455" t="s">
        <v>14228</v>
      </c>
      <c r="B1455" t="s">
        <v>141</v>
      </c>
      <c r="C1455" s="1">
        <v>44896.002573032405</v>
      </c>
      <c r="D1455" s="1">
        <v>44904</v>
      </c>
      <c r="E1455" t="s">
        <v>134</v>
      </c>
      <c r="F1455" t="s">
        <v>1219</v>
      </c>
      <c r="G1455" t="str">
        <f>"37-3011.00"</f>
        <v>37-3011.00</v>
      </c>
      <c r="H1455" t="s">
        <v>335</v>
      </c>
      <c r="I1455">
        <v>3</v>
      </c>
      <c r="K1455" s="1">
        <v>44986</v>
      </c>
      <c r="L1455" s="1">
        <v>45275</v>
      </c>
      <c r="O1455" t="s">
        <v>199</v>
      </c>
      <c r="P1455" t="s">
        <v>9915</v>
      </c>
      <c r="R1455" t="s">
        <v>9916</v>
      </c>
      <c r="T1455" t="s">
        <v>9259</v>
      </c>
      <c r="U1455" t="s">
        <v>848</v>
      </c>
      <c r="V1455" s="4" t="str">
        <f>"11937"</f>
        <v>11937</v>
      </c>
      <c r="W1455" t="s">
        <v>120</v>
      </c>
      <c r="Y1455" s="5">
        <v>16313778900</v>
      </c>
      <c r="AA1455">
        <v>561790</v>
      </c>
      <c r="AB1455" t="s">
        <v>9917</v>
      </c>
      <c r="AC1455" t="s">
        <v>1899</v>
      </c>
      <c r="AE1455" t="s">
        <v>700</v>
      </c>
      <c r="AF1455" t="s">
        <v>9916</v>
      </c>
      <c r="AH1455" t="s">
        <v>9259</v>
      </c>
      <c r="AI1455" t="s">
        <v>848</v>
      </c>
      <c r="AJ1455" s="4" t="str">
        <f>"11937"</f>
        <v>11937</v>
      </c>
      <c r="AK1455" t="s">
        <v>120</v>
      </c>
      <c r="AM1455" s="5">
        <v>16313778900</v>
      </c>
      <c r="AO1455" t="s">
        <v>138</v>
      </c>
      <c r="AP1455" t="s">
        <v>256</v>
      </c>
      <c r="AQ1455" t="s">
        <v>1220</v>
      </c>
      <c r="AR1455" t="s">
        <v>1221</v>
      </c>
      <c r="AT1455" t="s">
        <v>1222</v>
      </c>
      <c r="AV1455" t="s">
        <v>1223</v>
      </c>
      <c r="AW1455" t="s">
        <v>848</v>
      </c>
      <c r="AX1455" s="4" t="str">
        <f t="shared" si="60"/>
        <v>11590</v>
      </c>
      <c r="AY1455" t="s">
        <v>120</v>
      </c>
      <c r="BA1455" s="5">
        <v>15163307168</v>
      </c>
      <c r="BC1455" t="s">
        <v>1224</v>
      </c>
      <c r="BD1455" t="s">
        <v>1225</v>
      </c>
      <c r="BG1455" t="s">
        <v>848</v>
      </c>
      <c r="BH1455" s="1">
        <v>44893.791666666664</v>
      </c>
      <c r="BI1455">
        <v>40</v>
      </c>
      <c r="BJ1455">
        <v>0</v>
      </c>
      <c r="BK1455">
        <v>8</v>
      </c>
      <c r="BL1455">
        <v>8</v>
      </c>
      <c r="BM1455">
        <v>8</v>
      </c>
      <c r="BN1455">
        <v>8</v>
      </c>
      <c r="BO1455">
        <v>8</v>
      </c>
      <c r="BP1455">
        <v>0</v>
      </c>
      <c r="BQ1455" t="str">
        <f>"8:00 AM"</f>
        <v>8:00 AM</v>
      </c>
      <c r="BR1455" t="str">
        <f>"4:00 PM"</f>
        <v>4:00 PM</v>
      </c>
      <c r="BS1455" t="s">
        <v>133</v>
      </c>
      <c r="BT1455">
        <v>0</v>
      </c>
      <c r="BU1455">
        <v>0</v>
      </c>
      <c r="BV1455" t="s">
        <v>134</v>
      </c>
      <c r="BX1455" t="s">
        <v>138</v>
      </c>
      <c r="BY1455" t="s">
        <v>9916</v>
      </c>
      <c r="CA1455" t="s">
        <v>9259</v>
      </c>
      <c r="CB1455" t="s">
        <v>848</v>
      </c>
      <c r="CC1455" s="4" t="str">
        <f>"11937"</f>
        <v>11937</v>
      </c>
      <c r="CD1455" t="s">
        <v>1227</v>
      </c>
      <c r="CE1455" t="s">
        <v>1009</v>
      </c>
      <c r="CF1455" s="6">
        <v>19.940000000000001</v>
      </c>
      <c r="CG1455" s="6">
        <v>19.940000000000001</v>
      </c>
      <c r="CH1455" s="6">
        <v>29.91</v>
      </c>
      <c r="CI1455" s="6">
        <v>29.91</v>
      </c>
      <c r="CJ1455" t="s">
        <v>137</v>
      </c>
      <c r="CK1455" t="s">
        <v>138</v>
      </c>
      <c r="CL1455" t="s">
        <v>14229</v>
      </c>
      <c r="CO1455" t="s">
        <v>138</v>
      </c>
      <c r="CP1455" t="s">
        <v>114</v>
      </c>
      <c r="CQ1455" t="s">
        <v>114</v>
      </c>
      <c r="CR1455" t="s">
        <v>114</v>
      </c>
      <c r="CS1455" t="s">
        <v>134</v>
      </c>
      <c r="CT1455" t="s">
        <v>114</v>
      </c>
      <c r="CU1455" t="s">
        <v>134</v>
      </c>
      <c r="CV1455" t="s">
        <v>219</v>
      </c>
      <c r="CW1455" s="5" t="str">
        <f>"+16313778900"</f>
        <v>+16313778900</v>
      </c>
      <c r="CX1455" t="s">
        <v>138</v>
      </c>
      <c r="CY1455" t="s">
        <v>9919</v>
      </c>
      <c r="CZ1455" t="s">
        <v>139</v>
      </c>
      <c r="DA1455" t="s">
        <v>134</v>
      </c>
      <c r="DB1455" t="s">
        <v>134</v>
      </c>
      <c r="DC1455" t="s">
        <v>114</v>
      </c>
      <c r="DD1455" t="s">
        <v>134</v>
      </c>
    </row>
    <row r="1456" spans="1:108" ht="15" customHeight="1" x14ac:dyDescent="0.25">
      <c r="A1456" t="s">
        <v>10211</v>
      </c>
      <c r="B1456" t="s">
        <v>141</v>
      </c>
      <c r="C1456" s="1">
        <v>44896.002455787035</v>
      </c>
      <c r="D1456" s="1">
        <v>44904</v>
      </c>
      <c r="E1456" t="s">
        <v>134</v>
      </c>
      <c r="F1456" t="s">
        <v>9261</v>
      </c>
      <c r="G1456" t="str">
        <f>"39-6011.00"</f>
        <v>39-6011.00</v>
      </c>
      <c r="H1456" t="s">
        <v>4298</v>
      </c>
      <c r="I1456">
        <v>10</v>
      </c>
      <c r="K1456" s="1">
        <v>44986</v>
      </c>
      <c r="L1456" s="1">
        <v>45261</v>
      </c>
      <c r="O1456" t="s">
        <v>117</v>
      </c>
      <c r="P1456" t="s">
        <v>7160</v>
      </c>
      <c r="Q1456" t="s">
        <v>7161</v>
      </c>
      <c r="R1456" t="s">
        <v>7162</v>
      </c>
      <c r="T1456" t="s">
        <v>6134</v>
      </c>
      <c r="U1456" t="s">
        <v>848</v>
      </c>
      <c r="V1456" s="4" t="str">
        <f>"11954"</f>
        <v>11954</v>
      </c>
      <c r="W1456" t="s">
        <v>120</v>
      </c>
      <c r="Y1456" s="5">
        <v>16316681710</v>
      </c>
      <c r="AA1456">
        <v>72111</v>
      </c>
      <c r="AB1456" t="s">
        <v>7163</v>
      </c>
      <c r="AC1456" t="s">
        <v>4518</v>
      </c>
      <c r="AE1456" t="s">
        <v>1212</v>
      </c>
      <c r="AF1456" t="s">
        <v>7162</v>
      </c>
      <c r="AH1456" t="s">
        <v>6134</v>
      </c>
      <c r="AI1456" t="s">
        <v>848</v>
      </c>
      <c r="AJ1456" s="4" t="str">
        <f>"11954"</f>
        <v>11954</v>
      </c>
      <c r="AK1456" t="s">
        <v>120</v>
      </c>
      <c r="AM1456" s="5">
        <v>16316681710</v>
      </c>
      <c r="AO1456" t="s">
        <v>138</v>
      </c>
      <c r="AP1456" t="s">
        <v>256</v>
      </c>
      <c r="AQ1456" t="s">
        <v>1220</v>
      </c>
      <c r="AR1456" t="s">
        <v>1221</v>
      </c>
      <c r="AT1456" t="s">
        <v>1222</v>
      </c>
      <c r="AV1456" t="s">
        <v>1223</v>
      </c>
      <c r="AW1456" t="s">
        <v>848</v>
      </c>
      <c r="AX1456" s="4" t="str">
        <f t="shared" si="60"/>
        <v>11590</v>
      </c>
      <c r="AY1456" t="s">
        <v>120</v>
      </c>
      <c r="BA1456" s="5">
        <v>15163307168</v>
      </c>
      <c r="BC1456" t="s">
        <v>1224</v>
      </c>
      <c r="BD1456" t="s">
        <v>1225</v>
      </c>
      <c r="BG1456" t="s">
        <v>848</v>
      </c>
      <c r="BH1456" s="1">
        <v>44885.791666666664</v>
      </c>
      <c r="BI1456">
        <v>40</v>
      </c>
      <c r="BJ1456">
        <v>0</v>
      </c>
      <c r="BK1456">
        <v>8</v>
      </c>
      <c r="BL1456">
        <v>8</v>
      </c>
      <c r="BM1456">
        <v>8</v>
      </c>
      <c r="BN1456">
        <v>0</v>
      </c>
      <c r="BO1456">
        <v>8</v>
      </c>
      <c r="BP1456">
        <v>8</v>
      </c>
      <c r="BQ1456" t="str">
        <f>"7:00 AM"</f>
        <v>7:00 AM</v>
      </c>
      <c r="BR1456" t="str">
        <f>"11:00 PM"</f>
        <v>11:00 PM</v>
      </c>
      <c r="BS1456" t="s">
        <v>133</v>
      </c>
      <c r="BT1456">
        <v>0</v>
      </c>
      <c r="BU1456">
        <v>6</v>
      </c>
      <c r="BV1456" t="s">
        <v>134</v>
      </c>
      <c r="BX1456" s="2" t="s">
        <v>10212</v>
      </c>
      <c r="BY1456" t="s">
        <v>7282</v>
      </c>
      <c r="CA1456" t="s">
        <v>6134</v>
      </c>
      <c r="CB1456" t="s">
        <v>848</v>
      </c>
      <c r="CC1456" s="4" t="str">
        <f>"11954"</f>
        <v>11954</v>
      </c>
      <c r="CD1456" t="s">
        <v>1227</v>
      </c>
      <c r="CE1456" t="s">
        <v>1009</v>
      </c>
      <c r="CF1456" s="6">
        <v>20.34</v>
      </c>
      <c r="CG1456" s="6">
        <v>20.34</v>
      </c>
      <c r="CH1456" s="6">
        <v>30.51</v>
      </c>
      <c r="CI1456" s="6">
        <v>30.51</v>
      </c>
      <c r="CJ1456" t="s">
        <v>137</v>
      </c>
      <c r="CK1456" t="s">
        <v>7172</v>
      </c>
      <c r="CL1456" t="s">
        <v>9262</v>
      </c>
      <c r="CO1456" t="s">
        <v>138</v>
      </c>
      <c r="CP1456" t="s">
        <v>114</v>
      </c>
      <c r="CQ1456" t="s">
        <v>134</v>
      </c>
      <c r="CR1456" t="s">
        <v>114</v>
      </c>
      <c r="CS1456" t="s">
        <v>134</v>
      </c>
      <c r="CT1456" t="s">
        <v>114</v>
      </c>
      <c r="CU1456" t="s">
        <v>114</v>
      </c>
      <c r="CV1456" t="s">
        <v>7285</v>
      </c>
      <c r="CW1456" s="5" t="str">
        <f>"+16316681710"</f>
        <v>+16316681710</v>
      </c>
      <c r="CX1456" t="s">
        <v>7167</v>
      </c>
      <c r="CY1456" t="s">
        <v>138</v>
      </c>
      <c r="CZ1456" t="s">
        <v>139</v>
      </c>
      <c r="DA1456" t="s">
        <v>134</v>
      </c>
      <c r="DB1456" t="s">
        <v>134</v>
      </c>
      <c r="DC1456" t="s">
        <v>114</v>
      </c>
      <c r="DD1456" t="s">
        <v>134</v>
      </c>
    </row>
    <row r="1457" spans="1:108" ht="15" customHeight="1" x14ac:dyDescent="0.25">
      <c r="A1457" t="s">
        <v>14258</v>
      </c>
      <c r="B1457" t="s">
        <v>141</v>
      </c>
      <c r="C1457" s="1">
        <v>44896.002219907408</v>
      </c>
      <c r="D1457" s="1">
        <v>44904</v>
      </c>
      <c r="E1457" t="s">
        <v>134</v>
      </c>
      <c r="F1457" t="s">
        <v>4542</v>
      </c>
      <c r="G1457" t="str">
        <f>"35-9021.00"</f>
        <v>35-9021.00</v>
      </c>
      <c r="H1457" t="s">
        <v>1910</v>
      </c>
      <c r="I1457">
        <v>6</v>
      </c>
      <c r="K1457" s="1">
        <v>44986</v>
      </c>
      <c r="L1457" s="1">
        <v>45261</v>
      </c>
      <c r="O1457" t="s">
        <v>117</v>
      </c>
      <c r="P1457" t="s">
        <v>7160</v>
      </c>
      <c r="Q1457" t="s">
        <v>7161</v>
      </c>
      <c r="R1457" t="s">
        <v>7162</v>
      </c>
      <c r="T1457" t="s">
        <v>6134</v>
      </c>
      <c r="U1457" t="s">
        <v>848</v>
      </c>
      <c r="V1457" s="4" t="str">
        <f>"11954"</f>
        <v>11954</v>
      </c>
      <c r="W1457" t="s">
        <v>120</v>
      </c>
      <c r="Y1457" s="5">
        <v>16316681710</v>
      </c>
      <c r="AA1457">
        <v>72111</v>
      </c>
      <c r="AB1457" t="s">
        <v>7163</v>
      </c>
      <c r="AC1457" t="s">
        <v>4518</v>
      </c>
      <c r="AE1457" t="s">
        <v>1212</v>
      </c>
      <c r="AF1457" t="s">
        <v>7162</v>
      </c>
      <c r="AH1457" t="s">
        <v>6134</v>
      </c>
      <c r="AI1457" t="s">
        <v>848</v>
      </c>
      <c r="AJ1457" s="4" t="str">
        <f>"11954"</f>
        <v>11954</v>
      </c>
      <c r="AK1457" t="s">
        <v>120</v>
      </c>
      <c r="AM1457" s="5">
        <v>16316681710</v>
      </c>
      <c r="AO1457" t="s">
        <v>138</v>
      </c>
      <c r="AP1457" t="s">
        <v>256</v>
      </c>
      <c r="AQ1457" t="s">
        <v>1220</v>
      </c>
      <c r="AR1457" t="s">
        <v>1221</v>
      </c>
      <c r="AT1457" t="s">
        <v>1222</v>
      </c>
      <c r="AV1457" t="s">
        <v>1223</v>
      </c>
      <c r="AW1457" t="s">
        <v>848</v>
      </c>
      <c r="AX1457" s="4" t="str">
        <f t="shared" si="60"/>
        <v>11590</v>
      </c>
      <c r="AY1457" t="s">
        <v>120</v>
      </c>
      <c r="BA1457" s="5">
        <v>15163307168</v>
      </c>
      <c r="BC1457" t="s">
        <v>1224</v>
      </c>
      <c r="BD1457" t="s">
        <v>1225</v>
      </c>
      <c r="BG1457" t="s">
        <v>848</v>
      </c>
      <c r="BH1457" s="1">
        <v>44885.791666666664</v>
      </c>
      <c r="BI1457">
        <v>40</v>
      </c>
      <c r="BJ1457">
        <v>0</v>
      </c>
      <c r="BK1457">
        <v>8</v>
      </c>
      <c r="BL1457">
        <v>8</v>
      </c>
      <c r="BM1457">
        <v>8</v>
      </c>
      <c r="BN1457">
        <v>8</v>
      </c>
      <c r="BO1457">
        <v>0</v>
      </c>
      <c r="BP1457">
        <v>8</v>
      </c>
      <c r="BQ1457" t="str">
        <f>"12:00 AM"</f>
        <v>12:00 AM</v>
      </c>
      <c r="BR1457" t="str">
        <f>"12:00 AM"</f>
        <v>12:00 AM</v>
      </c>
      <c r="BS1457" t="s">
        <v>133</v>
      </c>
      <c r="BT1457">
        <v>0</v>
      </c>
      <c r="BU1457">
        <v>6</v>
      </c>
      <c r="BV1457" t="s">
        <v>134</v>
      </c>
      <c r="BX1457" t="s">
        <v>14259</v>
      </c>
      <c r="BY1457" t="s">
        <v>7282</v>
      </c>
      <c r="CA1457" t="s">
        <v>6134</v>
      </c>
      <c r="CB1457" t="s">
        <v>848</v>
      </c>
      <c r="CC1457" s="4" t="str">
        <f>"11954"</f>
        <v>11954</v>
      </c>
      <c r="CD1457" t="s">
        <v>1227</v>
      </c>
      <c r="CE1457" t="s">
        <v>1009</v>
      </c>
      <c r="CF1457" s="6">
        <v>16.37</v>
      </c>
      <c r="CG1457" s="6">
        <v>22.5</v>
      </c>
      <c r="CH1457" s="6">
        <v>24.56</v>
      </c>
      <c r="CI1457" s="6">
        <v>33.75</v>
      </c>
      <c r="CJ1457" t="s">
        <v>137</v>
      </c>
      <c r="CK1457" t="s">
        <v>7172</v>
      </c>
      <c r="CL1457" t="s">
        <v>14260</v>
      </c>
      <c r="CO1457" t="s">
        <v>138</v>
      </c>
      <c r="CP1457" t="s">
        <v>114</v>
      </c>
      <c r="CQ1457" t="s">
        <v>134</v>
      </c>
      <c r="CR1457" t="s">
        <v>114</v>
      </c>
      <c r="CS1457" t="s">
        <v>134</v>
      </c>
      <c r="CT1457" t="s">
        <v>114</v>
      </c>
      <c r="CU1457" t="s">
        <v>114</v>
      </c>
      <c r="CV1457" t="s">
        <v>14261</v>
      </c>
      <c r="CW1457" s="5" t="str">
        <f>"+16316681710"</f>
        <v>+16316681710</v>
      </c>
      <c r="CX1457" t="s">
        <v>7167</v>
      </c>
      <c r="CY1457" t="s">
        <v>138</v>
      </c>
      <c r="CZ1457" t="s">
        <v>139</v>
      </c>
      <c r="DA1457" t="s">
        <v>134</v>
      </c>
      <c r="DB1457" t="s">
        <v>134</v>
      </c>
      <c r="DC1457" t="s">
        <v>114</v>
      </c>
      <c r="DD1457" t="s">
        <v>134</v>
      </c>
    </row>
    <row r="1458" spans="1:108" ht="15" customHeight="1" x14ac:dyDescent="0.25">
      <c r="A1458" t="s">
        <v>10192</v>
      </c>
      <c r="B1458" t="s">
        <v>141</v>
      </c>
      <c r="C1458" s="1">
        <v>44896.001940856484</v>
      </c>
      <c r="D1458" s="1">
        <v>44904</v>
      </c>
      <c r="E1458" t="s">
        <v>134</v>
      </c>
      <c r="F1458" t="s">
        <v>6014</v>
      </c>
      <c r="G1458" t="str">
        <f>"35-9011.00"</f>
        <v>35-9011.00</v>
      </c>
      <c r="H1458" t="s">
        <v>743</v>
      </c>
      <c r="I1458">
        <v>10</v>
      </c>
      <c r="K1458" s="1">
        <v>44986</v>
      </c>
      <c r="L1458" s="1">
        <v>45261</v>
      </c>
      <c r="O1458" t="s">
        <v>117</v>
      </c>
      <c r="P1458" t="s">
        <v>7160</v>
      </c>
      <c r="Q1458" t="s">
        <v>7161</v>
      </c>
      <c r="R1458" t="s">
        <v>7162</v>
      </c>
      <c r="T1458" t="s">
        <v>6134</v>
      </c>
      <c r="U1458" t="s">
        <v>848</v>
      </c>
      <c r="V1458" s="4" t="str">
        <f>"11954"</f>
        <v>11954</v>
      </c>
      <c r="W1458" t="s">
        <v>120</v>
      </c>
      <c r="Y1458" s="5">
        <v>16316681710</v>
      </c>
      <c r="AA1458">
        <v>72111</v>
      </c>
      <c r="AB1458" t="s">
        <v>7163</v>
      </c>
      <c r="AC1458" t="s">
        <v>4518</v>
      </c>
      <c r="AE1458" t="s">
        <v>1212</v>
      </c>
      <c r="AF1458" t="s">
        <v>7162</v>
      </c>
      <c r="AH1458" t="s">
        <v>6134</v>
      </c>
      <c r="AI1458" t="s">
        <v>848</v>
      </c>
      <c r="AJ1458" s="4" t="str">
        <f>"11954"</f>
        <v>11954</v>
      </c>
      <c r="AK1458" t="s">
        <v>120</v>
      </c>
      <c r="AM1458" s="5">
        <v>16316681710</v>
      </c>
      <c r="AO1458" t="s">
        <v>138</v>
      </c>
      <c r="AP1458" t="s">
        <v>256</v>
      </c>
      <c r="AQ1458" t="s">
        <v>1220</v>
      </c>
      <c r="AR1458" t="s">
        <v>1221</v>
      </c>
      <c r="AT1458" t="s">
        <v>1222</v>
      </c>
      <c r="AV1458" t="s">
        <v>1223</v>
      </c>
      <c r="AW1458" t="s">
        <v>848</v>
      </c>
      <c r="AX1458" s="4" t="str">
        <f t="shared" si="60"/>
        <v>11590</v>
      </c>
      <c r="AY1458" t="s">
        <v>120</v>
      </c>
      <c r="BA1458" s="5">
        <v>15163307168</v>
      </c>
      <c r="BC1458" t="s">
        <v>1224</v>
      </c>
      <c r="BD1458" t="s">
        <v>1225</v>
      </c>
      <c r="BG1458" t="s">
        <v>848</v>
      </c>
      <c r="BH1458" s="1">
        <v>44885.791666666664</v>
      </c>
      <c r="BI1458">
        <v>40</v>
      </c>
      <c r="BJ1458">
        <v>0</v>
      </c>
      <c r="BK1458">
        <v>8</v>
      </c>
      <c r="BL1458">
        <v>8</v>
      </c>
      <c r="BM1458">
        <v>8</v>
      </c>
      <c r="BN1458">
        <v>0</v>
      </c>
      <c r="BO1458">
        <v>8</v>
      </c>
      <c r="BP1458">
        <v>8</v>
      </c>
      <c r="BQ1458" t="str">
        <f>"6:00 AM"</f>
        <v>6:00 AM</v>
      </c>
      <c r="BR1458" t="str">
        <f>"11:00 PM"</f>
        <v>11:00 PM</v>
      </c>
      <c r="BS1458" t="s">
        <v>133</v>
      </c>
      <c r="BT1458">
        <v>0</v>
      </c>
      <c r="BU1458">
        <v>0</v>
      </c>
      <c r="BV1458" t="s">
        <v>134</v>
      </c>
      <c r="BX1458" t="s">
        <v>10193</v>
      </c>
      <c r="BY1458" t="s">
        <v>7164</v>
      </c>
      <c r="CA1458" t="s">
        <v>6134</v>
      </c>
      <c r="CB1458" t="s">
        <v>848</v>
      </c>
      <c r="CC1458" s="4" t="str">
        <f>"11954"</f>
        <v>11954</v>
      </c>
      <c r="CD1458" t="s">
        <v>1227</v>
      </c>
      <c r="CE1458" t="s">
        <v>1009</v>
      </c>
      <c r="CF1458" s="6">
        <v>18.510000000000002</v>
      </c>
      <c r="CG1458" s="6">
        <v>24.57</v>
      </c>
      <c r="CH1458" s="6">
        <v>27.77</v>
      </c>
      <c r="CI1458" s="6">
        <v>36.86</v>
      </c>
      <c r="CJ1458" t="s">
        <v>137</v>
      </c>
      <c r="CK1458" t="s">
        <v>10194</v>
      </c>
      <c r="CL1458" t="s">
        <v>7165</v>
      </c>
      <c r="CO1458" t="s">
        <v>138</v>
      </c>
      <c r="CP1458" t="s">
        <v>114</v>
      </c>
      <c r="CQ1458" t="s">
        <v>134</v>
      </c>
      <c r="CR1458" t="s">
        <v>114</v>
      </c>
      <c r="CS1458" t="s">
        <v>134</v>
      </c>
      <c r="CT1458" t="s">
        <v>114</v>
      </c>
      <c r="CU1458" t="s">
        <v>114</v>
      </c>
      <c r="CV1458" t="s">
        <v>10195</v>
      </c>
      <c r="CW1458" s="5" t="str">
        <f>"+16316681710"</f>
        <v>+16316681710</v>
      </c>
      <c r="CX1458" t="s">
        <v>7167</v>
      </c>
      <c r="CY1458" t="s">
        <v>138</v>
      </c>
      <c r="CZ1458" t="s">
        <v>139</v>
      </c>
      <c r="DA1458" t="s">
        <v>134</v>
      </c>
      <c r="DB1458" t="s">
        <v>134</v>
      </c>
      <c r="DC1458" t="s">
        <v>114</v>
      </c>
      <c r="DD1458" t="s">
        <v>134</v>
      </c>
    </row>
    <row r="1459" spans="1:108" ht="15" customHeight="1" x14ac:dyDescent="0.25">
      <c r="A1459" t="s">
        <v>14994</v>
      </c>
      <c r="B1459" t="s">
        <v>141</v>
      </c>
      <c r="C1459" s="1">
        <v>44896.000263425929</v>
      </c>
      <c r="D1459" s="1">
        <v>44904</v>
      </c>
      <c r="E1459" t="s">
        <v>134</v>
      </c>
      <c r="F1459" t="s">
        <v>2739</v>
      </c>
      <c r="G1459" t="str">
        <f>"37-3011.00"</f>
        <v>37-3011.00</v>
      </c>
      <c r="H1459" t="s">
        <v>335</v>
      </c>
      <c r="I1459">
        <v>3</v>
      </c>
      <c r="K1459" s="1">
        <v>44986</v>
      </c>
      <c r="L1459" s="1">
        <v>45245</v>
      </c>
      <c r="O1459" t="s">
        <v>199</v>
      </c>
      <c r="P1459" t="s">
        <v>9915</v>
      </c>
      <c r="R1459" t="s">
        <v>9916</v>
      </c>
      <c r="T1459" t="s">
        <v>9259</v>
      </c>
      <c r="U1459" t="s">
        <v>848</v>
      </c>
      <c r="V1459" s="4" t="str">
        <f>"11937"</f>
        <v>11937</v>
      </c>
      <c r="W1459" t="s">
        <v>120</v>
      </c>
      <c r="Y1459" s="5">
        <v>15163307168</v>
      </c>
      <c r="AA1459">
        <v>561790</v>
      </c>
      <c r="AB1459" t="s">
        <v>9917</v>
      </c>
      <c r="AC1459" t="s">
        <v>1899</v>
      </c>
      <c r="AE1459" t="s">
        <v>700</v>
      </c>
      <c r="AF1459" t="s">
        <v>9916</v>
      </c>
      <c r="AH1459" t="s">
        <v>9259</v>
      </c>
      <c r="AI1459" t="s">
        <v>848</v>
      </c>
      <c r="AJ1459" s="4" t="str">
        <f>"11937"</f>
        <v>11937</v>
      </c>
      <c r="AK1459" t="s">
        <v>120</v>
      </c>
      <c r="AM1459" s="5">
        <v>16313778900</v>
      </c>
      <c r="AO1459" t="s">
        <v>138</v>
      </c>
      <c r="AP1459" t="s">
        <v>256</v>
      </c>
      <c r="AQ1459" t="s">
        <v>1220</v>
      </c>
      <c r="AR1459" t="s">
        <v>1221</v>
      </c>
      <c r="AT1459" t="s">
        <v>1222</v>
      </c>
      <c r="AV1459" t="s">
        <v>1223</v>
      </c>
      <c r="AW1459" t="s">
        <v>848</v>
      </c>
      <c r="AX1459" s="4" t="str">
        <f t="shared" si="60"/>
        <v>11590</v>
      </c>
      <c r="AY1459" t="s">
        <v>120</v>
      </c>
      <c r="BA1459" s="5">
        <v>15163307168</v>
      </c>
      <c r="BC1459" t="s">
        <v>1224</v>
      </c>
      <c r="BD1459" t="s">
        <v>1225</v>
      </c>
      <c r="BG1459" t="s">
        <v>848</v>
      </c>
      <c r="BH1459" s="1">
        <v>44893.791666666664</v>
      </c>
      <c r="BI1459">
        <v>40</v>
      </c>
      <c r="BJ1459">
        <v>0</v>
      </c>
      <c r="BK1459">
        <v>8</v>
      </c>
      <c r="BL1459">
        <v>8</v>
      </c>
      <c r="BM1459">
        <v>8</v>
      </c>
      <c r="BN1459">
        <v>8</v>
      </c>
      <c r="BO1459">
        <v>8</v>
      </c>
      <c r="BP1459">
        <v>0</v>
      </c>
      <c r="BQ1459" t="str">
        <f>"8:00 AM"</f>
        <v>8:00 AM</v>
      </c>
      <c r="BR1459" t="str">
        <f>"4:00 PM"</f>
        <v>4:00 PM</v>
      </c>
      <c r="BS1459" t="s">
        <v>133</v>
      </c>
      <c r="BT1459">
        <v>0</v>
      </c>
      <c r="BU1459">
        <v>3</v>
      </c>
      <c r="BV1459" t="s">
        <v>134</v>
      </c>
      <c r="BX1459" t="s">
        <v>14995</v>
      </c>
      <c r="BY1459" t="s">
        <v>9916</v>
      </c>
      <c r="CA1459" t="s">
        <v>9259</v>
      </c>
      <c r="CB1459" t="s">
        <v>848</v>
      </c>
      <c r="CC1459" s="4" t="str">
        <f>"11937"</f>
        <v>11937</v>
      </c>
      <c r="CD1459" t="s">
        <v>1227</v>
      </c>
      <c r="CE1459" t="s">
        <v>1009</v>
      </c>
      <c r="CF1459" s="6">
        <v>19.940000000000001</v>
      </c>
      <c r="CG1459" s="6">
        <v>19.940000000000001</v>
      </c>
      <c r="CH1459" s="6">
        <v>29.91</v>
      </c>
      <c r="CI1459" s="6">
        <v>29.91</v>
      </c>
      <c r="CJ1459" t="s">
        <v>137</v>
      </c>
      <c r="CK1459" t="s">
        <v>138</v>
      </c>
      <c r="CL1459" t="s">
        <v>9918</v>
      </c>
      <c r="CO1459" t="s">
        <v>138</v>
      </c>
      <c r="CP1459" t="s">
        <v>114</v>
      </c>
      <c r="CQ1459" t="s">
        <v>114</v>
      </c>
      <c r="CR1459" t="s">
        <v>114</v>
      </c>
      <c r="CS1459" t="s">
        <v>134</v>
      </c>
      <c r="CT1459" t="s">
        <v>114</v>
      </c>
      <c r="CU1459" t="s">
        <v>134</v>
      </c>
      <c r="CV1459" t="s">
        <v>219</v>
      </c>
      <c r="CW1459" s="5" t="str">
        <f>"+16313778900"</f>
        <v>+16313778900</v>
      </c>
      <c r="CX1459" t="s">
        <v>9919</v>
      </c>
      <c r="CY1459" t="s">
        <v>138</v>
      </c>
      <c r="CZ1459" t="s">
        <v>139</v>
      </c>
      <c r="DA1459" t="s">
        <v>134</v>
      </c>
      <c r="DB1459" t="s">
        <v>134</v>
      </c>
      <c r="DC1459" t="s">
        <v>114</v>
      </c>
      <c r="DD1459" t="s">
        <v>134</v>
      </c>
    </row>
    <row r="1460" spans="1:108" ht="15" customHeight="1" x14ac:dyDescent="0.25">
      <c r="A1460" t="s">
        <v>15041</v>
      </c>
      <c r="B1460" t="s">
        <v>141</v>
      </c>
      <c r="C1460" s="1">
        <v>44896.357785532404</v>
      </c>
      <c r="D1460" s="1">
        <v>44900</v>
      </c>
      <c r="E1460" t="s">
        <v>134</v>
      </c>
      <c r="F1460" t="s">
        <v>115</v>
      </c>
      <c r="G1460" t="str">
        <f>"37-2012.00"</f>
        <v>37-2012.00</v>
      </c>
      <c r="H1460" t="s">
        <v>116</v>
      </c>
      <c r="I1460">
        <v>13</v>
      </c>
      <c r="K1460" s="1">
        <v>44986</v>
      </c>
      <c r="L1460" s="1">
        <v>45230</v>
      </c>
      <c r="O1460" t="s">
        <v>117</v>
      </c>
      <c r="P1460" t="s">
        <v>4382</v>
      </c>
      <c r="Q1460" t="s">
        <v>4833</v>
      </c>
      <c r="R1460" t="s">
        <v>4383</v>
      </c>
      <c r="T1460" t="s">
        <v>1339</v>
      </c>
      <c r="U1460" t="s">
        <v>154</v>
      </c>
      <c r="V1460" s="4" t="str">
        <f>"32839"</f>
        <v>32839</v>
      </c>
      <c r="W1460" t="s">
        <v>120</v>
      </c>
      <c r="Y1460" s="5">
        <v>14079539626</v>
      </c>
      <c r="AA1460">
        <v>72111</v>
      </c>
      <c r="AB1460" t="s">
        <v>4384</v>
      </c>
      <c r="AC1460" t="s">
        <v>2449</v>
      </c>
      <c r="AE1460" t="s">
        <v>4385</v>
      </c>
      <c r="AF1460" t="s">
        <v>4383</v>
      </c>
      <c r="AH1460" t="s">
        <v>1339</v>
      </c>
      <c r="AI1460" t="s">
        <v>154</v>
      </c>
      <c r="AJ1460" s="4" t="str">
        <f>"32839"</f>
        <v>32839</v>
      </c>
      <c r="AK1460" t="s">
        <v>120</v>
      </c>
      <c r="AM1460" s="5">
        <v>14079539626</v>
      </c>
      <c r="AO1460" t="s">
        <v>4386</v>
      </c>
      <c r="AP1460" t="s">
        <v>256</v>
      </c>
      <c r="AQ1460" t="s">
        <v>400</v>
      </c>
      <c r="AR1460" t="s">
        <v>401</v>
      </c>
      <c r="AS1460" t="s">
        <v>397</v>
      </c>
      <c r="AT1460" t="s">
        <v>402</v>
      </c>
      <c r="AU1460" t="s">
        <v>152</v>
      </c>
      <c r="AV1460" t="s">
        <v>403</v>
      </c>
      <c r="AW1460" t="s">
        <v>232</v>
      </c>
      <c r="AX1460" s="4" t="str">
        <f>"75033"</f>
        <v>75033</v>
      </c>
      <c r="AY1460" t="s">
        <v>120</v>
      </c>
      <c r="BA1460" s="5">
        <v>19727789690</v>
      </c>
      <c r="BC1460" t="s">
        <v>905</v>
      </c>
      <c r="BD1460" t="s">
        <v>405</v>
      </c>
      <c r="BG1460" t="s">
        <v>479</v>
      </c>
      <c r="BH1460" s="1">
        <v>44895.791666666664</v>
      </c>
      <c r="BI1460">
        <v>40</v>
      </c>
      <c r="BJ1460">
        <v>8</v>
      </c>
      <c r="BK1460">
        <v>0</v>
      </c>
      <c r="BL1460">
        <v>0</v>
      </c>
      <c r="BM1460">
        <v>8</v>
      </c>
      <c r="BN1460">
        <v>8</v>
      </c>
      <c r="BO1460">
        <v>8</v>
      </c>
      <c r="BP1460">
        <v>8</v>
      </c>
      <c r="BQ1460" t="str">
        <f>"7:00 AM"</f>
        <v>7:00 AM</v>
      </c>
      <c r="BR1460" t="str">
        <f>"3:30 PM"</f>
        <v>3:30 PM</v>
      </c>
      <c r="BS1460" t="s">
        <v>133</v>
      </c>
      <c r="BT1460">
        <v>0</v>
      </c>
      <c r="BU1460">
        <v>0</v>
      </c>
      <c r="BV1460" t="s">
        <v>134</v>
      </c>
      <c r="BX1460" s="2" t="s">
        <v>15042</v>
      </c>
      <c r="BY1460" t="s">
        <v>6944</v>
      </c>
      <c r="CA1460" t="s">
        <v>4562</v>
      </c>
      <c r="CB1460" t="s">
        <v>479</v>
      </c>
      <c r="CC1460" s="4" t="str">
        <f>"23451"</f>
        <v>23451</v>
      </c>
      <c r="CD1460" t="s">
        <v>4540</v>
      </c>
      <c r="CE1460" t="s">
        <v>1687</v>
      </c>
      <c r="CF1460" s="6">
        <v>12.5</v>
      </c>
      <c r="CH1460" s="6">
        <v>18.75</v>
      </c>
      <c r="CJ1460" t="s">
        <v>137</v>
      </c>
      <c r="CK1460" t="s">
        <v>2095</v>
      </c>
      <c r="CL1460" t="s">
        <v>6945</v>
      </c>
      <c r="CO1460" t="s">
        <v>138</v>
      </c>
      <c r="CP1460" t="s">
        <v>114</v>
      </c>
      <c r="CQ1460" t="s">
        <v>134</v>
      </c>
      <c r="CR1460" t="s">
        <v>114</v>
      </c>
      <c r="CS1460" t="s">
        <v>114</v>
      </c>
      <c r="CT1460" t="s">
        <v>114</v>
      </c>
      <c r="CU1460" t="s">
        <v>114</v>
      </c>
      <c r="CV1460" s="2" t="s">
        <v>15043</v>
      </c>
      <c r="CW1460" s="5" t="str">
        <f>"+14076138454"</f>
        <v>+14076138454</v>
      </c>
      <c r="CX1460" t="s">
        <v>138</v>
      </c>
      <c r="CY1460" t="s">
        <v>6946</v>
      </c>
      <c r="CZ1460" t="s">
        <v>139</v>
      </c>
      <c r="DA1460" t="s">
        <v>134</v>
      </c>
      <c r="DB1460" t="s">
        <v>134</v>
      </c>
      <c r="DC1460" t="s">
        <v>114</v>
      </c>
      <c r="DD1460" t="s">
        <v>134</v>
      </c>
    </row>
    <row r="1461" spans="1:108" ht="15" customHeight="1" x14ac:dyDescent="0.25">
      <c r="A1461" t="s">
        <v>16343</v>
      </c>
      <c r="B1461" t="s">
        <v>141</v>
      </c>
      <c r="C1461" s="1">
        <v>44897.786103819446</v>
      </c>
      <c r="D1461" s="1">
        <v>44897</v>
      </c>
      <c r="E1461" t="s">
        <v>134</v>
      </c>
      <c r="F1461" t="s">
        <v>1805</v>
      </c>
      <c r="G1461" t="str">
        <f t="shared" ref="G1461:G1467" si="63">"45-3031.00"</f>
        <v>45-3031.00</v>
      </c>
      <c r="H1461" t="s">
        <v>496</v>
      </c>
      <c r="I1461">
        <v>5</v>
      </c>
      <c r="K1461" s="1">
        <v>44986</v>
      </c>
      <c r="L1461" s="1">
        <v>45275</v>
      </c>
      <c r="O1461" t="s">
        <v>199</v>
      </c>
      <c r="P1461" t="s">
        <v>9094</v>
      </c>
      <c r="R1461" t="s">
        <v>9095</v>
      </c>
      <c r="T1461" t="s">
        <v>1795</v>
      </c>
      <c r="U1461" t="s">
        <v>232</v>
      </c>
      <c r="V1461" s="4" t="str">
        <f t="shared" ref="V1461:V1467" si="64">"77465"</f>
        <v>77465</v>
      </c>
      <c r="W1461" t="s">
        <v>120</v>
      </c>
      <c r="Y1461" s="5">
        <v>19799433619</v>
      </c>
      <c r="AA1461">
        <v>114112</v>
      </c>
      <c r="AB1461" t="s">
        <v>1751</v>
      </c>
      <c r="AC1461" t="s">
        <v>2293</v>
      </c>
      <c r="AE1461" t="s">
        <v>252</v>
      </c>
      <c r="AF1461" t="s">
        <v>9095</v>
      </c>
      <c r="AH1461" t="s">
        <v>1795</v>
      </c>
      <c r="AI1461" t="s">
        <v>232</v>
      </c>
      <c r="AJ1461" s="4" t="str">
        <f t="shared" ref="AJ1461:AJ1467" si="65">"77465"</f>
        <v>77465</v>
      </c>
      <c r="AK1461" t="s">
        <v>120</v>
      </c>
      <c r="AM1461" s="5">
        <v>19799433619</v>
      </c>
      <c r="AO1461" t="s">
        <v>1797</v>
      </c>
      <c r="AP1461" t="s">
        <v>256</v>
      </c>
      <c r="AQ1461" t="s">
        <v>826</v>
      </c>
      <c r="AR1461" t="s">
        <v>827</v>
      </c>
      <c r="AS1461" t="s">
        <v>138</v>
      </c>
      <c r="AT1461" t="s">
        <v>346</v>
      </c>
      <c r="AU1461" t="s">
        <v>347</v>
      </c>
      <c r="AV1461" t="s">
        <v>828</v>
      </c>
      <c r="AW1461" t="s">
        <v>349</v>
      </c>
      <c r="AX1461" s="4" t="str">
        <f t="shared" ref="AX1461:AX1467" si="66">"83814"</f>
        <v>83814</v>
      </c>
      <c r="AY1461" t="s">
        <v>120</v>
      </c>
      <c r="BA1461" s="5">
        <v>12087772654</v>
      </c>
      <c r="BC1461" t="s">
        <v>829</v>
      </c>
      <c r="BD1461" t="s">
        <v>351</v>
      </c>
      <c r="BG1461" t="s">
        <v>232</v>
      </c>
      <c r="BH1461" s="1">
        <v>44895.791666666664</v>
      </c>
      <c r="BI1461">
        <v>40</v>
      </c>
      <c r="BJ1461">
        <v>0</v>
      </c>
      <c r="BK1461">
        <v>8</v>
      </c>
      <c r="BL1461">
        <v>8</v>
      </c>
      <c r="BM1461">
        <v>8</v>
      </c>
      <c r="BN1461">
        <v>8</v>
      </c>
      <c r="BO1461">
        <v>8</v>
      </c>
      <c r="BP1461">
        <v>0</v>
      </c>
      <c r="BQ1461" t="str">
        <f t="shared" ref="BQ1461:BQ1467" si="67">"10:00 PM"</f>
        <v>10:00 PM</v>
      </c>
      <c r="BR1461" t="str">
        <f t="shared" ref="BR1461:BR1467" si="68">"6:00 AM"</f>
        <v>6:00 AM</v>
      </c>
      <c r="BS1461" t="s">
        <v>133</v>
      </c>
      <c r="BT1461">
        <v>0</v>
      </c>
      <c r="BU1461">
        <v>0</v>
      </c>
      <c r="BV1461" t="s">
        <v>134</v>
      </c>
      <c r="BX1461" s="2" t="s">
        <v>1798</v>
      </c>
      <c r="BY1461" t="s">
        <v>1799</v>
      </c>
      <c r="CA1461" t="s">
        <v>1795</v>
      </c>
      <c r="CB1461" t="s">
        <v>232</v>
      </c>
      <c r="CC1461" s="4" t="str">
        <f t="shared" ref="CC1461:CC1467" si="69">"77465"</f>
        <v>77465</v>
      </c>
      <c r="CD1461" t="s">
        <v>1800</v>
      </c>
      <c r="CE1461" t="s">
        <v>1801</v>
      </c>
      <c r="CF1461" s="6">
        <v>14.46</v>
      </c>
      <c r="CH1461" s="6">
        <v>21.69</v>
      </c>
      <c r="CJ1461" t="s">
        <v>137</v>
      </c>
      <c r="CK1461" t="s">
        <v>1802</v>
      </c>
      <c r="CL1461" t="s">
        <v>9096</v>
      </c>
      <c r="CO1461" t="s">
        <v>138</v>
      </c>
      <c r="CP1461" t="s">
        <v>114</v>
      </c>
      <c r="CQ1461" t="s">
        <v>134</v>
      </c>
      <c r="CR1461" t="s">
        <v>114</v>
      </c>
      <c r="CS1461" t="s">
        <v>114</v>
      </c>
      <c r="CT1461" t="s">
        <v>114</v>
      </c>
      <c r="CU1461" t="s">
        <v>114</v>
      </c>
      <c r="CV1461" t="s">
        <v>358</v>
      </c>
      <c r="CW1461" s="5" t="str">
        <f t="shared" ref="CW1461:CW1467" si="70">"+19799433619"</f>
        <v>+19799433619</v>
      </c>
      <c r="CX1461" t="s">
        <v>1797</v>
      </c>
      <c r="CY1461" t="s">
        <v>138</v>
      </c>
      <c r="CZ1461" t="s">
        <v>139</v>
      </c>
      <c r="DA1461" t="s">
        <v>134</v>
      </c>
      <c r="DB1461" t="s">
        <v>134</v>
      </c>
      <c r="DC1461" t="s">
        <v>114</v>
      </c>
      <c r="DD1461" t="s">
        <v>134</v>
      </c>
    </row>
    <row r="1462" spans="1:108" ht="15" customHeight="1" x14ac:dyDescent="0.25">
      <c r="A1462" t="s">
        <v>7346</v>
      </c>
      <c r="B1462" t="s">
        <v>141</v>
      </c>
      <c r="C1462" s="1">
        <v>44897.785172453703</v>
      </c>
      <c r="D1462" s="1">
        <v>44897</v>
      </c>
      <c r="E1462" t="s">
        <v>134</v>
      </c>
      <c r="F1462" t="s">
        <v>4898</v>
      </c>
      <c r="G1462" t="str">
        <f t="shared" si="63"/>
        <v>45-3031.00</v>
      </c>
      <c r="H1462" t="s">
        <v>496</v>
      </c>
      <c r="I1462">
        <v>5</v>
      </c>
      <c r="K1462" s="1">
        <v>44986</v>
      </c>
      <c r="L1462" s="1">
        <v>45275</v>
      </c>
      <c r="O1462" t="s">
        <v>199</v>
      </c>
      <c r="P1462" t="s">
        <v>6974</v>
      </c>
      <c r="R1462" t="s">
        <v>6975</v>
      </c>
      <c r="T1462" t="s">
        <v>1795</v>
      </c>
      <c r="U1462" t="s">
        <v>232</v>
      </c>
      <c r="V1462" s="4" t="str">
        <f t="shared" si="64"/>
        <v>77465</v>
      </c>
      <c r="W1462" t="s">
        <v>120</v>
      </c>
      <c r="Y1462" s="5">
        <v>19799433619</v>
      </c>
      <c r="AA1462">
        <v>114112</v>
      </c>
      <c r="AB1462" t="s">
        <v>2120</v>
      </c>
      <c r="AC1462" t="s">
        <v>4479</v>
      </c>
      <c r="AE1462" t="s">
        <v>252</v>
      </c>
      <c r="AF1462" t="s">
        <v>6975</v>
      </c>
      <c r="AH1462" t="s">
        <v>1795</v>
      </c>
      <c r="AI1462" t="s">
        <v>232</v>
      </c>
      <c r="AJ1462" s="4" t="str">
        <f t="shared" si="65"/>
        <v>77465</v>
      </c>
      <c r="AK1462" t="s">
        <v>120</v>
      </c>
      <c r="AM1462" s="5">
        <v>19799433619</v>
      </c>
      <c r="AO1462" t="s">
        <v>1797</v>
      </c>
      <c r="AP1462" t="s">
        <v>256</v>
      </c>
      <c r="AQ1462" t="s">
        <v>826</v>
      </c>
      <c r="AR1462" t="s">
        <v>827</v>
      </c>
      <c r="AS1462" t="s">
        <v>138</v>
      </c>
      <c r="AT1462" t="s">
        <v>346</v>
      </c>
      <c r="AU1462" t="s">
        <v>347</v>
      </c>
      <c r="AV1462" t="s">
        <v>828</v>
      </c>
      <c r="AW1462" t="s">
        <v>349</v>
      </c>
      <c r="AX1462" s="4" t="str">
        <f t="shared" si="66"/>
        <v>83814</v>
      </c>
      <c r="AY1462" t="s">
        <v>120</v>
      </c>
      <c r="BA1462" s="5">
        <v>12087772654</v>
      </c>
      <c r="BC1462" t="s">
        <v>829</v>
      </c>
      <c r="BD1462" t="s">
        <v>351</v>
      </c>
      <c r="BG1462" t="s">
        <v>232</v>
      </c>
      <c r="BH1462" s="1">
        <v>44895.791666666664</v>
      </c>
      <c r="BI1462">
        <v>40</v>
      </c>
      <c r="BJ1462">
        <v>0</v>
      </c>
      <c r="BK1462">
        <v>8</v>
      </c>
      <c r="BL1462">
        <v>8</v>
      </c>
      <c r="BM1462">
        <v>8</v>
      </c>
      <c r="BN1462">
        <v>8</v>
      </c>
      <c r="BO1462">
        <v>8</v>
      </c>
      <c r="BP1462">
        <v>0</v>
      </c>
      <c r="BQ1462" t="str">
        <f t="shared" si="67"/>
        <v>10:00 PM</v>
      </c>
      <c r="BR1462" t="str">
        <f t="shared" si="68"/>
        <v>6:00 AM</v>
      </c>
      <c r="BS1462" t="s">
        <v>133</v>
      </c>
      <c r="BT1462">
        <v>0</v>
      </c>
      <c r="BU1462">
        <v>0</v>
      </c>
      <c r="BV1462" t="s">
        <v>134</v>
      </c>
      <c r="BX1462" s="2" t="s">
        <v>1798</v>
      </c>
      <c r="BY1462" t="s">
        <v>4182</v>
      </c>
      <c r="CA1462" t="s">
        <v>1795</v>
      </c>
      <c r="CB1462" t="s">
        <v>232</v>
      </c>
      <c r="CC1462" s="4" t="str">
        <f t="shared" si="69"/>
        <v>77465</v>
      </c>
      <c r="CD1462" t="s">
        <v>1800</v>
      </c>
      <c r="CE1462" t="s">
        <v>1801</v>
      </c>
      <c r="CF1462" s="6">
        <v>14.46</v>
      </c>
      <c r="CH1462" s="6">
        <v>21.69</v>
      </c>
      <c r="CJ1462" t="s">
        <v>137</v>
      </c>
      <c r="CK1462" t="s">
        <v>1802</v>
      </c>
      <c r="CL1462" t="s">
        <v>6976</v>
      </c>
      <c r="CO1462" t="s">
        <v>138</v>
      </c>
      <c r="CP1462" t="s">
        <v>114</v>
      </c>
      <c r="CQ1462" t="s">
        <v>114</v>
      </c>
      <c r="CR1462" t="s">
        <v>114</v>
      </c>
      <c r="CS1462" t="s">
        <v>114</v>
      </c>
      <c r="CT1462" t="s">
        <v>114</v>
      </c>
      <c r="CU1462" t="s">
        <v>114</v>
      </c>
      <c r="CV1462" t="s">
        <v>358</v>
      </c>
      <c r="CW1462" s="5" t="str">
        <f t="shared" si="70"/>
        <v>+19799433619</v>
      </c>
      <c r="CX1462" t="s">
        <v>1797</v>
      </c>
      <c r="CY1462" t="s">
        <v>138</v>
      </c>
      <c r="CZ1462" t="s">
        <v>139</v>
      </c>
      <c r="DA1462" t="s">
        <v>134</v>
      </c>
      <c r="DB1462" t="s">
        <v>134</v>
      </c>
      <c r="DC1462" t="s">
        <v>114</v>
      </c>
      <c r="DD1462" t="s">
        <v>134</v>
      </c>
    </row>
    <row r="1463" spans="1:108" ht="15" customHeight="1" x14ac:dyDescent="0.25">
      <c r="A1463" t="s">
        <v>10290</v>
      </c>
      <c r="B1463" t="s">
        <v>141</v>
      </c>
      <c r="C1463" s="1">
        <v>44897.7842431713</v>
      </c>
      <c r="D1463" s="1">
        <v>44897</v>
      </c>
      <c r="E1463" t="s">
        <v>134</v>
      </c>
      <c r="F1463" t="s">
        <v>1805</v>
      </c>
      <c r="G1463" t="str">
        <f t="shared" si="63"/>
        <v>45-3031.00</v>
      </c>
      <c r="H1463" t="s">
        <v>496</v>
      </c>
      <c r="I1463">
        <v>5</v>
      </c>
      <c r="K1463" s="1">
        <v>44986</v>
      </c>
      <c r="L1463" s="1">
        <v>45275</v>
      </c>
      <c r="O1463" t="s">
        <v>199</v>
      </c>
      <c r="P1463" t="s">
        <v>10291</v>
      </c>
      <c r="R1463" t="s">
        <v>10292</v>
      </c>
      <c r="T1463" t="s">
        <v>1795</v>
      </c>
      <c r="U1463" t="s">
        <v>232</v>
      </c>
      <c r="V1463" s="4" t="str">
        <f t="shared" si="64"/>
        <v>77465</v>
      </c>
      <c r="W1463" t="s">
        <v>120</v>
      </c>
      <c r="Y1463" s="5">
        <v>19799433619</v>
      </c>
      <c r="AA1463">
        <v>114112</v>
      </c>
      <c r="AB1463" t="s">
        <v>1352</v>
      </c>
      <c r="AC1463" t="s">
        <v>2477</v>
      </c>
      <c r="AE1463" t="s">
        <v>252</v>
      </c>
      <c r="AF1463" t="s">
        <v>10292</v>
      </c>
      <c r="AH1463" t="s">
        <v>1795</v>
      </c>
      <c r="AI1463" t="s">
        <v>232</v>
      </c>
      <c r="AJ1463" s="4" t="str">
        <f t="shared" si="65"/>
        <v>77465</v>
      </c>
      <c r="AK1463" t="s">
        <v>120</v>
      </c>
      <c r="AM1463" s="5">
        <v>19799433619</v>
      </c>
      <c r="AO1463" t="s">
        <v>1797</v>
      </c>
      <c r="AP1463" t="s">
        <v>256</v>
      </c>
      <c r="AQ1463" t="s">
        <v>826</v>
      </c>
      <c r="AR1463" t="s">
        <v>827</v>
      </c>
      <c r="AS1463" t="s">
        <v>138</v>
      </c>
      <c r="AT1463" t="s">
        <v>346</v>
      </c>
      <c r="AU1463" t="s">
        <v>347</v>
      </c>
      <c r="AV1463" t="s">
        <v>828</v>
      </c>
      <c r="AW1463" t="s">
        <v>349</v>
      </c>
      <c r="AX1463" s="4" t="str">
        <f t="shared" si="66"/>
        <v>83814</v>
      </c>
      <c r="AY1463" t="s">
        <v>120</v>
      </c>
      <c r="BA1463" s="5">
        <v>12087772654</v>
      </c>
      <c r="BC1463" t="s">
        <v>829</v>
      </c>
      <c r="BD1463" t="s">
        <v>351</v>
      </c>
      <c r="BG1463" t="s">
        <v>232</v>
      </c>
      <c r="BH1463" s="1">
        <v>44895.791666666664</v>
      </c>
      <c r="BI1463">
        <v>40</v>
      </c>
      <c r="BJ1463">
        <v>0</v>
      </c>
      <c r="BK1463">
        <v>8</v>
      </c>
      <c r="BL1463">
        <v>8</v>
      </c>
      <c r="BM1463">
        <v>8</v>
      </c>
      <c r="BN1463">
        <v>8</v>
      </c>
      <c r="BO1463">
        <v>8</v>
      </c>
      <c r="BP1463">
        <v>0</v>
      </c>
      <c r="BQ1463" t="str">
        <f t="shared" si="67"/>
        <v>10:00 PM</v>
      </c>
      <c r="BR1463" t="str">
        <f t="shared" si="68"/>
        <v>6:00 AM</v>
      </c>
      <c r="BS1463" t="s">
        <v>133</v>
      </c>
      <c r="BT1463">
        <v>0</v>
      </c>
      <c r="BU1463">
        <v>0</v>
      </c>
      <c r="BV1463" t="s">
        <v>134</v>
      </c>
      <c r="BX1463" s="2" t="s">
        <v>1798</v>
      </c>
      <c r="BY1463" t="s">
        <v>1799</v>
      </c>
      <c r="CA1463" t="s">
        <v>1795</v>
      </c>
      <c r="CB1463" t="s">
        <v>232</v>
      </c>
      <c r="CC1463" s="4" t="str">
        <f t="shared" si="69"/>
        <v>77465</v>
      </c>
      <c r="CD1463" t="s">
        <v>1800</v>
      </c>
      <c r="CE1463" t="s">
        <v>1801</v>
      </c>
      <c r="CF1463" s="6">
        <v>14.46</v>
      </c>
      <c r="CH1463" s="6">
        <v>21.69</v>
      </c>
      <c r="CJ1463" t="s">
        <v>137</v>
      </c>
      <c r="CK1463" t="s">
        <v>1802</v>
      </c>
      <c r="CL1463" t="s">
        <v>10293</v>
      </c>
      <c r="CO1463" t="s">
        <v>138</v>
      </c>
      <c r="CP1463" t="s">
        <v>114</v>
      </c>
      <c r="CQ1463" t="s">
        <v>114</v>
      </c>
      <c r="CR1463" t="s">
        <v>114</v>
      </c>
      <c r="CS1463" t="s">
        <v>114</v>
      </c>
      <c r="CT1463" t="s">
        <v>114</v>
      </c>
      <c r="CU1463" t="s">
        <v>114</v>
      </c>
      <c r="CV1463" t="s">
        <v>358</v>
      </c>
      <c r="CW1463" s="5" t="str">
        <f t="shared" si="70"/>
        <v>+19799433619</v>
      </c>
      <c r="CX1463" t="s">
        <v>1797</v>
      </c>
      <c r="CY1463" t="s">
        <v>138</v>
      </c>
      <c r="CZ1463" t="s">
        <v>139</v>
      </c>
      <c r="DA1463" t="s">
        <v>134</v>
      </c>
      <c r="DB1463" t="s">
        <v>134</v>
      </c>
      <c r="DC1463" t="s">
        <v>114</v>
      </c>
      <c r="DD1463" t="s">
        <v>134</v>
      </c>
    </row>
    <row r="1464" spans="1:108" ht="15" customHeight="1" x14ac:dyDescent="0.25">
      <c r="A1464" t="s">
        <v>10284</v>
      </c>
      <c r="B1464" t="s">
        <v>141</v>
      </c>
      <c r="C1464" s="1">
        <v>44897.78316979167</v>
      </c>
      <c r="D1464" s="1">
        <v>44897</v>
      </c>
      <c r="E1464" t="s">
        <v>134</v>
      </c>
      <c r="F1464" t="s">
        <v>4898</v>
      </c>
      <c r="G1464" t="str">
        <f t="shared" si="63"/>
        <v>45-3031.00</v>
      </c>
      <c r="H1464" t="s">
        <v>496</v>
      </c>
      <c r="I1464">
        <v>5</v>
      </c>
      <c r="K1464" s="1">
        <v>44986</v>
      </c>
      <c r="L1464" s="1">
        <v>45275</v>
      </c>
      <c r="O1464" t="s">
        <v>199</v>
      </c>
      <c r="P1464" t="s">
        <v>10285</v>
      </c>
      <c r="R1464" t="s">
        <v>10286</v>
      </c>
      <c r="T1464" t="s">
        <v>1795</v>
      </c>
      <c r="U1464" t="s">
        <v>232</v>
      </c>
      <c r="V1464" s="4" t="str">
        <f t="shared" si="64"/>
        <v>77465</v>
      </c>
      <c r="W1464" t="s">
        <v>120</v>
      </c>
      <c r="Y1464" s="5">
        <v>19799433619</v>
      </c>
      <c r="AA1464">
        <v>114112</v>
      </c>
      <c r="AB1464" t="s">
        <v>2204</v>
      </c>
      <c r="AC1464" t="s">
        <v>10287</v>
      </c>
      <c r="AE1464" t="s">
        <v>252</v>
      </c>
      <c r="AF1464" t="s">
        <v>10286</v>
      </c>
      <c r="AH1464" t="s">
        <v>1795</v>
      </c>
      <c r="AI1464" t="s">
        <v>232</v>
      </c>
      <c r="AJ1464" s="4" t="str">
        <f t="shared" si="65"/>
        <v>77465</v>
      </c>
      <c r="AK1464" t="s">
        <v>120</v>
      </c>
      <c r="AM1464" s="5">
        <v>19799433619</v>
      </c>
      <c r="AO1464" t="s">
        <v>1797</v>
      </c>
      <c r="AP1464" t="s">
        <v>256</v>
      </c>
      <c r="AQ1464" t="s">
        <v>826</v>
      </c>
      <c r="AR1464" t="s">
        <v>827</v>
      </c>
      <c r="AS1464" t="s">
        <v>138</v>
      </c>
      <c r="AT1464" t="s">
        <v>346</v>
      </c>
      <c r="AU1464" t="s">
        <v>347</v>
      </c>
      <c r="AV1464" t="s">
        <v>828</v>
      </c>
      <c r="AW1464" t="s">
        <v>349</v>
      </c>
      <c r="AX1464" s="4" t="str">
        <f t="shared" si="66"/>
        <v>83814</v>
      </c>
      <c r="AY1464" t="s">
        <v>120</v>
      </c>
      <c r="BA1464" s="5">
        <v>12087772654</v>
      </c>
      <c r="BC1464" t="s">
        <v>829</v>
      </c>
      <c r="BD1464" t="s">
        <v>351</v>
      </c>
      <c r="BG1464" t="s">
        <v>232</v>
      </c>
      <c r="BH1464" s="1">
        <v>44895.791666666664</v>
      </c>
      <c r="BI1464">
        <v>40</v>
      </c>
      <c r="BJ1464">
        <v>0</v>
      </c>
      <c r="BK1464">
        <v>8</v>
      </c>
      <c r="BL1464">
        <v>8</v>
      </c>
      <c r="BM1464">
        <v>8</v>
      </c>
      <c r="BN1464">
        <v>8</v>
      </c>
      <c r="BO1464">
        <v>8</v>
      </c>
      <c r="BP1464">
        <v>0</v>
      </c>
      <c r="BQ1464" t="str">
        <f t="shared" si="67"/>
        <v>10:00 PM</v>
      </c>
      <c r="BR1464" t="str">
        <f t="shared" si="68"/>
        <v>6:00 AM</v>
      </c>
      <c r="BS1464" t="s">
        <v>133</v>
      </c>
      <c r="BT1464">
        <v>0</v>
      </c>
      <c r="BU1464">
        <v>0</v>
      </c>
      <c r="BV1464" t="s">
        <v>134</v>
      </c>
      <c r="BX1464" s="2" t="s">
        <v>1810</v>
      </c>
      <c r="BY1464" t="s">
        <v>10288</v>
      </c>
      <c r="CA1464" t="s">
        <v>1795</v>
      </c>
      <c r="CB1464" t="s">
        <v>232</v>
      </c>
      <c r="CC1464" s="4" t="str">
        <f t="shared" si="69"/>
        <v>77465</v>
      </c>
      <c r="CD1464" t="s">
        <v>1800</v>
      </c>
      <c r="CE1464" t="s">
        <v>1801</v>
      </c>
      <c r="CF1464" s="6">
        <v>14.46</v>
      </c>
      <c r="CH1464" s="6">
        <v>21.69</v>
      </c>
      <c r="CJ1464" t="s">
        <v>137</v>
      </c>
      <c r="CK1464" t="s">
        <v>1802</v>
      </c>
      <c r="CL1464" t="s">
        <v>10289</v>
      </c>
      <c r="CO1464" t="s">
        <v>138</v>
      </c>
      <c r="CP1464" t="s">
        <v>114</v>
      </c>
      <c r="CQ1464" t="s">
        <v>114</v>
      </c>
      <c r="CR1464" t="s">
        <v>114</v>
      </c>
      <c r="CS1464" t="s">
        <v>114</v>
      </c>
      <c r="CT1464" t="s">
        <v>114</v>
      </c>
      <c r="CU1464" t="s">
        <v>114</v>
      </c>
      <c r="CV1464" t="s">
        <v>358</v>
      </c>
      <c r="CW1464" s="5" t="str">
        <f t="shared" si="70"/>
        <v>+19799433619</v>
      </c>
      <c r="CX1464" t="s">
        <v>1797</v>
      </c>
      <c r="CY1464" t="s">
        <v>138</v>
      </c>
      <c r="CZ1464" t="s">
        <v>139</v>
      </c>
      <c r="DA1464" t="s">
        <v>134</v>
      </c>
      <c r="DB1464" t="s">
        <v>134</v>
      </c>
      <c r="DC1464" t="s">
        <v>114</v>
      </c>
      <c r="DD1464" t="s">
        <v>134</v>
      </c>
    </row>
    <row r="1465" spans="1:108" ht="15" customHeight="1" x14ac:dyDescent="0.25">
      <c r="A1465" t="s">
        <v>4897</v>
      </c>
      <c r="B1465" t="s">
        <v>141</v>
      </c>
      <c r="C1465" s="1">
        <v>44897.782157407404</v>
      </c>
      <c r="D1465" s="1">
        <v>44897</v>
      </c>
      <c r="E1465" t="s">
        <v>134</v>
      </c>
      <c r="F1465" t="s">
        <v>4898</v>
      </c>
      <c r="G1465" t="str">
        <f t="shared" si="63"/>
        <v>45-3031.00</v>
      </c>
      <c r="H1465" t="s">
        <v>496</v>
      </c>
      <c r="I1465">
        <v>5</v>
      </c>
      <c r="K1465" s="1">
        <v>44986</v>
      </c>
      <c r="L1465" s="1">
        <v>45275</v>
      </c>
      <c r="O1465" t="s">
        <v>199</v>
      </c>
      <c r="P1465" t="s">
        <v>4899</v>
      </c>
      <c r="R1465" t="s">
        <v>4900</v>
      </c>
      <c r="T1465" t="s">
        <v>1795</v>
      </c>
      <c r="U1465" t="s">
        <v>232</v>
      </c>
      <c r="V1465" s="4" t="str">
        <f t="shared" si="64"/>
        <v>77465</v>
      </c>
      <c r="W1465" t="s">
        <v>120</v>
      </c>
      <c r="Y1465" s="5">
        <v>19799433619</v>
      </c>
      <c r="AA1465">
        <v>114112</v>
      </c>
      <c r="AB1465" t="s">
        <v>2120</v>
      </c>
      <c r="AC1465" t="s">
        <v>1339</v>
      </c>
      <c r="AE1465" t="s">
        <v>252</v>
      </c>
      <c r="AF1465" t="s">
        <v>4900</v>
      </c>
      <c r="AH1465" t="s">
        <v>1795</v>
      </c>
      <c r="AI1465" t="s">
        <v>232</v>
      </c>
      <c r="AJ1465" s="4" t="str">
        <f t="shared" si="65"/>
        <v>77465</v>
      </c>
      <c r="AK1465" t="s">
        <v>120</v>
      </c>
      <c r="AM1465" s="5">
        <v>19799433619</v>
      </c>
      <c r="AO1465" t="s">
        <v>1797</v>
      </c>
      <c r="AP1465" t="s">
        <v>256</v>
      </c>
      <c r="AQ1465" t="s">
        <v>826</v>
      </c>
      <c r="AR1465" t="s">
        <v>827</v>
      </c>
      <c r="AS1465" t="s">
        <v>138</v>
      </c>
      <c r="AT1465" t="s">
        <v>346</v>
      </c>
      <c r="AU1465" t="s">
        <v>347</v>
      </c>
      <c r="AV1465" t="s">
        <v>828</v>
      </c>
      <c r="AW1465" t="s">
        <v>349</v>
      </c>
      <c r="AX1465" s="4" t="str">
        <f t="shared" si="66"/>
        <v>83814</v>
      </c>
      <c r="AY1465" t="s">
        <v>120</v>
      </c>
      <c r="BA1465" s="5">
        <v>12087772654</v>
      </c>
      <c r="BC1465" t="s">
        <v>829</v>
      </c>
      <c r="BD1465" t="s">
        <v>351</v>
      </c>
      <c r="BG1465" t="s">
        <v>232</v>
      </c>
      <c r="BH1465" s="1">
        <v>44894.791666666664</v>
      </c>
      <c r="BI1465">
        <v>40</v>
      </c>
      <c r="BJ1465">
        <v>0</v>
      </c>
      <c r="BK1465">
        <v>8</v>
      </c>
      <c r="BL1465">
        <v>8</v>
      </c>
      <c r="BM1465">
        <v>8</v>
      </c>
      <c r="BN1465">
        <v>8</v>
      </c>
      <c r="BO1465">
        <v>8</v>
      </c>
      <c r="BP1465">
        <v>0</v>
      </c>
      <c r="BQ1465" t="str">
        <f t="shared" si="67"/>
        <v>10:00 PM</v>
      </c>
      <c r="BR1465" t="str">
        <f t="shared" si="68"/>
        <v>6:00 AM</v>
      </c>
      <c r="BS1465" t="s">
        <v>133</v>
      </c>
      <c r="BT1465">
        <v>0</v>
      </c>
      <c r="BU1465">
        <v>0</v>
      </c>
      <c r="BV1465" t="s">
        <v>134</v>
      </c>
      <c r="BX1465" s="2" t="s">
        <v>1798</v>
      </c>
      <c r="BY1465" t="s">
        <v>1893</v>
      </c>
      <c r="CA1465" t="s">
        <v>4901</v>
      </c>
      <c r="CB1465" t="s">
        <v>232</v>
      </c>
      <c r="CC1465" s="4" t="str">
        <f t="shared" si="69"/>
        <v>77465</v>
      </c>
      <c r="CD1465" t="s">
        <v>1800</v>
      </c>
      <c r="CE1465" t="s">
        <v>1801</v>
      </c>
      <c r="CF1465" s="6">
        <v>14.46</v>
      </c>
      <c r="CH1465" s="6">
        <v>21.69</v>
      </c>
      <c r="CJ1465" t="s">
        <v>137</v>
      </c>
      <c r="CK1465" t="s">
        <v>1802</v>
      </c>
      <c r="CL1465" t="s">
        <v>4902</v>
      </c>
      <c r="CO1465" t="s">
        <v>138</v>
      </c>
      <c r="CP1465" t="s">
        <v>114</v>
      </c>
      <c r="CQ1465" t="s">
        <v>114</v>
      </c>
      <c r="CR1465" t="s">
        <v>114</v>
      </c>
      <c r="CS1465" t="s">
        <v>114</v>
      </c>
      <c r="CT1465" t="s">
        <v>114</v>
      </c>
      <c r="CU1465" t="s">
        <v>114</v>
      </c>
      <c r="CV1465" t="s">
        <v>358</v>
      </c>
      <c r="CW1465" s="5" t="str">
        <f t="shared" si="70"/>
        <v>+19799433619</v>
      </c>
      <c r="CX1465" t="s">
        <v>1797</v>
      </c>
      <c r="CY1465" t="s">
        <v>138</v>
      </c>
      <c r="CZ1465" t="s">
        <v>139</v>
      </c>
      <c r="DA1465" t="s">
        <v>134</v>
      </c>
      <c r="DB1465" t="s">
        <v>134</v>
      </c>
      <c r="DC1465" t="s">
        <v>114</v>
      </c>
      <c r="DD1465" t="s">
        <v>134</v>
      </c>
    </row>
    <row r="1466" spans="1:108" ht="15" customHeight="1" x14ac:dyDescent="0.25">
      <c r="A1466" t="s">
        <v>3198</v>
      </c>
      <c r="B1466" t="s">
        <v>141</v>
      </c>
      <c r="C1466" s="1">
        <v>44897.781171296294</v>
      </c>
      <c r="D1466" s="1">
        <v>44897</v>
      </c>
      <c r="E1466" t="s">
        <v>134</v>
      </c>
      <c r="F1466" t="s">
        <v>1791</v>
      </c>
      <c r="G1466" t="str">
        <f t="shared" si="63"/>
        <v>45-3031.00</v>
      </c>
      <c r="H1466" t="s">
        <v>496</v>
      </c>
      <c r="I1466">
        <v>5</v>
      </c>
      <c r="K1466" s="1">
        <v>44986</v>
      </c>
      <c r="L1466" s="1">
        <v>45275</v>
      </c>
      <c r="O1466" t="s">
        <v>199</v>
      </c>
      <c r="P1466" t="s">
        <v>1888</v>
      </c>
      <c r="R1466" t="s">
        <v>1889</v>
      </c>
      <c r="S1466" t="s">
        <v>1890</v>
      </c>
      <c r="T1466" t="s">
        <v>1795</v>
      </c>
      <c r="U1466" t="s">
        <v>232</v>
      </c>
      <c r="V1466" s="4" t="str">
        <f t="shared" si="64"/>
        <v>77465</v>
      </c>
      <c r="W1466" t="s">
        <v>120</v>
      </c>
      <c r="Y1466" s="5">
        <v>19799433619</v>
      </c>
      <c r="AA1466">
        <v>114112</v>
      </c>
      <c r="AB1466" t="s">
        <v>1891</v>
      </c>
      <c r="AC1466" t="s">
        <v>1892</v>
      </c>
      <c r="AE1466" t="s">
        <v>252</v>
      </c>
      <c r="AF1466" t="s">
        <v>1889</v>
      </c>
      <c r="AG1466" t="s">
        <v>1890</v>
      </c>
      <c r="AH1466" t="s">
        <v>1795</v>
      </c>
      <c r="AI1466" t="s">
        <v>232</v>
      </c>
      <c r="AJ1466" s="4" t="str">
        <f t="shared" si="65"/>
        <v>77465</v>
      </c>
      <c r="AK1466" t="s">
        <v>120</v>
      </c>
      <c r="AM1466" s="5">
        <v>19799433619</v>
      </c>
      <c r="AO1466" t="s">
        <v>1797</v>
      </c>
      <c r="AP1466" t="s">
        <v>256</v>
      </c>
      <c r="AQ1466" t="s">
        <v>826</v>
      </c>
      <c r="AR1466" t="s">
        <v>827</v>
      </c>
      <c r="AS1466" t="s">
        <v>138</v>
      </c>
      <c r="AT1466" t="s">
        <v>346</v>
      </c>
      <c r="AU1466" t="s">
        <v>347</v>
      </c>
      <c r="AV1466" t="s">
        <v>828</v>
      </c>
      <c r="AW1466" t="s">
        <v>349</v>
      </c>
      <c r="AX1466" s="4" t="str">
        <f t="shared" si="66"/>
        <v>83814</v>
      </c>
      <c r="AY1466" t="s">
        <v>120</v>
      </c>
      <c r="BA1466" s="5">
        <v>12087772654</v>
      </c>
      <c r="BC1466" t="s">
        <v>829</v>
      </c>
      <c r="BD1466" t="s">
        <v>351</v>
      </c>
      <c r="BG1466" t="s">
        <v>232</v>
      </c>
      <c r="BH1466" s="1">
        <v>44895.791666666664</v>
      </c>
      <c r="BI1466">
        <v>40</v>
      </c>
      <c r="BJ1466">
        <v>0</v>
      </c>
      <c r="BK1466">
        <v>8</v>
      </c>
      <c r="BL1466">
        <v>8</v>
      </c>
      <c r="BM1466">
        <v>8</v>
      </c>
      <c r="BN1466">
        <v>8</v>
      </c>
      <c r="BO1466">
        <v>8</v>
      </c>
      <c r="BP1466">
        <v>0</v>
      </c>
      <c r="BQ1466" t="str">
        <f t="shared" si="67"/>
        <v>10:00 PM</v>
      </c>
      <c r="BR1466" t="str">
        <f t="shared" si="68"/>
        <v>6:00 AM</v>
      </c>
      <c r="BS1466" t="s">
        <v>133</v>
      </c>
      <c r="BT1466">
        <v>0</v>
      </c>
      <c r="BU1466">
        <v>0</v>
      </c>
      <c r="BV1466" t="s">
        <v>134</v>
      </c>
      <c r="BX1466" s="2" t="s">
        <v>1798</v>
      </c>
      <c r="BY1466" t="s">
        <v>1893</v>
      </c>
      <c r="CA1466" t="s">
        <v>1795</v>
      </c>
      <c r="CB1466" t="s">
        <v>232</v>
      </c>
      <c r="CC1466" s="4" t="str">
        <f t="shared" si="69"/>
        <v>77465</v>
      </c>
      <c r="CD1466" t="s">
        <v>1800</v>
      </c>
      <c r="CE1466" t="s">
        <v>1801</v>
      </c>
      <c r="CF1466" s="6">
        <v>14.46</v>
      </c>
      <c r="CH1466" s="6">
        <v>21.69</v>
      </c>
      <c r="CJ1466" t="s">
        <v>137</v>
      </c>
      <c r="CK1466" t="s">
        <v>1894</v>
      </c>
      <c r="CL1466" t="s">
        <v>1895</v>
      </c>
      <c r="CO1466" t="s">
        <v>138</v>
      </c>
      <c r="CP1466" t="s">
        <v>114</v>
      </c>
      <c r="CQ1466" t="s">
        <v>114</v>
      </c>
      <c r="CR1466" t="s">
        <v>114</v>
      </c>
      <c r="CS1466" t="s">
        <v>114</v>
      </c>
      <c r="CT1466" t="s">
        <v>114</v>
      </c>
      <c r="CU1466" t="s">
        <v>114</v>
      </c>
      <c r="CV1466" t="s">
        <v>358</v>
      </c>
      <c r="CW1466" s="5" t="str">
        <f t="shared" si="70"/>
        <v>+19799433619</v>
      </c>
      <c r="CX1466" t="s">
        <v>1797</v>
      </c>
      <c r="CY1466" t="s">
        <v>138</v>
      </c>
      <c r="CZ1466" t="s">
        <v>139</v>
      </c>
      <c r="DA1466" t="s">
        <v>134</v>
      </c>
      <c r="DB1466" t="s">
        <v>134</v>
      </c>
      <c r="DC1466" t="s">
        <v>114</v>
      </c>
      <c r="DD1466" t="s">
        <v>134</v>
      </c>
    </row>
    <row r="1467" spans="1:108" ht="15" customHeight="1" x14ac:dyDescent="0.25">
      <c r="A1467" t="s">
        <v>6321</v>
      </c>
      <c r="B1467" t="s">
        <v>141</v>
      </c>
      <c r="C1467" s="1">
        <v>44897.76716585648</v>
      </c>
      <c r="D1467" s="1">
        <v>44897</v>
      </c>
      <c r="E1467" t="s">
        <v>134</v>
      </c>
      <c r="F1467" t="s">
        <v>1791</v>
      </c>
      <c r="G1467" t="str">
        <f t="shared" si="63"/>
        <v>45-3031.00</v>
      </c>
      <c r="H1467" t="s">
        <v>496</v>
      </c>
      <c r="I1467">
        <v>5</v>
      </c>
      <c r="K1467" s="1">
        <v>44986</v>
      </c>
      <c r="L1467" s="1">
        <v>45275</v>
      </c>
      <c r="O1467" t="s">
        <v>199</v>
      </c>
      <c r="P1467" t="s">
        <v>5652</v>
      </c>
      <c r="Q1467" t="s">
        <v>5653</v>
      </c>
      <c r="R1467" t="s">
        <v>5654</v>
      </c>
      <c r="T1467" t="s">
        <v>1795</v>
      </c>
      <c r="U1467" t="s">
        <v>232</v>
      </c>
      <c r="V1467" s="4" t="str">
        <f t="shared" si="64"/>
        <v>77465</v>
      </c>
      <c r="W1467" t="s">
        <v>120</v>
      </c>
      <c r="Y1467" s="5">
        <v>19799433619</v>
      </c>
      <c r="AA1467">
        <v>114112</v>
      </c>
      <c r="AB1467" t="s">
        <v>1352</v>
      </c>
      <c r="AC1467" t="s">
        <v>5655</v>
      </c>
      <c r="AE1467" t="s">
        <v>252</v>
      </c>
      <c r="AF1467" t="s">
        <v>5654</v>
      </c>
      <c r="AH1467" t="s">
        <v>1795</v>
      </c>
      <c r="AI1467" t="s">
        <v>232</v>
      </c>
      <c r="AJ1467" s="4" t="str">
        <f t="shared" si="65"/>
        <v>77465</v>
      </c>
      <c r="AK1467" t="s">
        <v>120</v>
      </c>
      <c r="AM1467" s="5">
        <v>19799433619</v>
      </c>
      <c r="AO1467" t="s">
        <v>1797</v>
      </c>
      <c r="AP1467" t="s">
        <v>256</v>
      </c>
      <c r="AQ1467" t="s">
        <v>826</v>
      </c>
      <c r="AR1467" t="s">
        <v>827</v>
      </c>
      <c r="AS1467" t="s">
        <v>138</v>
      </c>
      <c r="AT1467" t="s">
        <v>346</v>
      </c>
      <c r="AU1467" t="s">
        <v>347</v>
      </c>
      <c r="AV1467" t="s">
        <v>828</v>
      </c>
      <c r="AW1467" t="s">
        <v>349</v>
      </c>
      <c r="AX1467" s="4" t="str">
        <f t="shared" si="66"/>
        <v>83814</v>
      </c>
      <c r="AY1467" t="s">
        <v>120</v>
      </c>
      <c r="BA1467" s="5">
        <v>12087772654</v>
      </c>
      <c r="BC1467" t="s">
        <v>829</v>
      </c>
      <c r="BD1467" t="s">
        <v>351</v>
      </c>
      <c r="BG1467" t="s">
        <v>232</v>
      </c>
      <c r="BH1467" s="1">
        <v>44894.791666666664</v>
      </c>
      <c r="BI1467">
        <v>40</v>
      </c>
      <c r="BJ1467">
        <v>0</v>
      </c>
      <c r="BK1467">
        <v>8</v>
      </c>
      <c r="BL1467">
        <v>8</v>
      </c>
      <c r="BM1467">
        <v>8</v>
      </c>
      <c r="BN1467">
        <v>8</v>
      </c>
      <c r="BO1467">
        <v>8</v>
      </c>
      <c r="BP1467">
        <v>0</v>
      </c>
      <c r="BQ1467" t="str">
        <f t="shared" si="67"/>
        <v>10:00 PM</v>
      </c>
      <c r="BR1467" t="str">
        <f t="shared" si="68"/>
        <v>6:00 AM</v>
      </c>
      <c r="BS1467" t="s">
        <v>133</v>
      </c>
      <c r="BT1467">
        <v>0</v>
      </c>
      <c r="BU1467">
        <v>0</v>
      </c>
      <c r="BV1467" t="s">
        <v>134</v>
      </c>
      <c r="BX1467" s="2" t="s">
        <v>1798</v>
      </c>
      <c r="BY1467" t="s">
        <v>5656</v>
      </c>
      <c r="CA1467" t="s">
        <v>1795</v>
      </c>
      <c r="CB1467" t="s">
        <v>232</v>
      </c>
      <c r="CC1467" s="4" t="str">
        <f t="shared" si="69"/>
        <v>77465</v>
      </c>
      <c r="CD1467" t="s">
        <v>1800</v>
      </c>
      <c r="CE1467" t="s">
        <v>1801</v>
      </c>
      <c r="CF1467" s="6">
        <v>14.46</v>
      </c>
      <c r="CH1467" s="6">
        <v>21.69</v>
      </c>
      <c r="CJ1467" t="s">
        <v>137</v>
      </c>
      <c r="CK1467" t="s">
        <v>1802</v>
      </c>
      <c r="CL1467" t="s">
        <v>5657</v>
      </c>
      <c r="CO1467" t="s">
        <v>138</v>
      </c>
      <c r="CP1467" t="s">
        <v>114</v>
      </c>
      <c r="CQ1467" t="s">
        <v>114</v>
      </c>
      <c r="CR1467" t="s">
        <v>114</v>
      </c>
      <c r="CS1467" t="s">
        <v>114</v>
      </c>
      <c r="CT1467" t="s">
        <v>114</v>
      </c>
      <c r="CU1467" t="s">
        <v>114</v>
      </c>
      <c r="CV1467" t="s">
        <v>358</v>
      </c>
      <c r="CW1467" s="5" t="str">
        <f t="shared" si="70"/>
        <v>+19799433619</v>
      </c>
      <c r="CX1467" t="s">
        <v>1797</v>
      </c>
      <c r="CY1467" t="s">
        <v>138</v>
      </c>
      <c r="CZ1467" t="s">
        <v>139</v>
      </c>
      <c r="DA1467" t="s">
        <v>134</v>
      </c>
      <c r="DB1467" t="s">
        <v>134</v>
      </c>
      <c r="DC1467" t="s">
        <v>114</v>
      </c>
      <c r="DD1467" t="s">
        <v>134</v>
      </c>
    </row>
    <row r="1468" spans="1:108" ht="15" customHeight="1" x14ac:dyDescent="0.25">
      <c r="A1468" t="s">
        <v>9372</v>
      </c>
      <c r="B1468" t="s">
        <v>141</v>
      </c>
      <c r="C1468" s="1">
        <v>44896.004372106479</v>
      </c>
      <c r="D1468" s="1">
        <v>44897</v>
      </c>
      <c r="E1468" t="s">
        <v>134</v>
      </c>
      <c r="F1468" t="s">
        <v>4883</v>
      </c>
      <c r="G1468" t="str">
        <f>"49-9071.00"</f>
        <v>49-9071.00</v>
      </c>
      <c r="H1468" t="s">
        <v>2375</v>
      </c>
      <c r="I1468">
        <v>1</v>
      </c>
      <c r="K1468" s="1">
        <v>44986</v>
      </c>
      <c r="L1468" s="1">
        <v>45177</v>
      </c>
      <c r="O1468" t="s">
        <v>117</v>
      </c>
      <c r="P1468" t="s">
        <v>9373</v>
      </c>
      <c r="R1468" t="s">
        <v>9374</v>
      </c>
      <c r="T1468" t="s">
        <v>5863</v>
      </c>
      <c r="U1468" t="s">
        <v>154</v>
      </c>
      <c r="V1468" s="4" t="str">
        <f>"33897"</f>
        <v>33897</v>
      </c>
      <c r="W1468" t="s">
        <v>120</v>
      </c>
      <c r="Y1468" s="5">
        <v>18634203838</v>
      </c>
      <c r="AA1468">
        <v>721110</v>
      </c>
      <c r="AB1468" t="s">
        <v>1335</v>
      </c>
      <c r="AC1468" t="s">
        <v>1336</v>
      </c>
      <c r="AE1468" t="s">
        <v>1337</v>
      </c>
      <c r="AF1468" t="s">
        <v>1338</v>
      </c>
      <c r="AH1468" t="s">
        <v>1339</v>
      </c>
      <c r="AI1468" t="s">
        <v>154</v>
      </c>
      <c r="AJ1468" s="4" t="str">
        <f t="shared" ref="AJ1468:AJ1478" si="71">"32819"</f>
        <v>32819</v>
      </c>
      <c r="AK1468" t="s">
        <v>120</v>
      </c>
      <c r="AM1468" s="5">
        <v>14073956456</v>
      </c>
      <c r="AO1468" t="s">
        <v>1340</v>
      </c>
      <c r="AP1468" t="s">
        <v>256</v>
      </c>
      <c r="AQ1468" t="s">
        <v>400</v>
      </c>
      <c r="AR1468" t="s">
        <v>401</v>
      </c>
      <c r="AS1468" t="s">
        <v>397</v>
      </c>
      <c r="AT1468" t="s">
        <v>402</v>
      </c>
      <c r="AU1468" t="s">
        <v>152</v>
      </c>
      <c r="AV1468" t="s">
        <v>403</v>
      </c>
      <c r="AW1468" t="s">
        <v>232</v>
      </c>
      <c r="AX1468" s="4" t="str">
        <f t="shared" ref="AX1468:AX1478" si="72">"75033"</f>
        <v>75033</v>
      </c>
      <c r="AY1468" t="s">
        <v>120</v>
      </c>
      <c r="BA1468" s="5">
        <v>19727789690</v>
      </c>
      <c r="BC1468" t="s">
        <v>1908</v>
      </c>
      <c r="BD1468" t="s">
        <v>405</v>
      </c>
      <c r="BG1468" t="s">
        <v>154</v>
      </c>
      <c r="BH1468" s="1">
        <v>44895.791666666664</v>
      </c>
      <c r="BI1468">
        <v>40</v>
      </c>
      <c r="BJ1468">
        <v>8</v>
      </c>
      <c r="BK1468">
        <v>0</v>
      </c>
      <c r="BL1468">
        <v>8</v>
      </c>
      <c r="BM1468">
        <v>8</v>
      </c>
      <c r="BN1468">
        <v>0</v>
      </c>
      <c r="BO1468">
        <v>8</v>
      </c>
      <c r="BP1468">
        <v>8</v>
      </c>
      <c r="BQ1468" t="str">
        <f>"8:00 AM"</f>
        <v>8:00 AM</v>
      </c>
      <c r="BR1468" t="str">
        <f>"4:30 PM"</f>
        <v>4:30 PM</v>
      </c>
      <c r="BS1468" t="s">
        <v>133</v>
      </c>
      <c r="BT1468">
        <v>0</v>
      </c>
      <c r="BU1468">
        <v>0</v>
      </c>
      <c r="BV1468" t="s">
        <v>134</v>
      </c>
      <c r="BX1468" s="2" t="s">
        <v>9375</v>
      </c>
      <c r="BY1468" t="s">
        <v>9374</v>
      </c>
      <c r="CA1468" t="s">
        <v>5863</v>
      </c>
      <c r="CB1468" t="s">
        <v>154</v>
      </c>
      <c r="CC1468" s="4" t="str">
        <f>"33897"</f>
        <v>33897</v>
      </c>
      <c r="CD1468" t="s">
        <v>2306</v>
      </c>
      <c r="CE1468" t="s">
        <v>2307</v>
      </c>
      <c r="CF1468" s="6">
        <v>19.96</v>
      </c>
      <c r="CG1468" s="6">
        <v>19.96</v>
      </c>
      <c r="CH1468" s="6">
        <v>29.94</v>
      </c>
      <c r="CI1468" s="6">
        <v>29.94</v>
      </c>
      <c r="CJ1468" t="s">
        <v>137</v>
      </c>
      <c r="CK1468" t="s">
        <v>593</v>
      </c>
      <c r="CL1468" t="s">
        <v>9376</v>
      </c>
      <c r="CO1468" t="s">
        <v>138</v>
      </c>
      <c r="CP1468" t="s">
        <v>134</v>
      </c>
      <c r="CQ1468" t="s">
        <v>134</v>
      </c>
      <c r="CR1468" t="s">
        <v>114</v>
      </c>
      <c r="CS1468" t="s">
        <v>114</v>
      </c>
      <c r="CT1468" t="s">
        <v>114</v>
      </c>
      <c r="CU1468" t="s">
        <v>114</v>
      </c>
      <c r="CV1468" s="2" t="s">
        <v>3161</v>
      </c>
      <c r="CW1468" s="5" t="str">
        <f>"+18634203838"</f>
        <v>+18634203838</v>
      </c>
      <c r="CX1468" t="s">
        <v>138</v>
      </c>
      <c r="CY1468" t="s">
        <v>3162</v>
      </c>
      <c r="CZ1468" t="s">
        <v>139</v>
      </c>
      <c r="DA1468" t="s">
        <v>134</v>
      </c>
      <c r="DB1468" t="s">
        <v>134</v>
      </c>
      <c r="DC1468" t="s">
        <v>114</v>
      </c>
      <c r="DD1468" t="s">
        <v>134</v>
      </c>
    </row>
    <row r="1469" spans="1:108" ht="15" customHeight="1" x14ac:dyDescent="0.25">
      <c r="A1469" t="s">
        <v>4882</v>
      </c>
      <c r="B1469" t="s">
        <v>141</v>
      </c>
      <c r="C1469" s="1">
        <v>44896.004074652781</v>
      </c>
      <c r="D1469" s="1">
        <v>44897</v>
      </c>
      <c r="E1469" t="s">
        <v>134</v>
      </c>
      <c r="F1469" t="s">
        <v>4883</v>
      </c>
      <c r="G1469" t="str">
        <f>"37-2011.00"</f>
        <v>37-2011.00</v>
      </c>
      <c r="H1469" t="s">
        <v>672</v>
      </c>
      <c r="I1469">
        <v>8</v>
      </c>
      <c r="K1469" s="1">
        <v>44986</v>
      </c>
      <c r="L1469" s="1">
        <v>45177</v>
      </c>
      <c r="O1469" t="s">
        <v>117</v>
      </c>
      <c r="P1469" t="s">
        <v>3154</v>
      </c>
      <c r="R1469" t="s">
        <v>3155</v>
      </c>
      <c r="T1469" t="s">
        <v>3156</v>
      </c>
      <c r="U1469" t="s">
        <v>154</v>
      </c>
      <c r="V1469" s="4" t="str">
        <f>"34747"</f>
        <v>34747</v>
      </c>
      <c r="W1469" t="s">
        <v>120</v>
      </c>
      <c r="Y1469" s="5">
        <v>14074777025</v>
      </c>
      <c r="AA1469">
        <v>72111</v>
      </c>
      <c r="AB1469" t="s">
        <v>1335</v>
      </c>
      <c r="AC1469" t="s">
        <v>1336</v>
      </c>
      <c r="AE1469" t="s">
        <v>1337</v>
      </c>
      <c r="AF1469" t="s">
        <v>1338</v>
      </c>
      <c r="AH1469" t="s">
        <v>1339</v>
      </c>
      <c r="AI1469" t="s">
        <v>154</v>
      </c>
      <c r="AJ1469" s="4" t="str">
        <f t="shared" si="71"/>
        <v>32819</v>
      </c>
      <c r="AK1469" t="s">
        <v>120</v>
      </c>
      <c r="AM1469" s="5">
        <v>14073956456</v>
      </c>
      <c r="AO1469" t="s">
        <v>1340</v>
      </c>
      <c r="AP1469" t="s">
        <v>256</v>
      </c>
      <c r="AQ1469" t="s">
        <v>400</v>
      </c>
      <c r="AR1469" t="s">
        <v>401</v>
      </c>
      <c r="AS1469" t="s">
        <v>397</v>
      </c>
      <c r="AT1469" t="s">
        <v>402</v>
      </c>
      <c r="AU1469" t="s">
        <v>152</v>
      </c>
      <c r="AV1469" t="s">
        <v>403</v>
      </c>
      <c r="AW1469" t="s">
        <v>232</v>
      </c>
      <c r="AX1469" s="4" t="str">
        <f t="shared" si="72"/>
        <v>75033</v>
      </c>
      <c r="AY1469" t="s">
        <v>120</v>
      </c>
      <c r="BA1469" s="5">
        <v>19727789690</v>
      </c>
      <c r="BC1469" t="s">
        <v>1908</v>
      </c>
      <c r="BD1469" t="s">
        <v>405</v>
      </c>
      <c r="BG1469" t="s">
        <v>154</v>
      </c>
      <c r="BH1469" s="1">
        <v>44895.791666666664</v>
      </c>
      <c r="BI1469">
        <v>40</v>
      </c>
      <c r="BJ1469">
        <v>8</v>
      </c>
      <c r="BK1469">
        <v>0</v>
      </c>
      <c r="BL1469">
        <v>8</v>
      </c>
      <c r="BM1469">
        <v>8</v>
      </c>
      <c r="BN1469">
        <v>0</v>
      </c>
      <c r="BO1469">
        <v>8</v>
      </c>
      <c r="BP1469">
        <v>8</v>
      </c>
      <c r="BQ1469" t="str">
        <f>"11:00 AM"</f>
        <v>11:00 AM</v>
      </c>
      <c r="BR1469" t="str">
        <f>"7:30 PM"</f>
        <v>7:30 PM</v>
      </c>
      <c r="BS1469" t="s">
        <v>133</v>
      </c>
      <c r="BT1469">
        <v>0</v>
      </c>
      <c r="BU1469">
        <v>0</v>
      </c>
      <c r="BV1469" t="s">
        <v>134</v>
      </c>
      <c r="BX1469" s="2" t="s">
        <v>4884</v>
      </c>
      <c r="BY1469" t="s">
        <v>3155</v>
      </c>
      <c r="CA1469" t="s">
        <v>3156</v>
      </c>
      <c r="CB1469" t="s">
        <v>154</v>
      </c>
      <c r="CC1469" s="4" t="str">
        <f>"34747"</f>
        <v>34747</v>
      </c>
      <c r="CD1469" t="s">
        <v>3158</v>
      </c>
      <c r="CE1469" t="s">
        <v>3159</v>
      </c>
      <c r="CF1469" s="6">
        <v>15.5</v>
      </c>
      <c r="CG1469" s="6">
        <v>15.5</v>
      </c>
      <c r="CH1469" s="6">
        <v>23.25</v>
      </c>
      <c r="CI1469" s="6">
        <v>23.25</v>
      </c>
      <c r="CJ1469" t="s">
        <v>137</v>
      </c>
      <c r="CK1469" t="s">
        <v>593</v>
      </c>
      <c r="CL1469" t="s">
        <v>4885</v>
      </c>
      <c r="CO1469" t="s">
        <v>138</v>
      </c>
      <c r="CP1469" t="s">
        <v>134</v>
      </c>
      <c r="CQ1469" t="s">
        <v>134</v>
      </c>
      <c r="CR1469" t="s">
        <v>114</v>
      </c>
      <c r="CS1469" t="s">
        <v>114</v>
      </c>
      <c r="CT1469" t="s">
        <v>114</v>
      </c>
      <c r="CU1469" t="s">
        <v>114</v>
      </c>
      <c r="CV1469" s="2" t="s">
        <v>3161</v>
      </c>
      <c r="CW1469" s="5" t="str">
        <f>"+14074777025"</f>
        <v>+14074777025</v>
      </c>
      <c r="CX1469" t="s">
        <v>138</v>
      </c>
      <c r="CY1469" t="s">
        <v>3162</v>
      </c>
      <c r="CZ1469" t="s">
        <v>139</v>
      </c>
      <c r="DA1469" t="s">
        <v>134</v>
      </c>
      <c r="DB1469" t="s">
        <v>134</v>
      </c>
      <c r="DC1469" t="s">
        <v>114</v>
      </c>
      <c r="DD1469" t="s">
        <v>134</v>
      </c>
    </row>
    <row r="1470" spans="1:108" ht="15" customHeight="1" x14ac:dyDescent="0.25">
      <c r="A1470" t="s">
        <v>14291</v>
      </c>
      <c r="B1470" t="s">
        <v>141</v>
      </c>
      <c r="C1470" s="1">
        <v>44896.003704976851</v>
      </c>
      <c r="D1470" s="1">
        <v>44897</v>
      </c>
      <c r="E1470" t="s">
        <v>134</v>
      </c>
      <c r="F1470" t="s">
        <v>1331</v>
      </c>
      <c r="G1470" t="str">
        <f>"35-2014.00"</f>
        <v>35-2014.00</v>
      </c>
      <c r="H1470" t="s">
        <v>915</v>
      </c>
      <c r="I1470">
        <v>8</v>
      </c>
      <c r="K1470" s="1">
        <v>44986</v>
      </c>
      <c r="L1470" s="1">
        <v>45177</v>
      </c>
      <c r="O1470" t="s">
        <v>117</v>
      </c>
      <c r="P1470" t="s">
        <v>3154</v>
      </c>
      <c r="R1470" t="s">
        <v>3155</v>
      </c>
      <c r="T1470" t="s">
        <v>3156</v>
      </c>
      <c r="U1470" t="s">
        <v>154</v>
      </c>
      <c r="V1470" s="4" t="str">
        <f>"34747"</f>
        <v>34747</v>
      </c>
      <c r="W1470" t="s">
        <v>120</v>
      </c>
      <c r="Y1470" s="5">
        <v>14074777025</v>
      </c>
      <c r="AA1470">
        <v>72111</v>
      </c>
      <c r="AB1470" t="s">
        <v>1335</v>
      </c>
      <c r="AC1470" t="s">
        <v>1336</v>
      </c>
      <c r="AE1470" t="s">
        <v>1337</v>
      </c>
      <c r="AF1470" t="s">
        <v>1338</v>
      </c>
      <c r="AH1470" t="s">
        <v>1339</v>
      </c>
      <c r="AI1470" t="s">
        <v>154</v>
      </c>
      <c r="AJ1470" s="4" t="str">
        <f t="shared" si="71"/>
        <v>32819</v>
      </c>
      <c r="AK1470" t="s">
        <v>120</v>
      </c>
      <c r="AM1470" s="5">
        <v>14073956456</v>
      </c>
      <c r="AO1470" t="s">
        <v>1340</v>
      </c>
      <c r="AP1470" t="s">
        <v>256</v>
      </c>
      <c r="AQ1470" t="s">
        <v>400</v>
      </c>
      <c r="AR1470" t="s">
        <v>401</v>
      </c>
      <c r="AS1470" t="s">
        <v>397</v>
      </c>
      <c r="AT1470" t="s">
        <v>402</v>
      </c>
      <c r="AU1470" t="s">
        <v>152</v>
      </c>
      <c r="AV1470" t="s">
        <v>403</v>
      </c>
      <c r="AW1470" t="s">
        <v>232</v>
      </c>
      <c r="AX1470" s="4" t="str">
        <f t="shared" si="72"/>
        <v>75033</v>
      </c>
      <c r="AY1470" t="s">
        <v>120</v>
      </c>
      <c r="BA1470" s="5">
        <v>19727789690</v>
      </c>
      <c r="BC1470" t="s">
        <v>1908</v>
      </c>
      <c r="BD1470" t="s">
        <v>405</v>
      </c>
      <c r="BG1470" t="s">
        <v>154</v>
      </c>
      <c r="BH1470" s="1">
        <v>44895.791666666664</v>
      </c>
      <c r="BI1470">
        <v>40</v>
      </c>
      <c r="BJ1470">
        <v>8</v>
      </c>
      <c r="BK1470">
        <v>0</v>
      </c>
      <c r="BL1470">
        <v>8</v>
      </c>
      <c r="BM1470">
        <v>8</v>
      </c>
      <c r="BN1470">
        <v>0</v>
      </c>
      <c r="BO1470">
        <v>8</v>
      </c>
      <c r="BP1470">
        <v>8</v>
      </c>
      <c r="BQ1470" t="str">
        <f>"9:00 AM"</f>
        <v>9:00 AM</v>
      </c>
      <c r="BR1470" t="str">
        <f>"5:30 PM"</f>
        <v>5:30 PM</v>
      </c>
      <c r="BS1470" t="s">
        <v>133</v>
      </c>
      <c r="BT1470">
        <v>0</v>
      </c>
      <c r="BU1470">
        <v>0</v>
      </c>
      <c r="BV1470" t="s">
        <v>134</v>
      </c>
      <c r="BX1470" s="2" t="s">
        <v>14292</v>
      </c>
      <c r="BY1470" t="s">
        <v>3155</v>
      </c>
      <c r="CA1470" t="s">
        <v>3156</v>
      </c>
      <c r="CB1470" t="s">
        <v>154</v>
      </c>
      <c r="CC1470" s="4" t="str">
        <f>"34747"</f>
        <v>34747</v>
      </c>
      <c r="CD1470" t="s">
        <v>3158</v>
      </c>
      <c r="CE1470" t="s">
        <v>3159</v>
      </c>
      <c r="CF1470" s="6">
        <v>15.16</v>
      </c>
      <c r="CG1470" s="6">
        <v>15.16</v>
      </c>
      <c r="CH1470" s="6">
        <v>22.74</v>
      </c>
      <c r="CI1470" s="6">
        <v>22.74</v>
      </c>
      <c r="CJ1470" t="s">
        <v>137</v>
      </c>
      <c r="CK1470" t="s">
        <v>593</v>
      </c>
      <c r="CL1470" t="s">
        <v>6830</v>
      </c>
      <c r="CO1470" t="s">
        <v>138</v>
      </c>
      <c r="CP1470" t="s">
        <v>134</v>
      </c>
      <c r="CQ1470" t="s">
        <v>134</v>
      </c>
      <c r="CR1470" t="s">
        <v>114</v>
      </c>
      <c r="CS1470" t="s">
        <v>114</v>
      </c>
      <c r="CT1470" t="s">
        <v>114</v>
      </c>
      <c r="CU1470" t="s">
        <v>114</v>
      </c>
      <c r="CV1470" s="2" t="s">
        <v>3161</v>
      </c>
      <c r="CW1470" s="5" t="str">
        <f>"+14074777025"</f>
        <v>+14074777025</v>
      </c>
      <c r="CX1470" t="s">
        <v>138</v>
      </c>
      <c r="CY1470" t="s">
        <v>3162</v>
      </c>
      <c r="CZ1470" t="s">
        <v>139</v>
      </c>
      <c r="DA1470" t="s">
        <v>134</v>
      </c>
      <c r="DB1470" t="s">
        <v>134</v>
      </c>
      <c r="DC1470" t="s">
        <v>114</v>
      </c>
      <c r="DD1470" t="s">
        <v>134</v>
      </c>
    </row>
    <row r="1471" spans="1:108" ht="15" customHeight="1" x14ac:dyDescent="0.25">
      <c r="A1471" t="s">
        <v>3152</v>
      </c>
      <c r="B1471" t="s">
        <v>141</v>
      </c>
      <c r="C1471" s="1">
        <v>44896.003453240737</v>
      </c>
      <c r="D1471" s="1">
        <v>44897</v>
      </c>
      <c r="E1471" t="s">
        <v>134</v>
      </c>
      <c r="F1471" t="s">
        <v>3153</v>
      </c>
      <c r="G1471" t="str">
        <f>"39-3091.00"</f>
        <v>39-3091.00</v>
      </c>
      <c r="H1471" t="s">
        <v>362</v>
      </c>
      <c r="I1471">
        <v>18</v>
      </c>
      <c r="K1471" s="1">
        <v>44986</v>
      </c>
      <c r="L1471" s="1">
        <v>45177</v>
      </c>
      <c r="O1471" t="s">
        <v>117</v>
      </c>
      <c r="P1471" t="s">
        <v>3154</v>
      </c>
      <c r="R1471" t="s">
        <v>3155</v>
      </c>
      <c r="T1471" t="s">
        <v>3156</v>
      </c>
      <c r="U1471" t="s">
        <v>154</v>
      </c>
      <c r="V1471" s="4" t="str">
        <f>"34747"</f>
        <v>34747</v>
      </c>
      <c r="W1471" t="s">
        <v>120</v>
      </c>
      <c r="Y1471" s="5">
        <v>14074777025</v>
      </c>
      <c r="AA1471">
        <v>72111</v>
      </c>
      <c r="AB1471" t="s">
        <v>1335</v>
      </c>
      <c r="AC1471" t="s">
        <v>1336</v>
      </c>
      <c r="AE1471" t="s">
        <v>1337</v>
      </c>
      <c r="AF1471" t="s">
        <v>1338</v>
      </c>
      <c r="AH1471" t="s">
        <v>1339</v>
      </c>
      <c r="AI1471" t="s">
        <v>154</v>
      </c>
      <c r="AJ1471" s="4" t="str">
        <f t="shared" si="71"/>
        <v>32819</v>
      </c>
      <c r="AK1471" t="s">
        <v>120</v>
      </c>
      <c r="AM1471" s="5">
        <v>14073956456</v>
      </c>
      <c r="AO1471" t="s">
        <v>1340</v>
      </c>
      <c r="AP1471" t="s">
        <v>256</v>
      </c>
      <c r="AQ1471" t="s">
        <v>400</v>
      </c>
      <c r="AR1471" t="s">
        <v>401</v>
      </c>
      <c r="AS1471" t="s">
        <v>397</v>
      </c>
      <c r="AT1471" t="s">
        <v>402</v>
      </c>
      <c r="AU1471" t="s">
        <v>152</v>
      </c>
      <c r="AV1471" t="s">
        <v>403</v>
      </c>
      <c r="AW1471" t="s">
        <v>232</v>
      </c>
      <c r="AX1471" s="4" t="str">
        <f t="shared" si="72"/>
        <v>75033</v>
      </c>
      <c r="AY1471" t="s">
        <v>120</v>
      </c>
      <c r="BA1471" s="5">
        <v>19727789690</v>
      </c>
      <c r="BC1471" t="s">
        <v>1908</v>
      </c>
      <c r="BD1471" t="s">
        <v>405</v>
      </c>
      <c r="BG1471" t="s">
        <v>154</v>
      </c>
      <c r="BH1471" s="1">
        <v>44895.791666666664</v>
      </c>
      <c r="BI1471">
        <v>40</v>
      </c>
      <c r="BJ1471">
        <v>8</v>
      </c>
      <c r="BK1471">
        <v>0</v>
      </c>
      <c r="BL1471">
        <v>8</v>
      </c>
      <c r="BM1471">
        <v>8</v>
      </c>
      <c r="BN1471">
        <v>0</v>
      </c>
      <c r="BO1471">
        <v>8</v>
      </c>
      <c r="BP1471">
        <v>8</v>
      </c>
      <c r="BQ1471" t="str">
        <f>"11:00 AM"</f>
        <v>11:00 AM</v>
      </c>
      <c r="BR1471" t="str">
        <f>"7:30 PM"</f>
        <v>7:30 PM</v>
      </c>
      <c r="BS1471" t="s">
        <v>133</v>
      </c>
      <c r="BT1471">
        <v>0</v>
      </c>
      <c r="BU1471">
        <v>0</v>
      </c>
      <c r="BV1471" t="s">
        <v>134</v>
      </c>
      <c r="BX1471" s="2" t="s">
        <v>3157</v>
      </c>
      <c r="BY1471" t="s">
        <v>3155</v>
      </c>
      <c r="CA1471" t="s">
        <v>3156</v>
      </c>
      <c r="CB1471" t="s">
        <v>154</v>
      </c>
      <c r="CC1471" s="4" t="str">
        <f>"34747"</f>
        <v>34747</v>
      </c>
      <c r="CD1471" t="s">
        <v>3158</v>
      </c>
      <c r="CE1471" t="s">
        <v>3159</v>
      </c>
      <c r="CF1471" s="6">
        <v>14</v>
      </c>
      <c r="CG1471" s="6">
        <v>14</v>
      </c>
      <c r="CH1471" s="6">
        <v>21</v>
      </c>
      <c r="CI1471" s="6">
        <v>21</v>
      </c>
      <c r="CJ1471" t="s">
        <v>137</v>
      </c>
      <c r="CK1471" t="s">
        <v>593</v>
      </c>
      <c r="CL1471" t="s">
        <v>3160</v>
      </c>
      <c r="CO1471" t="s">
        <v>138</v>
      </c>
      <c r="CP1471" t="s">
        <v>134</v>
      </c>
      <c r="CQ1471" t="s">
        <v>134</v>
      </c>
      <c r="CR1471" t="s">
        <v>114</v>
      </c>
      <c r="CS1471" t="s">
        <v>114</v>
      </c>
      <c r="CT1471" t="s">
        <v>114</v>
      </c>
      <c r="CU1471" t="s">
        <v>114</v>
      </c>
      <c r="CV1471" s="2" t="s">
        <v>3161</v>
      </c>
      <c r="CW1471" s="5" t="str">
        <f>"+14074777025"</f>
        <v>+14074777025</v>
      </c>
      <c r="CX1471" t="s">
        <v>138</v>
      </c>
      <c r="CY1471" t="s">
        <v>3162</v>
      </c>
      <c r="CZ1471" t="s">
        <v>139</v>
      </c>
      <c r="DA1471" t="s">
        <v>134</v>
      </c>
      <c r="DB1471" t="s">
        <v>134</v>
      </c>
      <c r="DC1471" t="s">
        <v>114</v>
      </c>
      <c r="DD1471" t="s">
        <v>134</v>
      </c>
    </row>
    <row r="1472" spans="1:108" ht="15" customHeight="1" x14ac:dyDescent="0.25">
      <c r="A1472" t="s">
        <v>4877</v>
      </c>
      <c r="B1472" t="s">
        <v>141</v>
      </c>
      <c r="C1472" s="1">
        <v>44896.003221874998</v>
      </c>
      <c r="D1472" s="1">
        <v>44897</v>
      </c>
      <c r="E1472" t="s">
        <v>134</v>
      </c>
      <c r="F1472" t="s">
        <v>4878</v>
      </c>
      <c r="G1472" t="str">
        <f>"43-4081.00"</f>
        <v>43-4081.00</v>
      </c>
      <c r="H1472" t="s">
        <v>2463</v>
      </c>
      <c r="I1472">
        <v>5</v>
      </c>
      <c r="K1472" s="1">
        <v>44986</v>
      </c>
      <c r="L1472" s="1">
        <v>45177</v>
      </c>
      <c r="O1472" t="s">
        <v>117</v>
      </c>
      <c r="P1472" t="s">
        <v>3154</v>
      </c>
      <c r="R1472" t="s">
        <v>3155</v>
      </c>
      <c r="T1472" t="s">
        <v>3156</v>
      </c>
      <c r="U1472" t="s">
        <v>154</v>
      </c>
      <c r="V1472" s="4" t="str">
        <f>"34747"</f>
        <v>34747</v>
      </c>
      <c r="W1472" t="s">
        <v>120</v>
      </c>
      <c r="Y1472" s="5">
        <v>14074777025</v>
      </c>
      <c r="AA1472">
        <v>72111</v>
      </c>
      <c r="AB1472" t="s">
        <v>1335</v>
      </c>
      <c r="AC1472" t="s">
        <v>1336</v>
      </c>
      <c r="AE1472" t="s">
        <v>1337</v>
      </c>
      <c r="AF1472" t="s">
        <v>1338</v>
      </c>
      <c r="AH1472" t="s">
        <v>1339</v>
      </c>
      <c r="AI1472" t="s">
        <v>154</v>
      </c>
      <c r="AJ1472" s="4" t="str">
        <f t="shared" si="71"/>
        <v>32819</v>
      </c>
      <c r="AK1472" t="s">
        <v>120</v>
      </c>
      <c r="AM1472" s="5">
        <v>14073956456</v>
      </c>
      <c r="AO1472" t="s">
        <v>1340</v>
      </c>
      <c r="AP1472" t="s">
        <v>256</v>
      </c>
      <c r="AQ1472" t="s">
        <v>400</v>
      </c>
      <c r="AR1472" t="s">
        <v>401</v>
      </c>
      <c r="AS1472" t="s">
        <v>397</v>
      </c>
      <c r="AT1472" t="s">
        <v>402</v>
      </c>
      <c r="AU1472" t="s">
        <v>152</v>
      </c>
      <c r="AV1472" t="s">
        <v>403</v>
      </c>
      <c r="AW1472" t="s">
        <v>232</v>
      </c>
      <c r="AX1472" s="4" t="str">
        <f t="shared" si="72"/>
        <v>75033</v>
      </c>
      <c r="AY1472" t="s">
        <v>120</v>
      </c>
      <c r="BA1472" s="5">
        <v>19727789690</v>
      </c>
      <c r="BC1472" t="s">
        <v>1908</v>
      </c>
      <c r="BD1472" t="s">
        <v>405</v>
      </c>
      <c r="BG1472" t="s">
        <v>154</v>
      </c>
      <c r="BH1472" s="1">
        <v>44895.791666666664</v>
      </c>
      <c r="BI1472">
        <v>40</v>
      </c>
      <c r="BJ1472">
        <v>8</v>
      </c>
      <c r="BK1472">
        <v>0</v>
      </c>
      <c r="BL1472">
        <v>8</v>
      </c>
      <c r="BM1472">
        <v>8</v>
      </c>
      <c r="BN1472">
        <v>0</v>
      </c>
      <c r="BO1472">
        <v>8</v>
      </c>
      <c r="BP1472">
        <v>8</v>
      </c>
      <c r="BQ1472" t="str">
        <f>"7:00 AM"</f>
        <v>7:00 AM</v>
      </c>
      <c r="BR1472" t="str">
        <f>"3:30 PM"</f>
        <v>3:30 PM</v>
      </c>
      <c r="BS1472" t="s">
        <v>133</v>
      </c>
      <c r="BT1472">
        <v>0</v>
      </c>
      <c r="BU1472">
        <v>0</v>
      </c>
      <c r="BV1472" t="s">
        <v>134</v>
      </c>
      <c r="BX1472" s="2" t="s">
        <v>4879</v>
      </c>
      <c r="BY1472" t="s">
        <v>3155</v>
      </c>
      <c r="CA1472" t="s">
        <v>3156</v>
      </c>
      <c r="CB1472" t="s">
        <v>154</v>
      </c>
      <c r="CC1472" s="4" t="str">
        <f>"34747"</f>
        <v>34747</v>
      </c>
      <c r="CD1472" t="s">
        <v>3158</v>
      </c>
      <c r="CE1472" t="s">
        <v>3159</v>
      </c>
      <c r="CF1472" s="6">
        <v>15</v>
      </c>
      <c r="CG1472" s="6">
        <v>15</v>
      </c>
      <c r="CH1472" s="6">
        <v>22.5</v>
      </c>
      <c r="CI1472" s="6">
        <v>22.5</v>
      </c>
      <c r="CJ1472" t="s">
        <v>137</v>
      </c>
      <c r="CK1472" t="s">
        <v>593</v>
      </c>
      <c r="CL1472" t="s">
        <v>4880</v>
      </c>
      <c r="CO1472" t="s">
        <v>138</v>
      </c>
      <c r="CP1472" t="s">
        <v>134</v>
      </c>
      <c r="CQ1472" t="s">
        <v>134</v>
      </c>
      <c r="CR1472" t="s">
        <v>114</v>
      </c>
      <c r="CS1472" t="s">
        <v>114</v>
      </c>
      <c r="CT1472" t="s">
        <v>114</v>
      </c>
      <c r="CU1472" t="s">
        <v>114</v>
      </c>
      <c r="CV1472" s="2" t="s">
        <v>4881</v>
      </c>
      <c r="CW1472" s="5" t="str">
        <f>"+14074777025"</f>
        <v>+14074777025</v>
      </c>
      <c r="CX1472" t="s">
        <v>138</v>
      </c>
      <c r="CY1472" t="s">
        <v>3162</v>
      </c>
      <c r="CZ1472" t="s">
        <v>139</v>
      </c>
      <c r="DA1472" t="s">
        <v>134</v>
      </c>
      <c r="DB1472" t="s">
        <v>134</v>
      </c>
      <c r="DC1472" t="s">
        <v>114</v>
      </c>
      <c r="DD1472" t="s">
        <v>134</v>
      </c>
    </row>
    <row r="1473" spans="1:113" ht="15" customHeight="1" x14ac:dyDescent="0.25">
      <c r="A1473" t="s">
        <v>13581</v>
      </c>
      <c r="B1473" t="s">
        <v>141</v>
      </c>
      <c r="C1473" s="1">
        <v>44896.002879050924</v>
      </c>
      <c r="D1473" s="1">
        <v>44897</v>
      </c>
      <c r="E1473" t="s">
        <v>134</v>
      </c>
      <c r="F1473" t="s">
        <v>13582</v>
      </c>
      <c r="G1473" t="str">
        <f>"41-2011.00"</f>
        <v>41-2011.00</v>
      </c>
      <c r="H1473" t="s">
        <v>2608</v>
      </c>
      <c r="I1473">
        <v>4</v>
      </c>
      <c r="K1473" s="1">
        <v>44986</v>
      </c>
      <c r="L1473" s="1">
        <v>45200</v>
      </c>
      <c r="O1473" t="s">
        <v>117</v>
      </c>
      <c r="P1473" t="s">
        <v>1332</v>
      </c>
      <c r="R1473" t="s">
        <v>1333</v>
      </c>
      <c r="T1473" t="s">
        <v>1334</v>
      </c>
      <c r="U1473" t="s">
        <v>232</v>
      </c>
      <c r="V1473" s="4" t="str">
        <f>"78133"</f>
        <v>78133</v>
      </c>
      <c r="W1473" t="s">
        <v>120</v>
      </c>
      <c r="Y1473" s="5">
        <v>18309354355</v>
      </c>
      <c r="AA1473">
        <v>72111</v>
      </c>
      <c r="AB1473" t="s">
        <v>1335</v>
      </c>
      <c r="AC1473" t="s">
        <v>1336</v>
      </c>
      <c r="AE1473" t="s">
        <v>1337</v>
      </c>
      <c r="AF1473" t="s">
        <v>1338</v>
      </c>
      <c r="AH1473" t="s">
        <v>1339</v>
      </c>
      <c r="AI1473" t="s">
        <v>154</v>
      </c>
      <c r="AJ1473" s="4" t="str">
        <f t="shared" si="71"/>
        <v>32819</v>
      </c>
      <c r="AK1473" t="s">
        <v>120</v>
      </c>
      <c r="AM1473" s="5">
        <v>14073956456</v>
      </c>
      <c r="AO1473" t="s">
        <v>1340</v>
      </c>
      <c r="AP1473" t="s">
        <v>256</v>
      </c>
      <c r="AQ1473" t="s">
        <v>400</v>
      </c>
      <c r="AR1473" t="s">
        <v>401</v>
      </c>
      <c r="AS1473" t="s">
        <v>397</v>
      </c>
      <c r="AT1473" t="s">
        <v>402</v>
      </c>
      <c r="AU1473" t="s">
        <v>152</v>
      </c>
      <c r="AV1473" t="s">
        <v>403</v>
      </c>
      <c r="AW1473" t="s">
        <v>232</v>
      </c>
      <c r="AX1473" s="4" t="str">
        <f t="shared" si="72"/>
        <v>75033</v>
      </c>
      <c r="AY1473" t="s">
        <v>120</v>
      </c>
      <c r="BA1473" s="5">
        <v>19727789690</v>
      </c>
      <c r="BC1473" t="s">
        <v>1908</v>
      </c>
      <c r="BD1473" t="s">
        <v>405</v>
      </c>
      <c r="BG1473" t="s">
        <v>232</v>
      </c>
      <c r="BH1473" s="1">
        <v>44895.791666666664</v>
      </c>
      <c r="BI1473">
        <v>40</v>
      </c>
      <c r="BJ1473">
        <v>8</v>
      </c>
      <c r="BK1473">
        <v>0</v>
      </c>
      <c r="BL1473">
        <v>8</v>
      </c>
      <c r="BM1473">
        <v>8</v>
      </c>
      <c r="BN1473">
        <v>0</v>
      </c>
      <c r="BO1473">
        <v>8</v>
      </c>
      <c r="BP1473">
        <v>8</v>
      </c>
      <c r="BQ1473" t="str">
        <f>"8:00 AM"</f>
        <v>8:00 AM</v>
      </c>
      <c r="BR1473" t="str">
        <f>"4:30 PM"</f>
        <v>4:30 PM</v>
      </c>
      <c r="BS1473" t="s">
        <v>133</v>
      </c>
      <c r="BT1473">
        <v>0</v>
      </c>
      <c r="BU1473">
        <v>0</v>
      </c>
      <c r="BV1473" t="s">
        <v>134</v>
      </c>
      <c r="BX1473" s="2" t="s">
        <v>13583</v>
      </c>
      <c r="BY1473" t="s">
        <v>1333</v>
      </c>
      <c r="CA1473" t="s">
        <v>1334</v>
      </c>
      <c r="CB1473" t="s">
        <v>232</v>
      </c>
      <c r="CC1473" s="4" t="str">
        <f>"78133"</f>
        <v>78133</v>
      </c>
      <c r="CD1473" t="s">
        <v>1341</v>
      </c>
      <c r="CE1473" t="s">
        <v>1342</v>
      </c>
      <c r="CF1473" s="6">
        <v>12.5</v>
      </c>
      <c r="CG1473" s="6">
        <v>12.5</v>
      </c>
      <c r="CH1473" s="6">
        <v>18.75</v>
      </c>
      <c r="CI1473" s="6">
        <v>18.75</v>
      </c>
      <c r="CJ1473" t="s">
        <v>137</v>
      </c>
      <c r="CK1473" t="s">
        <v>950</v>
      </c>
      <c r="CL1473" t="s">
        <v>13584</v>
      </c>
      <c r="CO1473" t="s">
        <v>138</v>
      </c>
      <c r="CP1473" t="s">
        <v>134</v>
      </c>
      <c r="CQ1473" t="s">
        <v>134</v>
      </c>
      <c r="CR1473" t="s">
        <v>114</v>
      </c>
      <c r="CS1473" t="s">
        <v>114</v>
      </c>
      <c r="CT1473" t="s">
        <v>114</v>
      </c>
      <c r="CU1473" t="s">
        <v>114</v>
      </c>
      <c r="CV1473" s="2" t="s">
        <v>8413</v>
      </c>
      <c r="CW1473" s="5" t="str">
        <f>"+18309354355"</f>
        <v>+18309354355</v>
      </c>
      <c r="CX1473" t="s">
        <v>138</v>
      </c>
      <c r="CY1473" t="s">
        <v>953</v>
      </c>
      <c r="CZ1473" t="s">
        <v>139</v>
      </c>
      <c r="DA1473" t="s">
        <v>134</v>
      </c>
      <c r="DB1473" t="s">
        <v>134</v>
      </c>
      <c r="DC1473" t="s">
        <v>114</v>
      </c>
      <c r="DD1473" t="s">
        <v>134</v>
      </c>
    </row>
    <row r="1474" spans="1:113" ht="15" customHeight="1" x14ac:dyDescent="0.25">
      <c r="A1474" t="s">
        <v>12877</v>
      </c>
      <c r="B1474" t="s">
        <v>141</v>
      </c>
      <c r="C1474" s="1">
        <v>44896.00254976852</v>
      </c>
      <c r="D1474" s="1">
        <v>44897</v>
      </c>
      <c r="E1474" t="s">
        <v>134</v>
      </c>
      <c r="F1474" t="s">
        <v>4883</v>
      </c>
      <c r="G1474" t="str">
        <f>"49-9071.00"</f>
        <v>49-9071.00</v>
      </c>
      <c r="H1474" t="s">
        <v>2375</v>
      </c>
      <c r="I1474">
        <v>4</v>
      </c>
      <c r="K1474" s="1">
        <v>44986</v>
      </c>
      <c r="L1474" s="1">
        <v>45200</v>
      </c>
      <c r="O1474" t="s">
        <v>117</v>
      </c>
      <c r="P1474" t="s">
        <v>1332</v>
      </c>
      <c r="R1474" t="s">
        <v>1333</v>
      </c>
      <c r="T1474" t="s">
        <v>1334</v>
      </c>
      <c r="U1474" t="s">
        <v>232</v>
      </c>
      <c r="V1474" s="4" t="str">
        <f>"78133"</f>
        <v>78133</v>
      </c>
      <c r="W1474" t="s">
        <v>120</v>
      </c>
      <c r="Y1474" s="5">
        <v>18309354355</v>
      </c>
      <c r="AA1474">
        <v>72111</v>
      </c>
      <c r="AB1474" t="s">
        <v>1335</v>
      </c>
      <c r="AC1474" t="s">
        <v>1336</v>
      </c>
      <c r="AE1474" t="s">
        <v>1337</v>
      </c>
      <c r="AF1474" t="s">
        <v>1338</v>
      </c>
      <c r="AH1474" t="s">
        <v>1339</v>
      </c>
      <c r="AI1474" t="s">
        <v>154</v>
      </c>
      <c r="AJ1474" s="4" t="str">
        <f t="shared" si="71"/>
        <v>32819</v>
      </c>
      <c r="AK1474" t="s">
        <v>120</v>
      </c>
      <c r="AM1474" s="5">
        <v>14073956456</v>
      </c>
      <c r="AO1474" t="s">
        <v>1340</v>
      </c>
      <c r="AP1474" t="s">
        <v>256</v>
      </c>
      <c r="AQ1474" t="s">
        <v>400</v>
      </c>
      <c r="AR1474" t="s">
        <v>401</v>
      </c>
      <c r="AS1474" t="s">
        <v>397</v>
      </c>
      <c r="AT1474" t="s">
        <v>402</v>
      </c>
      <c r="AU1474" t="s">
        <v>152</v>
      </c>
      <c r="AV1474" t="s">
        <v>403</v>
      </c>
      <c r="AW1474" t="s">
        <v>232</v>
      </c>
      <c r="AX1474" s="4" t="str">
        <f t="shared" si="72"/>
        <v>75033</v>
      </c>
      <c r="AY1474" t="s">
        <v>120</v>
      </c>
      <c r="BA1474" s="5">
        <v>19727789690</v>
      </c>
      <c r="BC1474" t="s">
        <v>1908</v>
      </c>
      <c r="BD1474" t="s">
        <v>405</v>
      </c>
      <c r="BG1474" t="s">
        <v>232</v>
      </c>
      <c r="BH1474" s="1">
        <v>44895.791666666664</v>
      </c>
      <c r="BI1474">
        <v>40</v>
      </c>
      <c r="BJ1474">
        <v>8</v>
      </c>
      <c r="BK1474">
        <v>0</v>
      </c>
      <c r="BL1474">
        <v>8</v>
      </c>
      <c r="BM1474">
        <v>8</v>
      </c>
      <c r="BN1474">
        <v>0</v>
      </c>
      <c r="BO1474">
        <v>8</v>
      </c>
      <c r="BP1474">
        <v>8</v>
      </c>
      <c r="BQ1474" t="str">
        <f>"7:00 AM"</f>
        <v>7:00 AM</v>
      </c>
      <c r="BR1474" t="str">
        <f>"3:30 PM"</f>
        <v>3:30 PM</v>
      </c>
      <c r="BS1474" t="s">
        <v>133</v>
      </c>
      <c r="BT1474">
        <v>0</v>
      </c>
      <c r="BU1474">
        <v>0</v>
      </c>
      <c r="BV1474" t="s">
        <v>134</v>
      </c>
      <c r="BX1474" s="2" t="s">
        <v>12878</v>
      </c>
      <c r="BY1474" t="s">
        <v>1333</v>
      </c>
      <c r="CA1474" t="s">
        <v>1334</v>
      </c>
      <c r="CB1474" t="s">
        <v>232</v>
      </c>
      <c r="CC1474" s="4" t="str">
        <f>"78133"</f>
        <v>78133</v>
      </c>
      <c r="CD1474" t="s">
        <v>1341</v>
      </c>
      <c r="CE1474" t="s">
        <v>1342</v>
      </c>
      <c r="CF1474" s="6">
        <v>18.8</v>
      </c>
      <c r="CG1474" s="6">
        <v>18.8</v>
      </c>
      <c r="CH1474" s="6">
        <v>28.2</v>
      </c>
      <c r="CI1474" s="6">
        <v>28.2</v>
      </c>
      <c r="CJ1474" t="s">
        <v>137</v>
      </c>
      <c r="CK1474" t="s">
        <v>593</v>
      </c>
      <c r="CL1474" t="s">
        <v>12879</v>
      </c>
      <c r="CO1474" t="s">
        <v>138</v>
      </c>
      <c r="CP1474" t="s">
        <v>134</v>
      </c>
      <c r="CQ1474" t="s">
        <v>134</v>
      </c>
      <c r="CR1474" t="s">
        <v>114</v>
      </c>
      <c r="CS1474" t="s">
        <v>114</v>
      </c>
      <c r="CT1474" t="s">
        <v>114</v>
      </c>
      <c r="CU1474" t="s">
        <v>114</v>
      </c>
      <c r="CV1474" s="2" t="s">
        <v>12880</v>
      </c>
      <c r="CW1474" s="5" t="str">
        <f>"+18309354355"</f>
        <v>+18309354355</v>
      </c>
      <c r="CX1474" t="s">
        <v>138</v>
      </c>
      <c r="CY1474" t="s">
        <v>953</v>
      </c>
      <c r="CZ1474" t="s">
        <v>139</v>
      </c>
      <c r="DA1474" t="s">
        <v>134</v>
      </c>
      <c r="DB1474" t="s">
        <v>134</v>
      </c>
      <c r="DC1474" t="s">
        <v>114</v>
      </c>
      <c r="DD1474" t="s">
        <v>134</v>
      </c>
    </row>
    <row r="1475" spans="1:113" ht="15" customHeight="1" x14ac:dyDescent="0.25">
      <c r="A1475" t="s">
        <v>4872</v>
      </c>
      <c r="B1475" t="s">
        <v>141</v>
      </c>
      <c r="C1475" s="1">
        <v>44896.002221643517</v>
      </c>
      <c r="D1475" s="1">
        <v>44897</v>
      </c>
      <c r="E1475" t="s">
        <v>134</v>
      </c>
      <c r="F1475" t="s">
        <v>4873</v>
      </c>
      <c r="G1475" t="str">
        <f>"35-3031.00"</f>
        <v>35-3031.00</v>
      </c>
      <c r="H1475" t="s">
        <v>389</v>
      </c>
      <c r="I1475">
        <v>5</v>
      </c>
      <c r="K1475" s="1">
        <v>44986</v>
      </c>
      <c r="L1475" s="1">
        <v>45200</v>
      </c>
      <c r="O1475" t="s">
        <v>117</v>
      </c>
      <c r="P1475" t="s">
        <v>1332</v>
      </c>
      <c r="R1475" t="s">
        <v>1333</v>
      </c>
      <c r="T1475" t="s">
        <v>1334</v>
      </c>
      <c r="U1475" t="s">
        <v>232</v>
      </c>
      <c r="V1475" s="4" t="str">
        <f>"78133"</f>
        <v>78133</v>
      </c>
      <c r="W1475" t="s">
        <v>120</v>
      </c>
      <c r="Y1475" s="5">
        <v>18309354355</v>
      </c>
      <c r="AA1475">
        <v>72111</v>
      </c>
      <c r="AB1475" t="s">
        <v>1335</v>
      </c>
      <c r="AC1475" t="s">
        <v>1336</v>
      </c>
      <c r="AE1475" t="s">
        <v>1337</v>
      </c>
      <c r="AF1475" t="s">
        <v>1338</v>
      </c>
      <c r="AH1475" t="s">
        <v>1339</v>
      </c>
      <c r="AI1475" t="s">
        <v>154</v>
      </c>
      <c r="AJ1475" s="4" t="str">
        <f t="shared" si="71"/>
        <v>32819</v>
      </c>
      <c r="AK1475" t="s">
        <v>120</v>
      </c>
      <c r="AM1475" s="5">
        <v>14073956456</v>
      </c>
      <c r="AO1475" t="s">
        <v>1340</v>
      </c>
      <c r="AP1475" t="s">
        <v>256</v>
      </c>
      <c r="AQ1475" t="s">
        <v>400</v>
      </c>
      <c r="AR1475" t="s">
        <v>401</v>
      </c>
      <c r="AS1475" t="s">
        <v>397</v>
      </c>
      <c r="AT1475" t="s">
        <v>402</v>
      </c>
      <c r="AU1475" t="s">
        <v>152</v>
      </c>
      <c r="AV1475" t="s">
        <v>403</v>
      </c>
      <c r="AW1475" t="s">
        <v>232</v>
      </c>
      <c r="AX1475" s="4" t="str">
        <f t="shared" si="72"/>
        <v>75033</v>
      </c>
      <c r="AY1475" t="s">
        <v>120</v>
      </c>
      <c r="BA1475" s="5">
        <v>19727789690</v>
      </c>
      <c r="BC1475" t="s">
        <v>1908</v>
      </c>
      <c r="BD1475" t="s">
        <v>405</v>
      </c>
      <c r="BG1475" t="s">
        <v>232</v>
      </c>
      <c r="BH1475" s="1">
        <v>44895.791666666664</v>
      </c>
      <c r="BI1475">
        <v>40</v>
      </c>
      <c r="BJ1475">
        <v>8</v>
      </c>
      <c r="BK1475">
        <v>0</v>
      </c>
      <c r="BL1475">
        <v>8</v>
      </c>
      <c r="BM1475">
        <v>8</v>
      </c>
      <c r="BN1475">
        <v>0</v>
      </c>
      <c r="BO1475">
        <v>8</v>
      </c>
      <c r="BP1475">
        <v>8</v>
      </c>
      <c r="BQ1475" t="str">
        <f>"8:00 AM"</f>
        <v>8:00 AM</v>
      </c>
      <c r="BR1475" t="str">
        <f>"4:30 PM"</f>
        <v>4:30 PM</v>
      </c>
      <c r="BS1475" t="s">
        <v>133</v>
      </c>
      <c r="BT1475">
        <v>0</v>
      </c>
      <c r="BU1475">
        <v>0</v>
      </c>
      <c r="BV1475" t="s">
        <v>134</v>
      </c>
      <c r="BX1475" s="2" t="s">
        <v>4874</v>
      </c>
      <c r="BY1475" t="s">
        <v>1333</v>
      </c>
      <c r="CA1475" t="s">
        <v>1334</v>
      </c>
      <c r="CB1475" t="s">
        <v>232</v>
      </c>
      <c r="CC1475" s="4" t="str">
        <f>"78133"</f>
        <v>78133</v>
      </c>
      <c r="CD1475" t="s">
        <v>1341</v>
      </c>
      <c r="CE1475" t="s">
        <v>1342</v>
      </c>
      <c r="CF1475" s="6">
        <v>12.5</v>
      </c>
      <c r="CG1475" s="6">
        <v>12.5</v>
      </c>
      <c r="CH1475" s="6">
        <v>18.75</v>
      </c>
      <c r="CI1475" s="6">
        <v>18.75</v>
      </c>
      <c r="CJ1475" t="s">
        <v>137</v>
      </c>
      <c r="CK1475" t="s">
        <v>593</v>
      </c>
      <c r="CL1475" t="s">
        <v>4875</v>
      </c>
      <c r="CO1475" t="s">
        <v>138</v>
      </c>
      <c r="CP1475" t="s">
        <v>134</v>
      </c>
      <c r="CQ1475" t="s">
        <v>134</v>
      </c>
      <c r="CR1475" t="s">
        <v>114</v>
      </c>
      <c r="CS1475" t="s">
        <v>114</v>
      </c>
      <c r="CT1475" t="s">
        <v>114</v>
      </c>
      <c r="CU1475" t="s">
        <v>114</v>
      </c>
      <c r="CV1475" s="2" t="s">
        <v>4876</v>
      </c>
      <c r="CW1475" s="5" t="str">
        <f>"+18309354355"</f>
        <v>+18309354355</v>
      </c>
      <c r="CX1475" t="s">
        <v>138</v>
      </c>
      <c r="CY1475" t="s">
        <v>953</v>
      </c>
      <c r="CZ1475" t="s">
        <v>139</v>
      </c>
      <c r="DA1475" t="s">
        <v>134</v>
      </c>
      <c r="DB1475" t="s">
        <v>134</v>
      </c>
      <c r="DC1475" t="s">
        <v>114</v>
      </c>
      <c r="DD1475" t="s">
        <v>134</v>
      </c>
    </row>
    <row r="1476" spans="1:113" ht="15" customHeight="1" x14ac:dyDescent="0.25">
      <c r="A1476" t="s">
        <v>7323</v>
      </c>
      <c r="B1476" t="s">
        <v>141</v>
      </c>
      <c r="C1476" s="1">
        <v>44896.001898958333</v>
      </c>
      <c r="D1476" s="1">
        <v>44897</v>
      </c>
      <c r="E1476" t="s">
        <v>134</v>
      </c>
      <c r="F1476" t="s">
        <v>1331</v>
      </c>
      <c r="G1476" t="str">
        <f>"35-2014.00"</f>
        <v>35-2014.00</v>
      </c>
      <c r="H1476" t="s">
        <v>915</v>
      </c>
      <c r="I1476">
        <v>2</v>
      </c>
      <c r="K1476" s="1">
        <v>44986</v>
      </c>
      <c r="L1476" s="1">
        <v>45200</v>
      </c>
      <c r="O1476" t="s">
        <v>117</v>
      </c>
      <c r="P1476" t="s">
        <v>1332</v>
      </c>
      <c r="R1476" t="s">
        <v>1333</v>
      </c>
      <c r="T1476" t="s">
        <v>1334</v>
      </c>
      <c r="U1476" t="s">
        <v>232</v>
      </c>
      <c r="V1476" s="4" t="str">
        <f>"78133"</f>
        <v>78133</v>
      </c>
      <c r="W1476" t="s">
        <v>120</v>
      </c>
      <c r="Y1476" s="5">
        <v>18309354355</v>
      </c>
      <c r="AA1476">
        <v>72111</v>
      </c>
      <c r="AB1476" t="s">
        <v>1335</v>
      </c>
      <c r="AC1476" t="s">
        <v>1336</v>
      </c>
      <c r="AE1476" t="s">
        <v>1337</v>
      </c>
      <c r="AF1476" t="s">
        <v>1338</v>
      </c>
      <c r="AH1476" t="s">
        <v>1339</v>
      </c>
      <c r="AI1476" t="s">
        <v>154</v>
      </c>
      <c r="AJ1476" s="4" t="str">
        <f t="shared" si="71"/>
        <v>32819</v>
      </c>
      <c r="AK1476" t="s">
        <v>120</v>
      </c>
      <c r="AM1476" s="5">
        <v>14073956456</v>
      </c>
      <c r="AO1476" t="s">
        <v>1340</v>
      </c>
      <c r="AP1476" t="s">
        <v>256</v>
      </c>
      <c r="AQ1476" t="s">
        <v>400</v>
      </c>
      <c r="AR1476" t="s">
        <v>401</v>
      </c>
      <c r="AS1476" t="s">
        <v>397</v>
      </c>
      <c r="AT1476" t="s">
        <v>402</v>
      </c>
      <c r="AU1476" t="s">
        <v>152</v>
      </c>
      <c r="AV1476" t="s">
        <v>403</v>
      </c>
      <c r="AW1476" t="s">
        <v>232</v>
      </c>
      <c r="AX1476" s="4" t="str">
        <f t="shared" si="72"/>
        <v>75033</v>
      </c>
      <c r="AY1476" t="s">
        <v>120</v>
      </c>
      <c r="BA1476" s="5">
        <v>19727789690</v>
      </c>
      <c r="BC1476" t="s">
        <v>1908</v>
      </c>
      <c r="BD1476" t="s">
        <v>405</v>
      </c>
      <c r="BG1476" t="s">
        <v>232</v>
      </c>
      <c r="BH1476" s="1">
        <v>44895.791666666664</v>
      </c>
      <c r="BI1476">
        <v>40</v>
      </c>
      <c r="BJ1476">
        <v>8</v>
      </c>
      <c r="BK1476">
        <v>0</v>
      </c>
      <c r="BL1476">
        <v>8</v>
      </c>
      <c r="BM1476">
        <v>8</v>
      </c>
      <c r="BN1476">
        <v>8</v>
      </c>
      <c r="BO1476">
        <v>0</v>
      </c>
      <c r="BP1476">
        <v>8</v>
      </c>
      <c r="BQ1476" t="str">
        <f>"9:00 AM"</f>
        <v>9:00 AM</v>
      </c>
      <c r="BR1476" t="str">
        <f>"5:30 PM"</f>
        <v>5:30 PM</v>
      </c>
      <c r="BS1476" t="s">
        <v>133</v>
      </c>
      <c r="BT1476">
        <v>0</v>
      </c>
      <c r="BU1476">
        <v>0</v>
      </c>
      <c r="BV1476" t="s">
        <v>134</v>
      </c>
      <c r="BX1476" s="2" t="s">
        <v>7324</v>
      </c>
      <c r="BY1476" t="s">
        <v>1333</v>
      </c>
      <c r="CA1476" t="s">
        <v>1334</v>
      </c>
      <c r="CB1476" t="s">
        <v>232</v>
      </c>
      <c r="CC1476" s="4" t="str">
        <f>"78133"</f>
        <v>78133</v>
      </c>
      <c r="CD1476" t="s">
        <v>1341</v>
      </c>
      <c r="CE1476" t="s">
        <v>1342</v>
      </c>
      <c r="CF1476" s="6">
        <v>16</v>
      </c>
      <c r="CG1476" s="6">
        <v>16</v>
      </c>
      <c r="CH1476" s="6">
        <v>24</v>
      </c>
      <c r="CI1476" s="6">
        <v>24</v>
      </c>
      <c r="CJ1476" t="s">
        <v>137</v>
      </c>
      <c r="CK1476" t="s">
        <v>950</v>
      </c>
      <c r="CL1476" t="s">
        <v>1343</v>
      </c>
      <c r="CO1476" t="s">
        <v>138</v>
      </c>
      <c r="CP1476" t="s">
        <v>134</v>
      </c>
      <c r="CQ1476" t="s">
        <v>134</v>
      </c>
      <c r="CR1476" t="s">
        <v>114</v>
      </c>
      <c r="CS1476" t="s">
        <v>114</v>
      </c>
      <c r="CT1476" t="s">
        <v>114</v>
      </c>
      <c r="CU1476" t="s">
        <v>114</v>
      </c>
      <c r="CV1476" s="2" t="s">
        <v>7325</v>
      </c>
      <c r="CW1476" s="5" t="str">
        <f>"+18309354355"</f>
        <v>+18309354355</v>
      </c>
      <c r="CX1476" t="s">
        <v>138</v>
      </c>
      <c r="CY1476" t="s">
        <v>953</v>
      </c>
      <c r="CZ1476" t="s">
        <v>139</v>
      </c>
      <c r="DA1476" t="s">
        <v>134</v>
      </c>
      <c r="DB1476" t="s">
        <v>134</v>
      </c>
      <c r="DC1476" t="s">
        <v>114</v>
      </c>
      <c r="DD1476" t="s">
        <v>134</v>
      </c>
    </row>
    <row r="1477" spans="1:113" ht="15" customHeight="1" x14ac:dyDescent="0.25">
      <c r="A1477" t="s">
        <v>9369</v>
      </c>
      <c r="B1477" t="s">
        <v>141</v>
      </c>
      <c r="C1477" s="1">
        <v>44896.001540046294</v>
      </c>
      <c r="D1477" s="1">
        <v>44897</v>
      </c>
      <c r="E1477" t="s">
        <v>134</v>
      </c>
      <c r="F1477" t="s">
        <v>2431</v>
      </c>
      <c r="G1477" t="str">
        <f>"33-9092.00"</f>
        <v>33-9092.00</v>
      </c>
      <c r="H1477" t="s">
        <v>1142</v>
      </c>
      <c r="I1477">
        <v>3</v>
      </c>
      <c r="K1477" s="1">
        <v>44986</v>
      </c>
      <c r="L1477" s="1">
        <v>45231</v>
      </c>
      <c r="O1477" t="s">
        <v>117</v>
      </c>
      <c r="P1477" t="s">
        <v>8408</v>
      </c>
      <c r="R1477" t="s">
        <v>8409</v>
      </c>
      <c r="T1477" t="s">
        <v>3506</v>
      </c>
      <c r="U1477" t="s">
        <v>184</v>
      </c>
      <c r="V1477" s="4" t="str">
        <f>"60551"</f>
        <v>60551</v>
      </c>
      <c r="W1477" t="s">
        <v>120</v>
      </c>
      <c r="Y1477" s="5">
        <v>18154962369</v>
      </c>
      <c r="AA1477">
        <v>72111</v>
      </c>
      <c r="AB1477" t="s">
        <v>1335</v>
      </c>
      <c r="AC1477" t="s">
        <v>1336</v>
      </c>
      <c r="AE1477" t="s">
        <v>1337</v>
      </c>
      <c r="AF1477" t="s">
        <v>1338</v>
      </c>
      <c r="AH1477" t="s">
        <v>1339</v>
      </c>
      <c r="AI1477" t="s">
        <v>154</v>
      </c>
      <c r="AJ1477" s="4" t="str">
        <f t="shared" si="71"/>
        <v>32819</v>
      </c>
      <c r="AK1477" t="s">
        <v>120</v>
      </c>
      <c r="AM1477" s="5">
        <v>14073956456</v>
      </c>
      <c r="AO1477" t="s">
        <v>1340</v>
      </c>
      <c r="AP1477" t="s">
        <v>256</v>
      </c>
      <c r="AQ1477" t="s">
        <v>400</v>
      </c>
      <c r="AR1477" t="s">
        <v>401</v>
      </c>
      <c r="AS1477" t="s">
        <v>397</v>
      </c>
      <c r="AT1477" t="s">
        <v>402</v>
      </c>
      <c r="AU1477" t="s">
        <v>152</v>
      </c>
      <c r="AV1477" t="s">
        <v>403</v>
      </c>
      <c r="AW1477" t="s">
        <v>232</v>
      </c>
      <c r="AX1477" s="4" t="str">
        <f t="shared" si="72"/>
        <v>75033</v>
      </c>
      <c r="AY1477" t="s">
        <v>120</v>
      </c>
      <c r="BA1477" s="5">
        <v>19727789690</v>
      </c>
      <c r="BC1477" t="s">
        <v>1908</v>
      </c>
      <c r="BD1477" t="s">
        <v>405</v>
      </c>
      <c r="BG1477" t="s">
        <v>184</v>
      </c>
      <c r="BH1477" s="1">
        <v>44895.791666666664</v>
      </c>
      <c r="BI1477">
        <v>40</v>
      </c>
      <c r="BJ1477">
        <v>8</v>
      </c>
      <c r="BK1477">
        <v>8</v>
      </c>
      <c r="BL1477">
        <v>0</v>
      </c>
      <c r="BM1477">
        <v>8</v>
      </c>
      <c r="BN1477">
        <v>0</v>
      </c>
      <c r="BO1477">
        <v>8</v>
      </c>
      <c r="BP1477">
        <v>8</v>
      </c>
      <c r="BQ1477" t="str">
        <f>"9:30 AM"</f>
        <v>9:30 AM</v>
      </c>
      <c r="BR1477" t="str">
        <f>"6:00 PM"</f>
        <v>6:00 PM</v>
      </c>
      <c r="BS1477" t="s">
        <v>133</v>
      </c>
      <c r="BT1477">
        <v>0</v>
      </c>
      <c r="BU1477">
        <v>0</v>
      </c>
      <c r="BV1477" t="s">
        <v>134</v>
      </c>
      <c r="BX1477" s="2" t="s">
        <v>9370</v>
      </c>
      <c r="BY1477" t="s">
        <v>8409</v>
      </c>
      <c r="CA1477" t="s">
        <v>3506</v>
      </c>
      <c r="CB1477" t="s">
        <v>184</v>
      </c>
      <c r="CC1477" s="4" t="str">
        <f>"60551"</f>
        <v>60551</v>
      </c>
      <c r="CD1477" t="s">
        <v>4138</v>
      </c>
      <c r="CE1477" t="s">
        <v>4139</v>
      </c>
      <c r="CF1477" s="6">
        <v>16</v>
      </c>
      <c r="CG1477" s="6">
        <v>16</v>
      </c>
      <c r="CH1477" s="6">
        <v>24</v>
      </c>
      <c r="CI1477" s="6">
        <v>24</v>
      </c>
      <c r="CJ1477" t="s">
        <v>137</v>
      </c>
      <c r="CK1477" t="s">
        <v>950</v>
      </c>
      <c r="CL1477" t="s">
        <v>8898</v>
      </c>
      <c r="CO1477" t="s">
        <v>138</v>
      </c>
      <c r="CP1477" t="s">
        <v>134</v>
      </c>
      <c r="CQ1477" t="s">
        <v>134</v>
      </c>
      <c r="CR1477" t="s">
        <v>114</v>
      </c>
      <c r="CS1477" t="s">
        <v>114</v>
      </c>
      <c r="CT1477" t="s">
        <v>114</v>
      </c>
      <c r="CU1477" t="s">
        <v>114</v>
      </c>
      <c r="CV1477" s="2" t="s">
        <v>9371</v>
      </c>
      <c r="CW1477" s="5" t="str">
        <f>"+18154962369"</f>
        <v>+18154962369</v>
      </c>
      <c r="CX1477" t="s">
        <v>138</v>
      </c>
      <c r="CY1477" t="s">
        <v>3804</v>
      </c>
      <c r="CZ1477" t="s">
        <v>139</v>
      </c>
      <c r="DA1477" t="s">
        <v>134</v>
      </c>
      <c r="DB1477" t="s">
        <v>134</v>
      </c>
      <c r="DC1477" t="s">
        <v>114</v>
      </c>
      <c r="DD1477" t="s">
        <v>134</v>
      </c>
    </row>
    <row r="1478" spans="1:113" ht="15" customHeight="1" x14ac:dyDescent="0.25">
      <c r="A1478" t="s">
        <v>8407</v>
      </c>
      <c r="B1478" t="s">
        <v>141</v>
      </c>
      <c r="C1478" s="1">
        <v>44896.001025347221</v>
      </c>
      <c r="D1478" s="1">
        <v>44897</v>
      </c>
      <c r="E1478" t="s">
        <v>134</v>
      </c>
      <c r="F1478" t="s">
        <v>4883</v>
      </c>
      <c r="G1478" t="str">
        <f>"49-9071.00"</f>
        <v>49-9071.00</v>
      </c>
      <c r="H1478" t="s">
        <v>2375</v>
      </c>
      <c r="I1478">
        <v>4</v>
      </c>
      <c r="K1478" s="1">
        <v>44986</v>
      </c>
      <c r="L1478" s="1">
        <v>45282</v>
      </c>
      <c r="O1478" t="s">
        <v>117</v>
      </c>
      <c r="P1478" t="s">
        <v>8408</v>
      </c>
      <c r="R1478" t="s">
        <v>8409</v>
      </c>
      <c r="T1478" t="s">
        <v>3506</v>
      </c>
      <c r="U1478" t="s">
        <v>184</v>
      </c>
      <c r="V1478" s="4" t="str">
        <f>"60551"</f>
        <v>60551</v>
      </c>
      <c r="W1478" t="s">
        <v>120</v>
      </c>
      <c r="Y1478" s="5">
        <v>18154962369</v>
      </c>
      <c r="AA1478">
        <v>72111</v>
      </c>
      <c r="AB1478" t="s">
        <v>1335</v>
      </c>
      <c r="AC1478" t="s">
        <v>1336</v>
      </c>
      <c r="AE1478" t="s">
        <v>1337</v>
      </c>
      <c r="AF1478" t="s">
        <v>1338</v>
      </c>
      <c r="AH1478" t="s">
        <v>1339</v>
      </c>
      <c r="AI1478" t="s">
        <v>154</v>
      </c>
      <c r="AJ1478" s="4" t="str">
        <f t="shared" si="71"/>
        <v>32819</v>
      </c>
      <c r="AK1478" t="s">
        <v>120</v>
      </c>
      <c r="AM1478" s="5">
        <v>14073956456</v>
      </c>
      <c r="AO1478" t="s">
        <v>1340</v>
      </c>
      <c r="AP1478" t="s">
        <v>256</v>
      </c>
      <c r="AQ1478" t="s">
        <v>400</v>
      </c>
      <c r="AR1478" t="s">
        <v>401</v>
      </c>
      <c r="AS1478" t="s">
        <v>397</v>
      </c>
      <c r="AT1478" t="s">
        <v>402</v>
      </c>
      <c r="AU1478" t="s">
        <v>152</v>
      </c>
      <c r="AV1478" t="s">
        <v>403</v>
      </c>
      <c r="AW1478" t="s">
        <v>232</v>
      </c>
      <c r="AX1478" s="4" t="str">
        <f t="shared" si="72"/>
        <v>75033</v>
      </c>
      <c r="AY1478" t="s">
        <v>120</v>
      </c>
      <c r="BA1478" s="5">
        <v>19727789690</v>
      </c>
      <c r="BC1478" t="s">
        <v>1908</v>
      </c>
      <c r="BD1478" t="s">
        <v>405</v>
      </c>
      <c r="BG1478" t="s">
        <v>184</v>
      </c>
      <c r="BH1478" s="1">
        <v>44895.791666666664</v>
      </c>
      <c r="BI1478">
        <v>40</v>
      </c>
      <c r="BJ1478">
        <v>8</v>
      </c>
      <c r="BK1478">
        <v>0</v>
      </c>
      <c r="BL1478">
        <v>8</v>
      </c>
      <c r="BM1478">
        <v>8</v>
      </c>
      <c r="BN1478">
        <v>8</v>
      </c>
      <c r="BO1478">
        <v>8</v>
      </c>
      <c r="BP1478">
        <v>0</v>
      </c>
      <c r="BQ1478" t="str">
        <f>"7:00 AM"</f>
        <v>7:00 AM</v>
      </c>
      <c r="BR1478" t="str">
        <f>"3:30 PM"</f>
        <v>3:30 PM</v>
      </c>
      <c r="BS1478" t="s">
        <v>133</v>
      </c>
      <c r="BT1478">
        <v>0</v>
      </c>
      <c r="BU1478">
        <v>0</v>
      </c>
      <c r="BV1478" t="s">
        <v>134</v>
      </c>
      <c r="BX1478" s="2" t="s">
        <v>8410</v>
      </c>
      <c r="BY1478" t="s">
        <v>8409</v>
      </c>
      <c r="CA1478" t="s">
        <v>3506</v>
      </c>
      <c r="CB1478" t="s">
        <v>184</v>
      </c>
      <c r="CC1478" s="4" t="str">
        <f>"60551"</f>
        <v>60551</v>
      </c>
      <c r="CD1478" t="s">
        <v>4138</v>
      </c>
      <c r="CE1478" t="s">
        <v>4139</v>
      </c>
      <c r="CF1478" s="6">
        <v>22.41</v>
      </c>
      <c r="CG1478" s="6">
        <v>22.41</v>
      </c>
      <c r="CH1478" s="6">
        <v>33.619999999999997</v>
      </c>
      <c r="CI1478" s="6">
        <v>33.619999999999997</v>
      </c>
      <c r="CJ1478" t="s">
        <v>137</v>
      </c>
      <c r="CK1478" t="s">
        <v>8411</v>
      </c>
      <c r="CL1478" t="s">
        <v>8412</v>
      </c>
      <c r="CO1478" t="s">
        <v>138</v>
      </c>
      <c r="CP1478" t="s">
        <v>134</v>
      </c>
      <c r="CQ1478" t="s">
        <v>134</v>
      </c>
      <c r="CR1478" t="s">
        <v>114</v>
      </c>
      <c r="CS1478" t="s">
        <v>114</v>
      </c>
      <c r="CT1478" t="s">
        <v>114</v>
      </c>
      <c r="CU1478" t="s">
        <v>114</v>
      </c>
      <c r="CV1478" s="2" t="s">
        <v>8413</v>
      </c>
      <c r="CW1478" s="5" t="str">
        <f>"+18154962369"</f>
        <v>+18154962369</v>
      </c>
      <c r="CX1478" t="s">
        <v>138</v>
      </c>
      <c r="CY1478" t="s">
        <v>8414</v>
      </c>
      <c r="CZ1478" t="s">
        <v>139</v>
      </c>
      <c r="DA1478" t="s">
        <v>134</v>
      </c>
      <c r="DB1478" t="s">
        <v>134</v>
      </c>
      <c r="DC1478" t="s">
        <v>114</v>
      </c>
      <c r="DD1478" t="s">
        <v>134</v>
      </c>
    </row>
    <row r="1479" spans="1:113" ht="15" customHeight="1" x14ac:dyDescent="0.25">
      <c r="A1479" t="s">
        <v>8389</v>
      </c>
      <c r="B1479" t="s">
        <v>141</v>
      </c>
      <c r="C1479" s="1">
        <v>44896.446413425925</v>
      </c>
      <c r="D1479" s="1">
        <v>44896</v>
      </c>
      <c r="E1479" t="s">
        <v>134</v>
      </c>
      <c r="F1479" t="s">
        <v>1445</v>
      </c>
      <c r="G1479" t="str">
        <f>"37-3011.00"</f>
        <v>37-3011.00</v>
      </c>
      <c r="H1479" t="s">
        <v>335</v>
      </c>
      <c r="I1479">
        <v>35</v>
      </c>
      <c r="K1479" s="1">
        <v>44986</v>
      </c>
      <c r="L1479" s="1">
        <v>45260</v>
      </c>
      <c r="O1479" t="s">
        <v>199</v>
      </c>
      <c r="P1479" t="s">
        <v>8390</v>
      </c>
      <c r="Q1479" t="s">
        <v>8391</v>
      </c>
      <c r="R1479" t="s">
        <v>8392</v>
      </c>
      <c r="T1479" t="s">
        <v>8393</v>
      </c>
      <c r="U1479" t="s">
        <v>1411</v>
      </c>
      <c r="V1479" s="4" t="str">
        <f>"43068"</f>
        <v>43068</v>
      </c>
      <c r="W1479" t="s">
        <v>120</v>
      </c>
      <c r="Y1479" s="5">
        <v>16147597033</v>
      </c>
      <c r="AA1479">
        <v>5617</v>
      </c>
      <c r="AB1479" t="s">
        <v>1289</v>
      </c>
      <c r="AC1479" t="s">
        <v>8394</v>
      </c>
      <c r="AE1479" t="s">
        <v>8395</v>
      </c>
      <c r="AF1479" t="s">
        <v>8392</v>
      </c>
      <c r="AH1479" t="s">
        <v>8393</v>
      </c>
      <c r="AI1479" t="s">
        <v>1411</v>
      </c>
      <c r="AJ1479" s="4" t="str">
        <f>"43068"</f>
        <v>43068</v>
      </c>
      <c r="AK1479" t="s">
        <v>120</v>
      </c>
      <c r="AM1479" s="5">
        <v>16147597033</v>
      </c>
      <c r="AO1479" t="s">
        <v>8396</v>
      </c>
      <c r="AP1479" t="s">
        <v>256</v>
      </c>
      <c r="AQ1479" t="s">
        <v>1447</v>
      </c>
      <c r="AR1479" t="s">
        <v>1448</v>
      </c>
      <c r="AS1479" t="s">
        <v>1449</v>
      </c>
      <c r="AT1479" t="s">
        <v>1450</v>
      </c>
      <c r="AV1479" t="s">
        <v>1451</v>
      </c>
      <c r="AW1479" t="s">
        <v>232</v>
      </c>
      <c r="AX1479" s="4" t="str">
        <f>"78640"</f>
        <v>78640</v>
      </c>
      <c r="AY1479" t="s">
        <v>120</v>
      </c>
      <c r="BA1479" s="5">
        <v>15127405256</v>
      </c>
      <c r="BC1479" t="s">
        <v>1452</v>
      </c>
      <c r="BD1479" t="s">
        <v>1453</v>
      </c>
      <c r="BG1479" t="s">
        <v>1411</v>
      </c>
      <c r="BH1479" s="1">
        <v>44893.791666666664</v>
      </c>
      <c r="BI1479">
        <v>40</v>
      </c>
      <c r="BJ1479">
        <v>0</v>
      </c>
      <c r="BK1479">
        <v>8</v>
      </c>
      <c r="BL1479">
        <v>8</v>
      </c>
      <c r="BM1479">
        <v>8</v>
      </c>
      <c r="BN1479">
        <v>8</v>
      </c>
      <c r="BO1479">
        <v>8</v>
      </c>
      <c r="BP1479">
        <v>0</v>
      </c>
      <c r="BQ1479" t="str">
        <f>"8:00 AM"</f>
        <v>8:00 AM</v>
      </c>
      <c r="BR1479" t="str">
        <f>"4:00 PM"</f>
        <v>4:00 PM</v>
      </c>
      <c r="BS1479" t="s">
        <v>133</v>
      </c>
      <c r="BT1479">
        <v>0</v>
      </c>
      <c r="BU1479">
        <v>0</v>
      </c>
      <c r="BV1479" t="s">
        <v>134</v>
      </c>
      <c r="BX1479" t="s">
        <v>138</v>
      </c>
      <c r="BY1479" t="s">
        <v>8392</v>
      </c>
      <c r="CA1479" t="s">
        <v>8393</v>
      </c>
      <c r="CB1479" t="s">
        <v>1411</v>
      </c>
      <c r="CC1479" s="4" t="str">
        <f>"43068"</f>
        <v>43068</v>
      </c>
      <c r="CD1479" t="s">
        <v>1679</v>
      </c>
      <c r="CE1479" t="s">
        <v>2876</v>
      </c>
      <c r="CF1479" s="6">
        <v>16.61</v>
      </c>
      <c r="CG1479" s="6">
        <v>20</v>
      </c>
      <c r="CH1479" s="6">
        <v>24.91</v>
      </c>
      <c r="CI1479" s="6">
        <v>30</v>
      </c>
      <c r="CJ1479" t="s">
        <v>137</v>
      </c>
      <c r="CK1479" t="s">
        <v>138</v>
      </c>
      <c r="CL1479" t="s">
        <v>8397</v>
      </c>
      <c r="CO1479" t="s">
        <v>138</v>
      </c>
      <c r="CP1479" t="s">
        <v>114</v>
      </c>
      <c r="CQ1479" t="s">
        <v>114</v>
      </c>
      <c r="CR1479" t="s">
        <v>114</v>
      </c>
      <c r="CS1479" t="s">
        <v>134</v>
      </c>
      <c r="CT1479" t="s">
        <v>114</v>
      </c>
      <c r="CU1479" t="s">
        <v>134</v>
      </c>
      <c r="CV1479" t="s">
        <v>1456</v>
      </c>
      <c r="CW1479" s="5" t="str">
        <f>"+16142332851"</f>
        <v>+16142332851</v>
      </c>
      <c r="CX1479" t="s">
        <v>138</v>
      </c>
      <c r="CY1479" t="s">
        <v>1840</v>
      </c>
      <c r="CZ1479" t="s">
        <v>139</v>
      </c>
      <c r="DA1479" t="s">
        <v>134</v>
      </c>
      <c r="DB1479" t="s">
        <v>134</v>
      </c>
      <c r="DC1479" t="s">
        <v>114</v>
      </c>
      <c r="DD1479" t="s">
        <v>134</v>
      </c>
    </row>
    <row r="1480" spans="1:113" ht="15" customHeight="1" x14ac:dyDescent="0.25">
      <c r="A1480" t="s">
        <v>15683</v>
      </c>
      <c r="B1480" t="s">
        <v>141</v>
      </c>
      <c r="C1480" s="1">
        <v>44896.404750462963</v>
      </c>
      <c r="D1480" s="1">
        <v>44896</v>
      </c>
      <c r="E1480" t="s">
        <v>134</v>
      </c>
      <c r="F1480" t="s">
        <v>1248</v>
      </c>
      <c r="G1480" t="str">
        <f>"37-3011.00"</f>
        <v>37-3011.00</v>
      </c>
      <c r="H1480" t="s">
        <v>335</v>
      </c>
      <c r="I1480">
        <v>4</v>
      </c>
      <c r="K1480" s="1">
        <v>44986</v>
      </c>
      <c r="L1480" s="1">
        <v>45168</v>
      </c>
      <c r="O1480" t="s">
        <v>199</v>
      </c>
      <c r="P1480" t="s">
        <v>11786</v>
      </c>
      <c r="R1480" t="s">
        <v>11787</v>
      </c>
      <c r="T1480" t="s">
        <v>11788</v>
      </c>
      <c r="U1480" t="s">
        <v>657</v>
      </c>
      <c r="V1480" s="4" t="str">
        <f>"37363"</f>
        <v>37363</v>
      </c>
      <c r="W1480" t="s">
        <v>120</v>
      </c>
      <c r="Y1480" s="5">
        <v>14232389775</v>
      </c>
      <c r="AA1480">
        <v>11142</v>
      </c>
      <c r="AB1480" t="s">
        <v>11789</v>
      </c>
      <c r="AC1480" t="s">
        <v>11790</v>
      </c>
      <c r="AE1480" t="s">
        <v>700</v>
      </c>
      <c r="AF1480" t="s">
        <v>11791</v>
      </c>
      <c r="AH1480" t="s">
        <v>11788</v>
      </c>
      <c r="AI1480" t="s">
        <v>657</v>
      </c>
      <c r="AJ1480" s="4" t="str">
        <f>"37363"</f>
        <v>37363</v>
      </c>
      <c r="AK1480" t="s">
        <v>120</v>
      </c>
      <c r="AM1480" s="5">
        <v>14232389775</v>
      </c>
      <c r="AO1480" t="s">
        <v>11792</v>
      </c>
      <c r="AP1480" t="s">
        <v>122</v>
      </c>
      <c r="AQ1480" t="s">
        <v>1250</v>
      </c>
      <c r="AR1480" t="s">
        <v>1251</v>
      </c>
      <c r="AS1480" t="s">
        <v>259</v>
      </c>
      <c r="AT1480" t="s">
        <v>1252</v>
      </c>
      <c r="AV1480" t="s">
        <v>1253</v>
      </c>
      <c r="AW1480" t="s">
        <v>657</v>
      </c>
      <c r="AX1480" s="4" t="str">
        <f>"37110"</f>
        <v>37110</v>
      </c>
      <c r="AY1480" t="s">
        <v>120</v>
      </c>
      <c r="BA1480" s="5">
        <v>19312747811</v>
      </c>
      <c r="BC1480" t="s">
        <v>1254</v>
      </c>
      <c r="BD1480" t="s">
        <v>1255</v>
      </c>
      <c r="BE1480" t="s">
        <v>657</v>
      </c>
      <c r="BF1480" t="s">
        <v>1256</v>
      </c>
      <c r="BG1480" t="s">
        <v>657</v>
      </c>
      <c r="BH1480" s="1">
        <v>44895.791666666664</v>
      </c>
      <c r="BI1480">
        <v>40</v>
      </c>
      <c r="BJ1480">
        <v>0</v>
      </c>
      <c r="BK1480">
        <v>8</v>
      </c>
      <c r="BL1480">
        <v>8</v>
      </c>
      <c r="BM1480">
        <v>8</v>
      </c>
      <c r="BN1480">
        <v>8</v>
      </c>
      <c r="BO1480">
        <v>8</v>
      </c>
      <c r="BP1480">
        <v>0</v>
      </c>
      <c r="BQ1480" t="str">
        <f>"7:00 AM"</f>
        <v>7:00 AM</v>
      </c>
      <c r="BR1480" t="str">
        <f>"4:00 PM"</f>
        <v>4:00 PM</v>
      </c>
      <c r="BS1480" t="s">
        <v>133</v>
      </c>
      <c r="BT1480">
        <v>0</v>
      </c>
      <c r="BU1480">
        <v>3</v>
      </c>
      <c r="BV1480" t="s">
        <v>134</v>
      </c>
      <c r="BX1480" s="2" t="s">
        <v>11793</v>
      </c>
      <c r="BY1480" t="s">
        <v>11791</v>
      </c>
      <c r="CA1480" t="s">
        <v>11788</v>
      </c>
      <c r="CB1480" t="s">
        <v>657</v>
      </c>
      <c r="CC1480" s="4" t="str">
        <f>"37363"</f>
        <v>37363</v>
      </c>
      <c r="CD1480" t="s">
        <v>1839</v>
      </c>
      <c r="CE1480" t="s">
        <v>2927</v>
      </c>
      <c r="CF1480" s="6">
        <v>15.18</v>
      </c>
      <c r="CH1480" s="6">
        <v>22.77</v>
      </c>
      <c r="CJ1480" t="s">
        <v>137</v>
      </c>
      <c r="CL1480" t="s">
        <v>15684</v>
      </c>
      <c r="CM1480" t="s">
        <v>11794</v>
      </c>
      <c r="CO1480" t="s">
        <v>138</v>
      </c>
      <c r="CP1480" t="s">
        <v>114</v>
      </c>
      <c r="CQ1480" t="s">
        <v>114</v>
      </c>
      <c r="CR1480" t="s">
        <v>114</v>
      </c>
      <c r="CS1480" t="s">
        <v>134</v>
      </c>
      <c r="CT1480" t="s">
        <v>114</v>
      </c>
      <c r="CU1480" t="s">
        <v>134</v>
      </c>
      <c r="CV1480" t="s">
        <v>138</v>
      </c>
      <c r="CW1480" s="5" t="str">
        <f>"+14234214145"</f>
        <v>+14234214145</v>
      </c>
      <c r="CX1480" t="s">
        <v>11795</v>
      </c>
      <c r="CY1480" t="s">
        <v>138</v>
      </c>
      <c r="CZ1480" t="s">
        <v>139</v>
      </c>
      <c r="DA1480" t="s">
        <v>134</v>
      </c>
      <c r="DB1480" t="s">
        <v>134</v>
      </c>
      <c r="DC1480" t="s">
        <v>114</v>
      </c>
      <c r="DD1480" t="s">
        <v>134</v>
      </c>
    </row>
    <row r="1481" spans="1:113" ht="15" customHeight="1" x14ac:dyDescent="0.25">
      <c r="A1481" t="s">
        <v>6331</v>
      </c>
      <c r="B1481" t="s">
        <v>141</v>
      </c>
      <c r="C1481" s="1">
        <v>44896.033679629632</v>
      </c>
      <c r="D1481" s="1">
        <v>44896</v>
      </c>
      <c r="E1481" t="s">
        <v>134</v>
      </c>
      <c r="F1481" t="s">
        <v>1219</v>
      </c>
      <c r="G1481" t="str">
        <f>"37-3011.00"</f>
        <v>37-3011.00</v>
      </c>
      <c r="H1481" t="s">
        <v>335</v>
      </c>
      <c r="I1481">
        <v>8</v>
      </c>
      <c r="K1481" s="1">
        <v>44986</v>
      </c>
      <c r="L1481" s="1">
        <v>45231</v>
      </c>
      <c r="O1481" t="s">
        <v>199</v>
      </c>
      <c r="P1481" t="s">
        <v>1596</v>
      </c>
      <c r="R1481" t="s">
        <v>1597</v>
      </c>
      <c r="T1481" t="s">
        <v>1598</v>
      </c>
      <c r="U1481" t="s">
        <v>748</v>
      </c>
      <c r="V1481" s="4" t="str">
        <f>"15143"</f>
        <v>15143</v>
      </c>
      <c r="W1481" t="s">
        <v>120</v>
      </c>
      <c r="Y1481" s="5">
        <v>14127492700</v>
      </c>
      <c r="AA1481">
        <v>713910</v>
      </c>
      <c r="AB1481" t="s">
        <v>1599</v>
      </c>
      <c r="AC1481" t="s">
        <v>1600</v>
      </c>
      <c r="AE1481" t="s">
        <v>1212</v>
      </c>
      <c r="AF1481" t="s">
        <v>1597</v>
      </c>
      <c r="AH1481" t="s">
        <v>1598</v>
      </c>
      <c r="AI1481" t="s">
        <v>748</v>
      </c>
      <c r="AJ1481" s="4" t="str">
        <f>"15143"</f>
        <v>15143</v>
      </c>
      <c r="AK1481" t="s">
        <v>120</v>
      </c>
      <c r="AM1481" s="5">
        <v>14127492700</v>
      </c>
      <c r="AO1481" t="s">
        <v>138</v>
      </c>
      <c r="AP1481" t="s">
        <v>256</v>
      </c>
      <c r="AQ1481" t="s">
        <v>1220</v>
      </c>
      <c r="AR1481" t="s">
        <v>1221</v>
      </c>
      <c r="AT1481" t="s">
        <v>1222</v>
      </c>
      <c r="AV1481" t="s">
        <v>1223</v>
      </c>
      <c r="AW1481" t="s">
        <v>848</v>
      </c>
      <c r="AX1481" s="4" t="str">
        <f>"11590"</f>
        <v>11590</v>
      </c>
      <c r="AY1481" t="s">
        <v>120</v>
      </c>
      <c r="BA1481" s="5">
        <v>15163307168</v>
      </c>
      <c r="BC1481" t="s">
        <v>1224</v>
      </c>
      <c r="BD1481" t="s">
        <v>1225</v>
      </c>
      <c r="BG1481" t="s">
        <v>748</v>
      </c>
      <c r="BH1481" s="1">
        <v>44872.791666666664</v>
      </c>
      <c r="BI1481">
        <v>40</v>
      </c>
      <c r="BJ1481">
        <v>8</v>
      </c>
      <c r="BK1481">
        <v>0</v>
      </c>
      <c r="BL1481">
        <v>8</v>
      </c>
      <c r="BM1481">
        <v>0</v>
      </c>
      <c r="BN1481">
        <v>8</v>
      </c>
      <c r="BO1481">
        <v>8</v>
      </c>
      <c r="BP1481">
        <v>8</v>
      </c>
      <c r="BQ1481" t="str">
        <f>"6:00 AM"</f>
        <v>6:00 AM</v>
      </c>
      <c r="BR1481" t="str">
        <f>"2:00 PM"</f>
        <v>2:00 PM</v>
      </c>
      <c r="BS1481" t="s">
        <v>133</v>
      </c>
      <c r="BT1481">
        <v>0</v>
      </c>
      <c r="BU1481">
        <v>0</v>
      </c>
      <c r="BV1481" t="s">
        <v>134</v>
      </c>
      <c r="BX1481" t="s">
        <v>2314</v>
      </c>
      <c r="BY1481" t="s">
        <v>1597</v>
      </c>
      <c r="CA1481" t="s">
        <v>1598</v>
      </c>
      <c r="CB1481" t="s">
        <v>748</v>
      </c>
      <c r="CC1481" s="4" t="str">
        <f>"15143"</f>
        <v>15143</v>
      </c>
      <c r="CD1481" t="s">
        <v>1475</v>
      </c>
      <c r="CE1481" t="s">
        <v>1346</v>
      </c>
      <c r="CF1481" s="6">
        <v>17</v>
      </c>
      <c r="CG1481" s="6">
        <v>19</v>
      </c>
      <c r="CH1481" s="6">
        <v>25.5</v>
      </c>
      <c r="CI1481" s="6">
        <v>28.5</v>
      </c>
      <c r="CJ1481" t="s">
        <v>137</v>
      </c>
      <c r="CL1481" t="s">
        <v>6332</v>
      </c>
      <c r="CO1481" t="s">
        <v>138</v>
      </c>
      <c r="CP1481" t="s">
        <v>134</v>
      </c>
      <c r="CQ1481" t="s">
        <v>134</v>
      </c>
      <c r="CR1481" t="s">
        <v>114</v>
      </c>
      <c r="CS1481" t="s">
        <v>134</v>
      </c>
      <c r="CT1481" t="s">
        <v>114</v>
      </c>
      <c r="CU1481" t="s">
        <v>114</v>
      </c>
      <c r="CV1481" t="s">
        <v>6333</v>
      </c>
      <c r="CW1481" s="5" t="str">
        <f>"+14127492700"</f>
        <v>+14127492700</v>
      </c>
      <c r="CX1481" t="s">
        <v>138</v>
      </c>
      <c r="CY1481" t="s">
        <v>6334</v>
      </c>
      <c r="CZ1481" t="s">
        <v>139</v>
      </c>
      <c r="DA1481" t="s">
        <v>134</v>
      </c>
      <c r="DB1481" t="s">
        <v>134</v>
      </c>
      <c r="DC1481" t="s">
        <v>114</v>
      </c>
      <c r="DD1481" t="s">
        <v>134</v>
      </c>
    </row>
    <row r="1482" spans="1:113" ht="15" customHeight="1" x14ac:dyDescent="0.25">
      <c r="A1482" t="s">
        <v>16406</v>
      </c>
      <c r="B1482" t="s">
        <v>141</v>
      </c>
      <c r="C1482" s="1">
        <v>44869.861242939813</v>
      </c>
      <c r="D1482" s="1">
        <v>44896</v>
      </c>
      <c r="E1482" t="s">
        <v>134</v>
      </c>
      <c r="F1482" t="s">
        <v>4469</v>
      </c>
      <c r="G1482" t="str">
        <f>"47-2061.00"</f>
        <v>47-2061.00</v>
      </c>
      <c r="H1482" t="s">
        <v>1625</v>
      </c>
      <c r="I1482">
        <v>10</v>
      </c>
      <c r="K1482" s="1">
        <v>44945</v>
      </c>
      <c r="L1482" s="1">
        <v>45247</v>
      </c>
      <c r="O1482" t="s">
        <v>117</v>
      </c>
      <c r="P1482" t="s">
        <v>16407</v>
      </c>
      <c r="Q1482" t="s">
        <v>16408</v>
      </c>
      <c r="R1482" t="s">
        <v>16409</v>
      </c>
      <c r="T1482" t="s">
        <v>5887</v>
      </c>
      <c r="U1482" t="s">
        <v>530</v>
      </c>
      <c r="V1482" s="4" t="str">
        <f>"85203"</f>
        <v>85203</v>
      </c>
      <c r="W1482" t="s">
        <v>120</v>
      </c>
      <c r="X1482" t="s">
        <v>138</v>
      </c>
      <c r="Y1482" s="5">
        <v>14804642700</v>
      </c>
      <c r="AA1482">
        <v>238</v>
      </c>
      <c r="AB1482" t="s">
        <v>16410</v>
      </c>
      <c r="AC1482" t="s">
        <v>2573</v>
      </c>
      <c r="AE1482" t="s">
        <v>1567</v>
      </c>
      <c r="AF1482" t="s">
        <v>16409</v>
      </c>
      <c r="AH1482" t="s">
        <v>5887</v>
      </c>
      <c r="AI1482" t="s">
        <v>530</v>
      </c>
      <c r="AJ1482" s="4" t="str">
        <f>"85203"</f>
        <v>85203</v>
      </c>
      <c r="AK1482" t="s">
        <v>120</v>
      </c>
      <c r="AM1482" s="5">
        <v>14804642700</v>
      </c>
      <c r="AO1482" t="s">
        <v>16411</v>
      </c>
      <c r="AP1482" t="s">
        <v>256</v>
      </c>
      <c r="AQ1482" t="s">
        <v>1042</v>
      </c>
      <c r="AR1482" t="s">
        <v>1043</v>
      </c>
      <c r="AT1482" t="s">
        <v>1044</v>
      </c>
      <c r="AU1482" t="s">
        <v>1045</v>
      </c>
      <c r="AV1482" t="s">
        <v>587</v>
      </c>
      <c r="AW1482" t="s">
        <v>530</v>
      </c>
      <c r="AX1482" s="4" t="str">
        <f>"85048"</f>
        <v>85048</v>
      </c>
      <c r="AY1482" t="s">
        <v>120</v>
      </c>
      <c r="BA1482" s="5">
        <v>14809411885</v>
      </c>
      <c r="BC1482" t="s">
        <v>1046</v>
      </c>
      <c r="BD1482" t="s">
        <v>1047</v>
      </c>
      <c r="BG1482" t="s">
        <v>530</v>
      </c>
      <c r="BH1482" s="1">
        <v>44867.833333333336</v>
      </c>
      <c r="BI1482">
        <v>40</v>
      </c>
      <c r="BJ1482">
        <v>0</v>
      </c>
      <c r="BK1482">
        <v>8</v>
      </c>
      <c r="BL1482">
        <v>8</v>
      </c>
      <c r="BM1482">
        <v>8</v>
      </c>
      <c r="BN1482">
        <v>8</v>
      </c>
      <c r="BO1482">
        <v>8</v>
      </c>
      <c r="BP1482">
        <v>0</v>
      </c>
      <c r="BQ1482" t="str">
        <f>"6:00 AM"</f>
        <v>6:00 AM</v>
      </c>
      <c r="BR1482" t="str">
        <f>"2:30 PM"</f>
        <v>2:30 PM</v>
      </c>
      <c r="BS1482" t="s">
        <v>133</v>
      </c>
      <c r="BT1482">
        <v>0</v>
      </c>
      <c r="BU1482">
        <v>3</v>
      </c>
      <c r="BV1482" t="s">
        <v>134</v>
      </c>
      <c r="BX1482" s="2" t="s">
        <v>16412</v>
      </c>
      <c r="BY1482" t="s">
        <v>16409</v>
      </c>
      <c r="CA1482" t="s">
        <v>5887</v>
      </c>
      <c r="CB1482" t="s">
        <v>530</v>
      </c>
      <c r="CC1482" s="4" t="str">
        <f>"85203"</f>
        <v>85203</v>
      </c>
      <c r="CD1482" t="s">
        <v>592</v>
      </c>
      <c r="CE1482" t="s">
        <v>548</v>
      </c>
      <c r="CF1482" s="6">
        <v>19.7</v>
      </c>
      <c r="CG1482" s="6">
        <v>19.7</v>
      </c>
      <c r="CH1482" s="6">
        <v>29.55</v>
      </c>
      <c r="CI1482" s="6">
        <v>29.55</v>
      </c>
      <c r="CJ1482" t="s">
        <v>137</v>
      </c>
      <c r="CK1482" t="s">
        <v>1053</v>
      </c>
      <c r="CL1482" t="s">
        <v>16413</v>
      </c>
      <c r="CO1482" t="s">
        <v>138</v>
      </c>
      <c r="CP1482" t="s">
        <v>114</v>
      </c>
      <c r="CQ1482" t="s">
        <v>114</v>
      </c>
      <c r="CR1482" t="s">
        <v>114</v>
      </c>
      <c r="CS1482" t="s">
        <v>114</v>
      </c>
      <c r="CT1482" t="s">
        <v>114</v>
      </c>
      <c r="CU1482" t="s">
        <v>134</v>
      </c>
      <c r="CV1482" t="s">
        <v>5345</v>
      </c>
      <c r="CW1482" s="5" t="str">
        <f>"+14804642700"</f>
        <v>+14804642700</v>
      </c>
      <c r="CX1482" t="s">
        <v>16411</v>
      </c>
      <c r="CY1482" t="s">
        <v>138</v>
      </c>
      <c r="CZ1482" t="s">
        <v>139</v>
      </c>
      <c r="DA1482" t="s">
        <v>134</v>
      </c>
      <c r="DB1482" t="s">
        <v>114</v>
      </c>
      <c r="DC1482" t="s">
        <v>114</v>
      </c>
      <c r="DD1482" t="s">
        <v>134</v>
      </c>
    </row>
    <row r="1483" spans="1:113" ht="15" customHeight="1" x14ac:dyDescent="0.25">
      <c r="A1483" t="s">
        <v>9769</v>
      </c>
      <c r="B1483" t="s">
        <v>141</v>
      </c>
      <c r="C1483" s="1">
        <v>44863.607254629627</v>
      </c>
      <c r="D1483" s="1">
        <v>44896</v>
      </c>
      <c r="E1483" t="s">
        <v>134</v>
      </c>
      <c r="F1483" t="s">
        <v>9770</v>
      </c>
      <c r="G1483" t="str">
        <f>"51-9198.00"</f>
        <v>51-9198.00</v>
      </c>
      <c r="H1483" t="s">
        <v>277</v>
      </c>
      <c r="I1483">
        <v>70</v>
      </c>
      <c r="K1483" s="1">
        <v>44938</v>
      </c>
      <c r="L1483" s="1">
        <v>45260</v>
      </c>
      <c r="O1483" t="s">
        <v>168</v>
      </c>
      <c r="P1483" t="s">
        <v>9771</v>
      </c>
      <c r="Q1483" t="s">
        <v>9772</v>
      </c>
      <c r="R1483" t="s">
        <v>9773</v>
      </c>
      <c r="T1483" t="s">
        <v>9774</v>
      </c>
      <c r="U1483" t="s">
        <v>203</v>
      </c>
      <c r="V1483" s="4" t="str">
        <f>"35125"</f>
        <v>35125</v>
      </c>
      <c r="W1483" t="s">
        <v>120</v>
      </c>
      <c r="X1483" t="s">
        <v>541</v>
      </c>
      <c r="Y1483" s="5">
        <v>12053384242</v>
      </c>
      <c r="Z1483">
        <v>0</v>
      </c>
      <c r="AA1483">
        <v>42312</v>
      </c>
      <c r="AB1483" t="s">
        <v>9775</v>
      </c>
      <c r="AC1483" t="s">
        <v>6691</v>
      </c>
      <c r="AE1483" t="s">
        <v>1845</v>
      </c>
      <c r="AF1483" t="s">
        <v>9776</v>
      </c>
      <c r="AH1483" t="s">
        <v>9774</v>
      </c>
      <c r="AI1483" t="s">
        <v>203</v>
      </c>
      <c r="AJ1483" s="4" t="str">
        <f>"35125"</f>
        <v>35125</v>
      </c>
      <c r="AK1483" t="s">
        <v>120</v>
      </c>
      <c r="AM1483" s="5">
        <v>12057531787</v>
      </c>
      <c r="AN1483">
        <v>0</v>
      </c>
      <c r="AO1483" t="s">
        <v>9777</v>
      </c>
      <c r="AP1483" t="s">
        <v>256</v>
      </c>
      <c r="AQ1483" t="s">
        <v>535</v>
      </c>
      <c r="AR1483" t="s">
        <v>536</v>
      </c>
      <c r="AS1483" t="s">
        <v>537</v>
      </c>
      <c r="AT1483" t="s">
        <v>538</v>
      </c>
      <c r="AU1483" t="s">
        <v>539</v>
      </c>
      <c r="AV1483" t="s">
        <v>540</v>
      </c>
      <c r="AW1483" t="s">
        <v>232</v>
      </c>
      <c r="AX1483" s="4" t="str">
        <f>"78550"</f>
        <v>78550</v>
      </c>
      <c r="AY1483" t="s">
        <v>120</v>
      </c>
      <c r="AZ1483" t="s">
        <v>541</v>
      </c>
      <c r="BA1483" s="5">
        <v>19564408720</v>
      </c>
      <c r="BB1483">
        <v>0</v>
      </c>
      <c r="BC1483" t="s">
        <v>542</v>
      </c>
      <c r="BD1483" t="s">
        <v>543</v>
      </c>
      <c r="BG1483" t="s">
        <v>203</v>
      </c>
      <c r="BH1483" s="1">
        <v>44859.833333333336</v>
      </c>
      <c r="BI1483">
        <v>35</v>
      </c>
      <c r="BJ1483">
        <v>0</v>
      </c>
      <c r="BK1483">
        <v>7</v>
      </c>
      <c r="BL1483">
        <v>7</v>
      </c>
      <c r="BM1483">
        <v>7</v>
      </c>
      <c r="BN1483">
        <v>7</v>
      </c>
      <c r="BO1483">
        <v>7</v>
      </c>
      <c r="BP1483">
        <v>0</v>
      </c>
      <c r="BQ1483" t="str">
        <f>"8:00 AM"</f>
        <v>8:00 AM</v>
      </c>
      <c r="BR1483" t="str">
        <f>"3:00 PM"</f>
        <v>3:00 PM</v>
      </c>
      <c r="BS1483" t="s">
        <v>133</v>
      </c>
      <c r="BT1483">
        <v>0</v>
      </c>
      <c r="BU1483">
        <v>0</v>
      </c>
      <c r="BV1483" t="s">
        <v>134</v>
      </c>
      <c r="BX1483" t="s">
        <v>9778</v>
      </c>
      <c r="BY1483" t="s">
        <v>9776</v>
      </c>
      <c r="CA1483" t="s">
        <v>9774</v>
      </c>
      <c r="CB1483" t="s">
        <v>203</v>
      </c>
      <c r="CC1483" s="4" t="str">
        <f>"35125"</f>
        <v>35125</v>
      </c>
      <c r="CD1483" t="s">
        <v>2374</v>
      </c>
      <c r="CE1483" t="s">
        <v>1388</v>
      </c>
      <c r="CF1483" s="6">
        <v>13.12</v>
      </c>
      <c r="CG1483" s="6">
        <v>13.12</v>
      </c>
      <c r="CH1483" s="6">
        <v>19.68</v>
      </c>
      <c r="CI1483" s="6">
        <v>19.68</v>
      </c>
      <c r="CJ1483" t="s">
        <v>137</v>
      </c>
      <c r="CK1483" t="s">
        <v>549</v>
      </c>
      <c r="CL1483" t="s">
        <v>9779</v>
      </c>
      <c r="CO1483" t="s">
        <v>138</v>
      </c>
      <c r="CP1483" t="s">
        <v>134</v>
      </c>
      <c r="CQ1483" t="s">
        <v>114</v>
      </c>
      <c r="CR1483" t="s">
        <v>114</v>
      </c>
      <c r="CS1483" t="s">
        <v>114</v>
      </c>
      <c r="CT1483" t="s">
        <v>114</v>
      </c>
      <c r="CU1483" t="s">
        <v>114</v>
      </c>
      <c r="CV1483" t="s">
        <v>9780</v>
      </c>
      <c r="CW1483" s="5" t="str">
        <f>"+12053374242"</f>
        <v>+12053374242</v>
      </c>
      <c r="CX1483" t="s">
        <v>9781</v>
      </c>
      <c r="CY1483" t="s">
        <v>9782</v>
      </c>
      <c r="CZ1483" t="s">
        <v>139</v>
      </c>
      <c r="DA1483" t="s">
        <v>134</v>
      </c>
      <c r="DB1483" t="s">
        <v>114</v>
      </c>
      <c r="DC1483" t="s">
        <v>114</v>
      </c>
      <c r="DD1483" t="s">
        <v>134</v>
      </c>
    </row>
    <row r="1484" spans="1:113" ht="15" customHeight="1" x14ac:dyDescent="0.25">
      <c r="A1484" t="s">
        <v>11363</v>
      </c>
      <c r="B1484" t="s">
        <v>141</v>
      </c>
      <c r="C1484" s="1">
        <v>44847.632667129626</v>
      </c>
      <c r="D1484" s="1">
        <v>44895</v>
      </c>
      <c r="E1484" t="s">
        <v>134</v>
      </c>
      <c r="F1484" t="s">
        <v>11364</v>
      </c>
      <c r="G1484" t="str">
        <f>"37-2011.00"</f>
        <v>37-2011.00</v>
      </c>
      <c r="H1484" t="s">
        <v>11365</v>
      </c>
      <c r="I1484">
        <v>20</v>
      </c>
      <c r="K1484" s="1">
        <v>45017</v>
      </c>
      <c r="L1484" s="1">
        <v>46266</v>
      </c>
      <c r="O1484" t="s">
        <v>168</v>
      </c>
      <c r="P1484" t="s">
        <v>11366</v>
      </c>
      <c r="Q1484" t="s">
        <v>11366</v>
      </c>
      <c r="R1484" t="s">
        <v>11367</v>
      </c>
      <c r="T1484" t="s">
        <v>11368</v>
      </c>
      <c r="U1484" t="s">
        <v>748</v>
      </c>
      <c r="V1484" s="4" t="str">
        <f>"19124"</f>
        <v>19124</v>
      </c>
      <c r="Y1484" s="5" t="s">
        <v>11369</v>
      </c>
      <c r="AA1484">
        <v>561720</v>
      </c>
      <c r="AB1484" t="s">
        <v>11370</v>
      </c>
      <c r="AC1484" t="s">
        <v>11371</v>
      </c>
      <c r="AD1484" t="s">
        <v>138</v>
      </c>
      <c r="AE1484" t="s">
        <v>7930</v>
      </c>
      <c r="AF1484" t="s">
        <v>11372</v>
      </c>
      <c r="AH1484" t="s">
        <v>622</v>
      </c>
      <c r="AI1484" t="s">
        <v>748</v>
      </c>
      <c r="AJ1484" s="4" t="str">
        <f>"19061"</f>
        <v>19061</v>
      </c>
      <c r="AK1484" t="s">
        <v>120</v>
      </c>
      <c r="AM1484" s="5" t="s">
        <v>11373</v>
      </c>
      <c r="AO1484" t="s">
        <v>11374</v>
      </c>
      <c r="AX1484" s="4" t="str">
        <f>""</f>
        <v/>
      </c>
      <c r="BG1484" t="s">
        <v>748</v>
      </c>
      <c r="BH1484" s="1">
        <v>44813.833333333336</v>
      </c>
      <c r="BS1484" t="s">
        <v>133</v>
      </c>
      <c r="BT1484">
        <v>0</v>
      </c>
      <c r="BU1484">
        <v>0</v>
      </c>
      <c r="BV1484" t="s">
        <v>134</v>
      </c>
      <c r="BX1484" t="s">
        <v>138</v>
      </c>
      <c r="BY1484" t="s">
        <v>11375</v>
      </c>
      <c r="CA1484" t="s">
        <v>2847</v>
      </c>
      <c r="CB1484" t="s">
        <v>1003</v>
      </c>
      <c r="CC1484" s="4" t="str">
        <f>"08016"</f>
        <v>08016</v>
      </c>
      <c r="CE1484" s="3">
        <v>445384</v>
      </c>
      <c r="CF1484" s="6">
        <v>15.31</v>
      </c>
      <c r="CG1484" s="6">
        <v>16</v>
      </c>
      <c r="CH1484" s="6">
        <v>18</v>
      </c>
      <c r="CI1484" s="6">
        <v>19</v>
      </c>
      <c r="CJ1484" t="s">
        <v>137</v>
      </c>
      <c r="CK1484" t="s">
        <v>11376</v>
      </c>
      <c r="CL1484" t="s">
        <v>11377</v>
      </c>
      <c r="CO1484" t="s">
        <v>138</v>
      </c>
      <c r="CP1484" t="s">
        <v>134</v>
      </c>
      <c r="CQ1484" t="s">
        <v>114</v>
      </c>
      <c r="CR1484" t="s">
        <v>114</v>
      </c>
      <c r="CS1484" t="s">
        <v>114</v>
      </c>
      <c r="CT1484" t="s">
        <v>114</v>
      </c>
      <c r="CU1484" t="s">
        <v>134</v>
      </c>
      <c r="CV1484" t="s">
        <v>11378</v>
      </c>
      <c r="CW1484" s="5" t="str">
        <f>"267-467-0279"</f>
        <v>267-467-0279</v>
      </c>
      <c r="CX1484" t="s">
        <v>11379</v>
      </c>
      <c r="CY1484" t="s">
        <v>11380</v>
      </c>
      <c r="DA1484" t="s">
        <v>114</v>
      </c>
      <c r="DB1484" t="s">
        <v>114</v>
      </c>
      <c r="DC1484" t="s">
        <v>114</v>
      </c>
    </row>
    <row r="1485" spans="1:113" ht="15" customHeight="1" x14ac:dyDescent="0.25">
      <c r="A1485" t="s">
        <v>10331</v>
      </c>
      <c r="B1485" t="s">
        <v>141</v>
      </c>
      <c r="C1485" s="1">
        <v>44882.383160532409</v>
      </c>
      <c r="D1485" s="1">
        <v>44894</v>
      </c>
      <c r="E1485" t="s">
        <v>134</v>
      </c>
      <c r="F1485" t="s">
        <v>1296</v>
      </c>
      <c r="G1485" t="str">
        <f>"37-3011.00"</f>
        <v>37-3011.00</v>
      </c>
      <c r="H1485" t="s">
        <v>335</v>
      </c>
      <c r="I1485">
        <v>5</v>
      </c>
      <c r="K1485" s="1">
        <v>44972</v>
      </c>
      <c r="L1485" s="1">
        <v>45260</v>
      </c>
      <c r="O1485" t="s">
        <v>117</v>
      </c>
      <c r="P1485" t="s">
        <v>2697</v>
      </c>
      <c r="R1485" t="s">
        <v>2698</v>
      </c>
      <c r="T1485" t="s">
        <v>2699</v>
      </c>
      <c r="U1485" t="s">
        <v>1411</v>
      </c>
      <c r="V1485" s="4" t="str">
        <f>"44023"</f>
        <v>44023</v>
      </c>
      <c r="W1485" t="s">
        <v>120</v>
      </c>
      <c r="Y1485" s="5">
        <v>14405430500</v>
      </c>
      <c r="AA1485">
        <v>5617</v>
      </c>
      <c r="AB1485" t="s">
        <v>2700</v>
      </c>
      <c r="AC1485" t="s">
        <v>2701</v>
      </c>
      <c r="AD1485" t="s">
        <v>2702</v>
      </c>
      <c r="AE1485" t="s">
        <v>2261</v>
      </c>
      <c r="AF1485" t="s">
        <v>2704</v>
      </c>
      <c r="AH1485" t="s">
        <v>2699</v>
      </c>
      <c r="AI1485" t="s">
        <v>1411</v>
      </c>
      <c r="AJ1485" s="4" t="str">
        <f>"44023"</f>
        <v>44023</v>
      </c>
      <c r="AK1485" t="s">
        <v>120</v>
      </c>
      <c r="AM1485" s="5">
        <v>14405430500</v>
      </c>
      <c r="AO1485" t="s">
        <v>2703</v>
      </c>
      <c r="AP1485" t="s">
        <v>256</v>
      </c>
      <c r="AQ1485" t="s">
        <v>1731</v>
      </c>
      <c r="AR1485" t="s">
        <v>1732</v>
      </c>
      <c r="AS1485" t="s">
        <v>1733</v>
      </c>
      <c r="AT1485" t="s">
        <v>1734</v>
      </c>
      <c r="AU1485" t="s">
        <v>1735</v>
      </c>
      <c r="AV1485" t="s">
        <v>1736</v>
      </c>
      <c r="AW1485" t="s">
        <v>479</v>
      </c>
      <c r="AX1485" s="4" t="str">
        <f>"24521"</f>
        <v>24521</v>
      </c>
      <c r="AY1485" t="s">
        <v>120</v>
      </c>
      <c r="AZ1485" t="s">
        <v>2983</v>
      </c>
      <c r="BA1485" s="5">
        <v>14349460035</v>
      </c>
      <c r="BB1485">
        <v>11</v>
      </c>
      <c r="BC1485" t="s">
        <v>1737</v>
      </c>
      <c r="BD1485" t="s">
        <v>1738</v>
      </c>
      <c r="BG1485" t="s">
        <v>1411</v>
      </c>
      <c r="BH1485" s="1">
        <v>44880.791666666664</v>
      </c>
      <c r="BI1485">
        <v>40</v>
      </c>
      <c r="BJ1485">
        <v>0</v>
      </c>
      <c r="BK1485">
        <v>8</v>
      </c>
      <c r="BL1485">
        <v>8</v>
      </c>
      <c r="BM1485">
        <v>8</v>
      </c>
      <c r="BN1485">
        <v>8</v>
      </c>
      <c r="BO1485">
        <v>8</v>
      </c>
      <c r="BP1485">
        <v>0</v>
      </c>
      <c r="BQ1485" t="str">
        <f>"8:00 AM"</f>
        <v>8:00 AM</v>
      </c>
      <c r="BR1485" t="str">
        <f>"5:30 PM"</f>
        <v>5:30 PM</v>
      </c>
      <c r="BS1485" t="s">
        <v>133</v>
      </c>
      <c r="BT1485">
        <v>0</v>
      </c>
      <c r="BU1485">
        <v>0</v>
      </c>
      <c r="BV1485" t="s">
        <v>134</v>
      </c>
      <c r="BX1485" s="2" t="s">
        <v>10332</v>
      </c>
      <c r="BY1485" t="s">
        <v>2704</v>
      </c>
      <c r="CA1485" t="s">
        <v>2699</v>
      </c>
      <c r="CB1485" t="s">
        <v>1411</v>
      </c>
      <c r="CC1485" s="4" t="str">
        <f>"44023"</f>
        <v>44023</v>
      </c>
      <c r="CD1485" t="s">
        <v>2597</v>
      </c>
      <c r="CE1485" t="s">
        <v>1464</v>
      </c>
      <c r="CF1485" s="6">
        <v>16.71</v>
      </c>
      <c r="CG1485" s="6">
        <v>16.71</v>
      </c>
      <c r="CH1485" s="6">
        <v>25.07</v>
      </c>
      <c r="CI1485" s="6">
        <v>25.07</v>
      </c>
      <c r="CJ1485" t="s">
        <v>137</v>
      </c>
      <c r="CK1485" t="s">
        <v>2162</v>
      </c>
      <c r="CL1485" t="s">
        <v>2705</v>
      </c>
      <c r="CO1485" t="s">
        <v>138</v>
      </c>
      <c r="CP1485" t="s">
        <v>114</v>
      </c>
      <c r="CQ1485" t="s">
        <v>114</v>
      </c>
      <c r="CR1485" t="s">
        <v>114</v>
      </c>
      <c r="CS1485" t="s">
        <v>114</v>
      </c>
      <c r="CT1485" t="s">
        <v>114</v>
      </c>
      <c r="CU1485" t="s">
        <v>114</v>
      </c>
      <c r="CV1485" s="2" t="s">
        <v>10333</v>
      </c>
      <c r="CW1485" s="5" t="str">
        <f>"N/A"</f>
        <v>N/A</v>
      </c>
      <c r="CX1485" t="s">
        <v>10334</v>
      </c>
      <c r="CY1485" t="s">
        <v>10335</v>
      </c>
      <c r="CZ1485" t="s">
        <v>139</v>
      </c>
      <c r="DA1485" t="s">
        <v>134</v>
      </c>
      <c r="DB1485" t="s">
        <v>114</v>
      </c>
      <c r="DC1485" t="s">
        <v>114</v>
      </c>
      <c r="DD1485" t="s">
        <v>134</v>
      </c>
    </row>
    <row r="1486" spans="1:113" ht="15" customHeight="1" x14ac:dyDescent="0.25">
      <c r="A1486" t="s">
        <v>15143</v>
      </c>
      <c r="B1486" t="s">
        <v>141</v>
      </c>
      <c r="C1486" s="1">
        <v>44873.688945138892</v>
      </c>
      <c r="D1486" s="1">
        <v>44894</v>
      </c>
      <c r="E1486" t="s">
        <v>134</v>
      </c>
      <c r="F1486" t="s">
        <v>1437</v>
      </c>
      <c r="G1486" t="str">
        <f>"37-3011.00"</f>
        <v>37-3011.00</v>
      </c>
      <c r="H1486" t="s">
        <v>335</v>
      </c>
      <c r="I1486">
        <v>15</v>
      </c>
      <c r="K1486" s="1">
        <v>44949</v>
      </c>
      <c r="L1486" s="1">
        <v>45252</v>
      </c>
      <c r="O1486" t="s">
        <v>199</v>
      </c>
      <c r="P1486" t="s">
        <v>13842</v>
      </c>
      <c r="R1486" t="s">
        <v>13843</v>
      </c>
      <c r="T1486" t="s">
        <v>13844</v>
      </c>
      <c r="U1486" t="s">
        <v>1003</v>
      </c>
      <c r="V1486" s="4" t="str">
        <f>"07701"</f>
        <v>07701</v>
      </c>
      <c r="W1486" t="s">
        <v>120</v>
      </c>
      <c r="X1486" t="s">
        <v>2338</v>
      </c>
      <c r="Y1486" s="5">
        <v>17325301466</v>
      </c>
      <c r="AA1486">
        <v>56173</v>
      </c>
      <c r="AB1486" t="s">
        <v>13845</v>
      </c>
      <c r="AC1486" t="s">
        <v>6972</v>
      </c>
      <c r="AE1486" t="s">
        <v>15144</v>
      </c>
      <c r="AF1486" t="s">
        <v>15145</v>
      </c>
      <c r="AH1486" t="s">
        <v>15146</v>
      </c>
      <c r="AI1486" t="s">
        <v>1003</v>
      </c>
      <c r="AJ1486" s="4" t="str">
        <f>"07724"</f>
        <v>07724</v>
      </c>
      <c r="AK1486" t="s">
        <v>120</v>
      </c>
      <c r="AM1486" s="5">
        <v>17326838850</v>
      </c>
      <c r="AN1486">
        <v>6011</v>
      </c>
      <c r="AO1486" t="s">
        <v>13848</v>
      </c>
      <c r="AX1486" s="4" t="str">
        <f>""</f>
        <v/>
      </c>
      <c r="BG1486" t="s">
        <v>1003</v>
      </c>
      <c r="BH1486" s="1">
        <v>44866.833333333336</v>
      </c>
      <c r="BI1486">
        <v>40</v>
      </c>
      <c r="BJ1486">
        <v>0</v>
      </c>
      <c r="BK1486">
        <v>8</v>
      </c>
      <c r="BL1486">
        <v>8</v>
      </c>
      <c r="BM1486">
        <v>8</v>
      </c>
      <c r="BN1486">
        <v>8</v>
      </c>
      <c r="BO1486">
        <v>8</v>
      </c>
      <c r="BP1486">
        <v>0</v>
      </c>
      <c r="BQ1486" t="str">
        <f>"7:30 AM"</f>
        <v>7:30 AM</v>
      </c>
      <c r="BR1486" t="str">
        <f>"4:00 PM"</f>
        <v>4:00 PM</v>
      </c>
      <c r="BS1486" t="s">
        <v>133</v>
      </c>
      <c r="BT1486">
        <v>0</v>
      </c>
      <c r="BU1486">
        <v>0</v>
      </c>
      <c r="BV1486" t="s">
        <v>134</v>
      </c>
      <c r="BX1486" t="s">
        <v>15147</v>
      </c>
      <c r="BY1486" t="s">
        <v>15148</v>
      </c>
      <c r="CA1486" t="s">
        <v>13844</v>
      </c>
      <c r="CB1486" t="s">
        <v>1003</v>
      </c>
      <c r="CC1486" s="4" t="str">
        <f>"07701"</f>
        <v>07701</v>
      </c>
      <c r="CD1486" t="s">
        <v>1355</v>
      </c>
      <c r="CE1486" t="s">
        <v>1009</v>
      </c>
      <c r="CF1486" s="6">
        <v>19.940000000000001</v>
      </c>
      <c r="CG1486" s="6">
        <v>19.940000000000001</v>
      </c>
      <c r="CH1486" s="6">
        <v>29.91</v>
      </c>
      <c r="CI1486" s="6">
        <v>29.91</v>
      </c>
      <c r="CJ1486" t="s">
        <v>137</v>
      </c>
      <c r="CL1486" t="s">
        <v>15149</v>
      </c>
      <c r="CO1486" t="s">
        <v>138</v>
      </c>
      <c r="CP1486" t="s">
        <v>134</v>
      </c>
      <c r="CQ1486" t="s">
        <v>114</v>
      </c>
      <c r="CR1486" t="s">
        <v>114</v>
      </c>
      <c r="CS1486" t="s">
        <v>114</v>
      </c>
      <c r="CT1486" t="s">
        <v>114</v>
      </c>
      <c r="CU1486" t="s">
        <v>114</v>
      </c>
      <c r="CV1486" t="s">
        <v>1787</v>
      </c>
      <c r="CW1486" s="5" t="str">
        <f>"+17325301466"</f>
        <v>+17325301466</v>
      </c>
      <c r="CX1486" t="s">
        <v>15150</v>
      </c>
      <c r="CY1486" t="s">
        <v>138</v>
      </c>
      <c r="CZ1486" t="s">
        <v>139</v>
      </c>
      <c r="DA1486" t="s">
        <v>134</v>
      </c>
      <c r="DB1486" t="s">
        <v>134</v>
      </c>
      <c r="DC1486" t="s">
        <v>114</v>
      </c>
      <c r="DD1486" t="s">
        <v>134</v>
      </c>
    </row>
    <row r="1487" spans="1:113" ht="15" customHeight="1" x14ac:dyDescent="0.25">
      <c r="A1487" t="s">
        <v>15774</v>
      </c>
      <c r="B1487" t="s">
        <v>141</v>
      </c>
      <c r="C1487" s="1">
        <v>44887.927837499999</v>
      </c>
      <c r="D1487" s="1">
        <v>44893</v>
      </c>
      <c r="E1487" t="s">
        <v>134</v>
      </c>
      <c r="F1487" t="s">
        <v>2737</v>
      </c>
      <c r="G1487" t="str">
        <f>"53-7061.00"</f>
        <v>53-7061.00</v>
      </c>
      <c r="H1487" t="s">
        <v>4602</v>
      </c>
      <c r="I1487">
        <v>2</v>
      </c>
      <c r="K1487" s="1">
        <v>44977</v>
      </c>
      <c r="L1487" s="1">
        <v>45260</v>
      </c>
      <c r="O1487" t="s">
        <v>199</v>
      </c>
      <c r="P1487" t="s">
        <v>15775</v>
      </c>
      <c r="R1487" t="s">
        <v>15776</v>
      </c>
      <c r="T1487" t="s">
        <v>1226</v>
      </c>
      <c r="U1487" t="s">
        <v>848</v>
      </c>
      <c r="V1487" s="4" t="str">
        <f>"11934"</f>
        <v>11934</v>
      </c>
      <c r="W1487" t="s">
        <v>120</v>
      </c>
      <c r="Y1487" s="5">
        <v>16316274330</v>
      </c>
      <c r="AA1487">
        <v>42332</v>
      </c>
      <c r="AB1487" t="s">
        <v>15777</v>
      </c>
      <c r="AC1487" t="s">
        <v>15778</v>
      </c>
      <c r="AE1487" t="s">
        <v>700</v>
      </c>
      <c r="AF1487" t="s">
        <v>15776</v>
      </c>
      <c r="AH1487" t="s">
        <v>1226</v>
      </c>
      <c r="AI1487" t="s">
        <v>848</v>
      </c>
      <c r="AJ1487" s="4" t="str">
        <f>"11934"</f>
        <v>11934</v>
      </c>
      <c r="AK1487" t="s">
        <v>120</v>
      </c>
      <c r="AM1487" s="5">
        <v>16316274330</v>
      </c>
      <c r="AO1487" t="s">
        <v>138</v>
      </c>
      <c r="AP1487" t="s">
        <v>256</v>
      </c>
      <c r="AQ1487" t="s">
        <v>1220</v>
      </c>
      <c r="AR1487" t="s">
        <v>1221</v>
      </c>
      <c r="AT1487" t="s">
        <v>1222</v>
      </c>
      <c r="AV1487" t="s">
        <v>1223</v>
      </c>
      <c r="AW1487" t="s">
        <v>848</v>
      </c>
      <c r="AX1487" s="4" t="str">
        <f>"11590"</f>
        <v>11590</v>
      </c>
      <c r="AY1487" t="s">
        <v>120</v>
      </c>
      <c r="BA1487" s="5">
        <v>15163307168</v>
      </c>
      <c r="BC1487" t="s">
        <v>1224</v>
      </c>
      <c r="BD1487" t="s">
        <v>1225</v>
      </c>
      <c r="BG1487" t="s">
        <v>848</v>
      </c>
      <c r="BH1487" s="1">
        <v>44851.833333333336</v>
      </c>
      <c r="BI1487">
        <v>40</v>
      </c>
      <c r="BJ1487">
        <v>0</v>
      </c>
      <c r="BK1487">
        <v>8</v>
      </c>
      <c r="BL1487">
        <v>8</v>
      </c>
      <c r="BM1487">
        <v>8</v>
      </c>
      <c r="BN1487">
        <v>8</v>
      </c>
      <c r="BO1487">
        <v>8</v>
      </c>
      <c r="BP1487">
        <v>0</v>
      </c>
      <c r="BQ1487" t="str">
        <f>"8:00 AM"</f>
        <v>8:00 AM</v>
      </c>
      <c r="BR1487" t="str">
        <f>"4:00 PM"</f>
        <v>4:00 PM</v>
      </c>
      <c r="BS1487" t="s">
        <v>133</v>
      </c>
      <c r="BT1487">
        <v>0</v>
      </c>
      <c r="BU1487">
        <v>0</v>
      </c>
      <c r="BV1487" t="s">
        <v>134</v>
      </c>
      <c r="BX1487" t="s">
        <v>138</v>
      </c>
      <c r="BY1487" t="s">
        <v>15776</v>
      </c>
      <c r="CA1487" t="s">
        <v>1226</v>
      </c>
      <c r="CB1487" t="s">
        <v>848</v>
      </c>
      <c r="CC1487" s="4" t="str">
        <f>"11934"</f>
        <v>11934</v>
      </c>
      <c r="CD1487" t="s">
        <v>1227</v>
      </c>
      <c r="CE1487" t="s">
        <v>1009</v>
      </c>
      <c r="CF1487" s="6">
        <v>19.64</v>
      </c>
      <c r="CG1487" s="6">
        <v>19.64</v>
      </c>
      <c r="CH1487" s="6">
        <v>29.46</v>
      </c>
      <c r="CI1487" s="6">
        <v>29.46</v>
      </c>
      <c r="CJ1487" t="s">
        <v>137</v>
      </c>
      <c r="CK1487" t="s">
        <v>138</v>
      </c>
      <c r="CL1487" t="s">
        <v>15779</v>
      </c>
      <c r="CO1487" t="s">
        <v>138</v>
      </c>
      <c r="CP1487" t="s">
        <v>114</v>
      </c>
      <c r="CQ1487" t="s">
        <v>114</v>
      </c>
      <c r="CR1487" t="s">
        <v>114</v>
      </c>
      <c r="CS1487" t="s">
        <v>134</v>
      </c>
      <c r="CT1487" t="s">
        <v>114</v>
      </c>
      <c r="CU1487" t="s">
        <v>134</v>
      </c>
      <c r="CV1487" t="s">
        <v>219</v>
      </c>
      <c r="CW1487" s="5" t="str">
        <f>"+16316274330"</f>
        <v>+16316274330</v>
      </c>
      <c r="CX1487" t="s">
        <v>15780</v>
      </c>
      <c r="CY1487" t="s">
        <v>138</v>
      </c>
      <c r="CZ1487" t="s">
        <v>139</v>
      </c>
      <c r="DA1487" t="s">
        <v>134</v>
      </c>
      <c r="DB1487" t="s">
        <v>134</v>
      </c>
      <c r="DC1487" t="s">
        <v>114</v>
      </c>
      <c r="DD1487" t="s">
        <v>134</v>
      </c>
    </row>
    <row r="1488" spans="1:113" ht="15" customHeight="1" x14ac:dyDescent="0.25">
      <c r="A1488" t="s">
        <v>6480</v>
      </c>
      <c r="B1488" t="s">
        <v>141</v>
      </c>
      <c r="C1488" s="1">
        <v>44872.543611689813</v>
      </c>
      <c r="D1488" s="1">
        <v>44893</v>
      </c>
      <c r="E1488" t="s">
        <v>134</v>
      </c>
      <c r="F1488" t="s">
        <v>6481</v>
      </c>
      <c r="G1488" t="str">
        <f>"53-7065.00"</f>
        <v>53-7065.00</v>
      </c>
      <c r="H1488" t="s">
        <v>2931</v>
      </c>
      <c r="I1488">
        <v>1</v>
      </c>
      <c r="K1488" s="1">
        <v>44949</v>
      </c>
      <c r="L1488" s="1">
        <v>45314</v>
      </c>
      <c r="O1488" t="s">
        <v>168</v>
      </c>
      <c r="P1488" t="s">
        <v>6482</v>
      </c>
      <c r="R1488" t="s">
        <v>6483</v>
      </c>
      <c r="T1488" t="s">
        <v>128</v>
      </c>
      <c r="U1488" t="s">
        <v>129</v>
      </c>
      <c r="V1488" s="4" t="str">
        <f>"30305"</f>
        <v>30305</v>
      </c>
      <c r="W1488" t="s">
        <v>120</v>
      </c>
      <c r="Y1488" s="5">
        <v>14048163999</v>
      </c>
      <c r="AA1488">
        <v>448140</v>
      </c>
      <c r="AB1488" t="s">
        <v>6484</v>
      </c>
      <c r="AC1488" t="s">
        <v>6485</v>
      </c>
      <c r="AE1488" t="s">
        <v>1567</v>
      </c>
      <c r="AF1488" t="s">
        <v>6483</v>
      </c>
      <c r="AH1488" t="s">
        <v>128</v>
      </c>
      <c r="AI1488" t="s">
        <v>129</v>
      </c>
      <c r="AJ1488" s="4" t="str">
        <f>"30305"</f>
        <v>30305</v>
      </c>
      <c r="AK1488" t="s">
        <v>120</v>
      </c>
      <c r="AM1488" s="5">
        <v>14048163999</v>
      </c>
      <c r="AO1488" t="s">
        <v>6486</v>
      </c>
      <c r="AX1488" s="4" t="str">
        <f>""</f>
        <v/>
      </c>
      <c r="BG1488" t="s">
        <v>129</v>
      </c>
      <c r="BH1488" s="1">
        <v>44858.833333333336</v>
      </c>
      <c r="BI1488">
        <v>35</v>
      </c>
      <c r="BJ1488">
        <v>0</v>
      </c>
      <c r="BK1488">
        <v>7</v>
      </c>
      <c r="BL1488">
        <v>7</v>
      </c>
      <c r="BM1488">
        <v>0</v>
      </c>
      <c r="BN1488">
        <v>7</v>
      </c>
      <c r="BO1488">
        <v>7</v>
      </c>
      <c r="BP1488">
        <v>7</v>
      </c>
      <c r="BQ1488" t="str">
        <f>"9:45 AM"</f>
        <v>9:45 AM</v>
      </c>
      <c r="BR1488" t="str">
        <f>"5:15 PM"</f>
        <v>5:15 PM</v>
      </c>
      <c r="BS1488" t="s">
        <v>295</v>
      </c>
      <c r="BT1488">
        <v>0</v>
      </c>
      <c r="BU1488">
        <v>12</v>
      </c>
      <c r="BV1488" t="s">
        <v>134</v>
      </c>
      <c r="BX1488" s="2" t="s">
        <v>6487</v>
      </c>
      <c r="BY1488" t="s">
        <v>6483</v>
      </c>
      <c r="CA1488" t="s">
        <v>128</v>
      </c>
      <c r="CB1488" t="s">
        <v>129</v>
      </c>
      <c r="CC1488" s="4" t="str">
        <f>"30305"</f>
        <v>30305</v>
      </c>
      <c r="CD1488" t="s">
        <v>907</v>
      </c>
      <c r="CE1488" t="s">
        <v>908</v>
      </c>
      <c r="CF1488" s="6">
        <v>15</v>
      </c>
      <c r="CG1488" s="6">
        <v>20</v>
      </c>
      <c r="CJ1488" t="s">
        <v>137</v>
      </c>
      <c r="CL1488" t="s">
        <v>6488</v>
      </c>
      <c r="CO1488" t="s">
        <v>138</v>
      </c>
      <c r="CP1488" t="s">
        <v>134</v>
      </c>
      <c r="CQ1488" t="s">
        <v>134</v>
      </c>
      <c r="CR1488" t="s">
        <v>134</v>
      </c>
      <c r="CS1488" t="s">
        <v>114</v>
      </c>
      <c r="CT1488" t="s">
        <v>134</v>
      </c>
      <c r="CU1488" t="s">
        <v>134</v>
      </c>
      <c r="CV1488" t="s">
        <v>133</v>
      </c>
      <c r="CW1488" s="5" t="str">
        <f>"+14048163999"</f>
        <v>+14048163999</v>
      </c>
      <c r="CX1488" t="s">
        <v>6486</v>
      </c>
      <c r="CY1488" t="s">
        <v>138</v>
      </c>
      <c r="CZ1488" t="s">
        <v>139</v>
      </c>
      <c r="DA1488" t="s">
        <v>134</v>
      </c>
      <c r="DB1488" t="s">
        <v>134</v>
      </c>
      <c r="DC1488" t="s">
        <v>114</v>
      </c>
      <c r="DD1488" t="s">
        <v>134</v>
      </c>
      <c r="DE1488" t="s">
        <v>6484</v>
      </c>
      <c r="DF1488" t="s">
        <v>6485</v>
      </c>
      <c r="DG1488" t="s">
        <v>2217</v>
      </c>
      <c r="DH1488" t="s">
        <v>6482</v>
      </c>
      <c r="DI1488" t="s">
        <v>6486</v>
      </c>
    </row>
    <row r="1489" spans="1:113" ht="15" customHeight="1" x14ac:dyDescent="0.25">
      <c r="A1489" t="s">
        <v>16402</v>
      </c>
      <c r="B1489" t="s">
        <v>141</v>
      </c>
      <c r="C1489" s="1">
        <v>44855.51074513889</v>
      </c>
      <c r="D1489" s="1">
        <v>44883</v>
      </c>
      <c r="E1489" t="s">
        <v>114</v>
      </c>
      <c r="F1489" t="s">
        <v>10815</v>
      </c>
      <c r="G1489" t="str">
        <f>"51-9199.00"</f>
        <v>51-9199.00</v>
      </c>
      <c r="H1489" t="s">
        <v>11201</v>
      </c>
      <c r="I1489">
        <v>1</v>
      </c>
      <c r="K1489" s="1">
        <v>44929</v>
      </c>
      <c r="L1489" s="1">
        <v>46022</v>
      </c>
      <c r="O1489" t="s">
        <v>168</v>
      </c>
      <c r="P1489" t="s">
        <v>10816</v>
      </c>
      <c r="Q1489" t="s">
        <v>10817</v>
      </c>
      <c r="R1489" t="s">
        <v>10818</v>
      </c>
      <c r="T1489" t="s">
        <v>2553</v>
      </c>
      <c r="U1489" t="s">
        <v>1279</v>
      </c>
      <c r="V1489" s="4" t="str">
        <f>"66538"</f>
        <v>66538</v>
      </c>
      <c r="W1489" t="s">
        <v>120</v>
      </c>
      <c r="Y1489" s="5">
        <v>17853362121</v>
      </c>
      <c r="AA1489">
        <v>11511</v>
      </c>
      <c r="AB1489" t="s">
        <v>4076</v>
      </c>
      <c r="AC1489" t="s">
        <v>10819</v>
      </c>
      <c r="AD1489" t="s">
        <v>3718</v>
      </c>
      <c r="AE1489" t="s">
        <v>10820</v>
      </c>
      <c r="AF1489" t="s">
        <v>10818</v>
      </c>
      <c r="AH1489" t="s">
        <v>2553</v>
      </c>
      <c r="AI1489" t="s">
        <v>1279</v>
      </c>
      <c r="AJ1489" s="4" t="str">
        <f>"66538"</f>
        <v>66538</v>
      </c>
      <c r="AK1489" t="s">
        <v>120</v>
      </c>
      <c r="AM1489" s="5">
        <v>17853362121</v>
      </c>
      <c r="AO1489" t="s">
        <v>10821</v>
      </c>
      <c r="AX1489" s="4" t="str">
        <f>""</f>
        <v/>
      </c>
      <c r="BG1489" t="s">
        <v>1279</v>
      </c>
      <c r="BH1489" s="1">
        <v>44895.791666666664</v>
      </c>
      <c r="BI1489">
        <v>40</v>
      </c>
      <c r="BJ1489">
        <v>0</v>
      </c>
      <c r="BK1489">
        <v>8</v>
      </c>
      <c r="BL1489">
        <v>8</v>
      </c>
      <c r="BM1489">
        <v>8</v>
      </c>
      <c r="BN1489">
        <v>8</v>
      </c>
      <c r="BO1489">
        <v>8</v>
      </c>
      <c r="BP1489">
        <v>0</v>
      </c>
      <c r="BQ1489" t="str">
        <f>"8:00 AM"</f>
        <v>8:00 AM</v>
      </c>
      <c r="BR1489" t="str">
        <f>"5:00 PM"</f>
        <v>5:00 PM</v>
      </c>
      <c r="BS1489" t="s">
        <v>295</v>
      </c>
      <c r="BT1489">
        <v>0</v>
      </c>
      <c r="BU1489">
        <v>12</v>
      </c>
      <c r="BV1489" t="s">
        <v>134</v>
      </c>
      <c r="BX1489" s="2" t="s">
        <v>10822</v>
      </c>
      <c r="BY1489" t="s">
        <v>10818</v>
      </c>
      <c r="CA1489" t="s">
        <v>2553</v>
      </c>
      <c r="CB1489" t="s">
        <v>1279</v>
      </c>
      <c r="CC1489" s="4" t="str">
        <f>"66538"</f>
        <v>66538</v>
      </c>
      <c r="CD1489" t="s">
        <v>10823</v>
      </c>
      <c r="CE1489" t="s">
        <v>4209</v>
      </c>
      <c r="CF1489" s="6">
        <v>11.35</v>
      </c>
      <c r="CG1489" s="6">
        <v>20.54</v>
      </c>
      <c r="CH1489" s="6">
        <v>17.03</v>
      </c>
      <c r="CI1489" s="6">
        <v>30.81</v>
      </c>
      <c r="CJ1489" t="s">
        <v>137</v>
      </c>
      <c r="CL1489" t="s">
        <v>16403</v>
      </c>
      <c r="CO1489" t="s">
        <v>114</v>
      </c>
      <c r="CP1489" t="s">
        <v>134</v>
      </c>
      <c r="CQ1489" t="s">
        <v>114</v>
      </c>
      <c r="CR1489" t="s">
        <v>114</v>
      </c>
      <c r="CS1489" t="s">
        <v>114</v>
      </c>
      <c r="CT1489" t="s">
        <v>114</v>
      </c>
      <c r="CU1489" t="s">
        <v>114</v>
      </c>
      <c r="CV1489" t="s">
        <v>16404</v>
      </c>
      <c r="CW1489" s="5" t="str">
        <f>"+17853362121"</f>
        <v>+17853362121</v>
      </c>
      <c r="CX1489" t="s">
        <v>10821</v>
      </c>
      <c r="CY1489" t="s">
        <v>16405</v>
      </c>
      <c r="CZ1489" t="s">
        <v>139</v>
      </c>
      <c r="DA1489" t="s">
        <v>134</v>
      </c>
      <c r="DB1489" t="s">
        <v>134</v>
      </c>
      <c r="DC1489" t="s">
        <v>114</v>
      </c>
      <c r="DD1489" t="s">
        <v>134</v>
      </c>
    </row>
    <row r="1490" spans="1:113" ht="15" customHeight="1" x14ac:dyDescent="0.25">
      <c r="A1490" t="s">
        <v>3352</v>
      </c>
      <c r="B1490" t="s">
        <v>141</v>
      </c>
      <c r="C1490" s="1">
        <v>44882.503301851852</v>
      </c>
      <c r="D1490" s="1">
        <v>44882</v>
      </c>
      <c r="E1490" t="s">
        <v>134</v>
      </c>
      <c r="F1490" t="s">
        <v>334</v>
      </c>
      <c r="G1490" t="str">
        <f>"37-3011.00"</f>
        <v>37-3011.00</v>
      </c>
      <c r="H1490" t="s">
        <v>335</v>
      </c>
      <c r="I1490">
        <v>4</v>
      </c>
      <c r="K1490" s="1">
        <v>44972</v>
      </c>
      <c r="L1490" s="1">
        <v>45260</v>
      </c>
      <c r="O1490" t="s">
        <v>199</v>
      </c>
      <c r="P1490" t="s">
        <v>3353</v>
      </c>
      <c r="R1490" t="s">
        <v>3354</v>
      </c>
      <c r="S1490" t="s">
        <v>3355</v>
      </c>
      <c r="T1490" t="s">
        <v>2285</v>
      </c>
      <c r="U1490" t="s">
        <v>1411</v>
      </c>
      <c r="V1490" s="4" t="str">
        <f>"44139"</f>
        <v>44139</v>
      </c>
      <c r="W1490" t="s">
        <v>120</v>
      </c>
      <c r="Y1490" s="5">
        <v>12168316522</v>
      </c>
      <c r="AA1490">
        <v>5617</v>
      </c>
      <c r="AB1490" t="s">
        <v>3356</v>
      </c>
      <c r="AC1490" t="s">
        <v>3357</v>
      </c>
      <c r="AD1490" t="s">
        <v>1685</v>
      </c>
      <c r="AE1490" t="s">
        <v>342</v>
      </c>
      <c r="AF1490" t="s">
        <v>3358</v>
      </c>
      <c r="AG1490" t="s">
        <v>3355</v>
      </c>
      <c r="AH1490" t="s">
        <v>2285</v>
      </c>
      <c r="AI1490" t="s">
        <v>1411</v>
      </c>
      <c r="AJ1490" s="4" t="str">
        <f>"44139"</f>
        <v>44139</v>
      </c>
      <c r="AK1490" t="s">
        <v>120</v>
      </c>
      <c r="AM1490" s="5">
        <v>12168316522</v>
      </c>
      <c r="AO1490" t="s">
        <v>3359</v>
      </c>
      <c r="AP1490" t="s">
        <v>256</v>
      </c>
      <c r="AQ1490" t="s">
        <v>1731</v>
      </c>
      <c r="AR1490" t="s">
        <v>1732</v>
      </c>
      <c r="AS1490" t="s">
        <v>1733</v>
      </c>
      <c r="AT1490" t="s">
        <v>1734</v>
      </c>
      <c r="AU1490" t="s">
        <v>1735</v>
      </c>
      <c r="AV1490" t="s">
        <v>1736</v>
      </c>
      <c r="AW1490" t="s">
        <v>479</v>
      </c>
      <c r="AX1490" s="4" t="str">
        <f>"24521"</f>
        <v>24521</v>
      </c>
      <c r="AY1490" t="s">
        <v>120</v>
      </c>
      <c r="BA1490" s="5">
        <v>14349460035</v>
      </c>
      <c r="BB1490">
        <v>11</v>
      </c>
      <c r="BC1490" t="s">
        <v>1737</v>
      </c>
      <c r="BD1490" t="s">
        <v>1738</v>
      </c>
      <c r="BG1490" t="s">
        <v>1411</v>
      </c>
      <c r="BH1490" s="1">
        <v>44881.791666666664</v>
      </c>
      <c r="BI1490">
        <v>40</v>
      </c>
      <c r="BJ1490">
        <v>0</v>
      </c>
      <c r="BK1490">
        <v>8</v>
      </c>
      <c r="BL1490">
        <v>8</v>
      </c>
      <c r="BM1490">
        <v>8</v>
      </c>
      <c r="BN1490">
        <v>8</v>
      </c>
      <c r="BO1490">
        <v>8</v>
      </c>
      <c r="BP1490">
        <v>0</v>
      </c>
      <c r="BQ1490" t="str">
        <f>"8:00 AM"</f>
        <v>8:00 AM</v>
      </c>
      <c r="BR1490" t="str">
        <f>"4:30 PM"</f>
        <v>4:30 PM</v>
      </c>
      <c r="BS1490" t="s">
        <v>133</v>
      </c>
      <c r="BT1490">
        <v>0</v>
      </c>
      <c r="BU1490">
        <v>0</v>
      </c>
      <c r="BV1490" t="s">
        <v>134</v>
      </c>
      <c r="BX1490" s="2" t="s">
        <v>3360</v>
      </c>
      <c r="BY1490" t="s">
        <v>3354</v>
      </c>
      <c r="CA1490" t="s">
        <v>2285</v>
      </c>
      <c r="CB1490" t="s">
        <v>1411</v>
      </c>
      <c r="CC1490" s="4" t="str">
        <f>"44139"</f>
        <v>44139</v>
      </c>
      <c r="CD1490" t="s">
        <v>1590</v>
      </c>
      <c r="CE1490" t="s">
        <v>1464</v>
      </c>
      <c r="CF1490" s="6">
        <v>17.100000000000001</v>
      </c>
      <c r="CG1490" s="6">
        <v>17.100000000000001</v>
      </c>
      <c r="CH1490" s="6">
        <v>25.65</v>
      </c>
      <c r="CI1490" s="6">
        <v>25.65</v>
      </c>
      <c r="CJ1490" t="s">
        <v>137</v>
      </c>
      <c r="CK1490" t="s">
        <v>1739</v>
      </c>
      <c r="CL1490" t="s">
        <v>3361</v>
      </c>
      <c r="CO1490" t="s">
        <v>138</v>
      </c>
      <c r="CP1490" t="s">
        <v>114</v>
      </c>
      <c r="CQ1490" t="s">
        <v>114</v>
      </c>
      <c r="CR1490" t="s">
        <v>114</v>
      </c>
      <c r="CS1490" t="s">
        <v>134</v>
      </c>
      <c r="CT1490" t="s">
        <v>114</v>
      </c>
      <c r="CU1490" t="s">
        <v>114</v>
      </c>
      <c r="CV1490" s="2" t="s">
        <v>3362</v>
      </c>
      <c r="CW1490" s="5" t="str">
        <f>"+12168316522"</f>
        <v>+12168316522</v>
      </c>
      <c r="CX1490" t="s">
        <v>138</v>
      </c>
      <c r="CY1490" t="s">
        <v>3363</v>
      </c>
      <c r="CZ1490" t="s">
        <v>139</v>
      </c>
      <c r="DA1490" t="s">
        <v>134</v>
      </c>
      <c r="DB1490" t="s">
        <v>114</v>
      </c>
      <c r="DC1490" t="s">
        <v>114</v>
      </c>
      <c r="DD1490" t="s">
        <v>134</v>
      </c>
    </row>
    <row r="1491" spans="1:113" ht="15" customHeight="1" x14ac:dyDescent="0.25">
      <c r="A1491" t="s">
        <v>11314</v>
      </c>
      <c r="B1491" t="s">
        <v>141</v>
      </c>
      <c r="C1491" s="1">
        <v>44881.6392375</v>
      </c>
      <c r="D1491" s="1">
        <v>44881</v>
      </c>
      <c r="E1491" t="s">
        <v>134</v>
      </c>
      <c r="F1491" t="s">
        <v>9628</v>
      </c>
      <c r="G1491" t="str">
        <f>"37-2011.00"</f>
        <v>37-2011.00</v>
      </c>
      <c r="H1491" t="s">
        <v>672</v>
      </c>
      <c r="I1491">
        <v>165</v>
      </c>
      <c r="K1491" s="1">
        <v>44958</v>
      </c>
      <c r="L1491" s="1">
        <v>45016</v>
      </c>
      <c r="O1491" t="s">
        <v>199</v>
      </c>
      <c r="P1491" t="s">
        <v>10294</v>
      </c>
      <c r="R1491" t="s">
        <v>10295</v>
      </c>
      <c r="T1491" t="s">
        <v>10296</v>
      </c>
      <c r="U1491" t="s">
        <v>420</v>
      </c>
      <c r="V1491" s="4" t="str">
        <f>"84604"</f>
        <v>84604</v>
      </c>
      <c r="W1491" t="s">
        <v>120</v>
      </c>
      <c r="Y1491" s="5">
        <v>18016805552</v>
      </c>
      <c r="AA1491">
        <v>56172</v>
      </c>
      <c r="AB1491" t="s">
        <v>9108</v>
      </c>
      <c r="AC1491" t="s">
        <v>9109</v>
      </c>
      <c r="AE1491" t="s">
        <v>2513</v>
      </c>
      <c r="AF1491" t="s">
        <v>10295</v>
      </c>
      <c r="AH1491" t="s">
        <v>10296</v>
      </c>
      <c r="AI1491" t="s">
        <v>420</v>
      </c>
      <c r="AJ1491" s="4" t="str">
        <f>"84604"</f>
        <v>84604</v>
      </c>
      <c r="AK1491" t="s">
        <v>120</v>
      </c>
      <c r="AM1491" s="5">
        <v>18014668044</v>
      </c>
      <c r="AO1491" t="s">
        <v>9110</v>
      </c>
      <c r="AP1491" t="s">
        <v>122</v>
      </c>
      <c r="AQ1491" t="s">
        <v>702</v>
      </c>
      <c r="AR1491" t="s">
        <v>703</v>
      </c>
      <c r="AS1491" t="s">
        <v>704</v>
      </c>
      <c r="AT1491" t="s">
        <v>9111</v>
      </c>
      <c r="AV1491" t="s">
        <v>707</v>
      </c>
      <c r="AW1491" t="s">
        <v>232</v>
      </c>
      <c r="AX1491" s="4" t="str">
        <f>"78705"</f>
        <v>78705</v>
      </c>
      <c r="AY1491" t="s">
        <v>120</v>
      </c>
      <c r="BA1491" s="5">
        <v>15123470007</v>
      </c>
      <c r="BC1491" t="s">
        <v>708</v>
      </c>
      <c r="BD1491" t="s">
        <v>709</v>
      </c>
      <c r="BE1491" t="s">
        <v>232</v>
      </c>
      <c r="BF1491" t="s">
        <v>710</v>
      </c>
      <c r="BG1491" t="s">
        <v>420</v>
      </c>
      <c r="BH1491" s="1">
        <v>44879.791666666664</v>
      </c>
      <c r="BI1491">
        <v>40</v>
      </c>
      <c r="BJ1491">
        <v>0</v>
      </c>
      <c r="BK1491">
        <v>8</v>
      </c>
      <c r="BL1491">
        <v>8</v>
      </c>
      <c r="BM1491">
        <v>8</v>
      </c>
      <c r="BN1491">
        <v>8</v>
      </c>
      <c r="BO1491">
        <v>8</v>
      </c>
      <c r="BP1491">
        <v>0</v>
      </c>
      <c r="BQ1491" t="str">
        <f>"8:00 AM"</f>
        <v>8:00 AM</v>
      </c>
      <c r="BR1491" t="str">
        <f>"5:00 PM"</f>
        <v>5:00 PM</v>
      </c>
      <c r="BS1491" t="s">
        <v>133</v>
      </c>
      <c r="BT1491">
        <v>0</v>
      </c>
      <c r="BU1491">
        <v>0</v>
      </c>
      <c r="BV1491" t="s">
        <v>134</v>
      </c>
      <c r="BX1491" t="s">
        <v>934</v>
      </c>
      <c r="BY1491" t="s">
        <v>10295</v>
      </c>
      <c r="CA1491" t="s">
        <v>10296</v>
      </c>
      <c r="CB1491" t="s">
        <v>420</v>
      </c>
      <c r="CC1491" s="4" t="str">
        <f>"84604"</f>
        <v>84604</v>
      </c>
      <c r="CD1491" t="s">
        <v>433</v>
      </c>
      <c r="CE1491" t="s">
        <v>434</v>
      </c>
      <c r="CF1491" s="6">
        <v>13.28</v>
      </c>
      <c r="CH1491" s="6">
        <v>19.920000000000002</v>
      </c>
      <c r="CJ1491" t="s">
        <v>137</v>
      </c>
      <c r="CL1491" t="s">
        <v>10297</v>
      </c>
      <c r="CO1491" t="s">
        <v>138</v>
      </c>
      <c r="CP1491" t="s">
        <v>134</v>
      </c>
      <c r="CQ1491" t="s">
        <v>114</v>
      </c>
      <c r="CR1491" t="s">
        <v>114</v>
      </c>
      <c r="CS1491" t="s">
        <v>114</v>
      </c>
      <c r="CT1491" t="s">
        <v>134</v>
      </c>
      <c r="CU1491" t="s">
        <v>114</v>
      </c>
      <c r="CV1491" t="s">
        <v>11315</v>
      </c>
      <c r="CW1491" s="5" t="str">
        <f>"+18016805552"</f>
        <v>+18016805552</v>
      </c>
      <c r="CX1491" t="s">
        <v>9110</v>
      </c>
      <c r="CY1491" t="s">
        <v>138</v>
      </c>
      <c r="CZ1491" t="s">
        <v>139</v>
      </c>
      <c r="DA1491" t="s">
        <v>134</v>
      </c>
      <c r="DB1491" t="s">
        <v>134</v>
      </c>
      <c r="DC1491" t="s">
        <v>114</v>
      </c>
      <c r="DD1491" t="s">
        <v>134</v>
      </c>
    </row>
    <row r="1492" spans="1:113" ht="15" customHeight="1" x14ac:dyDescent="0.25">
      <c r="A1492" t="s">
        <v>15951</v>
      </c>
      <c r="B1492" t="s">
        <v>141</v>
      </c>
      <c r="C1492" s="1">
        <v>44846.889865393518</v>
      </c>
      <c r="D1492" s="1">
        <v>44881</v>
      </c>
      <c r="E1492" t="s">
        <v>114</v>
      </c>
      <c r="F1492" t="s">
        <v>15952</v>
      </c>
      <c r="G1492" t="str">
        <f>"53-3032.00"</f>
        <v>53-3032.00</v>
      </c>
      <c r="H1492" t="s">
        <v>227</v>
      </c>
      <c r="I1492">
        <v>8</v>
      </c>
      <c r="K1492" s="1">
        <v>44921</v>
      </c>
      <c r="L1492" s="1">
        <v>45016</v>
      </c>
      <c r="O1492" t="s">
        <v>199</v>
      </c>
      <c r="P1492" t="s">
        <v>15953</v>
      </c>
      <c r="R1492" t="s">
        <v>15954</v>
      </c>
      <c r="T1492" t="s">
        <v>15955</v>
      </c>
      <c r="U1492" t="s">
        <v>444</v>
      </c>
      <c r="V1492" s="4" t="str">
        <f>"93455"</f>
        <v>93455</v>
      </c>
      <c r="W1492" t="s">
        <v>120</v>
      </c>
      <c r="Y1492" s="5">
        <v>18058622102</v>
      </c>
      <c r="AA1492">
        <v>11511</v>
      </c>
      <c r="AB1492" t="s">
        <v>15956</v>
      </c>
      <c r="AC1492" t="s">
        <v>2506</v>
      </c>
      <c r="AE1492" t="s">
        <v>1855</v>
      </c>
      <c r="AF1492" t="s">
        <v>15957</v>
      </c>
      <c r="AH1492" t="s">
        <v>15955</v>
      </c>
      <c r="AI1492" t="s">
        <v>444</v>
      </c>
      <c r="AJ1492" s="4" t="str">
        <f>"93455"</f>
        <v>93455</v>
      </c>
      <c r="AK1492" t="s">
        <v>120</v>
      </c>
      <c r="AM1492" s="5">
        <v>18058622102</v>
      </c>
      <c r="AO1492" t="s">
        <v>15958</v>
      </c>
      <c r="AP1492" t="s">
        <v>122</v>
      </c>
      <c r="AQ1492" t="s">
        <v>1721</v>
      </c>
      <c r="AR1492" t="s">
        <v>1722</v>
      </c>
      <c r="AS1492" t="s">
        <v>1723</v>
      </c>
      <c r="AT1492" t="s">
        <v>1724</v>
      </c>
      <c r="AV1492" t="s">
        <v>1725</v>
      </c>
      <c r="AW1492" t="s">
        <v>444</v>
      </c>
      <c r="AX1492" s="4" t="str">
        <f>"92106"</f>
        <v>92106</v>
      </c>
      <c r="AY1492" t="s">
        <v>120</v>
      </c>
      <c r="BA1492" s="5">
        <v>16192696164</v>
      </c>
      <c r="BC1492" t="s">
        <v>1726</v>
      </c>
      <c r="BD1492" t="s">
        <v>1727</v>
      </c>
      <c r="BE1492" t="s">
        <v>444</v>
      </c>
      <c r="BF1492" t="s">
        <v>510</v>
      </c>
      <c r="BG1492" t="s">
        <v>444</v>
      </c>
      <c r="BH1492" s="1">
        <v>44844.833333333336</v>
      </c>
      <c r="BI1492">
        <v>40</v>
      </c>
      <c r="BJ1492">
        <v>0</v>
      </c>
      <c r="BK1492">
        <v>8</v>
      </c>
      <c r="BL1492">
        <v>8</v>
      </c>
      <c r="BM1492">
        <v>8</v>
      </c>
      <c r="BN1492">
        <v>8</v>
      </c>
      <c r="BO1492">
        <v>8</v>
      </c>
      <c r="BP1492">
        <v>0</v>
      </c>
      <c r="BQ1492" t="str">
        <f>"5:00 AM"</f>
        <v>5:00 AM</v>
      </c>
      <c r="BR1492" t="str">
        <f>"1:00 PM"</f>
        <v>1:00 PM</v>
      </c>
      <c r="BS1492" t="s">
        <v>133</v>
      </c>
      <c r="BT1492">
        <v>0</v>
      </c>
      <c r="BU1492">
        <v>12</v>
      </c>
      <c r="BV1492" t="s">
        <v>134</v>
      </c>
      <c r="BX1492" s="2" t="s">
        <v>15959</v>
      </c>
      <c r="BY1492" t="s">
        <v>15960</v>
      </c>
      <c r="CA1492" t="s">
        <v>15961</v>
      </c>
      <c r="CB1492" t="s">
        <v>444</v>
      </c>
      <c r="CC1492" s="4" t="str">
        <f>"92243"</f>
        <v>92243</v>
      </c>
      <c r="CD1492" t="s">
        <v>10185</v>
      </c>
      <c r="CE1492" t="s">
        <v>10186</v>
      </c>
      <c r="CF1492" s="6">
        <v>22.58</v>
      </c>
      <c r="CG1492" s="6">
        <v>22.58</v>
      </c>
      <c r="CH1492" s="6">
        <v>33.869999999999997</v>
      </c>
      <c r="CI1492" s="6">
        <v>33.869999999999997</v>
      </c>
      <c r="CJ1492" t="s">
        <v>137</v>
      </c>
      <c r="CL1492" t="s">
        <v>15962</v>
      </c>
      <c r="CO1492" t="s">
        <v>138</v>
      </c>
      <c r="CP1492" t="s">
        <v>134</v>
      </c>
      <c r="CQ1492" t="s">
        <v>134</v>
      </c>
      <c r="CR1492" t="s">
        <v>114</v>
      </c>
      <c r="CS1492" t="s">
        <v>114</v>
      </c>
      <c r="CT1492" t="s">
        <v>114</v>
      </c>
      <c r="CU1492" t="s">
        <v>134</v>
      </c>
      <c r="CV1492" t="s">
        <v>15963</v>
      </c>
      <c r="CW1492" s="5" t="str">
        <f>"+18058622102"</f>
        <v>+18058622102</v>
      </c>
      <c r="CX1492" t="s">
        <v>15964</v>
      </c>
      <c r="CY1492" t="s">
        <v>138</v>
      </c>
      <c r="CZ1492" t="s">
        <v>139</v>
      </c>
      <c r="DA1492" t="s">
        <v>134</v>
      </c>
      <c r="DB1492" t="s">
        <v>134</v>
      </c>
      <c r="DC1492" t="s">
        <v>114</v>
      </c>
      <c r="DD1492" t="s">
        <v>134</v>
      </c>
    </row>
    <row r="1493" spans="1:113" ht="15" customHeight="1" x14ac:dyDescent="0.25">
      <c r="A1493" t="s">
        <v>3794</v>
      </c>
      <c r="B1493" t="s">
        <v>141</v>
      </c>
      <c r="C1493" s="1">
        <v>44879.573111342594</v>
      </c>
      <c r="D1493" s="1">
        <v>44879</v>
      </c>
      <c r="E1493" t="s">
        <v>134</v>
      </c>
      <c r="F1493" t="s">
        <v>334</v>
      </c>
      <c r="G1493" t="str">
        <f>"37-3011.00"</f>
        <v>37-3011.00</v>
      </c>
      <c r="H1493" t="s">
        <v>335</v>
      </c>
      <c r="I1493">
        <v>25</v>
      </c>
      <c r="K1493" s="1">
        <v>44967</v>
      </c>
      <c r="L1493" s="1">
        <v>45240</v>
      </c>
      <c r="O1493" t="s">
        <v>117</v>
      </c>
      <c r="P1493" t="s">
        <v>3795</v>
      </c>
      <c r="R1493" t="s">
        <v>3796</v>
      </c>
      <c r="T1493" t="s">
        <v>2706</v>
      </c>
      <c r="U1493" t="s">
        <v>184</v>
      </c>
      <c r="V1493" s="4" t="str">
        <f>"62232"</f>
        <v>62232</v>
      </c>
      <c r="W1493" t="s">
        <v>120</v>
      </c>
      <c r="Y1493" s="5">
        <v>16183989000</v>
      </c>
      <c r="AA1493">
        <v>56173</v>
      </c>
      <c r="AB1493" t="s">
        <v>3797</v>
      </c>
      <c r="AC1493" t="s">
        <v>1438</v>
      </c>
      <c r="AE1493" t="s">
        <v>3798</v>
      </c>
      <c r="AF1493" t="s">
        <v>3796</v>
      </c>
      <c r="AH1493" t="s">
        <v>2706</v>
      </c>
      <c r="AI1493" t="s">
        <v>184</v>
      </c>
      <c r="AJ1493" s="4" t="str">
        <f>"62232"</f>
        <v>62232</v>
      </c>
      <c r="AK1493" t="s">
        <v>120</v>
      </c>
      <c r="AM1493" s="5">
        <v>16183989000</v>
      </c>
      <c r="AO1493" t="s">
        <v>3799</v>
      </c>
      <c r="AP1493" t="s">
        <v>256</v>
      </c>
      <c r="AQ1493" t="s">
        <v>885</v>
      </c>
      <c r="AR1493" t="s">
        <v>886</v>
      </c>
      <c r="AT1493" t="s">
        <v>887</v>
      </c>
      <c r="AV1493" t="s">
        <v>888</v>
      </c>
      <c r="AW1493" t="s">
        <v>232</v>
      </c>
      <c r="AX1493" s="4" t="str">
        <f>"75098"</f>
        <v>75098</v>
      </c>
      <c r="AY1493" t="s">
        <v>120</v>
      </c>
      <c r="BA1493" s="5">
        <v>19724424244</v>
      </c>
      <c r="BC1493" t="s">
        <v>889</v>
      </c>
      <c r="BD1493" t="s">
        <v>3800</v>
      </c>
      <c r="BG1493" t="s">
        <v>184</v>
      </c>
      <c r="BH1493" s="1">
        <v>44878.791666666664</v>
      </c>
      <c r="BI1493">
        <v>40</v>
      </c>
      <c r="BJ1493">
        <v>0</v>
      </c>
      <c r="BK1493">
        <v>8</v>
      </c>
      <c r="BL1493">
        <v>8</v>
      </c>
      <c r="BM1493">
        <v>8</v>
      </c>
      <c r="BN1493">
        <v>8</v>
      </c>
      <c r="BO1493">
        <v>8</v>
      </c>
      <c r="BP1493">
        <v>0</v>
      </c>
      <c r="BQ1493" t="str">
        <f>"6:30 AM"</f>
        <v>6:30 AM</v>
      </c>
      <c r="BR1493" t="str">
        <f>"3:30 PM"</f>
        <v>3:30 PM</v>
      </c>
      <c r="BS1493" t="s">
        <v>133</v>
      </c>
      <c r="BT1493">
        <v>0</v>
      </c>
      <c r="BU1493">
        <v>0</v>
      </c>
      <c r="BV1493" t="s">
        <v>134</v>
      </c>
      <c r="BX1493" s="2" t="s">
        <v>3801</v>
      </c>
      <c r="BY1493" t="s">
        <v>3796</v>
      </c>
      <c r="CA1493" t="s">
        <v>2706</v>
      </c>
      <c r="CB1493" t="s">
        <v>184</v>
      </c>
      <c r="CC1493" s="4" t="str">
        <f>"62232"</f>
        <v>62232</v>
      </c>
      <c r="CD1493" t="s">
        <v>2374</v>
      </c>
      <c r="CE1493" t="s">
        <v>713</v>
      </c>
      <c r="CF1493" s="6">
        <v>16.96</v>
      </c>
      <c r="CG1493" s="6">
        <v>17</v>
      </c>
      <c r="CH1493" s="6">
        <v>25.44</v>
      </c>
      <c r="CJ1493" t="s">
        <v>137</v>
      </c>
      <c r="CL1493" t="s">
        <v>3802</v>
      </c>
      <c r="CO1493" t="s">
        <v>138</v>
      </c>
      <c r="CP1493" t="s">
        <v>114</v>
      </c>
      <c r="CQ1493" t="s">
        <v>114</v>
      </c>
      <c r="CR1493" t="s">
        <v>114</v>
      </c>
      <c r="CS1493" t="s">
        <v>114</v>
      </c>
      <c r="CT1493" t="s">
        <v>114</v>
      </c>
      <c r="CU1493" t="s">
        <v>114</v>
      </c>
      <c r="CV1493" t="s">
        <v>3803</v>
      </c>
      <c r="CW1493" s="5" t="str">
        <f>"+16183989000"</f>
        <v>+16183989000</v>
      </c>
      <c r="CX1493" t="s">
        <v>138</v>
      </c>
      <c r="CY1493" t="s">
        <v>3804</v>
      </c>
      <c r="CZ1493" t="s">
        <v>139</v>
      </c>
      <c r="DA1493" t="s">
        <v>134</v>
      </c>
      <c r="DB1493" t="s">
        <v>134</v>
      </c>
      <c r="DC1493" t="s">
        <v>114</v>
      </c>
      <c r="DD1493" t="s">
        <v>134</v>
      </c>
    </row>
    <row r="1494" spans="1:113" ht="15" customHeight="1" x14ac:dyDescent="0.25">
      <c r="A1494" t="s">
        <v>6396</v>
      </c>
      <c r="B1494" t="s">
        <v>141</v>
      </c>
      <c r="C1494" s="1">
        <v>44840.614632638892</v>
      </c>
      <c r="D1494" s="1">
        <v>44876</v>
      </c>
      <c r="E1494" t="s">
        <v>134</v>
      </c>
      <c r="F1494" t="s">
        <v>6397</v>
      </c>
      <c r="G1494" t="str">
        <f>"45-3031.00"</f>
        <v>45-3031.00</v>
      </c>
      <c r="H1494" t="s">
        <v>496</v>
      </c>
      <c r="I1494">
        <v>8</v>
      </c>
      <c r="K1494" s="1">
        <v>44915</v>
      </c>
      <c r="L1494" s="1">
        <v>45049</v>
      </c>
      <c r="O1494" t="s">
        <v>199</v>
      </c>
      <c r="P1494" t="s">
        <v>6398</v>
      </c>
      <c r="R1494" t="s">
        <v>6399</v>
      </c>
      <c r="T1494" t="s">
        <v>6400</v>
      </c>
      <c r="U1494" t="s">
        <v>232</v>
      </c>
      <c r="V1494" s="4" t="str">
        <f>"77514"</f>
        <v>77514</v>
      </c>
      <c r="W1494" t="s">
        <v>120</v>
      </c>
      <c r="Y1494" s="5">
        <v>14093552243</v>
      </c>
      <c r="AA1494">
        <v>31171</v>
      </c>
      <c r="AB1494" t="s">
        <v>6401</v>
      </c>
      <c r="AC1494" t="s">
        <v>6402</v>
      </c>
      <c r="AD1494" t="s">
        <v>3020</v>
      </c>
      <c r="AE1494" t="s">
        <v>2623</v>
      </c>
      <c r="AF1494" t="s">
        <v>6399</v>
      </c>
      <c r="AH1494" t="s">
        <v>6400</v>
      </c>
      <c r="AI1494" t="s">
        <v>232</v>
      </c>
      <c r="AJ1494" s="4" t="str">
        <f>"77514"</f>
        <v>77514</v>
      </c>
      <c r="AK1494" t="s">
        <v>120</v>
      </c>
      <c r="AM1494" s="5">
        <v>14093552243</v>
      </c>
      <c r="AO1494" t="s">
        <v>138</v>
      </c>
      <c r="AP1494" t="s">
        <v>256</v>
      </c>
      <c r="AQ1494" t="s">
        <v>1731</v>
      </c>
      <c r="AR1494" t="s">
        <v>1732</v>
      </c>
      <c r="AS1494" t="s">
        <v>1733</v>
      </c>
      <c r="AT1494" t="s">
        <v>1734</v>
      </c>
      <c r="AU1494" t="s">
        <v>1735</v>
      </c>
      <c r="AV1494" t="s">
        <v>1736</v>
      </c>
      <c r="AW1494" t="s">
        <v>479</v>
      </c>
      <c r="AX1494" s="4" t="str">
        <f>"24521"</f>
        <v>24521</v>
      </c>
      <c r="AY1494" t="s">
        <v>120</v>
      </c>
      <c r="BA1494" s="5">
        <v>14349460035</v>
      </c>
      <c r="BB1494">
        <v>11</v>
      </c>
      <c r="BC1494" t="s">
        <v>1737</v>
      </c>
      <c r="BD1494" t="s">
        <v>1738</v>
      </c>
      <c r="BG1494" t="s">
        <v>232</v>
      </c>
      <c r="BH1494" s="1">
        <v>44839.833333333336</v>
      </c>
      <c r="BI1494">
        <v>35</v>
      </c>
      <c r="BJ1494">
        <v>0</v>
      </c>
      <c r="BK1494">
        <v>7</v>
      </c>
      <c r="BL1494">
        <v>7</v>
      </c>
      <c r="BM1494">
        <v>7</v>
      </c>
      <c r="BN1494">
        <v>7</v>
      </c>
      <c r="BO1494">
        <v>7</v>
      </c>
      <c r="BP1494">
        <v>0</v>
      </c>
      <c r="BQ1494" t="str">
        <f>"5:30 AM"</f>
        <v>5:30 AM</v>
      </c>
      <c r="BR1494" t="str">
        <f>"12:30 PM"</f>
        <v>12:30 PM</v>
      </c>
      <c r="BS1494" t="s">
        <v>133</v>
      </c>
      <c r="BT1494">
        <v>0</v>
      </c>
      <c r="BU1494">
        <v>0</v>
      </c>
      <c r="BV1494" t="s">
        <v>134</v>
      </c>
      <c r="BX1494" t="s">
        <v>6403</v>
      </c>
      <c r="BY1494" t="s">
        <v>6404</v>
      </c>
      <c r="CA1494" t="s">
        <v>6400</v>
      </c>
      <c r="CB1494" t="s">
        <v>232</v>
      </c>
      <c r="CC1494" s="4" t="str">
        <f>"77514"</f>
        <v>77514</v>
      </c>
      <c r="CD1494" t="s">
        <v>6405</v>
      </c>
      <c r="CE1494" t="s">
        <v>873</v>
      </c>
      <c r="CF1494" s="6">
        <v>17.399999999999999</v>
      </c>
      <c r="CG1494" s="6">
        <v>17.399999999999999</v>
      </c>
      <c r="CH1494" s="6">
        <v>26.1</v>
      </c>
      <c r="CI1494" s="6">
        <v>26.1</v>
      </c>
      <c r="CJ1494" t="s">
        <v>137</v>
      </c>
      <c r="CK1494" t="s">
        <v>6406</v>
      </c>
      <c r="CL1494" t="s">
        <v>6407</v>
      </c>
      <c r="CO1494" t="s">
        <v>138</v>
      </c>
      <c r="CP1494" t="s">
        <v>114</v>
      </c>
      <c r="CQ1494" t="s">
        <v>114</v>
      </c>
      <c r="CR1494" t="s">
        <v>114</v>
      </c>
      <c r="CS1494" t="s">
        <v>134</v>
      </c>
      <c r="CT1494" t="s">
        <v>114</v>
      </c>
      <c r="CU1494" t="s">
        <v>114</v>
      </c>
      <c r="CV1494" s="2" t="s">
        <v>6408</v>
      </c>
      <c r="CW1494" s="5" t="str">
        <f>"+14093552243"</f>
        <v>+14093552243</v>
      </c>
      <c r="CX1494" t="s">
        <v>138</v>
      </c>
      <c r="CY1494" t="s">
        <v>6409</v>
      </c>
      <c r="CZ1494" t="s">
        <v>139</v>
      </c>
      <c r="DA1494" t="s">
        <v>134</v>
      </c>
      <c r="DB1494" t="s">
        <v>114</v>
      </c>
      <c r="DC1494" t="s">
        <v>114</v>
      </c>
      <c r="DD1494" t="s">
        <v>134</v>
      </c>
    </row>
    <row r="1495" spans="1:113" ht="15" customHeight="1" x14ac:dyDescent="0.25">
      <c r="A1495" t="s">
        <v>11527</v>
      </c>
      <c r="B1495" t="s">
        <v>141</v>
      </c>
      <c r="C1495" s="1">
        <v>44840.599758680553</v>
      </c>
      <c r="D1495" s="1">
        <v>44876</v>
      </c>
      <c r="E1495" t="s">
        <v>134</v>
      </c>
      <c r="F1495" t="s">
        <v>11528</v>
      </c>
      <c r="G1495" t="str">
        <f>"45-3031.00"</f>
        <v>45-3031.00</v>
      </c>
      <c r="H1495" t="s">
        <v>496</v>
      </c>
      <c r="I1495">
        <v>6</v>
      </c>
      <c r="K1495" s="1">
        <v>44915</v>
      </c>
      <c r="L1495" s="1">
        <v>45049</v>
      </c>
      <c r="O1495" t="s">
        <v>199</v>
      </c>
      <c r="P1495" t="s">
        <v>11529</v>
      </c>
      <c r="R1495" t="s">
        <v>6399</v>
      </c>
      <c r="T1495" t="s">
        <v>6400</v>
      </c>
      <c r="U1495" t="s">
        <v>232</v>
      </c>
      <c r="V1495" s="4" t="str">
        <f>"77514"</f>
        <v>77514</v>
      </c>
      <c r="W1495" t="s">
        <v>120</v>
      </c>
      <c r="Y1495" s="5">
        <v>14093552243</v>
      </c>
      <c r="AA1495">
        <v>3117</v>
      </c>
      <c r="AB1495" t="s">
        <v>6401</v>
      </c>
      <c r="AC1495" t="s">
        <v>6402</v>
      </c>
      <c r="AE1495" t="s">
        <v>2623</v>
      </c>
      <c r="AF1495" t="s">
        <v>6399</v>
      </c>
      <c r="AH1495" t="s">
        <v>6400</v>
      </c>
      <c r="AI1495" t="s">
        <v>232</v>
      </c>
      <c r="AJ1495" s="4" t="str">
        <f>"77514"</f>
        <v>77514</v>
      </c>
      <c r="AK1495" t="s">
        <v>120</v>
      </c>
      <c r="AM1495" s="5">
        <v>14093552243</v>
      </c>
      <c r="AO1495" t="s">
        <v>138</v>
      </c>
      <c r="AP1495" t="s">
        <v>256</v>
      </c>
      <c r="AQ1495" t="s">
        <v>1731</v>
      </c>
      <c r="AR1495" t="s">
        <v>1732</v>
      </c>
      <c r="AS1495" t="s">
        <v>1733</v>
      </c>
      <c r="AT1495" t="s">
        <v>1734</v>
      </c>
      <c r="AU1495" t="s">
        <v>1735</v>
      </c>
      <c r="AV1495" t="s">
        <v>1736</v>
      </c>
      <c r="AW1495" t="s">
        <v>479</v>
      </c>
      <c r="AX1495" s="4" t="str">
        <f>"24521"</f>
        <v>24521</v>
      </c>
      <c r="AY1495" t="s">
        <v>120</v>
      </c>
      <c r="BA1495" s="5">
        <v>14349460035</v>
      </c>
      <c r="BB1495">
        <v>11</v>
      </c>
      <c r="BC1495" t="s">
        <v>1737</v>
      </c>
      <c r="BD1495" t="s">
        <v>1738</v>
      </c>
      <c r="BG1495" t="s">
        <v>232</v>
      </c>
      <c r="BH1495" s="1">
        <v>44839.833333333336</v>
      </c>
      <c r="BI1495">
        <v>35</v>
      </c>
      <c r="BJ1495">
        <v>0</v>
      </c>
      <c r="BK1495">
        <v>7</v>
      </c>
      <c r="BL1495">
        <v>7</v>
      </c>
      <c r="BM1495">
        <v>7</v>
      </c>
      <c r="BN1495">
        <v>7</v>
      </c>
      <c r="BO1495">
        <v>7</v>
      </c>
      <c r="BP1495">
        <v>0</v>
      </c>
      <c r="BQ1495" t="str">
        <f>"5:30 AM"</f>
        <v>5:30 AM</v>
      </c>
      <c r="BR1495" t="str">
        <f>"12:30 PM"</f>
        <v>12:30 PM</v>
      </c>
      <c r="BS1495" t="s">
        <v>133</v>
      </c>
      <c r="BT1495">
        <v>0</v>
      </c>
      <c r="BU1495">
        <v>0</v>
      </c>
      <c r="BV1495" t="s">
        <v>134</v>
      </c>
      <c r="BX1495" s="2" t="s">
        <v>11530</v>
      </c>
      <c r="BY1495" t="s">
        <v>6404</v>
      </c>
      <c r="CA1495" t="s">
        <v>6400</v>
      </c>
      <c r="CB1495" t="s">
        <v>232</v>
      </c>
      <c r="CC1495" s="4" t="str">
        <f>"77514"</f>
        <v>77514</v>
      </c>
      <c r="CD1495" t="s">
        <v>6405</v>
      </c>
      <c r="CE1495" t="s">
        <v>873</v>
      </c>
      <c r="CF1495" s="6">
        <v>17.399999999999999</v>
      </c>
      <c r="CG1495" s="6">
        <v>17.399999999999999</v>
      </c>
      <c r="CH1495" s="6">
        <v>26.1</v>
      </c>
      <c r="CI1495" s="6">
        <v>26.1</v>
      </c>
      <c r="CJ1495" t="s">
        <v>137</v>
      </c>
      <c r="CK1495" t="s">
        <v>11531</v>
      </c>
      <c r="CL1495" t="s">
        <v>11532</v>
      </c>
      <c r="CO1495" t="s">
        <v>138</v>
      </c>
      <c r="CP1495" t="s">
        <v>114</v>
      </c>
      <c r="CQ1495" t="s">
        <v>114</v>
      </c>
      <c r="CR1495" t="s">
        <v>114</v>
      </c>
      <c r="CS1495" t="s">
        <v>134</v>
      </c>
      <c r="CT1495" t="s">
        <v>114</v>
      </c>
      <c r="CU1495" t="s">
        <v>114</v>
      </c>
      <c r="CV1495" t="s">
        <v>11533</v>
      </c>
      <c r="CW1495" s="5" t="str">
        <f>"+14093552243"</f>
        <v>+14093552243</v>
      </c>
      <c r="CX1495" t="s">
        <v>138</v>
      </c>
      <c r="CY1495" t="s">
        <v>6409</v>
      </c>
      <c r="CZ1495" t="s">
        <v>139</v>
      </c>
      <c r="DA1495" t="s">
        <v>134</v>
      </c>
      <c r="DB1495" t="s">
        <v>114</v>
      </c>
      <c r="DC1495" t="s">
        <v>114</v>
      </c>
      <c r="DD1495" t="s">
        <v>134</v>
      </c>
    </row>
    <row r="1496" spans="1:113" ht="15" customHeight="1" x14ac:dyDescent="0.25">
      <c r="A1496" t="s">
        <v>8747</v>
      </c>
      <c r="B1496" t="s">
        <v>141</v>
      </c>
      <c r="C1496" s="1">
        <v>44859.309763657409</v>
      </c>
      <c r="D1496" s="1">
        <v>44875</v>
      </c>
      <c r="E1496" t="s">
        <v>134</v>
      </c>
      <c r="F1496" t="s">
        <v>5625</v>
      </c>
      <c r="G1496" t="str">
        <f>"37-2012.00"</f>
        <v>37-2012.00</v>
      </c>
      <c r="H1496" t="s">
        <v>116</v>
      </c>
      <c r="I1496">
        <v>3</v>
      </c>
      <c r="K1496" s="1">
        <v>44949</v>
      </c>
      <c r="L1496" s="1">
        <v>45219</v>
      </c>
      <c r="O1496" t="s">
        <v>3130</v>
      </c>
      <c r="P1496" t="s">
        <v>8748</v>
      </c>
      <c r="Q1496" t="s">
        <v>8748</v>
      </c>
      <c r="R1496" t="s">
        <v>8749</v>
      </c>
      <c r="T1496" t="s">
        <v>8127</v>
      </c>
      <c r="U1496" t="s">
        <v>8126</v>
      </c>
      <c r="V1496" s="4" t="str">
        <f>"96825"</f>
        <v>96825</v>
      </c>
      <c r="W1496" t="s">
        <v>120</v>
      </c>
      <c r="Y1496" s="5">
        <v>14252130121</v>
      </c>
      <c r="AA1496">
        <v>541611</v>
      </c>
      <c r="AB1496" t="s">
        <v>8750</v>
      </c>
      <c r="AC1496" t="s">
        <v>8751</v>
      </c>
      <c r="AE1496" t="s">
        <v>5088</v>
      </c>
      <c r="AF1496" t="s">
        <v>8749</v>
      </c>
      <c r="AH1496" t="s">
        <v>8127</v>
      </c>
      <c r="AI1496" t="s">
        <v>8126</v>
      </c>
      <c r="AJ1496" s="4" t="str">
        <f>"96825"</f>
        <v>96825</v>
      </c>
      <c r="AK1496" t="s">
        <v>120</v>
      </c>
      <c r="AM1496" s="5">
        <v>14252130121</v>
      </c>
      <c r="AO1496" t="s">
        <v>8752</v>
      </c>
      <c r="AX1496" s="4" t="str">
        <f>""</f>
        <v/>
      </c>
      <c r="BG1496" t="s">
        <v>8126</v>
      </c>
      <c r="BH1496" s="1">
        <v>45214.833333333336</v>
      </c>
      <c r="BI1496">
        <v>35</v>
      </c>
      <c r="BJ1496">
        <v>0</v>
      </c>
      <c r="BK1496">
        <v>7</v>
      </c>
      <c r="BL1496">
        <v>7</v>
      </c>
      <c r="BM1496">
        <v>7</v>
      </c>
      <c r="BN1496">
        <v>7</v>
      </c>
      <c r="BO1496">
        <v>7</v>
      </c>
      <c r="BP1496">
        <v>0</v>
      </c>
      <c r="BQ1496" t="str">
        <f>"9:00 AM"</f>
        <v>9:00 AM</v>
      </c>
      <c r="BR1496" t="str">
        <f>"5:00 PM"</f>
        <v>5:00 PM</v>
      </c>
      <c r="BS1496" t="s">
        <v>133</v>
      </c>
      <c r="BT1496">
        <v>0</v>
      </c>
      <c r="BU1496">
        <v>0</v>
      </c>
      <c r="BV1496" t="s">
        <v>134</v>
      </c>
      <c r="BX1496" t="s">
        <v>138</v>
      </c>
      <c r="BY1496" t="s">
        <v>8749</v>
      </c>
      <c r="CA1496" t="s">
        <v>8127</v>
      </c>
      <c r="CB1496" t="s">
        <v>8126</v>
      </c>
      <c r="CC1496" s="4" t="str">
        <f>"96825"</f>
        <v>96825</v>
      </c>
      <c r="CD1496" t="s">
        <v>8127</v>
      </c>
      <c r="CE1496" t="s">
        <v>8128</v>
      </c>
      <c r="CF1496" s="6">
        <v>19.61</v>
      </c>
      <c r="CG1496" s="6">
        <v>19.61</v>
      </c>
      <c r="CJ1496" t="s">
        <v>137</v>
      </c>
      <c r="CL1496" t="s">
        <v>8753</v>
      </c>
      <c r="CO1496" t="s">
        <v>138</v>
      </c>
      <c r="CP1496" t="s">
        <v>114</v>
      </c>
      <c r="CQ1496" t="s">
        <v>114</v>
      </c>
      <c r="CR1496" t="s">
        <v>134</v>
      </c>
      <c r="CS1496" t="s">
        <v>114</v>
      </c>
      <c r="CT1496" t="s">
        <v>114</v>
      </c>
      <c r="CU1496" t="s">
        <v>114</v>
      </c>
      <c r="CV1496" t="s">
        <v>138</v>
      </c>
      <c r="CW1496" s="5" t="str">
        <f>"+14252130121"</f>
        <v>+14252130121</v>
      </c>
      <c r="CX1496" t="s">
        <v>8754</v>
      </c>
      <c r="CY1496" t="s">
        <v>138</v>
      </c>
      <c r="CZ1496" t="s">
        <v>139</v>
      </c>
      <c r="DA1496" t="s">
        <v>134</v>
      </c>
      <c r="DB1496" t="s">
        <v>134</v>
      </c>
      <c r="DC1496" t="s">
        <v>114</v>
      </c>
      <c r="DD1496" t="s">
        <v>134</v>
      </c>
    </row>
    <row r="1497" spans="1:113" ht="15" customHeight="1" x14ac:dyDescent="0.25">
      <c r="A1497" t="s">
        <v>3384</v>
      </c>
      <c r="B1497" t="s">
        <v>141</v>
      </c>
      <c r="C1497" s="1">
        <v>44859.740067708335</v>
      </c>
      <c r="D1497" s="1">
        <v>44874</v>
      </c>
      <c r="E1497" t="s">
        <v>134</v>
      </c>
      <c r="F1497" t="s">
        <v>2068</v>
      </c>
      <c r="G1497" t="str">
        <f>"35-9021.00"</f>
        <v>35-9021.00</v>
      </c>
      <c r="H1497" t="s">
        <v>1910</v>
      </c>
      <c r="I1497">
        <v>2</v>
      </c>
      <c r="K1497" s="1">
        <v>44949</v>
      </c>
      <c r="L1497" s="1">
        <v>45230</v>
      </c>
      <c r="O1497" t="s">
        <v>199</v>
      </c>
      <c r="P1497" t="s">
        <v>3385</v>
      </c>
      <c r="R1497" t="s">
        <v>3386</v>
      </c>
      <c r="T1497" t="s">
        <v>3387</v>
      </c>
      <c r="U1497" t="s">
        <v>2057</v>
      </c>
      <c r="V1497" s="4" t="str">
        <f>"57745"</f>
        <v>57745</v>
      </c>
      <c r="W1497" t="s">
        <v>120</v>
      </c>
      <c r="Y1497" s="5">
        <v>16055743898</v>
      </c>
      <c r="Z1497">
        <v>2100</v>
      </c>
      <c r="AA1497">
        <v>31213</v>
      </c>
      <c r="AB1497" t="s">
        <v>3388</v>
      </c>
      <c r="AC1497" t="s">
        <v>1733</v>
      </c>
      <c r="AE1497" t="s">
        <v>3389</v>
      </c>
      <c r="AF1497" t="s">
        <v>3386</v>
      </c>
      <c r="AH1497" t="s">
        <v>3387</v>
      </c>
      <c r="AI1497" t="s">
        <v>2057</v>
      </c>
      <c r="AJ1497" s="4" t="str">
        <f>"57745"</f>
        <v>57745</v>
      </c>
      <c r="AK1497" t="s">
        <v>120</v>
      </c>
      <c r="AM1497" s="5">
        <v>16055749628</v>
      </c>
      <c r="AO1497" t="s">
        <v>3390</v>
      </c>
      <c r="AX1497" s="4" t="str">
        <f>""</f>
        <v/>
      </c>
      <c r="BG1497" t="s">
        <v>2057</v>
      </c>
      <c r="BH1497" s="1">
        <v>44804.833333333336</v>
      </c>
      <c r="BI1497">
        <v>40</v>
      </c>
      <c r="BJ1497">
        <v>8</v>
      </c>
      <c r="BK1497">
        <v>0</v>
      </c>
      <c r="BL1497">
        <v>0</v>
      </c>
      <c r="BM1497">
        <v>8</v>
      </c>
      <c r="BN1497">
        <v>8</v>
      </c>
      <c r="BO1497">
        <v>8</v>
      </c>
      <c r="BP1497">
        <v>8</v>
      </c>
      <c r="BQ1497" t="str">
        <f>"12:00 PM"</f>
        <v>12:00 PM</v>
      </c>
      <c r="BR1497" t="str">
        <f>"8:00 PM"</f>
        <v>8:00 PM</v>
      </c>
      <c r="BS1497" t="s">
        <v>133</v>
      </c>
      <c r="BT1497">
        <v>0</v>
      </c>
      <c r="BU1497">
        <v>0</v>
      </c>
      <c r="BV1497" t="s">
        <v>134</v>
      </c>
      <c r="BX1497" t="s">
        <v>3391</v>
      </c>
      <c r="BY1497" t="s">
        <v>3386</v>
      </c>
      <c r="CA1497" t="s">
        <v>3387</v>
      </c>
      <c r="CB1497" t="s">
        <v>2057</v>
      </c>
      <c r="CC1497" s="4" t="str">
        <f>"57745"</f>
        <v>57745</v>
      </c>
      <c r="CD1497" t="s">
        <v>3392</v>
      </c>
      <c r="CE1497" t="s">
        <v>2626</v>
      </c>
      <c r="CF1497" s="6">
        <v>12</v>
      </c>
      <c r="CG1497" s="6">
        <v>12</v>
      </c>
      <c r="CH1497" s="6">
        <v>18</v>
      </c>
      <c r="CI1497" s="6">
        <v>18</v>
      </c>
      <c r="CJ1497" t="s">
        <v>137</v>
      </c>
      <c r="CL1497" t="s">
        <v>3393</v>
      </c>
      <c r="CO1497" t="s">
        <v>138</v>
      </c>
      <c r="CP1497" t="s">
        <v>134</v>
      </c>
      <c r="CQ1497" t="s">
        <v>134</v>
      </c>
      <c r="CR1497" t="s">
        <v>114</v>
      </c>
      <c r="CS1497" t="s">
        <v>114</v>
      </c>
      <c r="CT1497" t="s">
        <v>114</v>
      </c>
      <c r="CU1497" t="s">
        <v>114</v>
      </c>
      <c r="CV1497" t="s">
        <v>3394</v>
      </c>
      <c r="CW1497" s="5" t="str">
        <f>"+16055749623"</f>
        <v>+16055749623</v>
      </c>
      <c r="CX1497" t="s">
        <v>3395</v>
      </c>
      <c r="CY1497" t="s">
        <v>3396</v>
      </c>
      <c r="CZ1497" t="s">
        <v>139</v>
      </c>
      <c r="DA1497" t="s">
        <v>134</v>
      </c>
      <c r="DB1497" t="s">
        <v>134</v>
      </c>
      <c r="DC1497" t="s">
        <v>114</v>
      </c>
      <c r="DD1497" t="s">
        <v>134</v>
      </c>
      <c r="DE1497" t="s">
        <v>3388</v>
      </c>
      <c r="DF1497" t="s">
        <v>1733</v>
      </c>
      <c r="DG1497" t="s">
        <v>1857</v>
      </c>
      <c r="DH1497" t="s">
        <v>3385</v>
      </c>
      <c r="DI1497" t="s">
        <v>3390</v>
      </c>
    </row>
    <row r="1498" spans="1:113" ht="15" customHeight="1" x14ac:dyDescent="0.25">
      <c r="A1498" t="s">
        <v>11521</v>
      </c>
      <c r="B1498" t="s">
        <v>141</v>
      </c>
      <c r="C1498" s="1">
        <v>44859.735830671299</v>
      </c>
      <c r="D1498" s="1">
        <v>44874</v>
      </c>
      <c r="E1498" t="s">
        <v>134</v>
      </c>
      <c r="F1498" t="s">
        <v>11522</v>
      </c>
      <c r="G1498" t="str">
        <f>"35-2021.00"</f>
        <v>35-2021.00</v>
      </c>
      <c r="H1498" t="s">
        <v>718</v>
      </c>
      <c r="I1498">
        <v>4</v>
      </c>
      <c r="K1498" s="1">
        <v>44949</v>
      </c>
      <c r="L1498" s="1">
        <v>45230</v>
      </c>
      <c r="O1498" t="s">
        <v>199</v>
      </c>
      <c r="P1498" t="s">
        <v>3385</v>
      </c>
      <c r="R1498" t="s">
        <v>11523</v>
      </c>
      <c r="T1498" t="s">
        <v>3387</v>
      </c>
      <c r="U1498" t="s">
        <v>2057</v>
      </c>
      <c r="V1498" s="4" t="str">
        <f>"57745"</f>
        <v>57745</v>
      </c>
      <c r="W1498" t="s">
        <v>120</v>
      </c>
      <c r="Y1498" s="5">
        <v>16055743898</v>
      </c>
      <c r="AA1498">
        <v>312130</v>
      </c>
      <c r="AB1498" t="s">
        <v>3388</v>
      </c>
      <c r="AC1498" t="s">
        <v>1733</v>
      </c>
      <c r="AE1498" t="s">
        <v>3389</v>
      </c>
      <c r="AF1498" t="s">
        <v>11524</v>
      </c>
      <c r="AH1498" t="s">
        <v>3387</v>
      </c>
      <c r="AI1498" t="s">
        <v>2057</v>
      </c>
      <c r="AJ1498" s="4" t="str">
        <f>"57745"</f>
        <v>57745</v>
      </c>
      <c r="AK1498" t="s">
        <v>120</v>
      </c>
      <c r="AM1498" s="5">
        <v>16055749628</v>
      </c>
      <c r="AO1498" t="s">
        <v>3390</v>
      </c>
      <c r="AX1498" s="4" t="str">
        <f>""</f>
        <v/>
      </c>
      <c r="BG1498" t="s">
        <v>2057</v>
      </c>
      <c r="BH1498" s="1">
        <v>44804.833333333336</v>
      </c>
      <c r="BI1498">
        <v>40</v>
      </c>
      <c r="BJ1498">
        <v>8</v>
      </c>
      <c r="BK1498">
        <v>0</v>
      </c>
      <c r="BL1498">
        <v>0</v>
      </c>
      <c r="BM1498">
        <v>8</v>
      </c>
      <c r="BN1498">
        <v>8</v>
      </c>
      <c r="BO1498">
        <v>8</v>
      </c>
      <c r="BP1498">
        <v>8</v>
      </c>
      <c r="BQ1498" t="str">
        <f>"12:00 PM"</f>
        <v>12:00 PM</v>
      </c>
      <c r="BR1498" t="str">
        <f>"8:00 PM"</f>
        <v>8:00 PM</v>
      </c>
      <c r="BS1498" t="s">
        <v>133</v>
      </c>
      <c r="BT1498">
        <v>0</v>
      </c>
      <c r="BU1498">
        <v>0</v>
      </c>
      <c r="BV1498" t="s">
        <v>134</v>
      </c>
      <c r="BX1498" t="s">
        <v>133</v>
      </c>
      <c r="BY1498" t="s">
        <v>11524</v>
      </c>
      <c r="CA1498" t="s">
        <v>3387</v>
      </c>
      <c r="CB1498" t="s">
        <v>2057</v>
      </c>
      <c r="CC1498" s="4" t="str">
        <f>"57745"</f>
        <v>57745</v>
      </c>
      <c r="CD1498" t="s">
        <v>3392</v>
      </c>
      <c r="CE1498" t="s">
        <v>2626</v>
      </c>
      <c r="CF1498" s="6">
        <v>13</v>
      </c>
      <c r="CG1498" s="6">
        <v>15</v>
      </c>
      <c r="CH1498" s="6">
        <v>19.5</v>
      </c>
      <c r="CI1498" s="6">
        <v>22.5</v>
      </c>
      <c r="CJ1498" t="s">
        <v>137</v>
      </c>
      <c r="CL1498" t="s">
        <v>11525</v>
      </c>
      <c r="CO1498" t="s">
        <v>138</v>
      </c>
      <c r="CP1498" t="s">
        <v>134</v>
      </c>
      <c r="CQ1498" t="s">
        <v>134</v>
      </c>
      <c r="CR1498" t="s">
        <v>114</v>
      </c>
      <c r="CS1498" t="s">
        <v>114</v>
      </c>
      <c r="CT1498" t="s">
        <v>114</v>
      </c>
      <c r="CU1498" t="s">
        <v>114</v>
      </c>
      <c r="CV1498" t="s">
        <v>11526</v>
      </c>
      <c r="CW1498" s="5" t="str">
        <f>"+16055749623"</f>
        <v>+16055749623</v>
      </c>
      <c r="CX1498" t="s">
        <v>3395</v>
      </c>
      <c r="CY1498" t="s">
        <v>3396</v>
      </c>
      <c r="CZ1498" t="s">
        <v>139</v>
      </c>
      <c r="DA1498" t="s">
        <v>134</v>
      </c>
      <c r="DB1498" t="s">
        <v>134</v>
      </c>
      <c r="DC1498" t="s">
        <v>114</v>
      </c>
      <c r="DD1498" t="s">
        <v>134</v>
      </c>
      <c r="DE1498" t="s">
        <v>3388</v>
      </c>
      <c r="DF1498" t="s">
        <v>1733</v>
      </c>
      <c r="DG1498" t="s">
        <v>1857</v>
      </c>
      <c r="DH1498" t="s">
        <v>3385</v>
      </c>
      <c r="DI1498" t="s">
        <v>3390</v>
      </c>
    </row>
    <row r="1499" spans="1:113" ht="15" customHeight="1" x14ac:dyDescent="0.25">
      <c r="A1499" t="s">
        <v>10439</v>
      </c>
      <c r="B1499" t="s">
        <v>141</v>
      </c>
      <c r="C1499" s="1">
        <v>44861.74645150463</v>
      </c>
      <c r="D1499" s="1">
        <v>44872</v>
      </c>
      <c r="E1499" t="s">
        <v>134</v>
      </c>
      <c r="F1499" t="s">
        <v>10440</v>
      </c>
      <c r="G1499" t="str">
        <f>"47-3015.00"</f>
        <v>47-3015.00</v>
      </c>
      <c r="H1499" t="s">
        <v>5809</v>
      </c>
      <c r="I1499">
        <v>3</v>
      </c>
      <c r="K1499" s="1">
        <v>45019</v>
      </c>
      <c r="L1499" s="1">
        <v>45385</v>
      </c>
      <c r="O1499" t="s">
        <v>168</v>
      </c>
      <c r="P1499" t="s">
        <v>10441</v>
      </c>
      <c r="Q1499" t="s">
        <v>10441</v>
      </c>
      <c r="R1499" t="s">
        <v>10442</v>
      </c>
      <c r="T1499" t="s">
        <v>4570</v>
      </c>
      <c r="U1499" t="s">
        <v>530</v>
      </c>
      <c r="V1499" s="4" t="str">
        <f>"85138"</f>
        <v>85138</v>
      </c>
      <c r="W1499" t="s">
        <v>120</v>
      </c>
      <c r="Y1499" s="5">
        <v>16026800493</v>
      </c>
      <c r="AA1499">
        <v>238220</v>
      </c>
      <c r="AB1499" t="s">
        <v>10443</v>
      </c>
      <c r="AC1499" t="s">
        <v>10444</v>
      </c>
      <c r="AD1499" t="s">
        <v>10445</v>
      </c>
      <c r="AE1499" t="s">
        <v>1654</v>
      </c>
      <c r="AF1499" t="s">
        <v>10442</v>
      </c>
      <c r="AH1499" t="s">
        <v>592</v>
      </c>
      <c r="AI1499" t="s">
        <v>530</v>
      </c>
      <c r="AJ1499" s="4" t="str">
        <f>"85138"</f>
        <v>85138</v>
      </c>
      <c r="AK1499" t="s">
        <v>120</v>
      </c>
      <c r="AM1499" s="5">
        <v>16026800493</v>
      </c>
      <c r="AO1499" t="s">
        <v>10446</v>
      </c>
      <c r="AX1499" s="4" t="str">
        <f>""</f>
        <v/>
      </c>
      <c r="BG1499" t="s">
        <v>530</v>
      </c>
      <c r="BH1499" s="1">
        <v>44769.833333333336</v>
      </c>
      <c r="BI1499">
        <v>40</v>
      </c>
      <c r="BJ1499">
        <v>0</v>
      </c>
      <c r="BK1499">
        <v>8</v>
      </c>
      <c r="BL1499">
        <v>8</v>
      </c>
      <c r="BM1499">
        <v>8</v>
      </c>
      <c r="BN1499">
        <v>8</v>
      </c>
      <c r="BO1499">
        <v>8</v>
      </c>
      <c r="BP1499">
        <v>0</v>
      </c>
      <c r="BQ1499" t="str">
        <f>"7:30 AM"</f>
        <v>7:30 AM</v>
      </c>
      <c r="BR1499" t="str">
        <f>"5:00 PM"</f>
        <v>5:00 PM</v>
      </c>
      <c r="BS1499" t="s">
        <v>295</v>
      </c>
      <c r="BT1499">
        <v>12</v>
      </c>
      <c r="BU1499">
        <v>12</v>
      </c>
      <c r="BV1499" t="s">
        <v>134</v>
      </c>
      <c r="BX1499" s="2" t="s">
        <v>10447</v>
      </c>
      <c r="BY1499" t="s">
        <v>10448</v>
      </c>
      <c r="CA1499" t="s">
        <v>4570</v>
      </c>
      <c r="CB1499" t="s">
        <v>530</v>
      </c>
      <c r="CC1499" s="4" t="str">
        <f>"85138"</f>
        <v>85138</v>
      </c>
      <c r="CD1499" t="s">
        <v>547</v>
      </c>
      <c r="CE1499" t="s">
        <v>548</v>
      </c>
      <c r="CF1499" s="6">
        <v>18</v>
      </c>
      <c r="CG1499" s="6">
        <v>22</v>
      </c>
      <c r="CH1499" s="6">
        <v>27</v>
      </c>
      <c r="CI1499" s="6">
        <v>33</v>
      </c>
      <c r="CJ1499" t="s">
        <v>137</v>
      </c>
      <c r="CL1499" t="s">
        <v>10449</v>
      </c>
      <c r="CO1499" t="s">
        <v>114</v>
      </c>
      <c r="CP1499" t="s">
        <v>134</v>
      </c>
      <c r="CQ1499" t="s">
        <v>114</v>
      </c>
      <c r="CR1499" t="s">
        <v>114</v>
      </c>
      <c r="CS1499" t="s">
        <v>114</v>
      </c>
      <c r="CT1499" t="s">
        <v>114</v>
      </c>
      <c r="CU1499" t="s">
        <v>114</v>
      </c>
      <c r="CV1499" t="s">
        <v>10450</v>
      </c>
      <c r="CW1499" s="5" t="str">
        <f>"+16026800493"</f>
        <v>+16026800493</v>
      </c>
      <c r="CX1499" t="s">
        <v>10446</v>
      </c>
      <c r="CY1499" t="s">
        <v>10451</v>
      </c>
      <c r="CZ1499" t="s">
        <v>139</v>
      </c>
      <c r="DA1499" t="s">
        <v>134</v>
      </c>
      <c r="DB1499" t="s">
        <v>134</v>
      </c>
      <c r="DC1499" t="s">
        <v>114</v>
      </c>
      <c r="DD1499" t="s">
        <v>134</v>
      </c>
    </row>
    <row r="1500" spans="1:113" ht="15" customHeight="1" x14ac:dyDescent="0.25">
      <c r="A1500" t="s">
        <v>11390</v>
      </c>
      <c r="B1500" t="s">
        <v>141</v>
      </c>
      <c r="C1500" s="1">
        <v>44779.305333449076</v>
      </c>
      <c r="D1500" s="1">
        <v>44872</v>
      </c>
      <c r="E1500" t="s">
        <v>134</v>
      </c>
      <c r="F1500" t="s">
        <v>11391</v>
      </c>
      <c r="G1500" t="str">
        <f>"43-6011.00"</f>
        <v>43-6011.00</v>
      </c>
      <c r="H1500" t="s">
        <v>11392</v>
      </c>
      <c r="I1500">
        <v>1</v>
      </c>
      <c r="K1500" s="1">
        <v>44866</v>
      </c>
      <c r="L1500" s="1">
        <v>45108</v>
      </c>
      <c r="O1500" t="s">
        <v>168</v>
      </c>
      <c r="P1500" t="s">
        <v>11393</v>
      </c>
      <c r="R1500" t="s">
        <v>11394</v>
      </c>
      <c r="T1500" t="s">
        <v>4562</v>
      </c>
      <c r="U1500" t="s">
        <v>479</v>
      </c>
      <c r="V1500" s="4" t="str">
        <f>"23462"</f>
        <v>23462</v>
      </c>
      <c r="W1500" t="s">
        <v>120</v>
      </c>
      <c r="Y1500" s="5">
        <v>17189157792</v>
      </c>
      <c r="AA1500">
        <v>5311</v>
      </c>
      <c r="AB1500" t="s">
        <v>11395</v>
      </c>
      <c r="AC1500" t="s">
        <v>11396</v>
      </c>
      <c r="AD1500" t="s">
        <v>11397</v>
      </c>
      <c r="AE1500" t="s">
        <v>1835</v>
      </c>
      <c r="AF1500" t="s">
        <v>11398</v>
      </c>
      <c r="AH1500" t="s">
        <v>11399</v>
      </c>
      <c r="AI1500" t="s">
        <v>479</v>
      </c>
      <c r="AJ1500" s="4" t="str">
        <f>"22193"</f>
        <v>22193</v>
      </c>
      <c r="AK1500" t="s">
        <v>120</v>
      </c>
      <c r="AM1500" s="5">
        <v>17189157792</v>
      </c>
      <c r="AO1500" t="s">
        <v>11400</v>
      </c>
      <c r="AP1500" t="s">
        <v>122</v>
      </c>
      <c r="AQ1500" t="s">
        <v>11401</v>
      </c>
      <c r="AR1500" t="s">
        <v>2140</v>
      </c>
      <c r="AT1500" t="s">
        <v>11402</v>
      </c>
      <c r="AV1500" t="s">
        <v>11403</v>
      </c>
      <c r="AW1500" t="s">
        <v>444</v>
      </c>
      <c r="AX1500" s="4" t="str">
        <f>"92607"</f>
        <v>92607</v>
      </c>
      <c r="AY1500" t="s">
        <v>120</v>
      </c>
      <c r="BA1500" s="5">
        <v>16198667719</v>
      </c>
      <c r="BC1500" t="s">
        <v>11404</v>
      </c>
      <c r="BD1500" t="s">
        <v>11405</v>
      </c>
      <c r="BE1500" t="s">
        <v>444</v>
      </c>
      <c r="BF1500" t="s">
        <v>510</v>
      </c>
      <c r="BG1500" t="s">
        <v>479</v>
      </c>
      <c r="BH1500" s="1">
        <v>44777.833333333336</v>
      </c>
      <c r="BI1500">
        <v>40</v>
      </c>
      <c r="BJ1500">
        <v>0</v>
      </c>
      <c r="BK1500">
        <v>8</v>
      </c>
      <c r="BL1500">
        <v>8</v>
      </c>
      <c r="BM1500">
        <v>8</v>
      </c>
      <c r="BN1500">
        <v>8</v>
      </c>
      <c r="BO1500">
        <v>8</v>
      </c>
      <c r="BP1500">
        <v>0</v>
      </c>
      <c r="BQ1500" t="str">
        <f>"8:00 AM"</f>
        <v>8:00 AM</v>
      </c>
      <c r="BR1500" t="str">
        <f>"4:00 PM"</f>
        <v>4:00 PM</v>
      </c>
      <c r="BS1500" t="s">
        <v>8789</v>
      </c>
      <c r="BT1500">
        <v>3</v>
      </c>
      <c r="BU1500">
        <v>24</v>
      </c>
      <c r="BV1500" t="s">
        <v>114</v>
      </c>
      <c r="BW1500">
        <v>1</v>
      </c>
      <c r="BX1500" s="2" t="s">
        <v>11406</v>
      </c>
      <c r="BY1500" t="s">
        <v>11407</v>
      </c>
      <c r="CA1500" t="s">
        <v>11399</v>
      </c>
      <c r="CB1500" t="s">
        <v>479</v>
      </c>
      <c r="CC1500" s="4" t="str">
        <f>"22193"</f>
        <v>22193</v>
      </c>
      <c r="CD1500" t="s">
        <v>7895</v>
      </c>
      <c r="CE1500" t="s">
        <v>355</v>
      </c>
      <c r="CF1500" s="6">
        <v>37.6</v>
      </c>
      <c r="CG1500" s="6">
        <v>37.6</v>
      </c>
      <c r="CH1500" s="6">
        <v>56.4</v>
      </c>
      <c r="CI1500" s="6">
        <v>56.4</v>
      </c>
      <c r="CJ1500" t="s">
        <v>137</v>
      </c>
      <c r="CK1500" t="s">
        <v>138</v>
      </c>
      <c r="CL1500" t="s">
        <v>11408</v>
      </c>
      <c r="CO1500" t="s">
        <v>138</v>
      </c>
      <c r="CP1500" t="s">
        <v>134</v>
      </c>
      <c r="CQ1500" t="s">
        <v>134</v>
      </c>
      <c r="CR1500" t="s">
        <v>114</v>
      </c>
      <c r="CS1500" t="s">
        <v>114</v>
      </c>
      <c r="CT1500" t="s">
        <v>114</v>
      </c>
      <c r="CU1500" t="s">
        <v>114</v>
      </c>
      <c r="CV1500" s="2" t="s">
        <v>11409</v>
      </c>
      <c r="CW1500" s="5" t="str">
        <f>"+17189157792"</f>
        <v>+17189157792</v>
      </c>
      <c r="CX1500" t="s">
        <v>11400</v>
      </c>
      <c r="CY1500" t="s">
        <v>138</v>
      </c>
      <c r="CZ1500" t="s">
        <v>139</v>
      </c>
      <c r="DA1500" t="s">
        <v>134</v>
      </c>
      <c r="DB1500" t="s">
        <v>134</v>
      </c>
      <c r="DC1500" t="s">
        <v>114</v>
      </c>
      <c r="DD1500" t="s">
        <v>134</v>
      </c>
    </row>
    <row r="1501" spans="1:113" ht="15" customHeight="1" x14ac:dyDescent="0.25">
      <c r="A1501" t="s">
        <v>16594</v>
      </c>
      <c r="B1501" t="s">
        <v>141</v>
      </c>
      <c r="C1501" s="1">
        <v>44868.682072569442</v>
      </c>
      <c r="D1501" s="1">
        <v>44868</v>
      </c>
      <c r="E1501" t="s">
        <v>134</v>
      </c>
      <c r="F1501" t="s">
        <v>1662</v>
      </c>
      <c r="G1501" t="str">
        <f>"37-3011.00"</f>
        <v>37-3011.00</v>
      </c>
      <c r="H1501" t="s">
        <v>335</v>
      </c>
      <c r="I1501">
        <v>10</v>
      </c>
      <c r="K1501" s="1">
        <v>44958</v>
      </c>
      <c r="L1501" s="1">
        <v>45219</v>
      </c>
      <c r="O1501" t="s">
        <v>199</v>
      </c>
      <c r="P1501" t="s">
        <v>3365</v>
      </c>
      <c r="R1501" t="s">
        <v>3366</v>
      </c>
      <c r="T1501" t="s">
        <v>1970</v>
      </c>
      <c r="U1501" t="s">
        <v>1411</v>
      </c>
      <c r="V1501" s="4" t="str">
        <f>"45241"</f>
        <v>45241</v>
      </c>
      <c r="W1501" t="s">
        <v>120</v>
      </c>
      <c r="Y1501" s="5">
        <v>18005700213</v>
      </c>
      <c r="AA1501">
        <v>56173</v>
      </c>
      <c r="AB1501" t="s">
        <v>3367</v>
      </c>
      <c r="AC1501" t="s">
        <v>1614</v>
      </c>
      <c r="AD1501" t="s">
        <v>1470</v>
      </c>
      <c r="AE1501" t="s">
        <v>3368</v>
      </c>
      <c r="AF1501" t="s">
        <v>3366</v>
      </c>
      <c r="AH1501" t="s">
        <v>1970</v>
      </c>
      <c r="AI1501" t="s">
        <v>1411</v>
      </c>
      <c r="AJ1501" s="4" t="str">
        <f>"45241"</f>
        <v>45241</v>
      </c>
      <c r="AK1501" t="s">
        <v>120</v>
      </c>
      <c r="AM1501" s="5">
        <v>18005700213</v>
      </c>
      <c r="AN1501">
        <v>1013</v>
      </c>
      <c r="AO1501" t="s">
        <v>3369</v>
      </c>
      <c r="AP1501" t="s">
        <v>256</v>
      </c>
      <c r="AQ1501" t="s">
        <v>475</v>
      </c>
      <c r="AR1501" t="s">
        <v>476</v>
      </c>
      <c r="AT1501" t="s">
        <v>1471</v>
      </c>
      <c r="AU1501" t="s">
        <v>1472</v>
      </c>
      <c r="AV1501" t="s">
        <v>1473</v>
      </c>
      <c r="AW1501" t="s">
        <v>479</v>
      </c>
      <c r="AX1501" s="4" t="str">
        <f>"22949"</f>
        <v>22949</v>
      </c>
      <c r="AY1501" t="s">
        <v>120</v>
      </c>
      <c r="BA1501" s="5">
        <v>14342634300</v>
      </c>
      <c r="BC1501" t="s">
        <v>1664</v>
      </c>
      <c r="BD1501" t="s">
        <v>481</v>
      </c>
      <c r="BG1501" t="s">
        <v>1411</v>
      </c>
      <c r="BH1501" s="1">
        <v>44867.833333333336</v>
      </c>
      <c r="BI1501">
        <v>40</v>
      </c>
      <c r="BJ1501">
        <v>0</v>
      </c>
      <c r="BK1501">
        <v>8</v>
      </c>
      <c r="BL1501">
        <v>8</v>
      </c>
      <c r="BM1501">
        <v>8</v>
      </c>
      <c r="BN1501">
        <v>8</v>
      </c>
      <c r="BO1501">
        <v>8</v>
      </c>
      <c r="BP1501">
        <v>0</v>
      </c>
      <c r="BQ1501" t="str">
        <f>"7:00 AM"</f>
        <v>7:00 AM</v>
      </c>
      <c r="BR1501" t="str">
        <f>"3:30 PM"</f>
        <v>3:30 PM</v>
      </c>
      <c r="BS1501" t="s">
        <v>133</v>
      </c>
      <c r="BT1501">
        <v>0</v>
      </c>
      <c r="BU1501">
        <v>0</v>
      </c>
      <c r="BV1501" t="s">
        <v>134</v>
      </c>
      <c r="BX1501" s="2" t="s">
        <v>3370</v>
      </c>
      <c r="BY1501" t="s">
        <v>3371</v>
      </c>
      <c r="CA1501" t="s">
        <v>860</v>
      </c>
      <c r="CB1501" t="s">
        <v>1411</v>
      </c>
      <c r="CC1501" s="4" t="str">
        <f>"45439"</f>
        <v>45439</v>
      </c>
      <c r="CD1501" t="s">
        <v>2007</v>
      </c>
      <c r="CE1501" t="s">
        <v>2008</v>
      </c>
      <c r="CF1501" s="6">
        <v>16.8</v>
      </c>
      <c r="CH1501" s="6">
        <v>25.2</v>
      </c>
      <c r="CJ1501" t="s">
        <v>137</v>
      </c>
      <c r="CK1501" t="s">
        <v>487</v>
      </c>
      <c r="CL1501" t="s">
        <v>3372</v>
      </c>
      <c r="CO1501" t="s">
        <v>138</v>
      </c>
      <c r="CP1501" t="s">
        <v>114</v>
      </c>
      <c r="CQ1501" t="s">
        <v>134</v>
      </c>
      <c r="CR1501" t="s">
        <v>114</v>
      </c>
      <c r="CS1501" t="s">
        <v>114</v>
      </c>
      <c r="CT1501" t="s">
        <v>114</v>
      </c>
      <c r="CU1501" t="s">
        <v>114</v>
      </c>
      <c r="CV1501" t="s">
        <v>16595</v>
      </c>
      <c r="CW1501" s="5" t="str">
        <f>"N/A"</f>
        <v>N/A</v>
      </c>
      <c r="CX1501" t="s">
        <v>3369</v>
      </c>
      <c r="CY1501" t="s">
        <v>1657</v>
      </c>
      <c r="CZ1501" t="s">
        <v>139</v>
      </c>
      <c r="DA1501" t="s">
        <v>134</v>
      </c>
      <c r="DB1501" t="s">
        <v>114</v>
      </c>
      <c r="DC1501" t="s">
        <v>114</v>
      </c>
      <c r="DD1501" t="s">
        <v>134</v>
      </c>
      <c r="DE1501" t="s">
        <v>1669</v>
      </c>
      <c r="DF1501" t="s">
        <v>1670</v>
      </c>
      <c r="DH1501" t="s">
        <v>481</v>
      </c>
      <c r="DI1501" t="s">
        <v>1664</v>
      </c>
    </row>
    <row r="1502" spans="1:113" ht="15" customHeight="1" x14ac:dyDescent="0.25">
      <c r="A1502" t="s">
        <v>5215</v>
      </c>
      <c r="B1502" t="s">
        <v>141</v>
      </c>
      <c r="C1502" s="1">
        <v>44868.500176273148</v>
      </c>
      <c r="D1502" s="1">
        <v>44868</v>
      </c>
      <c r="E1502" t="s">
        <v>134</v>
      </c>
      <c r="F1502" t="s">
        <v>334</v>
      </c>
      <c r="G1502" t="str">
        <f>"37-3011.00"</f>
        <v>37-3011.00</v>
      </c>
      <c r="H1502" t="s">
        <v>335</v>
      </c>
      <c r="I1502">
        <v>20</v>
      </c>
      <c r="K1502" s="1">
        <v>44958</v>
      </c>
      <c r="L1502" s="1">
        <v>45260</v>
      </c>
      <c r="O1502" t="s">
        <v>199</v>
      </c>
      <c r="P1502" t="s">
        <v>5216</v>
      </c>
      <c r="R1502" t="s">
        <v>5217</v>
      </c>
      <c r="T1502" t="s">
        <v>2341</v>
      </c>
      <c r="U1502" t="s">
        <v>697</v>
      </c>
      <c r="V1502" s="4" t="str">
        <f>"64146"</f>
        <v>64146</v>
      </c>
      <c r="W1502" t="s">
        <v>120</v>
      </c>
      <c r="Y1502" s="5">
        <v>18167880808</v>
      </c>
      <c r="AA1502">
        <v>56173</v>
      </c>
      <c r="AB1502" t="s">
        <v>1578</v>
      </c>
      <c r="AC1502" t="s">
        <v>975</v>
      </c>
      <c r="AE1502" t="s">
        <v>424</v>
      </c>
      <c r="AF1502" t="s">
        <v>5217</v>
      </c>
      <c r="AH1502" t="s">
        <v>2341</v>
      </c>
      <c r="AI1502" t="s">
        <v>697</v>
      </c>
      <c r="AJ1502" s="4" t="str">
        <f>"64146"</f>
        <v>64146</v>
      </c>
      <c r="AK1502" t="s">
        <v>120</v>
      </c>
      <c r="AM1502" s="5">
        <v>18167880808</v>
      </c>
      <c r="AO1502" t="s">
        <v>5218</v>
      </c>
      <c r="AP1502" t="s">
        <v>256</v>
      </c>
      <c r="AQ1502" t="s">
        <v>3181</v>
      </c>
      <c r="AR1502" t="s">
        <v>3182</v>
      </c>
      <c r="AT1502" t="s">
        <v>346</v>
      </c>
      <c r="AU1502" t="s">
        <v>347</v>
      </c>
      <c r="AV1502" t="s">
        <v>828</v>
      </c>
      <c r="AW1502" t="s">
        <v>349</v>
      </c>
      <c r="AX1502" s="4" t="str">
        <f>"83814"</f>
        <v>83814</v>
      </c>
      <c r="AY1502" t="s">
        <v>120</v>
      </c>
      <c r="BA1502" s="5">
        <v>12087772654</v>
      </c>
      <c r="BC1502" t="s">
        <v>3183</v>
      </c>
      <c r="BD1502" t="s">
        <v>351</v>
      </c>
      <c r="BG1502" t="s">
        <v>697</v>
      </c>
      <c r="BH1502" s="1">
        <v>44851.833333333336</v>
      </c>
      <c r="BI1502">
        <v>40</v>
      </c>
      <c r="BJ1502">
        <v>0</v>
      </c>
      <c r="BK1502">
        <v>8</v>
      </c>
      <c r="BL1502">
        <v>8</v>
      </c>
      <c r="BM1502">
        <v>8</v>
      </c>
      <c r="BN1502">
        <v>8</v>
      </c>
      <c r="BO1502">
        <v>8</v>
      </c>
      <c r="BP1502">
        <v>0</v>
      </c>
      <c r="BQ1502" t="str">
        <f>"8:00 AM"</f>
        <v>8:00 AM</v>
      </c>
      <c r="BR1502" t="str">
        <f>"5:00 PM"</f>
        <v>5:00 PM</v>
      </c>
      <c r="BS1502" t="s">
        <v>133</v>
      </c>
      <c r="BT1502">
        <v>0</v>
      </c>
      <c r="BU1502">
        <v>0</v>
      </c>
      <c r="BV1502" t="s">
        <v>134</v>
      </c>
      <c r="BX1502" s="2" t="s">
        <v>1836</v>
      </c>
      <c r="BY1502" t="s">
        <v>5219</v>
      </c>
      <c r="CA1502" t="s">
        <v>2341</v>
      </c>
      <c r="CB1502" t="s">
        <v>697</v>
      </c>
      <c r="CC1502" s="4" t="str">
        <f>"64146"</f>
        <v>64146</v>
      </c>
      <c r="CD1502" t="s">
        <v>1116</v>
      </c>
      <c r="CE1502" t="s">
        <v>1290</v>
      </c>
      <c r="CF1502" s="6">
        <v>16.920000000000002</v>
      </c>
      <c r="CG1502" s="6">
        <v>20</v>
      </c>
      <c r="CH1502" s="6">
        <v>25.38</v>
      </c>
      <c r="CI1502" s="6">
        <v>30</v>
      </c>
      <c r="CJ1502" t="s">
        <v>137</v>
      </c>
      <c r="CK1502" t="s">
        <v>356</v>
      </c>
      <c r="CL1502" t="s">
        <v>5220</v>
      </c>
      <c r="CO1502" t="s">
        <v>138</v>
      </c>
      <c r="CP1502" t="s">
        <v>114</v>
      </c>
      <c r="CQ1502" t="s">
        <v>114</v>
      </c>
      <c r="CR1502" t="s">
        <v>114</v>
      </c>
      <c r="CS1502" t="s">
        <v>114</v>
      </c>
      <c r="CT1502" t="s">
        <v>114</v>
      </c>
      <c r="CU1502" t="s">
        <v>114</v>
      </c>
      <c r="CV1502" t="s">
        <v>4684</v>
      </c>
      <c r="CW1502" s="5" t="str">
        <f>"+18162009757"</f>
        <v>+18162009757</v>
      </c>
      <c r="CX1502" t="s">
        <v>5218</v>
      </c>
      <c r="CY1502" t="s">
        <v>138</v>
      </c>
      <c r="CZ1502" t="s">
        <v>139</v>
      </c>
      <c r="DA1502" t="s">
        <v>134</v>
      </c>
      <c r="DB1502" t="s">
        <v>134</v>
      </c>
      <c r="DC1502" t="s">
        <v>114</v>
      </c>
      <c r="DD1502" t="s">
        <v>134</v>
      </c>
    </row>
    <row r="1503" spans="1:113" ht="15" customHeight="1" x14ac:dyDescent="0.25">
      <c r="A1503" t="s">
        <v>16344</v>
      </c>
      <c r="B1503" t="s">
        <v>141</v>
      </c>
      <c r="C1503" s="1">
        <v>44810.679406944444</v>
      </c>
      <c r="D1503" s="1">
        <v>44868</v>
      </c>
      <c r="E1503" t="s">
        <v>114</v>
      </c>
      <c r="F1503" t="s">
        <v>2470</v>
      </c>
      <c r="G1503" t="str">
        <f>"37-2012.00"</f>
        <v>37-2012.00</v>
      </c>
      <c r="H1503" t="s">
        <v>116</v>
      </c>
      <c r="I1503">
        <v>8</v>
      </c>
      <c r="K1503" s="1">
        <v>44900</v>
      </c>
      <c r="L1503" s="1">
        <v>45036</v>
      </c>
      <c r="O1503" t="s">
        <v>117</v>
      </c>
      <c r="P1503" t="s">
        <v>11239</v>
      </c>
      <c r="Q1503" t="s">
        <v>15294</v>
      </c>
      <c r="R1503" t="s">
        <v>11241</v>
      </c>
      <c r="T1503" t="s">
        <v>8627</v>
      </c>
      <c r="U1503" t="s">
        <v>181</v>
      </c>
      <c r="V1503" s="4" t="str">
        <f>"81611"</f>
        <v>81611</v>
      </c>
      <c r="W1503" t="s">
        <v>120</v>
      </c>
      <c r="Y1503" s="5">
        <v>19709206397</v>
      </c>
      <c r="AA1503">
        <v>71392</v>
      </c>
      <c r="AB1503" t="s">
        <v>11242</v>
      </c>
      <c r="AC1503" t="s">
        <v>2622</v>
      </c>
      <c r="AE1503" t="s">
        <v>6135</v>
      </c>
      <c r="AF1503" t="s">
        <v>16345</v>
      </c>
      <c r="AH1503" t="s">
        <v>8627</v>
      </c>
      <c r="AI1503" t="s">
        <v>181</v>
      </c>
      <c r="AJ1503" s="4" t="str">
        <f>"81611"</f>
        <v>81611</v>
      </c>
      <c r="AK1503" t="s">
        <v>120</v>
      </c>
      <c r="AM1503" s="5">
        <v>19709206397</v>
      </c>
      <c r="AO1503" t="s">
        <v>11244</v>
      </c>
      <c r="AP1503" t="s">
        <v>122</v>
      </c>
      <c r="AQ1503" t="s">
        <v>176</v>
      </c>
      <c r="AR1503" t="s">
        <v>146</v>
      </c>
      <c r="AS1503" t="s">
        <v>177</v>
      </c>
      <c r="AT1503" t="s">
        <v>178</v>
      </c>
      <c r="AU1503" t="s">
        <v>179</v>
      </c>
      <c r="AV1503" t="s">
        <v>180</v>
      </c>
      <c r="AW1503" t="s">
        <v>181</v>
      </c>
      <c r="AX1503" s="4" t="str">
        <f>"80222"</f>
        <v>80222</v>
      </c>
      <c r="AY1503" t="s">
        <v>120</v>
      </c>
      <c r="BA1503" s="5">
        <v>13037646802</v>
      </c>
      <c r="BC1503" t="s">
        <v>182</v>
      </c>
      <c r="BD1503" t="s">
        <v>183</v>
      </c>
      <c r="BE1503" t="s">
        <v>184</v>
      </c>
      <c r="BF1503" t="s">
        <v>185</v>
      </c>
      <c r="BG1503" t="s">
        <v>349</v>
      </c>
      <c r="BH1503" s="1">
        <v>44809.833333333336</v>
      </c>
      <c r="BI1503">
        <v>40</v>
      </c>
      <c r="BJ1503">
        <v>0</v>
      </c>
      <c r="BK1503">
        <v>8</v>
      </c>
      <c r="BL1503">
        <v>8</v>
      </c>
      <c r="BM1503">
        <v>8</v>
      </c>
      <c r="BN1503">
        <v>8</v>
      </c>
      <c r="BO1503">
        <v>8</v>
      </c>
      <c r="BP1503">
        <v>0</v>
      </c>
      <c r="BQ1503" t="str">
        <f>"8:00 AM"</f>
        <v>8:00 AM</v>
      </c>
      <c r="BR1503" t="str">
        <f>"4:30 PM"</f>
        <v>4:30 PM</v>
      </c>
      <c r="BS1503" t="s">
        <v>133</v>
      </c>
      <c r="BT1503">
        <v>0</v>
      </c>
      <c r="BU1503">
        <v>3</v>
      </c>
      <c r="BV1503" t="s">
        <v>134</v>
      </c>
      <c r="BX1503" s="2" t="s">
        <v>15295</v>
      </c>
      <c r="BY1503" t="s">
        <v>16346</v>
      </c>
      <c r="BZ1503" t="s">
        <v>6994</v>
      </c>
      <c r="CA1503" t="s">
        <v>6994</v>
      </c>
      <c r="CB1503" t="s">
        <v>349</v>
      </c>
      <c r="CC1503" s="4" t="str">
        <f>"83340"</f>
        <v>83340</v>
      </c>
      <c r="CD1503" t="s">
        <v>6995</v>
      </c>
      <c r="CE1503" t="s">
        <v>1429</v>
      </c>
      <c r="CF1503" s="6">
        <v>23</v>
      </c>
      <c r="CH1503" s="6">
        <v>34.5</v>
      </c>
      <c r="CJ1503" t="s">
        <v>137</v>
      </c>
      <c r="CK1503" t="s">
        <v>11246</v>
      </c>
      <c r="CL1503" t="s">
        <v>16347</v>
      </c>
      <c r="CO1503" t="s">
        <v>138</v>
      </c>
      <c r="CP1503" t="s">
        <v>134</v>
      </c>
      <c r="CQ1503" t="s">
        <v>134</v>
      </c>
      <c r="CR1503" t="s">
        <v>114</v>
      </c>
      <c r="CS1503" t="s">
        <v>114</v>
      </c>
      <c r="CT1503" t="s">
        <v>114</v>
      </c>
      <c r="CU1503" t="s">
        <v>114</v>
      </c>
      <c r="CV1503" t="s">
        <v>16348</v>
      </c>
      <c r="CW1503" s="5" t="str">
        <f>"+19709206397"</f>
        <v>+19709206397</v>
      </c>
      <c r="CX1503" t="s">
        <v>138</v>
      </c>
      <c r="CY1503" t="s">
        <v>11249</v>
      </c>
      <c r="CZ1503" t="s">
        <v>139</v>
      </c>
      <c r="DA1503" t="s">
        <v>134</v>
      </c>
      <c r="DB1503" t="s">
        <v>114</v>
      </c>
      <c r="DC1503" t="s">
        <v>114</v>
      </c>
      <c r="DD1503" t="s">
        <v>134</v>
      </c>
      <c r="DE1503" t="s">
        <v>2157</v>
      </c>
      <c r="DF1503" t="s">
        <v>2158</v>
      </c>
      <c r="DH1503" t="s">
        <v>183</v>
      </c>
      <c r="DI1503" t="s">
        <v>6015</v>
      </c>
    </row>
    <row r="1504" spans="1:113" ht="15" customHeight="1" x14ac:dyDescent="0.25">
      <c r="A1504" t="s">
        <v>7743</v>
      </c>
      <c r="B1504" t="s">
        <v>141</v>
      </c>
      <c r="C1504" s="1">
        <v>44837.368597222223</v>
      </c>
      <c r="D1504" s="1">
        <v>44860</v>
      </c>
      <c r="E1504" t="s">
        <v>134</v>
      </c>
      <c r="F1504" t="s">
        <v>7744</v>
      </c>
      <c r="G1504" t="str">
        <f>"39-9011.00"</f>
        <v>39-9011.00</v>
      </c>
      <c r="H1504" t="s">
        <v>2677</v>
      </c>
      <c r="I1504">
        <v>19</v>
      </c>
      <c r="K1504" s="1">
        <v>44915</v>
      </c>
      <c r="L1504" s="1">
        <v>45209</v>
      </c>
      <c r="O1504" t="s">
        <v>168</v>
      </c>
      <c r="P1504" t="s">
        <v>7745</v>
      </c>
      <c r="Q1504" t="s">
        <v>7746</v>
      </c>
      <c r="R1504" t="s">
        <v>7747</v>
      </c>
      <c r="T1504" t="s">
        <v>2370</v>
      </c>
      <c r="U1504" t="s">
        <v>2371</v>
      </c>
      <c r="V1504" s="4" t="str">
        <f>"46268"</f>
        <v>46268</v>
      </c>
      <c r="W1504" t="s">
        <v>120</v>
      </c>
      <c r="Y1504" s="5">
        <v>13176874302</v>
      </c>
      <c r="AA1504">
        <v>6244</v>
      </c>
      <c r="AB1504" t="s">
        <v>2216</v>
      </c>
      <c r="AC1504" t="s">
        <v>1633</v>
      </c>
      <c r="AD1504" t="s">
        <v>7748</v>
      </c>
      <c r="AE1504" t="s">
        <v>4593</v>
      </c>
      <c r="AF1504" t="s">
        <v>7749</v>
      </c>
      <c r="AH1504" t="s">
        <v>2370</v>
      </c>
      <c r="AI1504" t="s">
        <v>2371</v>
      </c>
      <c r="AJ1504" s="4" t="str">
        <f>"46268"</f>
        <v>46268</v>
      </c>
      <c r="AK1504" t="s">
        <v>120</v>
      </c>
      <c r="AM1504" s="5">
        <v>13176874302</v>
      </c>
      <c r="AO1504" t="s">
        <v>7750</v>
      </c>
      <c r="AX1504" s="4" t="str">
        <f>""</f>
        <v/>
      </c>
      <c r="BG1504" t="s">
        <v>2371</v>
      </c>
      <c r="BH1504" s="1">
        <v>44626.791666666664</v>
      </c>
      <c r="BI1504">
        <v>40</v>
      </c>
      <c r="BJ1504">
        <v>0</v>
      </c>
      <c r="BK1504">
        <v>8</v>
      </c>
      <c r="BL1504">
        <v>8</v>
      </c>
      <c r="BM1504">
        <v>8</v>
      </c>
      <c r="BN1504">
        <v>8</v>
      </c>
      <c r="BO1504">
        <v>8</v>
      </c>
      <c r="BP1504">
        <v>0</v>
      </c>
      <c r="BQ1504" t="str">
        <f>"8:00 AM"</f>
        <v>8:00 AM</v>
      </c>
      <c r="BR1504" t="str">
        <f>"4:00 PM"</f>
        <v>4:00 PM</v>
      </c>
      <c r="BS1504" t="s">
        <v>133</v>
      </c>
      <c r="BT1504">
        <v>0</v>
      </c>
      <c r="BU1504">
        <v>0</v>
      </c>
      <c r="BV1504" t="s">
        <v>134</v>
      </c>
      <c r="BX1504" t="s">
        <v>7751</v>
      </c>
      <c r="BY1504" t="s">
        <v>7752</v>
      </c>
      <c r="BZ1504" t="s">
        <v>7747</v>
      </c>
      <c r="CA1504" t="s">
        <v>7753</v>
      </c>
      <c r="CB1504" t="s">
        <v>2371</v>
      </c>
      <c r="CC1504" s="4" t="str">
        <f>"46268"</f>
        <v>46268</v>
      </c>
      <c r="CD1504" t="s">
        <v>638</v>
      </c>
      <c r="CE1504" t="s">
        <v>2372</v>
      </c>
      <c r="CF1504" s="6">
        <v>10</v>
      </c>
      <c r="CG1504" s="6">
        <v>11.37</v>
      </c>
      <c r="CH1504" s="6">
        <v>15</v>
      </c>
      <c r="CI1504" s="6">
        <v>16.5</v>
      </c>
      <c r="CJ1504" t="s">
        <v>137</v>
      </c>
      <c r="CK1504" t="s">
        <v>7754</v>
      </c>
      <c r="CL1504" t="s">
        <v>7755</v>
      </c>
      <c r="CO1504" t="s">
        <v>138</v>
      </c>
      <c r="CP1504" t="s">
        <v>134</v>
      </c>
      <c r="CQ1504" t="s">
        <v>134</v>
      </c>
      <c r="CR1504" t="s">
        <v>114</v>
      </c>
      <c r="CS1504" t="s">
        <v>114</v>
      </c>
      <c r="CT1504" t="s">
        <v>114</v>
      </c>
      <c r="CU1504" t="s">
        <v>134</v>
      </c>
      <c r="CV1504" t="s">
        <v>2314</v>
      </c>
      <c r="CW1504" s="5" t="str">
        <f>"+13178405720"</f>
        <v>+13178405720</v>
      </c>
      <c r="CX1504" t="s">
        <v>7750</v>
      </c>
      <c r="CY1504" t="s">
        <v>7756</v>
      </c>
      <c r="CZ1504" t="s">
        <v>139</v>
      </c>
      <c r="DA1504" t="s">
        <v>134</v>
      </c>
      <c r="DB1504" t="s">
        <v>134</v>
      </c>
      <c r="DC1504" t="s">
        <v>114</v>
      </c>
      <c r="DD1504" t="s">
        <v>134</v>
      </c>
    </row>
    <row r="1505" spans="1:113" ht="15" customHeight="1" x14ac:dyDescent="0.25">
      <c r="A1505" t="s">
        <v>13875</v>
      </c>
      <c r="B1505" t="s">
        <v>141</v>
      </c>
      <c r="C1505" s="1">
        <v>44820.786255671293</v>
      </c>
      <c r="D1505" s="1">
        <v>44859</v>
      </c>
      <c r="E1505" t="s">
        <v>134</v>
      </c>
      <c r="F1505" t="s">
        <v>13876</v>
      </c>
      <c r="G1505" t="str">
        <f>"51-9193.00"</f>
        <v>51-9193.00</v>
      </c>
      <c r="H1505" t="s">
        <v>2627</v>
      </c>
      <c r="I1505">
        <v>4</v>
      </c>
      <c r="K1505" s="1">
        <v>44896</v>
      </c>
      <c r="L1505" s="1">
        <v>45199</v>
      </c>
      <c r="O1505" t="s">
        <v>117</v>
      </c>
      <c r="P1505" t="s">
        <v>818</v>
      </c>
      <c r="R1505" t="s">
        <v>5227</v>
      </c>
      <c r="T1505" t="s">
        <v>4333</v>
      </c>
      <c r="U1505" t="s">
        <v>821</v>
      </c>
      <c r="V1505" s="4" t="str">
        <f>"99633"</f>
        <v>99633</v>
      </c>
      <c r="W1505" t="s">
        <v>120</v>
      </c>
      <c r="Y1505" s="5">
        <v>12067269900</v>
      </c>
      <c r="AA1505">
        <v>31171</v>
      </c>
      <c r="AB1505" t="s">
        <v>822</v>
      </c>
      <c r="AC1505" t="s">
        <v>823</v>
      </c>
      <c r="AD1505" t="s">
        <v>138</v>
      </c>
      <c r="AE1505" t="s">
        <v>824</v>
      </c>
      <c r="AF1505" t="s">
        <v>5227</v>
      </c>
      <c r="AH1505" t="s">
        <v>4333</v>
      </c>
      <c r="AI1505" t="s">
        <v>821</v>
      </c>
      <c r="AJ1505" s="4" t="str">
        <f>"99633"</f>
        <v>99633</v>
      </c>
      <c r="AK1505" t="s">
        <v>120</v>
      </c>
      <c r="AM1505" s="5">
        <v>12067269900</v>
      </c>
      <c r="AO1505" t="s">
        <v>825</v>
      </c>
      <c r="AP1505" t="s">
        <v>256</v>
      </c>
      <c r="AQ1505" t="s">
        <v>826</v>
      </c>
      <c r="AR1505" t="s">
        <v>827</v>
      </c>
      <c r="AS1505" t="s">
        <v>138</v>
      </c>
      <c r="AT1505" t="s">
        <v>346</v>
      </c>
      <c r="AU1505" t="s">
        <v>347</v>
      </c>
      <c r="AV1505" t="s">
        <v>828</v>
      </c>
      <c r="AW1505" t="s">
        <v>349</v>
      </c>
      <c r="AX1505" s="4" t="str">
        <f>"83814"</f>
        <v>83814</v>
      </c>
      <c r="AY1505" t="s">
        <v>120</v>
      </c>
      <c r="BA1505" s="5">
        <v>12087772654</v>
      </c>
      <c r="BC1505" t="s">
        <v>829</v>
      </c>
      <c r="BD1505" t="s">
        <v>351</v>
      </c>
      <c r="BG1505" t="s">
        <v>821</v>
      </c>
      <c r="BH1505" s="1">
        <v>44820.833333333336</v>
      </c>
      <c r="BI1505">
        <v>35</v>
      </c>
      <c r="BJ1505">
        <v>0</v>
      </c>
      <c r="BK1505">
        <v>7</v>
      </c>
      <c r="BL1505">
        <v>7</v>
      </c>
      <c r="BM1505">
        <v>7</v>
      </c>
      <c r="BN1505">
        <v>7</v>
      </c>
      <c r="BO1505">
        <v>7</v>
      </c>
      <c r="BP1505">
        <v>0</v>
      </c>
      <c r="BQ1505" t="str">
        <f>"6:00 AM"</f>
        <v>6:00 AM</v>
      </c>
      <c r="BR1505" t="str">
        <f>"11:00 PM"</f>
        <v>11:00 PM</v>
      </c>
      <c r="BS1505" t="s">
        <v>133</v>
      </c>
      <c r="BT1505">
        <v>0</v>
      </c>
      <c r="BU1505">
        <v>12</v>
      </c>
      <c r="BV1505" t="s">
        <v>134</v>
      </c>
      <c r="BX1505" s="2" t="s">
        <v>13877</v>
      </c>
      <c r="BY1505" t="s">
        <v>13878</v>
      </c>
      <c r="CA1505" t="s">
        <v>4333</v>
      </c>
      <c r="CB1505" t="s">
        <v>821</v>
      </c>
      <c r="CC1505" s="4" t="str">
        <f>"99633"</f>
        <v>99633</v>
      </c>
      <c r="CD1505" t="s">
        <v>4334</v>
      </c>
      <c r="CE1505" t="s">
        <v>832</v>
      </c>
      <c r="CF1505" s="6">
        <v>20.63</v>
      </c>
      <c r="CH1505" s="6">
        <v>30.95</v>
      </c>
      <c r="CJ1505" t="s">
        <v>137</v>
      </c>
      <c r="CK1505" t="s">
        <v>138</v>
      </c>
      <c r="CL1505" t="s">
        <v>13879</v>
      </c>
      <c r="CO1505" t="s">
        <v>138</v>
      </c>
      <c r="CP1505" t="s">
        <v>134</v>
      </c>
      <c r="CQ1505" t="s">
        <v>134</v>
      </c>
      <c r="CR1505" t="s">
        <v>114</v>
      </c>
      <c r="CS1505" t="s">
        <v>134</v>
      </c>
      <c r="CT1505" t="s">
        <v>114</v>
      </c>
      <c r="CU1505" t="s">
        <v>114</v>
      </c>
      <c r="CV1505" t="s">
        <v>834</v>
      </c>
      <c r="CW1505" s="5" t="str">
        <f>"+12067269900"</f>
        <v>+12067269900</v>
      </c>
      <c r="CX1505" t="s">
        <v>825</v>
      </c>
      <c r="CY1505" t="s">
        <v>138</v>
      </c>
      <c r="CZ1505" t="s">
        <v>139</v>
      </c>
      <c r="DA1505" t="s">
        <v>134</v>
      </c>
      <c r="DB1505" t="s">
        <v>114</v>
      </c>
      <c r="DC1505" t="s">
        <v>114</v>
      </c>
      <c r="DD1505" t="s">
        <v>134</v>
      </c>
    </row>
    <row r="1506" spans="1:113" ht="15" customHeight="1" x14ac:dyDescent="0.25">
      <c r="A1506" t="s">
        <v>13871</v>
      </c>
      <c r="B1506" t="s">
        <v>141</v>
      </c>
      <c r="C1506" s="1">
        <v>44820.784892361109</v>
      </c>
      <c r="D1506" s="1">
        <v>44859</v>
      </c>
      <c r="E1506" t="s">
        <v>134</v>
      </c>
      <c r="F1506" t="s">
        <v>12000</v>
      </c>
      <c r="G1506" t="str">
        <f>"51-9193.00"</f>
        <v>51-9193.00</v>
      </c>
      <c r="H1506" t="s">
        <v>2627</v>
      </c>
      <c r="I1506">
        <v>2</v>
      </c>
      <c r="K1506" s="1">
        <v>44896</v>
      </c>
      <c r="L1506" s="1">
        <v>45199</v>
      </c>
      <c r="O1506" t="s">
        <v>117</v>
      </c>
      <c r="P1506" t="s">
        <v>818</v>
      </c>
      <c r="R1506" t="s">
        <v>12001</v>
      </c>
      <c r="T1506" t="s">
        <v>1635</v>
      </c>
      <c r="U1506" t="s">
        <v>821</v>
      </c>
      <c r="V1506" s="4" t="str">
        <f>"99835"</f>
        <v>99835</v>
      </c>
      <c r="W1506" t="s">
        <v>120</v>
      </c>
      <c r="Y1506" s="5">
        <v>12067269900</v>
      </c>
      <c r="AA1506">
        <v>3117</v>
      </c>
      <c r="AB1506" t="s">
        <v>822</v>
      </c>
      <c r="AC1506" t="s">
        <v>823</v>
      </c>
      <c r="AD1506" t="s">
        <v>138</v>
      </c>
      <c r="AE1506" t="s">
        <v>824</v>
      </c>
      <c r="AF1506" t="s">
        <v>12001</v>
      </c>
      <c r="AH1506" t="s">
        <v>1635</v>
      </c>
      <c r="AI1506" t="s">
        <v>821</v>
      </c>
      <c r="AJ1506" s="4" t="str">
        <f>"99835"</f>
        <v>99835</v>
      </c>
      <c r="AK1506" t="s">
        <v>120</v>
      </c>
      <c r="AM1506" s="5">
        <v>12067269900</v>
      </c>
      <c r="AO1506" t="s">
        <v>825</v>
      </c>
      <c r="AP1506" t="s">
        <v>256</v>
      </c>
      <c r="AQ1506" t="s">
        <v>826</v>
      </c>
      <c r="AR1506" t="s">
        <v>827</v>
      </c>
      <c r="AS1506" t="s">
        <v>138</v>
      </c>
      <c r="AT1506" t="s">
        <v>346</v>
      </c>
      <c r="AU1506" t="s">
        <v>347</v>
      </c>
      <c r="AV1506" t="s">
        <v>828</v>
      </c>
      <c r="AW1506" t="s">
        <v>349</v>
      </c>
      <c r="AX1506" s="4" t="str">
        <f>"83814"</f>
        <v>83814</v>
      </c>
      <c r="AY1506" t="s">
        <v>120</v>
      </c>
      <c r="BA1506" s="5">
        <v>12087772654</v>
      </c>
      <c r="BC1506" t="s">
        <v>829</v>
      </c>
      <c r="BD1506" t="s">
        <v>351</v>
      </c>
      <c r="BG1506" t="s">
        <v>821</v>
      </c>
      <c r="BH1506" s="1">
        <v>44820.833333333336</v>
      </c>
      <c r="BI1506">
        <v>35</v>
      </c>
      <c r="BJ1506">
        <v>0</v>
      </c>
      <c r="BK1506">
        <v>7</v>
      </c>
      <c r="BL1506">
        <v>7</v>
      </c>
      <c r="BM1506">
        <v>7</v>
      </c>
      <c r="BN1506">
        <v>7</v>
      </c>
      <c r="BO1506">
        <v>7</v>
      </c>
      <c r="BP1506">
        <v>0</v>
      </c>
      <c r="BQ1506" t="str">
        <f>"6:00 AM"</f>
        <v>6:00 AM</v>
      </c>
      <c r="BR1506" t="str">
        <f>"11:00 PM"</f>
        <v>11:00 PM</v>
      </c>
      <c r="BS1506" t="s">
        <v>133</v>
      </c>
      <c r="BT1506">
        <v>0</v>
      </c>
      <c r="BU1506">
        <v>12</v>
      </c>
      <c r="BV1506" t="s">
        <v>134</v>
      </c>
      <c r="BX1506" s="2" t="s">
        <v>13872</v>
      </c>
      <c r="BY1506" t="s">
        <v>13873</v>
      </c>
      <c r="CA1506" t="s">
        <v>1635</v>
      </c>
      <c r="CB1506" t="s">
        <v>821</v>
      </c>
      <c r="CC1506" s="4" t="str">
        <f>"99835"</f>
        <v>99835</v>
      </c>
      <c r="CD1506" t="s">
        <v>1636</v>
      </c>
      <c r="CE1506" t="s">
        <v>832</v>
      </c>
      <c r="CF1506" s="6">
        <v>20.63</v>
      </c>
      <c r="CH1506" s="6">
        <v>30.95</v>
      </c>
      <c r="CJ1506" t="s">
        <v>137</v>
      </c>
      <c r="CK1506" t="s">
        <v>138</v>
      </c>
      <c r="CL1506" t="s">
        <v>13874</v>
      </c>
      <c r="CO1506" t="s">
        <v>138</v>
      </c>
      <c r="CP1506" t="s">
        <v>134</v>
      </c>
      <c r="CQ1506" t="s">
        <v>134</v>
      </c>
      <c r="CR1506" t="s">
        <v>114</v>
      </c>
      <c r="CS1506" t="s">
        <v>134</v>
      </c>
      <c r="CT1506" t="s">
        <v>114</v>
      </c>
      <c r="CU1506" t="s">
        <v>114</v>
      </c>
      <c r="CV1506" t="s">
        <v>834</v>
      </c>
      <c r="CW1506" s="5" t="str">
        <f>"+12067269900"</f>
        <v>+12067269900</v>
      </c>
      <c r="CX1506" t="s">
        <v>825</v>
      </c>
      <c r="CY1506" t="s">
        <v>138</v>
      </c>
      <c r="CZ1506" t="s">
        <v>139</v>
      </c>
      <c r="DA1506" t="s">
        <v>134</v>
      </c>
      <c r="DB1506" t="s">
        <v>114</v>
      </c>
      <c r="DC1506" t="s">
        <v>114</v>
      </c>
      <c r="DD1506" t="s">
        <v>134</v>
      </c>
    </row>
    <row r="1507" spans="1:113" ht="15" customHeight="1" x14ac:dyDescent="0.25">
      <c r="A1507" t="s">
        <v>5225</v>
      </c>
      <c r="B1507" t="s">
        <v>141</v>
      </c>
      <c r="C1507" s="1">
        <v>44820.78240960648</v>
      </c>
      <c r="D1507" s="1">
        <v>44859</v>
      </c>
      <c r="E1507" t="s">
        <v>134</v>
      </c>
      <c r="F1507" t="s">
        <v>5226</v>
      </c>
      <c r="G1507" t="str">
        <f>"51-3022.00"</f>
        <v>51-3022.00</v>
      </c>
      <c r="H1507" t="s">
        <v>817</v>
      </c>
      <c r="I1507">
        <v>300</v>
      </c>
      <c r="K1507" s="1">
        <v>44896</v>
      </c>
      <c r="L1507" s="1">
        <v>45153</v>
      </c>
      <c r="O1507" t="s">
        <v>117</v>
      </c>
      <c r="P1507" t="s">
        <v>818</v>
      </c>
      <c r="R1507" t="s">
        <v>5227</v>
      </c>
      <c r="T1507" t="s">
        <v>4333</v>
      </c>
      <c r="U1507" t="s">
        <v>821</v>
      </c>
      <c r="V1507" s="4" t="str">
        <f>"99633"</f>
        <v>99633</v>
      </c>
      <c r="W1507" t="s">
        <v>120</v>
      </c>
      <c r="Y1507" s="5">
        <v>12067269900</v>
      </c>
      <c r="AA1507">
        <v>3117</v>
      </c>
      <c r="AB1507" t="s">
        <v>822</v>
      </c>
      <c r="AC1507" t="s">
        <v>823</v>
      </c>
      <c r="AD1507" t="s">
        <v>138</v>
      </c>
      <c r="AE1507" t="s">
        <v>824</v>
      </c>
      <c r="AF1507" t="s">
        <v>5227</v>
      </c>
      <c r="AH1507" t="s">
        <v>5227</v>
      </c>
      <c r="AI1507" t="s">
        <v>821</v>
      </c>
      <c r="AJ1507" s="4" t="str">
        <f>"99633"</f>
        <v>99633</v>
      </c>
      <c r="AK1507" t="s">
        <v>120</v>
      </c>
      <c r="AM1507" s="5">
        <v>12067269900</v>
      </c>
      <c r="AO1507" t="s">
        <v>825</v>
      </c>
      <c r="AP1507" t="s">
        <v>256</v>
      </c>
      <c r="AQ1507" t="s">
        <v>826</v>
      </c>
      <c r="AR1507" t="s">
        <v>827</v>
      </c>
      <c r="AS1507" t="s">
        <v>138</v>
      </c>
      <c r="AT1507" t="s">
        <v>346</v>
      </c>
      <c r="AU1507" t="s">
        <v>347</v>
      </c>
      <c r="AV1507" t="s">
        <v>828</v>
      </c>
      <c r="AW1507" t="s">
        <v>349</v>
      </c>
      <c r="AX1507" s="4" t="str">
        <f>"83814"</f>
        <v>83814</v>
      </c>
      <c r="AY1507" t="s">
        <v>120</v>
      </c>
      <c r="BA1507" s="5">
        <v>12087772654</v>
      </c>
      <c r="BC1507" t="s">
        <v>829</v>
      </c>
      <c r="BD1507" t="s">
        <v>351</v>
      </c>
      <c r="BG1507" t="s">
        <v>821</v>
      </c>
      <c r="BH1507" s="1">
        <v>44820.833333333336</v>
      </c>
      <c r="BI1507">
        <v>35</v>
      </c>
      <c r="BJ1507">
        <v>0</v>
      </c>
      <c r="BK1507">
        <v>7</v>
      </c>
      <c r="BL1507">
        <v>7</v>
      </c>
      <c r="BM1507">
        <v>7</v>
      </c>
      <c r="BN1507">
        <v>7</v>
      </c>
      <c r="BO1507">
        <v>7</v>
      </c>
      <c r="BP1507">
        <v>0</v>
      </c>
      <c r="BQ1507" t="str">
        <f>"6:00 AM"</f>
        <v>6:00 AM</v>
      </c>
      <c r="BR1507" t="str">
        <f>"11:00 PM"</f>
        <v>11:00 PM</v>
      </c>
      <c r="BS1507" t="s">
        <v>133</v>
      </c>
      <c r="BT1507">
        <v>0</v>
      </c>
      <c r="BU1507">
        <v>0</v>
      </c>
      <c r="BV1507" t="s">
        <v>134</v>
      </c>
      <c r="BX1507" s="2" t="s">
        <v>5228</v>
      </c>
      <c r="BY1507" t="s">
        <v>5227</v>
      </c>
      <c r="CA1507" t="s">
        <v>5227</v>
      </c>
      <c r="CB1507" t="s">
        <v>821</v>
      </c>
      <c r="CC1507" s="4" t="str">
        <f>"99633"</f>
        <v>99633</v>
      </c>
      <c r="CD1507" t="s">
        <v>4334</v>
      </c>
      <c r="CE1507" t="s">
        <v>832</v>
      </c>
      <c r="CF1507" s="6">
        <v>18.059999999999999</v>
      </c>
      <c r="CH1507" s="6">
        <v>27.09</v>
      </c>
      <c r="CJ1507" t="s">
        <v>137</v>
      </c>
      <c r="CK1507" t="s">
        <v>138</v>
      </c>
      <c r="CL1507" t="s">
        <v>5229</v>
      </c>
      <c r="CO1507" t="s">
        <v>138</v>
      </c>
      <c r="CP1507" t="s">
        <v>134</v>
      </c>
      <c r="CQ1507" t="s">
        <v>134</v>
      </c>
      <c r="CR1507" t="s">
        <v>114</v>
      </c>
      <c r="CS1507" t="s">
        <v>114</v>
      </c>
      <c r="CT1507" t="s">
        <v>114</v>
      </c>
      <c r="CU1507" t="s">
        <v>114</v>
      </c>
      <c r="CV1507" t="s">
        <v>834</v>
      </c>
      <c r="CW1507" s="5" t="str">
        <f>"+12067269900"</f>
        <v>+12067269900</v>
      </c>
      <c r="CX1507" t="s">
        <v>825</v>
      </c>
      <c r="CY1507" t="s">
        <v>138</v>
      </c>
      <c r="CZ1507" t="s">
        <v>139</v>
      </c>
      <c r="DA1507" t="s">
        <v>134</v>
      </c>
      <c r="DB1507" t="s">
        <v>114</v>
      </c>
      <c r="DC1507" t="s">
        <v>114</v>
      </c>
      <c r="DD1507" t="s">
        <v>134</v>
      </c>
    </row>
    <row r="1508" spans="1:113" ht="15" customHeight="1" x14ac:dyDescent="0.25">
      <c r="A1508" t="s">
        <v>13958</v>
      </c>
      <c r="B1508" t="s">
        <v>141</v>
      </c>
      <c r="C1508" s="1">
        <v>44853.973027777778</v>
      </c>
      <c r="D1508" s="1">
        <v>44855</v>
      </c>
      <c r="E1508" t="s">
        <v>134</v>
      </c>
      <c r="F1508" t="s">
        <v>1571</v>
      </c>
      <c r="G1508" t="str">
        <f>"51-9032.00"</f>
        <v>51-9032.00</v>
      </c>
      <c r="H1508" t="s">
        <v>13959</v>
      </c>
      <c r="I1508">
        <v>40</v>
      </c>
      <c r="K1508" s="1">
        <v>44931</v>
      </c>
      <c r="L1508" s="1">
        <v>45235</v>
      </c>
      <c r="O1508" t="s">
        <v>199</v>
      </c>
      <c r="P1508" t="s">
        <v>13960</v>
      </c>
      <c r="R1508" t="s">
        <v>13961</v>
      </c>
      <c r="T1508" t="s">
        <v>1632</v>
      </c>
      <c r="U1508" t="s">
        <v>792</v>
      </c>
      <c r="V1508" s="4" t="str">
        <f>"98199"</f>
        <v>98199</v>
      </c>
      <c r="W1508" t="s">
        <v>120</v>
      </c>
      <c r="Y1508" s="5">
        <v>12062826100</v>
      </c>
      <c r="AA1508">
        <v>31171</v>
      </c>
      <c r="AB1508" t="s">
        <v>13962</v>
      </c>
      <c r="AC1508" t="s">
        <v>13963</v>
      </c>
      <c r="AE1508" t="s">
        <v>1555</v>
      </c>
      <c r="AF1508" t="s">
        <v>13961</v>
      </c>
      <c r="AH1508" t="s">
        <v>1632</v>
      </c>
      <c r="AI1508" t="s">
        <v>792</v>
      </c>
      <c r="AJ1508" s="4" t="str">
        <f>"98199"</f>
        <v>98199</v>
      </c>
      <c r="AK1508" t="s">
        <v>120</v>
      </c>
      <c r="AM1508" s="5">
        <v>12062826100</v>
      </c>
      <c r="AO1508" t="s">
        <v>13964</v>
      </c>
      <c r="AP1508" t="s">
        <v>256</v>
      </c>
      <c r="AQ1508" t="s">
        <v>1615</v>
      </c>
      <c r="AR1508" t="s">
        <v>1616</v>
      </c>
      <c r="AT1508" t="s">
        <v>1617</v>
      </c>
      <c r="AV1508" t="s">
        <v>1618</v>
      </c>
      <c r="AW1508" t="s">
        <v>444</v>
      </c>
      <c r="AX1508" s="4" t="str">
        <f>"93446"</f>
        <v>93446</v>
      </c>
      <c r="AY1508" t="s">
        <v>120</v>
      </c>
      <c r="AZ1508" t="s">
        <v>1619</v>
      </c>
      <c r="BA1508" s="5">
        <v>13217042589</v>
      </c>
      <c r="BC1508" t="s">
        <v>1620</v>
      </c>
      <c r="BD1508" t="s">
        <v>1621</v>
      </c>
      <c r="BG1508" t="s">
        <v>792</v>
      </c>
      <c r="BH1508" s="1">
        <v>44851.833333333336</v>
      </c>
      <c r="BI1508">
        <v>112</v>
      </c>
      <c r="BJ1508">
        <v>16</v>
      </c>
      <c r="BK1508">
        <v>16</v>
      </c>
      <c r="BL1508">
        <v>16</v>
      </c>
      <c r="BM1508">
        <v>16</v>
      </c>
      <c r="BN1508">
        <v>16</v>
      </c>
      <c r="BO1508">
        <v>16</v>
      </c>
      <c r="BP1508">
        <v>16</v>
      </c>
      <c r="BQ1508" t="str">
        <f>"8:00 AM"</f>
        <v>8:00 AM</v>
      </c>
      <c r="BR1508" t="str">
        <f>"8:00 PM"</f>
        <v>8:00 PM</v>
      </c>
      <c r="BS1508" t="s">
        <v>133</v>
      </c>
      <c r="BT1508">
        <v>0</v>
      </c>
      <c r="BU1508">
        <v>0</v>
      </c>
      <c r="BV1508" t="s">
        <v>134</v>
      </c>
      <c r="BX1508" s="2" t="s">
        <v>13965</v>
      </c>
      <c r="BY1508" t="s">
        <v>13961</v>
      </c>
      <c r="CA1508" t="s">
        <v>1632</v>
      </c>
      <c r="CB1508" t="s">
        <v>792</v>
      </c>
      <c r="CC1508" s="4" t="str">
        <f>"98199"</f>
        <v>98199</v>
      </c>
      <c r="CD1508" t="s">
        <v>2679</v>
      </c>
      <c r="CE1508" t="s">
        <v>2680</v>
      </c>
      <c r="CF1508" s="6">
        <v>21.96</v>
      </c>
      <c r="CG1508" s="6">
        <v>21.96</v>
      </c>
      <c r="CH1508" s="6">
        <v>21.96</v>
      </c>
      <c r="CI1508" s="6">
        <v>21.96</v>
      </c>
      <c r="CJ1508" t="s">
        <v>137</v>
      </c>
      <c r="CK1508" t="s">
        <v>10519</v>
      </c>
      <c r="CL1508" t="s">
        <v>13966</v>
      </c>
      <c r="CO1508" t="s">
        <v>138</v>
      </c>
      <c r="CP1508" t="s">
        <v>134</v>
      </c>
      <c r="CQ1508" t="s">
        <v>134</v>
      </c>
      <c r="CR1508" t="s">
        <v>114</v>
      </c>
      <c r="CS1508" t="s">
        <v>114</v>
      </c>
      <c r="CT1508" t="s">
        <v>114</v>
      </c>
      <c r="CU1508" t="s">
        <v>114</v>
      </c>
      <c r="CV1508" t="s">
        <v>13967</v>
      </c>
      <c r="CW1508" s="5" t="str">
        <f>"+12062826100"</f>
        <v>+12062826100</v>
      </c>
      <c r="CX1508" t="s">
        <v>13964</v>
      </c>
      <c r="CY1508" t="s">
        <v>138</v>
      </c>
      <c r="CZ1508" t="s">
        <v>139</v>
      </c>
      <c r="DA1508" t="s">
        <v>134</v>
      </c>
      <c r="DB1508" t="s">
        <v>134</v>
      </c>
      <c r="DC1508" t="s">
        <v>114</v>
      </c>
      <c r="DD1508" t="s">
        <v>134</v>
      </c>
    </row>
    <row r="1509" spans="1:113" ht="15" customHeight="1" x14ac:dyDescent="0.25">
      <c r="A1509" t="s">
        <v>815</v>
      </c>
      <c r="B1509" t="s">
        <v>141</v>
      </c>
      <c r="C1509" s="1">
        <v>44820.779984837965</v>
      </c>
      <c r="D1509" s="1">
        <v>44852</v>
      </c>
      <c r="E1509" t="s">
        <v>134</v>
      </c>
      <c r="F1509" t="s">
        <v>816</v>
      </c>
      <c r="G1509" t="str">
        <f>"51-3022.00"</f>
        <v>51-3022.00</v>
      </c>
      <c r="H1509" t="s">
        <v>817</v>
      </c>
      <c r="I1509">
        <v>50</v>
      </c>
      <c r="K1509" s="1">
        <v>44896</v>
      </c>
      <c r="L1509" s="1">
        <v>45199</v>
      </c>
      <c r="O1509" t="s">
        <v>117</v>
      </c>
      <c r="P1509" t="s">
        <v>818</v>
      </c>
      <c r="R1509" t="s">
        <v>819</v>
      </c>
      <c r="T1509" t="s">
        <v>820</v>
      </c>
      <c r="U1509" t="s">
        <v>821</v>
      </c>
      <c r="V1509" s="4" t="str">
        <f>"99615"</f>
        <v>99615</v>
      </c>
      <c r="W1509" t="s">
        <v>120</v>
      </c>
      <c r="Y1509" s="5">
        <v>12067269900</v>
      </c>
      <c r="AA1509">
        <v>31171</v>
      </c>
      <c r="AB1509" t="s">
        <v>822</v>
      </c>
      <c r="AC1509" t="s">
        <v>823</v>
      </c>
      <c r="AD1509" t="s">
        <v>138</v>
      </c>
      <c r="AE1509" t="s">
        <v>824</v>
      </c>
      <c r="AF1509" t="s">
        <v>819</v>
      </c>
      <c r="AH1509" t="s">
        <v>820</v>
      </c>
      <c r="AI1509" t="s">
        <v>821</v>
      </c>
      <c r="AJ1509" s="4" t="str">
        <f>"99615"</f>
        <v>99615</v>
      </c>
      <c r="AK1509" t="s">
        <v>120</v>
      </c>
      <c r="AM1509" s="5">
        <v>12067269900</v>
      </c>
      <c r="AO1509" t="s">
        <v>825</v>
      </c>
      <c r="AP1509" t="s">
        <v>256</v>
      </c>
      <c r="AQ1509" t="s">
        <v>826</v>
      </c>
      <c r="AR1509" t="s">
        <v>827</v>
      </c>
      <c r="AS1509" t="s">
        <v>138</v>
      </c>
      <c r="AT1509" t="s">
        <v>346</v>
      </c>
      <c r="AU1509" t="s">
        <v>347</v>
      </c>
      <c r="AV1509" t="s">
        <v>828</v>
      </c>
      <c r="AW1509" t="s">
        <v>349</v>
      </c>
      <c r="AX1509" s="4" t="str">
        <f>"83814"</f>
        <v>83814</v>
      </c>
      <c r="AY1509" t="s">
        <v>120</v>
      </c>
      <c r="BA1509" s="5">
        <v>12087772654</v>
      </c>
      <c r="BC1509" t="s">
        <v>829</v>
      </c>
      <c r="BD1509" t="s">
        <v>351</v>
      </c>
      <c r="BG1509" t="s">
        <v>821</v>
      </c>
      <c r="BH1509" s="1">
        <v>44820.833333333336</v>
      </c>
      <c r="BI1509">
        <v>40</v>
      </c>
      <c r="BJ1509">
        <v>0</v>
      </c>
      <c r="BK1509">
        <v>8</v>
      </c>
      <c r="BL1509">
        <v>8</v>
      </c>
      <c r="BM1509">
        <v>8</v>
      </c>
      <c r="BN1509">
        <v>8</v>
      </c>
      <c r="BO1509">
        <v>8</v>
      </c>
      <c r="BP1509">
        <v>0</v>
      </c>
      <c r="BQ1509" t="str">
        <f>"6:00 AM"</f>
        <v>6:00 AM</v>
      </c>
      <c r="BR1509" t="str">
        <f>"11:00 PM"</f>
        <v>11:00 PM</v>
      </c>
      <c r="BS1509" t="s">
        <v>133</v>
      </c>
      <c r="BT1509">
        <v>0</v>
      </c>
      <c r="BU1509">
        <v>0</v>
      </c>
      <c r="BV1509" t="s">
        <v>134</v>
      </c>
      <c r="BX1509" s="2" t="s">
        <v>830</v>
      </c>
      <c r="BY1509" t="s">
        <v>819</v>
      </c>
      <c r="CA1509" t="s">
        <v>820</v>
      </c>
      <c r="CB1509" t="s">
        <v>821</v>
      </c>
      <c r="CC1509" s="4" t="str">
        <f>"99615"</f>
        <v>99615</v>
      </c>
      <c r="CD1509" t="s">
        <v>831</v>
      </c>
      <c r="CE1509" t="s">
        <v>832</v>
      </c>
      <c r="CF1509" s="6">
        <v>18.059999999999999</v>
      </c>
      <c r="CH1509" s="6">
        <v>27.09</v>
      </c>
      <c r="CJ1509" t="s">
        <v>137</v>
      </c>
      <c r="CK1509" t="s">
        <v>138</v>
      </c>
      <c r="CL1509" t="s">
        <v>833</v>
      </c>
      <c r="CO1509" t="s">
        <v>138</v>
      </c>
      <c r="CP1509" t="s">
        <v>134</v>
      </c>
      <c r="CQ1509" t="s">
        <v>134</v>
      </c>
      <c r="CR1509" t="s">
        <v>114</v>
      </c>
      <c r="CS1509" t="s">
        <v>114</v>
      </c>
      <c r="CT1509" t="s">
        <v>114</v>
      </c>
      <c r="CU1509" t="s">
        <v>114</v>
      </c>
      <c r="CV1509" t="s">
        <v>834</v>
      </c>
      <c r="CW1509" s="5" t="str">
        <f>"+12067269900"</f>
        <v>+12067269900</v>
      </c>
      <c r="CX1509" t="s">
        <v>825</v>
      </c>
      <c r="CY1509" t="s">
        <v>138</v>
      </c>
      <c r="CZ1509" t="s">
        <v>139</v>
      </c>
      <c r="DA1509" t="s">
        <v>134</v>
      </c>
      <c r="DB1509" t="s">
        <v>114</v>
      </c>
      <c r="DC1509" t="s">
        <v>114</v>
      </c>
      <c r="DD1509" t="s">
        <v>134</v>
      </c>
    </row>
    <row r="1510" spans="1:113" ht="15" customHeight="1" x14ac:dyDescent="0.25">
      <c r="A1510" t="s">
        <v>15710</v>
      </c>
      <c r="B1510" t="s">
        <v>141</v>
      </c>
      <c r="C1510" s="1">
        <v>44820.787433101854</v>
      </c>
      <c r="D1510" s="1">
        <v>44848</v>
      </c>
      <c r="E1510" t="s">
        <v>134</v>
      </c>
      <c r="F1510" t="s">
        <v>817</v>
      </c>
      <c r="G1510" t="str">
        <f>"51-3022.00"</f>
        <v>51-3022.00</v>
      </c>
      <c r="H1510" t="s">
        <v>817</v>
      </c>
      <c r="I1510">
        <v>70</v>
      </c>
      <c r="K1510" s="1">
        <v>44896</v>
      </c>
      <c r="L1510" s="1">
        <v>45199</v>
      </c>
      <c r="O1510" t="s">
        <v>117</v>
      </c>
      <c r="P1510" t="s">
        <v>818</v>
      </c>
      <c r="R1510" t="s">
        <v>12001</v>
      </c>
      <c r="T1510" t="s">
        <v>1635</v>
      </c>
      <c r="U1510" t="s">
        <v>821</v>
      </c>
      <c r="V1510" s="4" t="str">
        <f>"99835"</f>
        <v>99835</v>
      </c>
      <c r="W1510" t="s">
        <v>120</v>
      </c>
      <c r="Y1510" s="5">
        <v>12067269900</v>
      </c>
      <c r="AA1510">
        <v>31171</v>
      </c>
      <c r="AB1510" t="s">
        <v>822</v>
      </c>
      <c r="AC1510" t="s">
        <v>823</v>
      </c>
      <c r="AD1510" t="s">
        <v>138</v>
      </c>
      <c r="AE1510" t="s">
        <v>824</v>
      </c>
      <c r="AF1510" t="s">
        <v>12001</v>
      </c>
      <c r="AH1510" t="s">
        <v>1635</v>
      </c>
      <c r="AI1510" t="s">
        <v>821</v>
      </c>
      <c r="AJ1510" s="4" t="str">
        <f>"99835"</f>
        <v>99835</v>
      </c>
      <c r="AK1510" t="s">
        <v>120</v>
      </c>
      <c r="AM1510" s="5">
        <v>12067269900</v>
      </c>
      <c r="AO1510" t="s">
        <v>825</v>
      </c>
      <c r="AP1510" t="s">
        <v>256</v>
      </c>
      <c r="AQ1510" t="s">
        <v>826</v>
      </c>
      <c r="AR1510" t="s">
        <v>827</v>
      </c>
      <c r="AS1510" t="s">
        <v>138</v>
      </c>
      <c r="AT1510" t="s">
        <v>346</v>
      </c>
      <c r="AU1510" t="s">
        <v>347</v>
      </c>
      <c r="AV1510" t="s">
        <v>828</v>
      </c>
      <c r="AW1510" t="s">
        <v>349</v>
      </c>
      <c r="AX1510" s="4" t="str">
        <f>"83814"</f>
        <v>83814</v>
      </c>
      <c r="AY1510" t="s">
        <v>120</v>
      </c>
      <c r="BA1510" s="5">
        <v>12087772654</v>
      </c>
      <c r="BC1510" t="s">
        <v>829</v>
      </c>
      <c r="BD1510" t="s">
        <v>351</v>
      </c>
      <c r="BG1510" t="s">
        <v>821</v>
      </c>
      <c r="BH1510" s="1">
        <v>44820.833333333336</v>
      </c>
      <c r="BI1510">
        <v>35</v>
      </c>
      <c r="BJ1510">
        <v>0</v>
      </c>
      <c r="BK1510">
        <v>7</v>
      </c>
      <c r="BL1510">
        <v>7</v>
      </c>
      <c r="BM1510">
        <v>7</v>
      </c>
      <c r="BN1510">
        <v>7</v>
      </c>
      <c r="BO1510">
        <v>7</v>
      </c>
      <c r="BP1510">
        <v>0</v>
      </c>
      <c r="BQ1510" t="str">
        <f>"6:00 AM"</f>
        <v>6:00 AM</v>
      </c>
      <c r="BR1510" t="str">
        <f>"11:00 PM"</f>
        <v>11:00 PM</v>
      </c>
      <c r="BS1510" t="s">
        <v>133</v>
      </c>
      <c r="BT1510">
        <v>0</v>
      </c>
      <c r="BU1510">
        <v>0</v>
      </c>
      <c r="BV1510" t="s">
        <v>134</v>
      </c>
      <c r="BX1510" s="2" t="s">
        <v>11677</v>
      </c>
      <c r="BY1510" t="s">
        <v>12001</v>
      </c>
      <c r="CA1510" t="s">
        <v>1635</v>
      </c>
      <c r="CB1510" t="s">
        <v>821</v>
      </c>
      <c r="CC1510" s="4" t="str">
        <f>"99835"</f>
        <v>99835</v>
      </c>
      <c r="CD1510" t="s">
        <v>1636</v>
      </c>
      <c r="CE1510" t="s">
        <v>832</v>
      </c>
      <c r="CF1510" s="6">
        <v>18.059999999999999</v>
      </c>
      <c r="CH1510" s="6">
        <v>27.09</v>
      </c>
      <c r="CJ1510" t="s">
        <v>137</v>
      </c>
      <c r="CK1510" t="s">
        <v>138</v>
      </c>
      <c r="CL1510" t="s">
        <v>14020</v>
      </c>
      <c r="CO1510" t="s">
        <v>138</v>
      </c>
      <c r="CP1510" t="s">
        <v>134</v>
      </c>
      <c r="CQ1510" t="s">
        <v>134</v>
      </c>
      <c r="CR1510" t="s">
        <v>114</v>
      </c>
      <c r="CS1510" t="s">
        <v>114</v>
      </c>
      <c r="CT1510" t="s">
        <v>114</v>
      </c>
      <c r="CU1510" t="s">
        <v>114</v>
      </c>
      <c r="CV1510" t="s">
        <v>834</v>
      </c>
      <c r="CW1510" s="5" t="str">
        <f>"+12067269900"</f>
        <v>+12067269900</v>
      </c>
      <c r="CX1510" t="s">
        <v>825</v>
      </c>
      <c r="CY1510" t="s">
        <v>138</v>
      </c>
      <c r="CZ1510" t="s">
        <v>139</v>
      </c>
      <c r="DA1510" t="s">
        <v>134</v>
      </c>
      <c r="DB1510" t="s">
        <v>114</v>
      </c>
      <c r="DC1510" t="s">
        <v>114</v>
      </c>
      <c r="DD1510" t="s">
        <v>134</v>
      </c>
    </row>
    <row r="1511" spans="1:113" ht="15" customHeight="1" x14ac:dyDescent="0.25">
      <c r="A1511" t="s">
        <v>11999</v>
      </c>
      <c r="B1511" t="s">
        <v>141</v>
      </c>
      <c r="C1511" s="1">
        <v>44820.7816318287</v>
      </c>
      <c r="D1511" s="1">
        <v>44848</v>
      </c>
      <c r="E1511" t="s">
        <v>134</v>
      </c>
      <c r="F1511" t="s">
        <v>12000</v>
      </c>
      <c r="G1511" t="str">
        <f>"51-9193.00"</f>
        <v>51-9193.00</v>
      </c>
      <c r="H1511" t="s">
        <v>2627</v>
      </c>
      <c r="I1511">
        <v>2</v>
      </c>
      <c r="K1511" s="1">
        <v>44896</v>
      </c>
      <c r="L1511" s="1">
        <v>45199</v>
      </c>
      <c r="O1511" t="s">
        <v>117</v>
      </c>
      <c r="P1511" t="s">
        <v>818</v>
      </c>
      <c r="R1511" t="s">
        <v>12001</v>
      </c>
      <c r="T1511" t="s">
        <v>1635</v>
      </c>
      <c r="U1511" t="s">
        <v>821</v>
      </c>
      <c r="V1511" s="4" t="str">
        <f>"99835"</f>
        <v>99835</v>
      </c>
      <c r="W1511" t="s">
        <v>120</v>
      </c>
      <c r="Y1511" s="5">
        <v>12067269900</v>
      </c>
      <c r="AA1511">
        <v>31171</v>
      </c>
      <c r="AB1511" t="s">
        <v>822</v>
      </c>
      <c r="AC1511" t="s">
        <v>823</v>
      </c>
      <c r="AD1511" t="s">
        <v>138</v>
      </c>
      <c r="AE1511" t="s">
        <v>824</v>
      </c>
      <c r="AF1511" t="s">
        <v>6174</v>
      </c>
      <c r="AH1511" t="s">
        <v>820</v>
      </c>
      <c r="AI1511" t="s">
        <v>821</v>
      </c>
      <c r="AJ1511" s="4" t="str">
        <f>"99615"</f>
        <v>99615</v>
      </c>
      <c r="AK1511" t="s">
        <v>120</v>
      </c>
      <c r="AM1511" s="5">
        <v>12067269900</v>
      </c>
      <c r="AO1511" t="s">
        <v>825</v>
      </c>
      <c r="AP1511" t="s">
        <v>256</v>
      </c>
      <c r="AQ1511" t="s">
        <v>826</v>
      </c>
      <c r="AR1511" t="s">
        <v>827</v>
      </c>
      <c r="AS1511" t="s">
        <v>138</v>
      </c>
      <c r="AT1511" t="s">
        <v>346</v>
      </c>
      <c r="AU1511" t="s">
        <v>347</v>
      </c>
      <c r="AV1511" t="s">
        <v>828</v>
      </c>
      <c r="AW1511" t="s">
        <v>349</v>
      </c>
      <c r="AX1511" s="4" t="str">
        <f>"83814"</f>
        <v>83814</v>
      </c>
      <c r="AY1511" t="s">
        <v>120</v>
      </c>
      <c r="BA1511" s="5">
        <v>12087772654</v>
      </c>
      <c r="BC1511" t="s">
        <v>829</v>
      </c>
      <c r="BD1511" t="s">
        <v>351</v>
      </c>
      <c r="BG1511" t="s">
        <v>821</v>
      </c>
      <c r="BH1511" s="1">
        <v>44820.833333333336</v>
      </c>
      <c r="BI1511">
        <v>35</v>
      </c>
      <c r="BJ1511">
        <v>0</v>
      </c>
      <c r="BK1511">
        <v>7</v>
      </c>
      <c r="BL1511">
        <v>7</v>
      </c>
      <c r="BM1511">
        <v>7</v>
      </c>
      <c r="BN1511">
        <v>7</v>
      </c>
      <c r="BO1511">
        <v>7</v>
      </c>
      <c r="BP1511">
        <v>0</v>
      </c>
      <c r="BQ1511" t="str">
        <f>"6:00 AM"</f>
        <v>6:00 AM</v>
      </c>
      <c r="BR1511" t="str">
        <f>"11:00 PM"</f>
        <v>11:00 PM</v>
      </c>
      <c r="BS1511" t="s">
        <v>133</v>
      </c>
      <c r="BT1511">
        <v>0</v>
      </c>
      <c r="BU1511">
        <v>12</v>
      </c>
      <c r="BV1511" t="s">
        <v>134</v>
      </c>
      <c r="BX1511" s="2" t="s">
        <v>5228</v>
      </c>
      <c r="BY1511" t="s">
        <v>819</v>
      </c>
      <c r="CA1511" t="s">
        <v>820</v>
      </c>
      <c r="CB1511" t="s">
        <v>821</v>
      </c>
      <c r="CC1511" s="4" t="str">
        <f>"99615"</f>
        <v>99615</v>
      </c>
      <c r="CD1511" t="s">
        <v>831</v>
      </c>
      <c r="CE1511" t="s">
        <v>832</v>
      </c>
      <c r="CF1511" s="6">
        <v>20.63</v>
      </c>
      <c r="CH1511" s="6">
        <v>30.95</v>
      </c>
      <c r="CJ1511" t="s">
        <v>137</v>
      </c>
      <c r="CK1511" t="s">
        <v>138</v>
      </c>
      <c r="CL1511" t="s">
        <v>6175</v>
      </c>
      <c r="CO1511" t="s">
        <v>138</v>
      </c>
      <c r="CP1511" t="s">
        <v>134</v>
      </c>
      <c r="CQ1511" t="s">
        <v>134</v>
      </c>
      <c r="CR1511" t="s">
        <v>114</v>
      </c>
      <c r="CS1511" t="s">
        <v>134</v>
      </c>
      <c r="CT1511" t="s">
        <v>114</v>
      </c>
      <c r="CU1511" t="s">
        <v>114</v>
      </c>
      <c r="CV1511" t="s">
        <v>834</v>
      </c>
      <c r="CW1511" s="5" t="str">
        <f>"+12067269900"</f>
        <v>+12067269900</v>
      </c>
      <c r="CX1511" t="s">
        <v>825</v>
      </c>
      <c r="CY1511" t="s">
        <v>138</v>
      </c>
      <c r="CZ1511" t="s">
        <v>139</v>
      </c>
      <c r="DA1511" t="s">
        <v>134</v>
      </c>
      <c r="DB1511" t="s">
        <v>114</v>
      </c>
      <c r="DC1511" t="s">
        <v>114</v>
      </c>
      <c r="DD1511" t="s">
        <v>134</v>
      </c>
    </row>
    <row r="1512" spans="1:113" ht="15" customHeight="1" x14ac:dyDescent="0.25">
      <c r="A1512" t="s">
        <v>16353</v>
      </c>
      <c r="B1512" t="s">
        <v>141</v>
      </c>
      <c r="C1512" s="1">
        <v>44776.631486458333</v>
      </c>
      <c r="D1512" s="1">
        <v>44845</v>
      </c>
      <c r="E1512" t="s">
        <v>134</v>
      </c>
      <c r="F1512" t="s">
        <v>16354</v>
      </c>
      <c r="G1512" t="str">
        <f>"37-3013.00"</f>
        <v>37-3013.00</v>
      </c>
      <c r="H1512" t="s">
        <v>468</v>
      </c>
      <c r="I1512">
        <v>30</v>
      </c>
      <c r="K1512" s="1">
        <v>44853</v>
      </c>
      <c r="L1512" s="1">
        <v>45107</v>
      </c>
      <c r="O1512" t="s">
        <v>199</v>
      </c>
      <c r="P1512" t="s">
        <v>15713</v>
      </c>
      <c r="R1512" t="s">
        <v>15714</v>
      </c>
      <c r="S1512" t="s">
        <v>15715</v>
      </c>
      <c r="T1512" t="s">
        <v>7969</v>
      </c>
      <c r="U1512" t="s">
        <v>444</v>
      </c>
      <c r="V1512" s="4" t="str">
        <f>"95630"</f>
        <v>95630</v>
      </c>
      <c r="W1512" t="s">
        <v>120</v>
      </c>
      <c r="Y1512" s="5">
        <v>15306264127</v>
      </c>
      <c r="AA1512">
        <v>561730</v>
      </c>
      <c r="AB1512" t="s">
        <v>9942</v>
      </c>
      <c r="AC1512" t="s">
        <v>3298</v>
      </c>
      <c r="AE1512" t="s">
        <v>285</v>
      </c>
      <c r="AF1512" t="s">
        <v>15714</v>
      </c>
      <c r="AG1512" t="s">
        <v>15715</v>
      </c>
      <c r="AH1512" t="s">
        <v>7969</v>
      </c>
      <c r="AI1512" t="s">
        <v>444</v>
      </c>
      <c r="AJ1512" s="4" t="str">
        <f>"95630"</f>
        <v>95630</v>
      </c>
      <c r="AK1512" t="s">
        <v>120</v>
      </c>
      <c r="AM1512" s="5">
        <v>15306264127</v>
      </c>
      <c r="AO1512" t="s">
        <v>15716</v>
      </c>
      <c r="AP1512" t="s">
        <v>122</v>
      </c>
      <c r="AQ1512" t="s">
        <v>15717</v>
      </c>
      <c r="AR1512" t="s">
        <v>1823</v>
      </c>
      <c r="AT1512" t="s">
        <v>15718</v>
      </c>
      <c r="AV1512" t="s">
        <v>4010</v>
      </c>
      <c r="AW1512" t="s">
        <v>1411</v>
      </c>
      <c r="AX1512" s="4" t="str">
        <f>"43221"</f>
        <v>43221</v>
      </c>
      <c r="AY1512" t="s">
        <v>120</v>
      </c>
      <c r="BA1512" s="5">
        <v>19167691101</v>
      </c>
      <c r="BC1512" t="s">
        <v>15719</v>
      </c>
      <c r="BD1512" t="s">
        <v>15720</v>
      </c>
      <c r="BE1512" t="s">
        <v>1411</v>
      </c>
      <c r="BF1512" t="s">
        <v>2934</v>
      </c>
      <c r="BG1512" t="s">
        <v>444</v>
      </c>
      <c r="BH1512" s="1">
        <v>44775.833333333336</v>
      </c>
      <c r="BI1512">
        <v>48</v>
      </c>
      <c r="BJ1512">
        <v>0</v>
      </c>
      <c r="BK1512">
        <v>8</v>
      </c>
      <c r="BL1512">
        <v>8</v>
      </c>
      <c r="BM1512">
        <v>8</v>
      </c>
      <c r="BN1512">
        <v>8</v>
      </c>
      <c r="BO1512">
        <v>8</v>
      </c>
      <c r="BP1512">
        <v>8</v>
      </c>
      <c r="BQ1512" t="str">
        <f>"7:00 AM"</f>
        <v>7:00 AM</v>
      </c>
      <c r="BR1512" t="str">
        <f>"3:30 PM"</f>
        <v>3:30 PM</v>
      </c>
      <c r="BS1512" t="s">
        <v>133</v>
      </c>
      <c r="BT1512">
        <v>0</v>
      </c>
      <c r="BU1512">
        <v>0</v>
      </c>
      <c r="BV1512" t="s">
        <v>134</v>
      </c>
      <c r="BX1512" s="2" t="s">
        <v>16355</v>
      </c>
      <c r="BY1512" t="s">
        <v>15714</v>
      </c>
      <c r="BZ1512" t="s">
        <v>15715</v>
      </c>
      <c r="CA1512" t="s">
        <v>7969</v>
      </c>
      <c r="CB1512" t="s">
        <v>444</v>
      </c>
      <c r="CC1512" s="4" t="str">
        <f>"95630"</f>
        <v>95630</v>
      </c>
      <c r="CD1512" t="s">
        <v>11806</v>
      </c>
      <c r="CE1512" t="s">
        <v>463</v>
      </c>
      <c r="CF1512" s="6">
        <v>25.68</v>
      </c>
      <c r="CH1512" s="6">
        <v>51.36</v>
      </c>
      <c r="CJ1512" t="s">
        <v>137</v>
      </c>
      <c r="CL1512" t="s">
        <v>16356</v>
      </c>
      <c r="CO1512" t="s">
        <v>138</v>
      </c>
      <c r="CP1512" t="s">
        <v>134</v>
      </c>
      <c r="CQ1512" t="s">
        <v>114</v>
      </c>
      <c r="CR1512" t="s">
        <v>114</v>
      </c>
      <c r="CS1512" t="s">
        <v>114</v>
      </c>
      <c r="CT1512" t="s">
        <v>114</v>
      </c>
      <c r="CU1512" t="s">
        <v>114</v>
      </c>
      <c r="CV1512" t="s">
        <v>16357</v>
      </c>
      <c r="CW1512" s="5" t="str">
        <f>"N/A"</f>
        <v>N/A</v>
      </c>
      <c r="CX1512" t="s">
        <v>15724</v>
      </c>
      <c r="CY1512" t="s">
        <v>15725</v>
      </c>
      <c r="CZ1512" t="s">
        <v>139</v>
      </c>
      <c r="DA1512" t="s">
        <v>134</v>
      </c>
      <c r="DB1512" t="s">
        <v>134</v>
      </c>
      <c r="DC1512" t="s">
        <v>114</v>
      </c>
      <c r="DD1512" t="s">
        <v>134</v>
      </c>
    </row>
    <row r="1513" spans="1:113" ht="15" customHeight="1" x14ac:dyDescent="0.25">
      <c r="A1513" t="s">
        <v>15711</v>
      </c>
      <c r="B1513" t="s">
        <v>141</v>
      </c>
      <c r="C1513" s="1">
        <v>44776.626149074073</v>
      </c>
      <c r="D1513" s="1">
        <v>44845</v>
      </c>
      <c r="E1513" t="s">
        <v>134</v>
      </c>
      <c r="F1513" t="s">
        <v>15712</v>
      </c>
      <c r="G1513" t="str">
        <f>"37-3013.00"</f>
        <v>37-3013.00</v>
      </c>
      <c r="H1513" t="s">
        <v>468</v>
      </c>
      <c r="I1513">
        <v>30</v>
      </c>
      <c r="K1513" s="1">
        <v>44853</v>
      </c>
      <c r="L1513" s="1">
        <v>45107</v>
      </c>
      <c r="O1513" t="s">
        <v>199</v>
      </c>
      <c r="P1513" t="s">
        <v>15713</v>
      </c>
      <c r="R1513" t="s">
        <v>15714</v>
      </c>
      <c r="S1513" t="s">
        <v>15715</v>
      </c>
      <c r="T1513" t="s">
        <v>7969</v>
      </c>
      <c r="U1513" t="s">
        <v>444</v>
      </c>
      <c r="V1513" s="4" t="str">
        <f>"95630"</f>
        <v>95630</v>
      </c>
      <c r="W1513" t="s">
        <v>120</v>
      </c>
      <c r="Y1513" s="5">
        <v>15306264127</v>
      </c>
      <c r="AA1513">
        <v>561730</v>
      </c>
      <c r="AB1513" t="s">
        <v>9942</v>
      </c>
      <c r="AC1513" t="s">
        <v>3298</v>
      </c>
      <c r="AE1513" t="s">
        <v>285</v>
      </c>
      <c r="AF1513" t="s">
        <v>15714</v>
      </c>
      <c r="AG1513" t="s">
        <v>15715</v>
      </c>
      <c r="AH1513" t="s">
        <v>7969</v>
      </c>
      <c r="AI1513" t="s">
        <v>444</v>
      </c>
      <c r="AJ1513" s="4" t="str">
        <f>"95630"</f>
        <v>95630</v>
      </c>
      <c r="AK1513" t="s">
        <v>120</v>
      </c>
      <c r="AM1513" s="5">
        <v>15306264127</v>
      </c>
      <c r="AO1513" t="s">
        <v>15716</v>
      </c>
      <c r="AP1513" t="s">
        <v>122</v>
      </c>
      <c r="AQ1513" t="s">
        <v>15717</v>
      </c>
      <c r="AR1513" t="s">
        <v>1823</v>
      </c>
      <c r="AT1513" t="s">
        <v>15718</v>
      </c>
      <c r="AV1513" t="s">
        <v>4010</v>
      </c>
      <c r="AW1513" t="s">
        <v>1411</v>
      </c>
      <c r="AX1513" s="4" t="str">
        <f>"43221"</f>
        <v>43221</v>
      </c>
      <c r="AY1513" t="s">
        <v>120</v>
      </c>
      <c r="BA1513" s="5">
        <v>19167691101</v>
      </c>
      <c r="BC1513" t="s">
        <v>15719</v>
      </c>
      <c r="BD1513" t="s">
        <v>15720</v>
      </c>
      <c r="BE1513" t="s">
        <v>1411</v>
      </c>
      <c r="BF1513" t="s">
        <v>2934</v>
      </c>
      <c r="BG1513" t="s">
        <v>444</v>
      </c>
      <c r="BH1513" s="1">
        <v>44775.833333333336</v>
      </c>
      <c r="BI1513">
        <v>48</v>
      </c>
      <c r="BJ1513">
        <v>0</v>
      </c>
      <c r="BK1513">
        <v>8</v>
      </c>
      <c r="BL1513">
        <v>8</v>
      </c>
      <c r="BM1513">
        <v>8</v>
      </c>
      <c r="BN1513">
        <v>8</v>
      </c>
      <c r="BO1513">
        <v>8</v>
      </c>
      <c r="BP1513">
        <v>8</v>
      </c>
      <c r="BQ1513" t="str">
        <f>"7:00 AM"</f>
        <v>7:00 AM</v>
      </c>
      <c r="BR1513" t="str">
        <f>"3:30 PM"</f>
        <v>3:30 PM</v>
      </c>
      <c r="BS1513" t="s">
        <v>133</v>
      </c>
      <c r="BT1513">
        <v>0</v>
      </c>
      <c r="BU1513">
        <v>0</v>
      </c>
      <c r="BV1513" t="s">
        <v>134</v>
      </c>
      <c r="BX1513" s="2" t="s">
        <v>15721</v>
      </c>
      <c r="BY1513" t="s">
        <v>15714</v>
      </c>
      <c r="BZ1513" t="s">
        <v>15715</v>
      </c>
      <c r="CA1513" t="s">
        <v>7969</v>
      </c>
      <c r="CB1513" t="s">
        <v>444</v>
      </c>
      <c r="CC1513" s="4" t="str">
        <f>"95630"</f>
        <v>95630</v>
      </c>
      <c r="CD1513" t="s">
        <v>11806</v>
      </c>
      <c r="CE1513" t="s">
        <v>463</v>
      </c>
      <c r="CF1513" s="6">
        <v>22.01</v>
      </c>
      <c r="CH1513" s="6">
        <v>44.02</v>
      </c>
      <c r="CJ1513" t="s">
        <v>137</v>
      </c>
      <c r="CL1513" t="s">
        <v>15722</v>
      </c>
      <c r="CO1513" t="s">
        <v>138</v>
      </c>
      <c r="CP1513" t="s">
        <v>134</v>
      </c>
      <c r="CQ1513" t="s">
        <v>114</v>
      </c>
      <c r="CR1513" t="s">
        <v>114</v>
      </c>
      <c r="CS1513" t="s">
        <v>114</v>
      </c>
      <c r="CT1513" t="s">
        <v>114</v>
      </c>
      <c r="CU1513" t="s">
        <v>114</v>
      </c>
      <c r="CV1513" t="s">
        <v>15723</v>
      </c>
      <c r="CW1513" s="5" t="str">
        <f>"N/A"</f>
        <v>N/A</v>
      </c>
      <c r="CX1513" t="s">
        <v>15724</v>
      </c>
      <c r="CY1513" t="s">
        <v>15725</v>
      </c>
      <c r="CZ1513" t="s">
        <v>139</v>
      </c>
      <c r="DA1513" t="s">
        <v>134</v>
      </c>
      <c r="DB1513" t="s">
        <v>134</v>
      </c>
      <c r="DC1513" t="s">
        <v>114</v>
      </c>
      <c r="DD1513" t="s">
        <v>134</v>
      </c>
    </row>
    <row r="1514" spans="1:113" ht="15" customHeight="1" x14ac:dyDescent="0.25">
      <c r="A1514" t="s">
        <v>140</v>
      </c>
      <c r="B1514" t="s">
        <v>141</v>
      </c>
      <c r="C1514" s="1">
        <v>44818.704849421294</v>
      </c>
      <c r="D1514" s="1">
        <v>44841</v>
      </c>
      <c r="E1514" t="s">
        <v>134</v>
      </c>
      <c r="F1514" t="s">
        <v>115</v>
      </c>
      <c r="G1514" t="str">
        <f>"37-2012.00"</f>
        <v>37-2012.00</v>
      </c>
      <c r="H1514" t="s">
        <v>116</v>
      </c>
      <c r="I1514">
        <v>1</v>
      </c>
      <c r="K1514" s="1">
        <v>44896</v>
      </c>
      <c r="L1514" s="1">
        <v>45108</v>
      </c>
      <c r="O1514" t="s">
        <v>117</v>
      </c>
      <c r="P1514" t="s">
        <v>142</v>
      </c>
      <c r="R1514" t="s">
        <v>143</v>
      </c>
      <c r="T1514" t="s">
        <v>144</v>
      </c>
      <c r="U1514" t="s">
        <v>119</v>
      </c>
      <c r="V1514" s="4" t="str">
        <f>"38466"</f>
        <v>38466</v>
      </c>
      <c r="W1514" t="s">
        <v>120</v>
      </c>
      <c r="Y1514" s="5">
        <v>19102851005</v>
      </c>
      <c r="AA1514">
        <v>541611</v>
      </c>
      <c r="AB1514" t="s">
        <v>145</v>
      </c>
      <c r="AC1514" t="s">
        <v>146</v>
      </c>
      <c r="AE1514" t="s">
        <v>147</v>
      </c>
      <c r="AF1514" t="s">
        <v>143</v>
      </c>
      <c r="AH1514" t="s">
        <v>144</v>
      </c>
      <c r="AI1514" t="s">
        <v>119</v>
      </c>
      <c r="AJ1514" s="4" t="str">
        <f>"28466"</f>
        <v>28466</v>
      </c>
      <c r="AK1514" t="s">
        <v>120</v>
      </c>
      <c r="AM1514" s="5">
        <v>19102851349</v>
      </c>
      <c r="AO1514" t="s">
        <v>148</v>
      </c>
      <c r="AP1514" t="s">
        <v>122</v>
      </c>
      <c r="AQ1514" t="s">
        <v>149</v>
      </c>
      <c r="AR1514" t="s">
        <v>150</v>
      </c>
      <c r="AT1514" t="s">
        <v>151</v>
      </c>
      <c r="AU1514" t="s">
        <v>152</v>
      </c>
      <c r="AV1514" t="s">
        <v>153</v>
      </c>
      <c r="AW1514" t="s">
        <v>154</v>
      </c>
      <c r="AX1514" s="4" t="str">
        <f>"33432"</f>
        <v>33432</v>
      </c>
      <c r="AY1514" t="s">
        <v>120</v>
      </c>
      <c r="BA1514" s="5">
        <v>15618668268</v>
      </c>
      <c r="BC1514" t="s">
        <v>155</v>
      </c>
      <c r="BD1514" t="s">
        <v>156</v>
      </c>
      <c r="BE1514" t="s">
        <v>154</v>
      </c>
      <c r="BF1514" t="s">
        <v>157</v>
      </c>
      <c r="BG1514" t="s">
        <v>119</v>
      </c>
      <c r="BH1514" s="1">
        <v>44816.833333333336</v>
      </c>
      <c r="BI1514">
        <v>40</v>
      </c>
      <c r="BJ1514">
        <v>0</v>
      </c>
      <c r="BK1514">
        <v>8</v>
      </c>
      <c r="BL1514">
        <v>8</v>
      </c>
      <c r="BM1514">
        <v>8</v>
      </c>
      <c r="BN1514">
        <v>8</v>
      </c>
      <c r="BO1514">
        <v>8</v>
      </c>
      <c r="BP1514">
        <v>0</v>
      </c>
      <c r="BQ1514" t="str">
        <f>"9:00 AM"</f>
        <v>9:00 AM</v>
      </c>
      <c r="BR1514" t="str">
        <f>"4:00 PM"</f>
        <v>4:00 PM</v>
      </c>
      <c r="BS1514" t="s">
        <v>133</v>
      </c>
      <c r="BT1514">
        <v>0</v>
      </c>
      <c r="BU1514">
        <v>0</v>
      </c>
      <c r="BV1514" t="s">
        <v>134</v>
      </c>
      <c r="BX1514" s="2" t="s">
        <v>158</v>
      </c>
      <c r="BY1514" t="s">
        <v>159</v>
      </c>
      <c r="CA1514" t="s">
        <v>144</v>
      </c>
      <c r="CB1514" t="s">
        <v>119</v>
      </c>
      <c r="CC1514" s="4" t="str">
        <f>"28466"</f>
        <v>28466</v>
      </c>
      <c r="CD1514" t="s">
        <v>160</v>
      </c>
      <c r="CE1514" t="s">
        <v>161</v>
      </c>
      <c r="CF1514" s="6">
        <v>11.72</v>
      </c>
      <c r="CG1514" s="6">
        <v>11.72</v>
      </c>
      <c r="CH1514" s="6">
        <v>17.579999999999998</v>
      </c>
      <c r="CI1514" s="6">
        <v>17.579999999999998</v>
      </c>
      <c r="CJ1514" t="s">
        <v>137</v>
      </c>
      <c r="CL1514" t="s">
        <v>162</v>
      </c>
      <c r="CO1514" t="s">
        <v>138</v>
      </c>
      <c r="CP1514" t="s">
        <v>134</v>
      </c>
      <c r="CQ1514" t="s">
        <v>134</v>
      </c>
      <c r="CR1514" t="s">
        <v>114</v>
      </c>
      <c r="CS1514" t="s">
        <v>114</v>
      </c>
      <c r="CT1514" t="s">
        <v>114</v>
      </c>
      <c r="CU1514" t="s">
        <v>134</v>
      </c>
      <c r="CV1514" t="s">
        <v>133</v>
      </c>
      <c r="CW1514" s="5" t="str">
        <f>"+19102851005"</f>
        <v>+19102851005</v>
      </c>
      <c r="CX1514" t="s">
        <v>148</v>
      </c>
      <c r="CY1514" t="s">
        <v>163</v>
      </c>
      <c r="CZ1514" t="s">
        <v>139</v>
      </c>
      <c r="DA1514" t="s">
        <v>134</v>
      </c>
      <c r="DB1514" t="s">
        <v>134</v>
      </c>
      <c r="DC1514" t="s">
        <v>114</v>
      </c>
      <c r="DD1514" t="s">
        <v>134</v>
      </c>
    </row>
    <row r="1515" spans="1:113" ht="15" customHeight="1" x14ac:dyDescent="0.25">
      <c r="A1515" t="s">
        <v>4945</v>
      </c>
      <c r="B1515" t="s">
        <v>141</v>
      </c>
      <c r="C1515" s="1">
        <v>44806.536916203702</v>
      </c>
      <c r="D1515" s="1">
        <v>44841</v>
      </c>
      <c r="E1515" t="s">
        <v>134</v>
      </c>
      <c r="F1515" t="s">
        <v>4946</v>
      </c>
      <c r="G1515" t="str">
        <f>"37-2012.00"</f>
        <v>37-2012.00</v>
      </c>
      <c r="H1515" t="s">
        <v>116</v>
      </c>
      <c r="I1515">
        <v>80</v>
      </c>
      <c r="K1515" s="1">
        <v>44881</v>
      </c>
      <c r="L1515" s="1">
        <v>45092</v>
      </c>
      <c r="O1515" t="s">
        <v>199</v>
      </c>
      <c r="P1515" t="s">
        <v>4947</v>
      </c>
      <c r="R1515" t="s">
        <v>4948</v>
      </c>
      <c r="T1515" t="s">
        <v>4949</v>
      </c>
      <c r="U1515" t="s">
        <v>154</v>
      </c>
      <c r="V1515" s="4" t="str">
        <f>"32408"</f>
        <v>32408</v>
      </c>
      <c r="W1515" t="s">
        <v>120</v>
      </c>
      <c r="Y1515" s="5">
        <v>18503816927</v>
      </c>
      <c r="AA1515">
        <v>561720</v>
      </c>
      <c r="AB1515" t="s">
        <v>4950</v>
      </c>
      <c r="AC1515" t="s">
        <v>4951</v>
      </c>
      <c r="AE1515" t="s">
        <v>1212</v>
      </c>
      <c r="AF1515" t="s">
        <v>4952</v>
      </c>
      <c r="AH1515" t="s">
        <v>4949</v>
      </c>
      <c r="AI1515" t="s">
        <v>154</v>
      </c>
      <c r="AJ1515" s="4" t="str">
        <f>"32408"</f>
        <v>32408</v>
      </c>
      <c r="AK1515" t="s">
        <v>120</v>
      </c>
      <c r="AM1515" s="5">
        <v>18503816927</v>
      </c>
      <c r="AO1515" t="s">
        <v>4953</v>
      </c>
      <c r="AX1515" s="4" t="str">
        <f>""</f>
        <v/>
      </c>
      <c r="BG1515" t="s">
        <v>154</v>
      </c>
      <c r="BH1515" s="1">
        <v>44804.833333333336</v>
      </c>
      <c r="BI1515">
        <v>36</v>
      </c>
      <c r="BJ1515">
        <v>6</v>
      </c>
      <c r="BK1515">
        <v>5</v>
      </c>
      <c r="BL1515">
        <v>4</v>
      </c>
      <c r="BM1515">
        <v>5</v>
      </c>
      <c r="BN1515">
        <v>5</v>
      </c>
      <c r="BO1515">
        <v>5</v>
      </c>
      <c r="BP1515">
        <v>6</v>
      </c>
      <c r="BQ1515" t="str">
        <f>"8:30 AM"</f>
        <v>8:30 AM</v>
      </c>
      <c r="BR1515" t="str">
        <f>"5:00 PM"</f>
        <v>5:00 PM</v>
      </c>
      <c r="BS1515" t="s">
        <v>133</v>
      </c>
      <c r="BT1515">
        <v>0</v>
      </c>
      <c r="BU1515">
        <v>0</v>
      </c>
      <c r="BV1515" t="s">
        <v>134</v>
      </c>
      <c r="BX1515" t="s">
        <v>3649</v>
      </c>
      <c r="BY1515" t="s">
        <v>4954</v>
      </c>
      <c r="CA1515" t="s">
        <v>4949</v>
      </c>
      <c r="CB1515" t="s">
        <v>154</v>
      </c>
      <c r="CC1515" s="4" t="str">
        <f>"32408"</f>
        <v>32408</v>
      </c>
      <c r="CD1515" t="s">
        <v>2172</v>
      </c>
      <c r="CE1515" t="s">
        <v>2173</v>
      </c>
      <c r="CF1515" s="6">
        <v>12.59</v>
      </c>
      <c r="CG1515" s="6">
        <v>12.59</v>
      </c>
      <c r="CH1515" s="6">
        <v>18.89</v>
      </c>
      <c r="CI1515" s="6">
        <v>18.89</v>
      </c>
      <c r="CJ1515" t="s">
        <v>137</v>
      </c>
      <c r="CK1515" t="s">
        <v>2314</v>
      </c>
      <c r="CL1515" t="s">
        <v>4955</v>
      </c>
      <c r="CO1515" t="s">
        <v>138</v>
      </c>
      <c r="CP1515" t="s">
        <v>134</v>
      </c>
      <c r="CQ1515" t="s">
        <v>114</v>
      </c>
      <c r="CR1515" t="s">
        <v>114</v>
      </c>
      <c r="CS1515" t="s">
        <v>114</v>
      </c>
      <c r="CT1515" t="s">
        <v>114</v>
      </c>
      <c r="CU1515" t="s">
        <v>114</v>
      </c>
      <c r="CV1515" t="s">
        <v>4956</v>
      </c>
      <c r="CW1515" s="5" t="str">
        <f>"+18503816927"</f>
        <v>+18503816927</v>
      </c>
      <c r="CX1515" t="s">
        <v>4957</v>
      </c>
      <c r="CY1515" t="s">
        <v>138</v>
      </c>
      <c r="CZ1515" t="s">
        <v>139</v>
      </c>
      <c r="DA1515" t="s">
        <v>134</v>
      </c>
      <c r="DB1515" t="s">
        <v>134</v>
      </c>
      <c r="DC1515" t="s">
        <v>114</v>
      </c>
      <c r="DD1515" t="s">
        <v>134</v>
      </c>
    </row>
    <row r="1516" spans="1:113" ht="15" customHeight="1" x14ac:dyDescent="0.25">
      <c r="A1516" t="s">
        <v>8456</v>
      </c>
      <c r="B1516" t="s">
        <v>141</v>
      </c>
      <c r="C1516" s="1">
        <v>44791.807404282408</v>
      </c>
      <c r="D1516" s="1">
        <v>44841</v>
      </c>
      <c r="E1516" t="s">
        <v>114</v>
      </c>
      <c r="F1516" t="s">
        <v>2470</v>
      </c>
      <c r="G1516" t="str">
        <f>"37-2012.00"</f>
        <v>37-2012.00</v>
      </c>
      <c r="H1516" t="s">
        <v>116</v>
      </c>
      <c r="I1516">
        <v>20</v>
      </c>
      <c r="K1516" s="1">
        <v>44866</v>
      </c>
      <c r="L1516" s="1">
        <v>45138</v>
      </c>
      <c r="O1516" t="s">
        <v>117</v>
      </c>
      <c r="P1516" t="s">
        <v>8457</v>
      </c>
      <c r="Q1516" t="s">
        <v>8458</v>
      </c>
      <c r="R1516" t="s">
        <v>8459</v>
      </c>
      <c r="T1516" t="s">
        <v>8460</v>
      </c>
      <c r="U1516" t="s">
        <v>154</v>
      </c>
      <c r="V1516" s="4" t="str">
        <f>"33139"</f>
        <v>33139</v>
      </c>
      <c r="W1516" t="s">
        <v>120</v>
      </c>
      <c r="Y1516" s="5">
        <v>13056041601</v>
      </c>
      <c r="AA1516">
        <v>721110</v>
      </c>
      <c r="AB1516" t="s">
        <v>4178</v>
      </c>
      <c r="AC1516" t="s">
        <v>8461</v>
      </c>
      <c r="AE1516" t="s">
        <v>1915</v>
      </c>
      <c r="AF1516" t="s">
        <v>8459</v>
      </c>
      <c r="AH1516" t="s">
        <v>8460</v>
      </c>
      <c r="AI1516" t="s">
        <v>154</v>
      </c>
      <c r="AJ1516" s="4" t="str">
        <f>"33139"</f>
        <v>33139</v>
      </c>
      <c r="AK1516" t="s">
        <v>120</v>
      </c>
      <c r="AM1516" s="5">
        <v>13056045424</v>
      </c>
      <c r="AO1516" t="s">
        <v>8462</v>
      </c>
      <c r="AP1516" t="s">
        <v>122</v>
      </c>
      <c r="AQ1516" t="s">
        <v>753</v>
      </c>
      <c r="AR1516" t="s">
        <v>754</v>
      </c>
      <c r="AS1516" t="s">
        <v>755</v>
      </c>
      <c r="AT1516" t="s">
        <v>756</v>
      </c>
      <c r="AU1516" t="s">
        <v>757</v>
      </c>
      <c r="AV1516" t="s">
        <v>758</v>
      </c>
      <c r="AW1516" t="s">
        <v>281</v>
      </c>
      <c r="AX1516" s="4" t="str">
        <f>"01701"</f>
        <v>01701</v>
      </c>
      <c r="AY1516" t="s">
        <v>120</v>
      </c>
      <c r="BA1516" s="5">
        <v>16179399444</v>
      </c>
      <c r="BC1516" t="s">
        <v>759</v>
      </c>
      <c r="BD1516" t="s">
        <v>760</v>
      </c>
      <c r="BE1516" t="s">
        <v>281</v>
      </c>
      <c r="BF1516" t="s">
        <v>761</v>
      </c>
      <c r="BG1516" t="s">
        <v>154</v>
      </c>
      <c r="BH1516" s="1">
        <v>44790.833333333336</v>
      </c>
      <c r="BI1516">
        <v>40</v>
      </c>
      <c r="BJ1516">
        <v>0</v>
      </c>
      <c r="BK1516">
        <v>8</v>
      </c>
      <c r="BL1516">
        <v>8</v>
      </c>
      <c r="BM1516">
        <v>8</v>
      </c>
      <c r="BN1516">
        <v>8</v>
      </c>
      <c r="BO1516">
        <v>8</v>
      </c>
      <c r="BP1516">
        <v>0</v>
      </c>
      <c r="BQ1516" t="str">
        <f>"8:00 AM"</f>
        <v>8:00 AM</v>
      </c>
      <c r="BR1516" t="str">
        <f>"4:00 PM"</f>
        <v>4:00 PM</v>
      </c>
      <c r="BS1516" t="s">
        <v>133</v>
      </c>
      <c r="BT1516">
        <v>0</v>
      </c>
      <c r="BU1516">
        <v>3</v>
      </c>
      <c r="BV1516" t="s">
        <v>134</v>
      </c>
      <c r="BX1516" s="2" t="s">
        <v>8463</v>
      </c>
      <c r="BY1516" t="s">
        <v>8459</v>
      </c>
      <c r="CA1516" t="s">
        <v>8460</v>
      </c>
      <c r="CB1516" t="s">
        <v>154</v>
      </c>
      <c r="CC1516" s="4" t="str">
        <f>"33139"</f>
        <v>33139</v>
      </c>
      <c r="CD1516" t="s">
        <v>1741</v>
      </c>
      <c r="CE1516" t="s">
        <v>1742</v>
      </c>
      <c r="CF1516" s="6">
        <v>16.25</v>
      </c>
      <c r="CG1516" s="6">
        <v>17</v>
      </c>
      <c r="CH1516" s="6">
        <v>24.38</v>
      </c>
      <c r="CI1516" s="6">
        <v>25.5</v>
      </c>
      <c r="CJ1516" t="s">
        <v>137</v>
      </c>
      <c r="CK1516" t="s">
        <v>8464</v>
      </c>
      <c r="CL1516" t="s">
        <v>8465</v>
      </c>
      <c r="CO1516" t="s">
        <v>138</v>
      </c>
      <c r="CP1516" t="s">
        <v>134</v>
      </c>
      <c r="CQ1516" t="s">
        <v>134</v>
      </c>
      <c r="CR1516" t="s">
        <v>114</v>
      </c>
      <c r="CS1516" t="s">
        <v>114</v>
      </c>
      <c r="CT1516" t="s">
        <v>114</v>
      </c>
      <c r="CU1516" t="s">
        <v>114</v>
      </c>
      <c r="CV1516" s="2" t="s">
        <v>8466</v>
      </c>
      <c r="CW1516" s="5" t="str">
        <f>"+13056045424"</f>
        <v>+13056045424</v>
      </c>
      <c r="CX1516" t="s">
        <v>8462</v>
      </c>
      <c r="CY1516" t="s">
        <v>138</v>
      </c>
      <c r="CZ1516" t="s">
        <v>139</v>
      </c>
      <c r="DA1516" t="s">
        <v>134</v>
      </c>
      <c r="DB1516" t="s">
        <v>134</v>
      </c>
      <c r="DC1516" t="s">
        <v>114</v>
      </c>
      <c r="DD1516" t="s">
        <v>134</v>
      </c>
    </row>
    <row r="1517" spans="1:113" ht="15" customHeight="1" x14ac:dyDescent="0.25">
      <c r="A1517" t="s">
        <v>12904</v>
      </c>
      <c r="B1517" t="s">
        <v>141</v>
      </c>
      <c r="C1517" s="1">
        <v>44791.708009374997</v>
      </c>
      <c r="D1517" s="1">
        <v>44841</v>
      </c>
      <c r="E1517" t="s">
        <v>134</v>
      </c>
      <c r="F1517" t="s">
        <v>115</v>
      </c>
      <c r="G1517" t="str">
        <f>"37-2012.00"</f>
        <v>37-2012.00</v>
      </c>
      <c r="H1517" t="s">
        <v>116</v>
      </c>
      <c r="I1517">
        <v>14</v>
      </c>
      <c r="K1517" s="1">
        <v>44866</v>
      </c>
      <c r="L1517" s="1">
        <v>44926</v>
      </c>
      <c r="O1517" t="s">
        <v>117</v>
      </c>
      <c r="P1517" t="s">
        <v>11699</v>
      </c>
      <c r="Q1517" t="s">
        <v>11700</v>
      </c>
      <c r="R1517" t="s">
        <v>11701</v>
      </c>
      <c r="S1517" t="s">
        <v>8120</v>
      </c>
      <c r="T1517" t="s">
        <v>1418</v>
      </c>
      <c r="U1517" t="s">
        <v>479</v>
      </c>
      <c r="V1517" s="4" t="str">
        <f>"24017"</f>
        <v>24017</v>
      </c>
      <c r="W1517" t="s">
        <v>120</v>
      </c>
      <c r="Y1517" s="5">
        <v>18049351719</v>
      </c>
      <c r="AA1517">
        <v>72111</v>
      </c>
      <c r="AB1517" t="s">
        <v>1480</v>
      </c>
      <c r="AC1517" t="s">
        <v>5892</v>
      </c>
      <c r="AE1517" t="s">
        <v>342</v>
      </c>
      <c r="AF1517" t="s">
        <v>11701</v>
      </c>
      <c r="AG1517" t="s">
        <v>8120</v>
      </c>
      <c r="AH1517" t="s">
        <v>1418</v>
      </c>
      <c r="AI1517" t="s">
        <v>479</v>
      </c>
      <c r="AJ1517" s="4" t="str">
        <f>"24017"</f>
        <v>24017</v>
      </c>
      <c r="AK1517" t="s">
        <v>120</v>
      </c>
      <c r="AM1517" s="5">
        <v>18049351719</v>
      </c>
      <c r="AO1517" t="s">
        <v>138</v>
      </c>
      <c r="AP1517" t="s">
        <v>256</v>
      </c>
      <c r="AQ1517" t="s">
        <v>475</v>
      </c>
      <c r="AR1517" t="s">
        <v>476</v>
      </c>
      <c r="AT1517" t="s">
        <v>477</v>
      </c>
      <c r="AV1517" t="s">
        <v>478</v>
      </c>
      <c r="AW1517" t="s">
        <v>479</v>
      </c>
      <c r="AX1517" s="4" t="str">
        <f>"22903"</f>
        <v>22903</v>
      </c>
      <c r="AY1517" t="s">
        <v>120</v>
      </c>
      <c r="BA1517" s="5">
        <v>14342634300</v>
      </c>
      <c r="BC1517" t="s">
        <v>1549</v>
      </c>
      <c r="BD1517" t="s">
        <v>481</v>
      </c>
      <c r="BG1517" t="s">
        <v>479</v>
      </c>
      <c r="BH1517" s="1">
        <v>44790.833333333336</v>
      </c>
      <c r="BI1517">
        <v>40</v>
      </c>
      <c r="BJ1517">
        <v>0</v>
      </c>
      <c r="BK1517">
        <v>8</v>
      </c>
      <c r="BL1517">
        <v>8</v>
      </c>
      <c r="BM1517">
        <v>8</v>
      </c>
      <c r="BN1517">
        <v>8</v>
      </c>
      <c r="BO1517">
        <v>8</v>
      </c>
      <c r="BP1517">
        <v>0</v>
      </c>
      <c r="BQ1517" t="str">
        <f>"9:00 AM"</f>
        <v>9:00 AM</v>
      </c>
      <c r="BR1517" t="str">
        <f>"5:30 PM"</f>
        <v>5:30 PM</v>
      </c>
      <c r="BS1517" t="s">
        <v>133</v>
      </c>
      <c r="BT1517">
        <v>0</v>
      </c>
      <c r="BU1517">
        <v>0</v>
      </c>
      <c r="BV1517" t="s">
        <v>134</v>
      </c>
      <c r="BX1517" s="2" t="s">
        <v>10705</v>
      </c>
      <c r="BY1517" t="s">
        <v>11701</v>
      </c>
      <c r="CA1517" t="s">
        <v>1418</v>
      </c>
      <c r="CB1517" t="s">
        <v>479</v>
      </c>
      <c r="CC1517" s="4" t="str">
        <f>"24017"</f>
        <v>24017</v>
      </c>
      <c r="CD1517" t="s">
        <v>11702</v>
      </c>
      <c r="CE1517" t="s">
        <v>1424</v>
      </c>
      <c r="CF1517" s="6">
        <v>11.8</v>
      </c>
      <c r="CH1517" s="6">
        <v>17.7</v>
      </c>
      <c r="CJ1517" t="s">
        <v>137</v>
      </c>
      <c r="CL1517" t="s">
        <v>12905</v>
      </c>
      <c r="CO1517" t="s">
        <v>138</v>
      </c>
      <c r="CP1517" t="s">
        <v>114</v>
      </c>
      <c r="CQ1517" t="s">
        <v>114</v>
      </c>
      <c r="CR1517" t="s">
        <v>114</v>
      </c>
      <c r="CS1517" t="s">
        <v>114</v>
      </c>
      <c r="CT1517" t="s">
        <v>114</v>
      </c>
      <c r="CU1517" t="s">
        <v>114</v>
      </c>
      <c r="CV1517" t="s">
        <v>6562</v>
      </c>
      <c r="CW1517" s="5" t="str">
        <f>"N/A"</f>
        <v>N/A</v>
      </c>
      <c r="CX1517" t="s">
        <v>8122</v>
      </c>
      <c r="CY1517" t="s">
        <v>1680</v>
      </c>
      <c r="CZ1517" t="s">
        <v>139</v>
      </c>
      <c r="DA1517" t="s">
        <v>134</v>
      </c>
      <c r="DB1517" t="s">
        <v>114</v>
      </c>
      <c r="DC1517" t="s">
        <v>114</v>
      </c>
      <c r="DD1517" t="s">
        <v>134</v>
      </c>
      <c r="DE1517" t="s">
        <v>1551</v>
      </c>
      <c r="DF1517" t="s">
        <v>1377</v>
      </c>
      <c r="DH1517" t="s">
        <v>481</v>
      </c>
      <c r="DI1517" t="s">
        <v>1549</v>
      </c>
    </row>
    <row r="1518" spans="1:113" ht="15" customHeight="1" x14ac:dyDescent="0.25">
      <c r="A1518" t="s">
        <v>12907</v>
      </c>
      <c r="B1518" t="s">
        <v>141</v>
      </c>
      <c r="C1518" s="1">
        <v>44791.707620023146</v>
      </c>
      <c r="D1518" s="1">
        <v>44841</v>
      </c>
      <c r="E1518" t="s">
        <v>134</v>
      </c>
      <c r="F1518" t="s">
        <v>115</v>
      </c>
      <c r="G1518" t="str">
        <f>"37-2012.00"</f>
        <v>37-2012.00</v>
      </c>
      <c r="H1518" t="s">
        <v>116</v>
      </c>
      <c r="I1518">
        <v>14</v>
      </c>
      <c r="K1518" s="1">
        <v>44866</v>
      </c>
      <c r="L1518" s="1">
        <v>44926</v>
      </c>
      <c r="O1518" t="s">
        <v>117</v>
      </c>
      <c r="P1518" t="s">
        <v>12908</v>
      </c>
      <c r="Q1518" t="s">
        <v>12909</v>
      </c>
      <c r="R1518" t="s">
        <v>12910</v>
      </c>
      <c r="S1518" t="s">
        <v>8120</v>
      </c>
      <c r="T1518" t="s">
        <v>4155</v>
      </c>
      <c r="U1518" t="s">
        <v>479</v>
      </c>
      <c r="V1518" s="4" t="str">
        <f>"23233"</f>
        <v>23233</v>
      </c>
      <c r="W1518" t="s">
        <v>120</v>
      </c>
      <c r="Y1518" s="5">
        <v>18049351719</v>
      </c>
      <c r="AA1518">
        <v>72111</v>
      </c>
      <c r="AB1518" t="s">
        <v>1480</v>
      </c>
      <c r="AC1518" t="s">
        <v>5892</v>
      </c>
      <c r="AD1518" t="s">
        <v>1857</v>
      </c>
      <c r="AE1518" t="s">
        <v>342</v>
      </c>
      <c r="AF1518" t="s">
        <v>12910</v>
      </c>
      <c r="AG1518" t="s">
        <v>8120</v>
      </c>
      <c r="AH1518" t="s">
        <v>4155</v>
      </c>
      <c r="AI1518" t="s">
        <v>479</v>
      </c>
      <c r="AJ1518" s="4" t="str">
        <f>"23233"</f>
        <v>23233</v>
      </c>
      <c r="AK1518" t="s">
        <v>120</v>
      </c>
      <c r="AM1518" s="5">
        <v>18049351719</v>
      </c>
      <c r="AO1518" t="s">
        <v>138</v>
      </c>
      <c r="AP1518" t="s">
        <v>256</v>
      </c>
      <c r="AQ1518" t="s">
        <v>475</v>
      </c>
      <c r="AR1518" t="s">
        <v>476</v>
      </c>
      <c r="AT1518" t="s">
        <v>477</v>
      </c>
      <c r="AV1518" t="s">
        <v>478</v>
      </c>
      <c r="AW1518" t="s">
        <v>479</v>
      </c>
      <c r="AX1518" s="4" t="str">
        <f>"22903"</f>
        <v>22903</v>
      </c>
      <c r="AY1518" t="s">
        <v>120</v>
      </c>
      <c r="BA1518" s="5">
        <v>14342634300</v>
      </c>
      <c r="BC1518" t="s">
        <v>1549</v>
      </c>
      <c r="BD1518" t="s">
        <v>481</v>
      </c>
      <c r="BG1518" t="s">
        <v>479</v>
      </c>
      <c r="BH1518" s="1">
        <v>44790.833333333336</v>
      </c>
      <c r="BI1518">
        <v>40</v>
      </c>
      <c r="BJ1518">
        <v>0</v>
      </c>
      <c r="BK1518">
        <v>8</v>
      </c>
      <c r="BL1518">
        <v>8</v>
      </c>
      <c r="BM1518">
        <v>8</v>
      </c>
      <c r="BN1518">
        <v>8</v>
      </c>
      <c r="BO1518">
        <v>8</v>
      </c>
      <c r="BP1518">
        <v>0</v>
      </c>
      <c r="BQ1518" t="str">
        <f>"9:00 AM"</f>
        <v>9:00 AM</v>
      </c>
      <c r="BR1518" t="str">
        <f>"5:30 PM"</f>
        <v>5:30 PM</v>
      </c>
      <c r="BS1518" t="s">
        <v>133</v>
      </c>
      <c r="BT1518">
        <v>0</v>
      </c>
      <c r="BU1518">
        <v>0</v>
      </c>
      <c r="BV1518" t="s">
        <v>134</v>
      </c>
      <c r="BX1518" s="2" t="s">
        <v>12911</v>
      </c>
      <c r="BY1518" t="s">
        <v>12910</v>
      </c>
      <c r="CA1518" t="s">
        <v>4155</v>
      </c>
      <c r="CB1518" t="s">
        <v>479</v>
      </c>
      <c r="CC1518" s="4" t="str">
        <f>"23233"</f>
        <v>23233</v>
      </c>
      <c r="CD1518" t="s">
        <v>6017</v>
      </c>
      <c r="CE1518" t="s">
        <v>1863</v>
      </c>
      <c r="CF1518" s="6">
        <v>12.31</v>
      </c>
      <c r="CH1518" s="6">
        <v>18.47</v>
      </c>
      <c r="CJ1518" t="s">
        <v>137</v>
      </c>
      <c r="CL1518" t="s">
        <v>12912</v>
      </c>
      <c r="CO1518" t="s">
        <v>138</v>
      </c>
      <c r="CP1518" t="s">
        <v>114</v>
      </c>
      <c r="CQ1518" t="s">
        <v>114</v>
      </c>
      <c r="CR1518" t="s">
        <v>114</v>
      </c>
      <c r="CS1518" t="s">
        <v>114</v>
      </c>
      <c r="CT1518" t="s">
        <v>114</v>
      </c>
      <c r="CU1518" t="s">
        <v>114</v>
      </c>
      <c r="CV1518" t="s">
        <v>6562</v>
      </c>
      <c r="CW1518" s="5" t="str">
        <f>"N/A"</f>
        <v>N/A</v>
      </c>
      <c r="CX1518" t="s">
        <v>8122</v>
      </c>
      <c r="CY1518" t="s">
        <v>1680</v>
      </c>
      <c r="CZ1518" t="s">
        <v>139</v>
      </c>
      <c r="DA1518" t="s">
        <v>134</v>
      </c>
      <c r="DB1518" t="s">
        <v>114</v>
      </c>
      <c r="DC1518" t="s">
        <v>114</v>
      </c>
      <c r="DD1518" t="s">
        <v>134</v>
      </c>
      <c r="DE1518" t="s">
        <v>1551</v>
      </c>
      <c r="DF1518" t="s">
        <v>1377</v>
      </c>
      <c r="DH1518" t="s">
        <v>481</v>
      </c>
      <c r="DI1518" t="s">
        <v>1549</v>
      </c>
    </row>
    <row r="1519" spans="1:113" ht="15" customHeight="1" x14ac:dyDescent="0.25">
      <c r="A1519" t="s">
        <v>7361</v>
      </c>
      <c r="B1519" t="s">
        <v>141</v>
      </c>
      <c r="C1519" s="1">
        <v>44806.39130023148</v>
      </c>
      <c r="D1519" s="1">
        <v>44840</v>
      </c>
      <c r="E1519" t="s">
        <v>134</v>
      </c>
      <c r="F1519" t="s">
        <v>4326</v>
      </c>
      <c r="G1519" t="str">
        <f>"51-9111.00"</f>
        <v>51-9111.00</v>
      </c>
      <c r="H1519" t="s">
        <v>4327</v>
      </c>
      <c r="I1519">
        <v>25</v>
      </c>
      <c r="K1519" s="1">
        <v>44896</v>
      </c>
      <c r="L1519" s="1">
        <v>45200</v>
      </c>
      <c r="O1519" t="s">
        <v>199</v>
      </c>
      <c r="P1519" t="s">
        <v>4328</v>
      </c>
      <c r="R1519" t="s">
        <v>4329</v>
      </c>
      <c r="T1519" t="s">
        <v>1632</v>
      </c>
      <c r="U1519" t="s">
        <v>792</v>
      </c>
      <c r="V1519" s="4" t="str">
        <f>"98119"</f>
        <v>98119</v>
      </c>
      <c r="W1519" t="s">
        <v>120</v>
      </c>
      <c r="Y1519" s="5">
        <v>12062815359</v>
      </c>
      <c r="AA1519">
        <v>3117</v>
      </c>
      <c r="AB1519" t="s">
        <v>4330</v>
      </c>
      <c r="AC1519" t="s">
        <v>2376</v>
      </c>
      <c r="AE1519" t="s">
        <v>2368</v>
      </c>
      <c r="AF1519" t="s">
        <v>4329</v>
      </c>
      <c r="AH1519" t="s">
        <v>1632</v>
      </c>
      <c r="AI1519" t="s">
        <v>792</v>
      </c>
      <c r="AJ1519" s="4" t="str">
        <f>"98119"</f>
        <v>98119</v>
      </c>
      <c r="AK1519" t="s">
        <v>120</v>
      </c>
      <c r="AM1519" s="5">
        <v>12062703750</v>
      </c>
      <c r="AO1519" t="s">
        <v>4331</v>
      </c>
      <c r="AP1519" t="s">
        <v>122</v>
      </c>
      <c r="AQ1519" t="s">
        <v>1399</v>
      </c>
      <c r="AR1519" t="s">
        <v>1400</v>
      </c>
      <c r="AS1519" t="s">
        <v>1401</v>
      </c>
      <c r="AT1519" t="s">
        <v>1998</v>
      </c>
      <c r="AU1519" t="s">
        <v>1402</v>
      </c>
      <c r="AV1519" t="s">
        <v>1817</v>
      </c>
      <c r="AW1519" t="s">
        <v>339</v>
      </c>
      <c r="AX1519" s="4" t="str">
        <f>"21117"</f>
        <v>21117</v>
      </c>
      <c r="AY1519" t="s">
        <v>120</v>
      </c>
      <c r="BA1519" s="5">
        <v>14435014240</v>
      </c>
      <c r="BC1519" t="s">
        <v>1818</v>
      </c>
      <c r="BD1519" t="s">
        <v>1819</v>
      </c>
      <c r="BE1519" t="s">
        <v>848</v>
      </c>
      <c r="BF1519" t="s">
        <v>1916</v>
      </c>
      <c r="BG1519" t="s">
        <v>821</v>
      </c>
      <c r="BH1519" s="1">
        <v>44805.833333333336</v>
      </c>
      <c r="BI1519">
        <v>35</v>
      </c>
      <c r="BJ1519">
        <v>5</v>
      </c>
      <c r="BK1519">
        <v>5</v>
      </c>
      <c r="BL1519">
        <v>5</v>
      </c>
      <c r="BM1519">
        <v>5</v>
      </c>
      <c r="BN1519">
        <v>5</v>
      </c>
      <c r="BO1519">
        <v>5</v>
      </c>
      <c r="BP1519">
        <v>5</v>
      </c>
      <c r="BQ1519" t="str">
        <f>"6:00 AM"</f>
        <v>6:00 AM</v>
      </c>
      <c r="BR1519" t="str">
        <f>"12:00 AM"</f>
        <v>12:00 AM</v>
      </c>
      <c r="BS1519" t="s">
        <v>133</v>
      </c>
      <c r="BT1519">
        <v>0</v>
      </c>
      <c r="BU1519">
        <v>6</v>
      </c>
      <c r="BV1519" t="s">
        <v>134</v>
      </c>
      <c r="BX1519" s="2" t="s">
        <v>7362</v>
      </c>
      <c r="BY1519" t="s">
        <v>4332</v>
      </c>
      <c r="CA1519" t="s">
        <v>4333</v>
      </c>
      <c r="CB1519" t="s">
        <v>821</v>
      </c>
      <c r="CC1519" s="4" t="str">
        <f>"99633"</f>
        <v>99633</v>
      </c>
      <c r="CD1519" t="s">
        <v>4334</v>
      </c>
      <c r="CE1519" t="s">
        <v>832</v>
      </c>
      <c r="CF1519" s="6">
        <v>14.89</v>
      </c>
      <c r="CH1519" s="6">
        <v>22.34</v>
      </c>
      <c r="CJ1519" t="s">
        <v>137</v>
      </c>
      <c r="CK1519" t="s">
        <v>7363</v>
      </c>
      <c r="CL1519" t="s">
        <v>4335</v>
      </c>
      <c r="CO1519" t="s">
        <v>138</v>
      </c>
      <c r="CP1519" t="s">
        <v>114</v>
      </c>
      <c r="CQ1519" t="s">
        <v>114</v>
      </c>
      <c r="CR1519" t="s">
        <v>114</v>
      </c>
      <c r="CS1519" t="s">
        <v>134</v>
      </c>
      <c r="CT1519" t="s">
        <v>114</v>
      </c>
      <c r="CU1519" t="s">
        <v>114</v>
      </c>
      <c r="CV1519" t="s">
        <v>1406</v>
      </c>
      <c r="CW1519" s="5" t="str">
        <f>"+12062856800"</f>
        <v>+12062856800</v>
      </c>
      <c r="CX1519" t="s">
        <v>4336</v>
      </c>
      <c r="CY1519" t="s">
        <v>4337</v>
      </c>
      <c r="CZ1519" t="s">
        <v>139</v>
      </c>
      <c r="DA1519" t="s">
        <v>134</v>
      </c>
      <c r="DB1519" t="s">
        <v>114</v>
      </c>
      <c r="DC1519" t="s">
        <v>114</v>
      </c>
      <c r="DD1519" t="s">
        <v>134</v>
      </c>
    </row>
    <row r="1520" spans="1:113" ht="15" customHeight="1" x14ac:dyDescent="0.25">
      <c r="A1520" t="s">
        <v>11230</v>
      </c>
      <c r="B1520" t="s">
        <v>141</v>
      </c>
      <c r="C1520" s="1">
        <v>44806.388377662035</v>
      </c>
      <c r="D1520" s="1">
        <v>44840</v>
      </c>
      <c r="E1520" t="s">
        <v>134</v>
      </c>
      <c r="F1520" t="s">
        <v>2433</v>
      </c>
      <c r="G1520" t="str">
        <f>"51-3022.00"</f>
        <v>51-3022.00</v>
      </c>
      <c r="H1520" t="s">
        <v>817</v>
      </c>
      <c r="I1520">
        <v>1350</v>
      </c>
      <c r="K1520" s="1">
        <v>44896</v>
      </c>
      <c r="L1520" s="1">
        <v>45200</v>
      </c>
      <c r="O1520" t="s">
        <v>199</v>
      </c>
      <c r="P1520" t="s">
        <v>11231</v>
      </c>
      <c r="R1520" t="s">
        <v>4329</v>
      </c>
      <c r="T1520" t="s">
        <v>1632</v>
      </c>
      <c r="U1520" t="s">
        <v>792</v>
      </c>
      <c r="V1520" s="4" t="str">
        <f>"98119"</f>
        <v>98119</v>
      </c>
      <c r="W1520" t="s">
        <v>120</v>
      </c>
      <c r="Y1520" s="5">
        <v>12062815378</v>
      </c>
      <c r="AA1520">
        <v>3117</v>
      </c>
      <c r="AB1520" t="s">
        <v>4330</v>
      </c>
      <c r="AC1520" t="s">
        <v>2376</v>
      </c>
      <c r="AE1520" t="s">
        <v>2368</v>
      </c>
      <c r="AF1520" t="s">
        <v>4329</v>
      </c>
      <c r="AH1520" t="s">
        <v>1632</v>
      </c>
      <c r="AI1520" t="s">
        <v>792</v>
      </c>
      <c r="AJ1520" s="4" t="str">
        <f>"98119"</f>
        <v>98119</v>
      </c>
      <c r="AK1520" t="s">
        <v>120</v>
      </c>
      <c r="AM1520" s="5">
        <v>12062703750</v>
      </c>
      <c r="AO1520" t="s">
        <v>4331</v>
      </c>
      <c r="AP1520" t="s">
        <v>122</v>
      </c>
      <c r="AQ1520" t="s">
        <v>1399</v>
      </c>
      <c r="AR1520" t="s">
        <v>1400</v>
      </c>
      <c r="AS1520" t="s">
        <v>1401</v>
      </c>
      <c r="AT1520" t="s">
        <v>1998</v>
      </c>
      <c r="AU1520" t="s">
        <v>1402</v>
      </c>
      <c r="AV1520" t="s">
        <v>1817</v>
      </c>
      <c r="AW1520" t="s">
        <v>339</v>
      </c>
      <c r="AX1520" s="4" t="str">
        <f>"21117"</f>
        <v>21117</v>
      </c>
      <c r="AY1520" t="s">
        <v>120</v>
      </c>
      <c r="BA1520" s="5">
        <v>14435014240</v>
      </c>
      <c r="BC1520" t="s">
        <v>1818</v>
      </c>
      <c r="BD1520" t="s">
        <v>1819</v>
      </c>
      <c r="BE1520" t="s">
        <v>848</v>
      </c>
      <c r="BF1520" t="s">
        <v>1916</v>
      </c>
      <c r="BG1520" t="s">
        <v>821</v>
      </c>
      <c r="BH1520" s="1">
        <v>44805.833333333336</v>
      </c>
      <c r="BI1520">
        <v>35</v>
      </c>
      <c r="BJ1520">
        <v>5</v>
      </c>
      <c r="BK1520">
        <v>5</v>
      </c>
      <c r="BL1520">
        <v>5</v>
      </c>
      <c r="BM1520">
        <v>5</v>
      </c>
      <c r="BN1520">
        <v>5</v>
      </c>
      <c r="BO1520">
        <v>5</v>
      </c>
      <c r="BP1520">
        <v>5</v>
      </c>
      <c r="BQ1520" t="str">
        <f>"6:00 AM"</f>
        <v>6:00 AM</v>
      </c>
      <c r="BR1520" t="str">
        <f>"12:00 AM"</f>
        <v>12:00 AM</v>
      </c>
      <c r="BS1520" t="s">
        <v>133</v>
      </c>
      <c r="BT1520">
        <v>0</v>
      </c>
      <c r="BU1520">
        <v>0</v>
      </c>
      <c r="BV1520" t="s">
        <v>134</v>
      </c>
      <c r="BX1520" s="2" t="s">
        <v>11232</v>
      </c>
      <c r="BY1520" t="s">
        <v>11233</v>
      </c>
      <c r="CA1520" t="s">
        <v>11234</v>
      </c>
      <c r="CB1520" t="s">
        <v>821</v>
      </c>
      <c r="CC1520" s="4" t="str">
        <f>"99664"</f>
        <v>99664</v>
      </c>
      <c r="CD1520" t="s">
        <v>11235</v>
      </c>
      <c r="CE1520" t="s">
        <v>832</v>
      </c>
      <c r="CF1520" s="6">
        <v>18.059999999999999</v>
      </c>
      <c r="CH1520" s="6">
        <v>27.09</v>
      </c>
      <c r="CJ1520" t="s">
        <v>137</v>
      </c>
      <c r="CK1520" t="s">
        <v>11236</v>
      </c>
      <c r="CL1520" t="s">
        <v>11237</v>
      </c>
      <c r="CO1520" t="s">
        <v>138</v>
      </c>
      <c r="CP1520" t="s">
        <v>114</v>
      </c>
      <c r="CQ1520" t="s">
        <v>114</v>
      </c>
      <c r="CR1520" t="s">
        <v>114</v>
      </c>
      <c r="CS1520" t="s">
        <v>134</v>
      </c>
      <c r="CT1520" t="s">
        <v>114</v>
      </c>
      <c r="CU1520" t="s">
        <v>114</v>
      </c>
      <c r="CV1520" t="s">
        <v>10837</v>
      </c>
      <c r="CW1520" s="5" t="str">
        <f>"+12062856800"</f>
        <v>+12062856800</v>
      </c>
      <c r="CX1520" t="s">
        <v>4336</v>
      </c>
      <c r="CY1520" t="s">
        <v>4337</v>
      </c>
      <c r="CZ1520" t="s">
        <v>139</v>
      </c>
      <c r="DA1520" t="s">
        <v>134</v>
      </c>
      <c r="DB1520" t="s">
        <v>114</v>
      </c>
      <c r="DC1520" t="s">
        <v>114</v>
      </c>
      <c r="DD1520" t="s">
        <v>134</v>
      </c>
    </row>
    <row r="1521" spans="1:113" ht="15" customHeight="1" x14ac:dyDescent="0.25">
      <c r="A1521" t="s">
        <v>16358</v>
      </c>
      <c r="B1521" t="s">
        <v>141</v>
      </c>
      <c r="C1521" s="1">
        <v>44790.637525115744</v>
      </c>
      <c r="D1521" s="1">
        <v>44839</v>
      </c>
      <c r="E1521" t="s">
        <v>114</v>
      </c>
      <c r="F1521" t="s">
        <v>1994</v>
      </c>
      <c r="G1521" t="str">
        <f>"47-2061.00"</f>
        <v>47-2061.00</v>
      </c>
      <c r="H1521" t="s">
        <v>1625</v>
      </c>
      <c r="I1521">
        <v>4</v>
      </c>
      <c r="K1521" s="1">
        <v>44865</v>
      </c>
      <c r="L1521" s="1">
        <v>45139</v>
      </c>
      <c r="O1521" t="s">
        <v>199</v>
      </c>
      <c r="P1521" t="s">
        <v>16359</v>
      </c>
      <c r="R1521" t="s">
        <v>16360</v>
      </c>
      <c r="T1521" t="s">
        <v>1339</v>
      </c>
      <c r="U1521" t="s">
        <v>154</v>
      </c>
      <c r="V1521" s="4" t="str">
        <f>"32824"</f>
        <v>32824</v>
      </c>
      <c r="W1521" t="s">
        <v>120</v>
      </c>
      <c r="Y1521" s="5">
        <v>14072505319</v>
      </c>
      <c r="AA1521">
        <v>2362</v>
      </c>
      <c r="AB1521" t="s">
        <v>16361</v>
      </c>
      <c r="AC1521" t="s">
        <v>2564</v>
      </c>
      <c r="AD1521" t="s">
        <v>2795</v>
      </c>
      <c r="AE1521" t="s">
        <v>342</v>
      </c>
      <c r="AF1521" t="s">
        <v>16360</v>
      </c>
      <c r="AH1521" t="s">
        <v>1339</v>
      </c>
      <c r="AI1521" t="s">
        <v>154</v>
      </c>
      <c r="AJ1521" s="4" t="str">
        <f>"32824"</f>
        <v>32824</v>
      </c>
      <c r="AK1521" t="s">
        <v>120</v>
      </c>
      <c r="AM1521" s="5">
        <v>14072505319</v>
      </c>
      <c r="AO1521" t="s">
        <v>16362</v>
      </c>
      <c r="AX1521" s="4" t="str">
        <f>""</f>
        <v/>
      </c>
      <c r="BG1521" t="s">
        <v>154</v>
      </c>
      <c r="BH1521" s="1">
        <v>44746.833333333336</v>
      </c>
      <c r="BI1521">
        <v>48</v>
      </c>
      <c r="BJ1521">
        <v>0</v>
      </c>
      <c r="BK1521">
        <v>8</v>
      </c>
      <c r="BL1521">
        <v>8</v>
      </c>
      <c r="BM1521">
        <v>8</v>
      </c>
      <c r="BN1521">
        <v>8</v>
      </c>
      <c r="BO1521">
        <v>8</v>
      </c>
      <c r="BP1521">
        <v>8</v>
      </c>
      <c r="BQ1521" t="str">
        <f>"7:00 AM"</f>
        <v>7:00 AM</v>
      </c>
      <c r="BR1521" t="str">
        <f>"3:30 PM"</f>
        <v>3:30 PM</v>
      </c>
      <c r="BS1521" t="s">
        <v>133</v>
      </c>
      <c r="BT1521">
        <v>0</v>
      </c>
      <c r="BU1521">
        <v>0</v>
      </c>
      <c r="BV1521" t="s">
        <v>134</v>
      </c>
      <c r="BX1521" t="s">
        <v>138</v>
      </c>
      <c r="BY1521" t="s">
        <v>16360</v>
      </c>
      <c r="CA1521" t="s">
        <v>1339</v>
      </c>
      <c r="CB1521" t="s">
        <v>154</v>
      </c>
      <c r="CC1521" s="4" t="str">
        <f>"32824"</f>
        <v>32824</v>
      </c>
      <c r="CD1521" t="s">
        <v>2302</v>
      </c>
      <c r="CE1521" t="s">
        <v>3159</v>
      </c>
      <c r="CF1521" s="6">
        <v>16.55</v>
      </c>
      <c r="CG1521" s="6">
        <v>18</v>
      </c>
      <c r="CJ1521" t="s">
        <v>137</v>
      </c>
      <c r="CL1521" t="s">
        <v>16363</v>
      </c>
      <c r="CO1521" t="s">
        <v>138</v>
      </c>
      <c r="CP1521" t="s">
        <v>134</v>
      </c>
      <c r="CQ1521" t="s">
        <v>134</v>
      </c>
      <c r="CR1521" t="s">
        <v>114</v>
      </c>
      <c r="CS1521" t="s">
        <v>114</v>
      </c>
      <c r="CT1521" t="s">
        <v>114</v>
      </c>
      <c r="CU1521" t="s">
        <v>134</v>
      </c>
      <c r="CV1521" t="s">
        <v>138</v>
      </c>
      <c r="CW1521" s="5" t="str">
        <f>"+14072505319"</f>
        <v>+14072505319</v>
      </c>
      <c r="CX1521" t="s">
        <v>16362</v>
      </c>
      <c r="CY1521" t="s">
        <v>16364</v>
      </c>
      <c r="CZ1521" t="s">
        <v>139</v>
      </c>
      <c r="DA1521" t="s">
        <v>134</v>
      </c>
      <c r="DB1521" t="s">
        <v>134</v>
      </c>
      <c r="DC1521" t="s">
        <v>114</v>
      </c>
      <c r="DD1521" t="s">
        <v>134</v>
      </c>
      <c r="DE1521" t="s">
        <v>16361</v>
      </c>
      <c r="DF1521" t="s">
        <v>2564</v>
      </c>
      <c r="DG1521" t="s">
        <v>2795</v>
      </c>
      <c r="DH1521" t="s">
        <v>16365</v>
      </c>
      <c r="DI1521" t="s">
        <v>16362</v>
      </c>
    </row>
    <row r="1522" spans="1:113" ht="15" customHeight="1" x14ac:dyDescent="0.25">
      <c r="A1522" t="s">
        <v>7364</v>
      </c>
      <c r="B1522" t="s">
        <v>141</v>
      </c>
      <c r="C1522" s="1">
        <v>44790.445371064816</v>
      </c>
      <c r="D1522" s="1">
        <v>44839</v>
      </c>
      <c r="E1522" t="s">
        <v>134</v>
      </c>
      <c r="F1522" t="s">
        <v>7365</v>
      </c>
      <c r="G1522" t="str">
        <f>"39-9011.01"</f>
        <v>39-9011.01</v>
      </c>
      <c r="H1522" t="s">
        <v>2677</v>
      </c>
      <c r="I1522">
        <v>1</v>
      </c>
      <c r="K1522" s="1">
        <v>44875</v>
      </c>
      <c r="L1522" s="1">
        <v>45970</v>
      </c>
      <c r="O1522" t="s">
        <v>168</v>
      </c>
      <c r="P1522" t="s">
        <v>7366</v>
      </c>
      <c r="R1522" t="s">
        <v>7367</v>
      </c>
      <c r="T1522" t="s">
        <v>7368</v>
      </c>
      <c r="U1522" t="s">
        <v>154</v>
      </c>
      <c r="V1522" s="4" t="str">
        <f>"33426"</f>
        <v>33426</v>
      </c>
      <c r="W1522" t="s">
        <v>120</v>
      </c>
      <c r="Y1522" s="5">
        <v>15618512669</v>
      </c>
      <c r="AA1522">
        <v>814110</v>
      </c>
      <c r="AB1522" t="s">
        <v>7369</v>
      </c>
      <c r="AC1522" t="s">
        <v>2210</v>
      </c>
      <c r="AE1522" t="s">
        <v>7145</v>
      </c>
      <c r="AF1522" t="s">
        <v>7367</v>
      </c>
      <c r="AH1522" t="s">
        <v>7368</v>
      </c>
      <c r="AI1522" t="s">
        <v>154</v>
      </c>
      <c r="AJ1522" s="4" t="str">
        <f>"33426"</f>
        <v>33426</v>
      </c>
      <c r="AK1522" t="s">
        <v>120</v>
      </c>
      <c r="AM1522" s="5">
        <v>15618512669</v>
      </c>
      <c r="AO1522" t="s">
        <v>7370</v>
      </c>
      <c r="AP1522" t="s">
        <v>122</v>
      </c>
      <c r="AQ1522" t="s">
        <v>2249</v>
      </c>
      <c r="AR1522" t="s">
        <v>7146</v>
      </c>
      <c r="AS1522" t="s">
        <v>7147</v>
      </c>
      <c r="AT1522" t="s">
        <v>7148</v>
      </c>
      <c r="AU1522" t="s">
        <v>7149</v>
      </c>
      <c r="AV1522" t="s">
        <v>1788</v>
      </c>
      <c r="AW1522" t="s">
        <v>444</v>
      </c>
      <c r="AX1522" s="4" t="str">
        <f>"90034"</f>
        <v>90034</v>
      </c>
      <c r="AY1522" t="s">
        <v>120</v>
      </c>
      <c r="BA1522" s="5">
        <v>12133754084</v>
      </c>
      <c r="BC1522" t="s">
        <v>7150</v>
      </c>
      <c r="BD1522" t="s">
        <v>7151</v>
      </c>
      <c r="BE1522" t="s">
        <v>444</v>
      </c>
      <c r="BF1522" t="s">
        <v>510</v>
      </c>
      <c r="BG1522" t="s">
        <v>154</v>
      </c>
      <c r="BH1522" s="1">
        <v>44788.833333333336</v>
      </c>
      <c r="BI1522">
        <v>35</v>
      </c>
      <c r="BJ1522">
        <v>0</v>
      </c>
      <c r="BK1522">
        <v>7</v>
      </c>
      <c r="BL1522">
        <v>7</v>
      </c>
      <c r="BM1522">
        <v>7</v>
      </c>
      <c r="BN1522">
        <v>7</v>
      </c>
      <c r="BO1522">
        <v>7</v>
      </c>
      <c r="BP1522">
        <v>0</v>
      </c>
      <c r="BQ1522" t="str">
        <f>"9:00 AM"</f>
        <v>9:00 AM</v>
      </c>
      <c r="BR1522" t="str">
        <f>"4:00 PM"</f>
        <v>4:00 PM</v>
      </c>
      <c r="BS1522" t="s">
        <v>133</v>
      </c>
      <c r="BT1522">
        <v>0</v>
      </c>
      <c r="BU1522">
        <v>6</v>
      </c>
      <c r="BV1522" t="s">
        <v>134</v>
      </c>
      <c r="BX1522" t="s">
        <v>2154</v>
      </c>
      <c r="BY1522" t="s">
        <v>7367</v>
      </c>
      <c r="CA1522" t="s">
        <v>7368</v>
      </c>
      <c r="CB1522" t="s">
        <v>154</v>
      </c>
      <c r="CC1522" s="4" t="str">
        <f>"33426"</f>
        <v>33426</v>
      </c>
      <c r="CD1522" t="s">
        <v>3882</v>
      </c>
      <c r="CE1522" t="s">
        <v>1742</v>
      </c>
      <c r="CF1522" s="6">
        <v>13.33</v>
      </c>
      <c r="CH1522" s="6">
        <v>20</v>
      </c>
      <c r="CJ1522" t="s">
        <v>137</v>
      </c>
      <c r="CK1522" t="s">
        <v>2154</v>
      </c>
      <c r="CL1522" t="s">
        <v>7371</v>
      </c>
      <c r="CO1522" t="s">
        <v>138</v>
      </c>
      <c r="CP1522" t="s">
        <v>134</v>
      </c>
      <c r="CQ1522" t="s">
        <v>114</v>
      </c>
      <c r="CR1522" t="s">
        <v>114</v>
      </c>
      <c r="CS1522" t="s">
        <v>134</v>
      </c>
      <c r="CT1522" t="s">
        <v>114</v>
      </c>
      <c r="CU1522" t="s">
        <v>134</v>
      </c>
      <c r="CV1522" t="s">
        <v>2154</v>
      </c>
      <c r="CW1522" s="5" t="str">
        <f>"+15618512669"</f>
        <v>+15618512669</v>
      </c>
      <c r="CX1522" t="s">
        <v>7370</v>
      </c>
      <c r="CY1522" t="s">
        <v>138</v>
      </c>
      <c r="CZ1522" t="s">
        <v>139</v>
      </c>
      <c r="DA1522" t="s">
        <v>134</v>
      </c>
      <c r="DB1522" t="s">
        <v>134</v>
      </c>
      <c r="DC1522" t="s">
        <v>114</v>
      </c>
      <c r="DD1522" t="s">
        <v>134</v>
      </c>
    </row>
    <row r="1523" spans="1:113" ht="15" customHeight="1" x14ac:dyDescent="0.25">
      <c r="A1523" t="s">
        <v>3222</v>
      </c>
      <c r="B1523" t="s">
        <v>141</v>
      </c>
      <c r="C1523" s="1">
        <v>44816.750161342592</v>
      </c>
      <c r="D1523" s="1">
        <v>44838</v>
      </c>
      <c r="E1523" t="s">
        <v>134</v>
      </c>
      <c r="F1523" t="s">
        <v>1834</v>
      </c>
      <c r="G1523" t="str">
        <f>"51-3011.00"</f>
        <v>51-3011.00</v>
      </c>
      <c r="H1523" t="s">
        <v>3223</v>
      </c>
      <c r="I1523">
        <v>10</v>
      </c>
      <c r="K1523" s="1">
        <v>44891</v>
      </c>
      <c r="L1523" s="1">
        <v>45107</v>
      </c>
      <c r="O1523" t="s">
        <v>117</v>
      </c>
      <c r="P1523" t="s">
        <v>3224</v>
      </c>
      <c r="Q1523" t="s">
        <v>3225</v>
      </c>
      <c r="R1523" t="s">
        <v>3226</v>
      </c>
      <c r="T1523" t="s">
        <v>3227</v>
      </c>
      <c r="U1523" t="s">
        <v>232</v>
      </c>
      <c r="V1523" s="4" t="str">
        <f>"78416"</f>
        <v>78416</v>
      </c>
      <c r="W1523" t="s">
        <v>120</v>
      </c>
      <c r="Y1523" s="5">
        <v>13608519734</v>
      </c>
      <c r="AA1523">
        <v>445291</v>
      </c>
      <c r="AB1523" t="s">
        <v>3228</v>
      </c>
      <c r="AC1523" t="s">
        <v>124</v>
      </c>
      <c r="AD1523" t="s">
        <v>1869</v>
      </c>
      <c r="AE1523" t="s">
        <v>424</v>
      </c>
      <c r="AF1523" t="s">
        <v>3226</v>
      </c>
      <c r="AH1523" t="s">
        <v>3227</v>
      </c>
      <c r="AI1523" t="s">
        <v>232</v>
      </c>
      <c r="AJ1523" s="4" t="str">
        <f>"78416"</f>
        <v>78416</v>
      </c>
      <c r="AK1523" t="s">
        <v>120</v>
      </c>
      <c r="AM1523" s="5">
        <v>13618166511</v>
      </c>
      <c r="AO1523" t="s">
        <v>3229</v>
      </c>
      <c r="AP1523" t="s">
        <v>122</v>
      </c>
      <c r="AQ1523" t="s">
        <v>680</v>
      </c>
      <c r="AR1523" t="s">
        <v>370</v>
      </c>
      <c r="AS1523" t="s">
        <v>681</v>
      </c>
      <c r="AT1523" t="s">
        <v>3230</v>
      </c>
      <c r="AU1523" t="s">
        <v>683</v>
      </c>
      <c r="AV1523" t="s">
        <v>684</v>
      </c>
      <c r="AW1523" t="s">
        <v>232</v>
      </c>
      <c r="AX1523" s="4" t="str">
        <f>"78746"</f>
        <v>78746</v>
      </c>
      <c r="AY1523" t="s">
        <v>120</v>
      </c>
      <c r="BA1523" s="5">
        <v>17372040093</v>
      </c>
      <c r="BC1523" t="s">
        <v>2833</v>
      </c>
      <c r="BD1523" t="s">
        <v>686</v>
      </c>
      <c r="BE1523" t="s">
        <v>232</v>
      </c>
      <c r="BF1523" t="s">
        <v>687</v>
      </c>
      <c r="BG1523" t="s">
        <v>232</v>
      </c>
      <c r="BH1523" s="1">
        <v>44815.833333333336</v>
      </c>
      <c r="BI1523">
        <v>40</v>
      </c>
      <c r="BJ1523">
        <v>0</v>
      </c>
      <c r="BK1523">
        <v>8</v>
      </c>
      <c r="BL1523">
        <v>8</v>
      </c>
      <c r="BM1523">
        <v>8</v>
      </c>
      <c r="BN1523">
        <v>8</v>
      </c>
      <c r="BO1523">
        <v>8</v>
      </c>
      <c r="BP1523">
        <v>0</v>
      </c>
      <c r="BQ1523" t="str">
        <f>"5:00 AM"</f>
        <v>5:00 AM</v>
      </c>
      <c r="BR1523" t="str">
        <f>"1:00 PM"</f>
        <v>1:00 PM</v>
      </c>
      <c r="BS1523" t="s">
        <v>133</v>
      </c>
      <c r="BT1523">
        <v>0</v>
      </c>
      <c r="BU1523">
        <v>4</v>
      </c>
      <c r="BV1523" t="s">
        <v>134</v>
      </c>
      <c r="BX1523" t="s">
        <v>138</v>
      </c>
      <c r="BY1523" t="s">
        <v>3226</v>
      </c>
      <c r="CA1523" t="s">
        <v>3227</v>
      </c>
      <c r="CB1523" t="s">
        <v>232</v>
      </c>
      <c r="CC1523" s="4" t="str">
        <f>"78416"</f>
        <v>78416</v>
      </c>
      <c r="CD1523" t="s">
        <v>3231</v>
      </c>
      <c r="CE1523" t="s">
        <v>327</v>
      </c>
      <c r="CF1523" s="6">
        <v>12.76</v>
      </c>
      <c r="CG1523" s="6">
        <v>12.76</v>
      </c>
      <c r="CH1523" s="6">
        <v>19.14</v>
      </c>
      <c r="CI1523" s="6">
        <v>19.14</v>
      </c>
      <c r="CJ1523" t="s">
        <v>137</v>
      </c>
      <c r="CK1523" t="s">
        <v>3232</v>
      </c>
      <c r="CL1523" t="s">
        <v>3233</v>
      </c>
      <c r="CO1523" t="s">
        <v>138</v>
      </c>
      <c r="CP1523" t="s">
        <v>134</v>
      </c>
      <c r="CQ1523" t="s">
        <v>134</v>
      </c>
      <c r="CR1523" t="s">
        <v>114</v>
      </c>
      <c r="CS1523" t="s">
        <v>114</v>
      </c>
      <c r="CT1523" t="s">
        <v>114</v>
      </c>
      <c r="CU1523" t="s">
        <v>134</v>
      </c>
      <c r="CV1523" t="s">
        <v>133</v>
      </c>
      <c r="CW1523" s="5" t="str">
        <f>"+13618519734"</f>
        <v>+13618519734</v>
      </c>
      <c r="CX1523" t="s">
        <v>3229</v>
      </c>
      <c r="CY1523" t="s">
        <v>138</v>
      </c>
      <c r="CZ1523" t="s">
        <v>139</v>
      </c>
      <c r="DA1523" t="s">
        <v>134</v>
      </c>
      <c r="DB1523" t="s">
        <v>134</v>
      </c>
      <c r="DC1523" t="s">
        <v>114</v>
      </c>
      <c r="DD1523" t="s">
        <v>134</v>
      </c>
    </row>
    <row r="1524" spans="1:113" ht="15" customHeight="1" x14ac:dyDescent="0.25">
      <c r="A1524" t="s">
        <v>16349</v>
      </c>
      <c r="B1524" t="s">
        <v>141</v>
      </c>
      <c r="C1524" s="1">
        <v>44816.499935879627</v>
      </c>
      <c r="D1524" s="1">
        <v>44838</v>
      </c>
      <c r="E1524" t="s">
        <v>134</v>
      </c>
      <c r="F1524" t="s">
        <v>16350</v>
      </c>
      <c r="G1524" t="str">
        <f>"47-2031.01"</f>
        <v>47-2031.01</v>
      </c>
      <c r="H1524" t="s">
        <v>1410</v>
      </c>
      <c r="I1524">
        <v>10</v>
      </c>
      <c r="K1524" s="1">
        <v>44835</v>
      </c>
      <c r="L1524" s="1">
        <v>45016</v>
      </c>
      <c r="O1524" t="s">
        <v>117</v>
      </c>
      <c r="P1524" t="s">
        <v>13405</v>
      </c>
      <c r="R1524" t="s">
        <v>13406</v>
      </c>
      <c r="T1524" t="s">
        <v>4227</v>
      </c>
      <c r="U1524" t="s">
        <v>181</v>
      </c>
      <c r="V1524" s="4" t="str">
        <f>"81401"</f>
        <v>81401</v>
      </c>
      <c r="W1524" t="s">
        <v>120</v>
      </c>
      <c r="Y1524" s="5">
        <v>19704975680</v>
      </c>
      <c r="AA1524">
        <v>212321</v>
      </c>
      <c r="AB1524" t="s">
        <v>11714</v>
      </c>
      <c r="AC1524" t="s">
        <v>1656</v>
      </c>
      <c r="AE1524" t="s">
        <v>342</v>
      </c>
      <c r="AF1524" t="s">
        <v>13406</v>
      </c>
      <c r="AH1524" t="s">
        <v>4227</v>
      </c>
      <c r="AI1524" t="s">
        <v>181</v>
      </c>
      <c r="AJ1524" s="4" t="str">
        <f>"81401"</f>
        <v>81401</v>
      </c>
      <c r="AK1524" t="s">
        <v>120</v>
      </c>
      <c r="AM1524" s="5">
        <v>19704975680</v>
      </c>
      <c r="AO1524" t="s">
        <v>13407</v>
      </c>
      <c r="AP1524" t="s">
        <v>122</v>
      </c>
      <c r="AQ1524" t="s">
        <v>12659</v>
      </c>
      <c r="AR1524" t="s">
        <v>12660</v>
      </c>
      <c r="AT1524" t="s">
        <v>13408</v>
      </c>
      <c r="AU1524" t="s">
        <v>12661</v>
      </c>
      <c r="AV1524" t="s">
        <v>180</v>
      </c>
      <c r="AW1524" t="s">
        <v>181</v>
      </c>
      <c r="AX1524" s="4" t="str">
        <f>"80202"</f>
        <v>80202</v>
      </c>
      <c r="AY1524" t="s">
        <v>120</v>
      </c>
      <c r="BA1524" s="5">
        <v>14698874227</v>
      </c>
      <c r="BC1524" t="s">
        <v>12662</v>
      </c>
      <c r="BD1524" t="s">
        <v>13409</v>
      </c>
      <c r="BE1524" t="s">
        <v>181</v>
      </c>
      <c r="BF1524" t="s">
        <v>1134</v>
      </c>
      <c r="BG1524" t="s">
        <v>181</v>
      </c>
      <c r="BH1524" s="1">
        <v>44812.833333333336</v>
      </c>
      <c r="BI1524">
        <v>50</v>
      </c>
      <c r="BJ1524">
        <v>0</v>
      </c>
      <c r="BK1524">
        <v>10</v>
      </c>
      <c r="BL1524">
        <v>10</v>
      </c>
      <c r="BM1524">
        <v>10</v>
      </c>
      <c r="BN1524">
        <v>10</v>
      </c>
      <c r="BO1524">
        <v>10</v>
      </c>
      <c r="BP1524">
        <v>0</v>
      </c>
      <c r="BQ1524" t="str">
        <f>"6:30 AM"</f>
        <v>6:30 AM</v>
      </c>
      <c r="BR1524" t="str">
        <f>"4:30 PM"</f>
        <v>4:30 PM</v>
      </c>
      <c r="BS1524" t="s">
        <v>295</v>
      </c>
      <c r="BT1524">
        <v>0</v>
      </c>
      <c r="BU1524">
        <v>0</v>
      </c>
      <c r="BV1524" t="s">
        <v>134</v>
      </c>
      <c r="BX1524" s="2" t="s">
        <v>16351</v>
      </c>
      <c r="BY1524" t="s">
        <v>13406</v>
      </c>
      <c r="CA1524" t="s">
        <v>4227</v>
      </c>
      <c r="CB1524" t="s">
        <v>181</v>
      </c>
      <c r="CC1524" s="4" t="str">
        <f>"81401"</f>
        <v>81401</v>
      </c>
      <c r="CD1524" t="s">
        <v>10151</v>
      </c>
      <c r="CE1524" t="s">
        <v>2738</v>
      </c>
      <c r="CF1524" s="6">
        <v>24.71</v>
      </c>
      <c r="CH1524" s="6">
        <v>37.07</v>
      </c>
      <c r="CJ1524" t="s">
        <v>137</v>
      </c>
      <c r="CK1524" t="s">
        <v>133</v>
      </c>
      <c r="CL1524" t="s">
        <v>16352</v>
      </c>
      <c r="CO1524" t="s">
        <v>114</v>
      </c>
      <c r="CP1524" t="s">
        <v>134</v>
      </c>
      <c r="CQ1524" t="s">
        <v>114</v>
      </c>
      <c r="CR1524" t="s">
        <v>114</v>
      </c>
      <c r="CS1524" t="s">
        <v>114</v>
      </c>
      <c r="CT1524" t="s">
        <v>114</v>
      </c>
      <c r="CU1524" t="s">
        <v>114</v>
      </c>
      <c r="CV1524" t="s">
        <v>133</v>
      </c>
      <c r="CW1524" s="5" t="str">
        <f>"+19704975680"</f>
        <v>+19704975680</v>
      </c>
      <c r="CX1524" t="s">
        <v>13407</v>
      </c>
      <c r="CY1524" t="s">
        <v>138</v>
      </c>
      <c r="CZ1524" t="s">
        <v>139</v>
      </c>
      <c r="DA1524" t="s">
        <v>134</v>
      </c>
      <c r="DB1524" t="s">
        <v>134</v>
      </c>
      <c r="DC1524" t="s">
        <v>114</v>
      </c>
      <c r="DD1524" t="s">
        <v>134</v>
      </c>
      <c r="DE1524" t="s">
        <v>6010</v>
      </c>
      <c r="DF1524" t="s">
        <v>6011</v>
      </c>
      <c r="DG1524" t="s">
        <v>4253</v>
      </c>
      <c r="DH1524" t="s">
        <v>13409</v>
      </c>
      <c r="DI1524" t="s">
        <v>12663</v>
      </c>
    </row>
    <row r="1525" spans="1:113" ht="15" customHeight="1" x14ac:dyDescent="0.25">
      <c r="A1525" t="s">
        <v>14310</v>
      </c>
      <c r="B1525" t="s">
        <v>141</v>
      </c>
      <c r="C1525" s="1">
        <v>44820.857421527777</v>
      </c>
      <c r="D1525" s="1">
        <v>44837</v>
      </c>
      <c r="E1525" t="s">
        <v>134</v>
      </c>
      <c r="F1525" t="s">
        <v>1625</v>
      </c>
      <c r="G1525" t="str">
        <f>"47-2061.00"</f>
        <v>47-2061.00</v>
      </c>
      <c r="H1525" t="s">
        <v>1625</v>
      </c>
      <c r="I1525">
        <v>14</v>
      </c>
      <c r="K1525" s="1">
        <v>44895</v>
      </c>
      <c r="L1525" s="1">
        <v>44926</v>
      </c>
      <c r="O1525" t="s">
        <v>199</v>
      </c>
      <c r="P1525" t="s">
        <v>11676</v>
      </c>
      <c r="R1525" t="s">
        <v>2281</v>
      </c>
      <c r="T1525" t="s">
        <v>2282</v>
      </c>
      <c r="U1525" t="s">
        <v>2081</v>
      </c>
      <c r="V1525" s="4" t="str">
        <f>"52033"</f>
        <v>52033</v>
      </c>
      <c r="W1525" t="s">
        <v>120</v>
      </c>
      <c r="Y1525" s="5">
        <v>15638525120</v>
      </c>
      <c r="AA1525">
        <v>333120</v>
      </c>
      <c r="AB1525" t="s">
        <v>2283</v>
      </c>
      <c r="AC1525" t="s">
        <v>1412</v>
      </c>
      <c r="AE1525" t="s">
        <v>424</v>
      </c>
      <c r="AF1525" t="s">
        <v>2281</v>
      </c>
      <c r="AH1525" t="s">
        <v>2282</v>
      </c>
      <c r="AI1525" t="s">
        <v>2081</v>
      </c>
      <c r="AJ1525" s="4" t="str">
        <f>"52033"</f>
        <v>52033</v>
      </c>
      <c r="AK1525" t="s">
        <v>120</v>
      </c>
      <c r="AM1525" s="5">
        <v>15638525120</v>
      </c>
      <c r="AO1525" t="s">
        <v>2284</v>
      </c>
      <c r="AP1525" t="s">
        <v>122</v>
      </c>
      <c r="AQ1525" t="s">
        <v>2175</v>
      </c>
      <c r="AR1525" t="s">
        <v>2176</v>
      </c>
      <c r="AS1525" t="s">
        <v>146</v>
      </c>
      <c r="AT1525" t="s">
        <v>2177</v>
      </c>
      <c r="AU1525" t="s">
        <v>138</v>
      </c>
      <c r="AV1525" t="s">
        <v>2178</v>
      </c>
      <c r="AW1525" t="s">
        <v>2081</v>
      </c>
      <c r="AX1525" s="4" t="str">
        <f>"50010"</f>
        <v>50010</v>
      </c>
      <c r="AY1525" t="s">
        <v>120</v>
      </c>
      <c r="BA1525" s="5">
        <v>15152324444</v>
      </c>
      <c r="BB1525">
        <v>0</v>
      </c>
      <c r="BC1525" t="s">
        <v>2179</v>
      </c>
      <c r="BD1525" t="s">
        <v>2180</v>
      </c>
      <c r="BE1525" t="s">
        <v>2081</v>
      </c>
      <c r="BF1525" t="s">
        <v>322</v>
      </c>
      <c r="BG1525" t="s">
        <v>2081</v>
      </c>
      <c r="BH1525" s="1">
        <v>44816.833333333336</v>
      </c>
      <c r="BI1525">
        <v>40</v>
      </c>
      <c r="BJ1525">
        <v>0</v>
      </c>
      <c r="BK1525">
        <v>8</v>
      </c>
      <c r="BL1525">
        <v>8</v>
      </c>
      <c r="BM1525">
        <v>8</v>
      </c>
      <c r="BN1525">
        <v>8</v>
      </c>
      <c r="BO1525">
        <v>8</v>
      </c>
      <c r="BP1525">
        <v>0</v>
      </c>
      <c r="BQ1525" t="str">
        <f>"7:00 AM"</f>
        <v>7:00 AM</v>
      </c>
      <c r="BR1525" t="str">
        <f>"5:30 PM"</f>
        <v>5:30 PM</v>
      </c>
      <c r="BS1525" t="s">
        <v>133</v>
      </c>
      <c r="BT1525">
        <v>0</v>
      </c>
      <c r="BU1525">
        <v>0</v>
      </c>
      <c r="BV1525" t="s">
        <v>134</v>
      </c>
      <c r="BX1525" s="2" t="s">
        <v>14311</v>
      </c>
      <c r="BY1525" t="s">
        <v>2281</v>
      </c>
      <c r="CA1525" t="s">
        <v>2282</v>
      </c>
      <c r="CB1525" t="s">
        <v>2081</v>
      </c>
      <c r="CC1525" s="4" t="str">
        <f>"52033"</f>
        <v>52033</v>
      </c>
      <c r="CD1525" t="s">
        <v>2565</v>
      </c>
      <c r="CE1525" t="s">
        <v>2566</v>
      </c>
      <c r="CF1525" s="6">
        <v>19.600000000000001</v>
      </c>
      <c r="CH1525" s="6">
        <v>29.4</v>
      </c>
      <c r="CJ1525" t="s">
        <v>137</v>
      </c>
      <c r="CL1525" t="s">
        <v>14312</v>
      </c>
      <c r="CO1525" t="s">
        <v>114</v>
      </c>
      <c r="CP1525" t="s">
        <v>114</v>
      </c>
      <c r="CQ1525" t="s">
        <v>114</v>
      </c>
      <c r="CR1525" t="s">
        <v>114</v>
      </c>
      <c r="CS1525" t="s">
        <v>114</v>
      </c>
      <c r="CT1525" t="s">
        <v>114</v>
      </c>
      <c r="CU1525" t="s">
        <v>114</v>
      </c>
      <c r="CV1525" t="s">
        <v>14313</v>
      </c>
      <c r="CW1525" s="5" t="str">
        <f>"+15638525120"</f>
        <v>+15638525120</v>
      </c>
      <c r="CX1525" t="s">
        <v>2284</v>
      </c>
      <c r="CY1525" t="s">
        <v>138</v>
      </c>
      <c r="CZ1525" t="s">
        <v>139</v>
      </c>
      <c r="DA1525" t="s">
        <v>134</v>
      </c>
      <c r="DB1525" t="s">
        <v>134</v>
      </c>
      <c r="DC1525" t="s">
        <v>114</v>
      </c>
      <c r="DD1525" t="s">
        <v>134</v>
      </c>
    </row>
  </sheetData>
  <autoFilter ref="A1:DI1525" xr:uid="{00000000-0001-0000-0000-000000000000}">
    <sortState xmlns:xlrd2="http://schemas.microsoft.com/office/spreadsheetml/2017/richdata2" ref="A2:DI1525">
      <sortCondition ref="B1:B1525"/>
    </sortState>
  </autoFilter>
  <sortState xmlns:xlrd2="http://schemas.microsoft.com/office/spreadsheetml/2017/richdata2" ref="A2:DI1526">
    <sortCondition descending="1" ref="C1:C1526"/>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H-2B_Disclosure_Data_FY2023_Q1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Rob - ETA</dc:creator>
  <cp:lastModifiedBy>Jordan, Rob - ETA</cp:lastModifiedBy>
  <dcterms:created xsi:type="dcterms:W3CDTF">2023-01-04T12:46:28Z</dcterms:created>
  <dcterms:modified xsi:type="dcterms:W3CDTF">2023-01-12T10:11:45Z</dcterms:modified>
</cp:coreProperties>
</file>